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3"/>
  </bookViews>
  <sheets>
    <sheet name="Sheet1" sheetId="1" state="visible" r:id="rId2"/>
    <sheet name="Leveling Info" sheetId="2" state="visible" r:id="rId3"/>
    <sheet name="Go Base Stats" sheetId="3" state="visible" r:id="rId4"/>
    <sheet name="Type Advantage Chart" sheetId="4" state="visible" r:id="rId5"/>
    <sheet name="Move sets" sheetId="5" state="visible" r:id="rId6"/>
    <sheet name="Form Responses (How much CP did you gain)" sheetId="6" state="visible" r:id="rId7"/>
    <sheet name="Form Responses (Power-up data)" sheetId="7" state="visible" r:id="rId8"/>
    <sheet name="Form Responses (Pokemon Stats)" sheetId="8" state="visible" r:id="rId9"/>
    <sheet name="Pokemon Science 2.0 data" sheetId="9" state="visible" r:id="rId10"/>
    <sheet name="Graphs" sheetId="10" state="visible" r:id="rId11"/>
    <sheet name="Base Stat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<sst xmlns="http://schemas.openxmlformats.org/spreadsheetml/2006/main" count="3403" uniqueCount="597">
  <si>
    <t xml:space="preserve">Ndex</t>
  </si>
  <si>
    <t xml:space="preserve">Pokémon</t>
  </si>
  <si>
    <t xml:space="preserve">Min CP/Lvl</t>
  </si>
  <si>
    <t xml:space="preserve">Avg CP/Lvl</t>
  </si>
  <si>
    <t xml:space="preserve">Max CP/Lvl</t>
  </si>
  <si>
    <t xml:space="preserve">CP Multiplier/Evo</t>
  </si>
  <si>
    <t xml:space="preserve">HP Base Stat</t>
  </si>
  <si>
    <t xml:space="preserve">Max Total CP</t>
  </si>
  <si>
    <t xml:space="preserve">Max Total HP</t>
  </si>
  <si>
    <t xml:space="preserve">~CP/PU combined</t>
  </si>
  <si>
    <t xml:space="preserve">CP Formula Error</t>
  </si>
  <si>
    <t xml:space="preserve">COMPUTATION-&gt;</t>
  </si>
  <si>
    <t xml:space="preserve">~ CP/power up</t>
  </si>
  <si>
    <t xml:space="preserve">~CP multiplier/evolve</t>
  </si>
  <si>
    <t xml:space="preserve">CP/PU guess</t>
  </si>
  <si>
    <t xml:space="preserve">SUM(~CP/power up) (PU data)</t>
  </si>
  <si>
    <t xml:space="preserve">SUM(~CP/power up) (How much)</t>
  </si>
  <si>
    <t xml:space="preserve">COUNT(~CP/power up) (PU data)</t>
  </si>
  <si>
    <t xml:space="preserve">COUNT(~CP / power up) (How much)</t>
  </si>
  <si>
    <t xml:space="preserve">CP/EVO min/max</t>
  </si>
  <si>
    <t xml:space="preserve">Bulbasaur</t>
  </si>
  <si>
    <t xml:space="preserve">Ivysaur</t>
  </si>
  <si>
    <t xml:space="preserve">Venusaur</t>
  </si>
  <si>
    <t xml:space="preserve">Charmander</t>
  </si>
  <si>
    <t xml:space="preserve">Charmeleon</t>
  </si>
  <si>
    <t xml:space="preserve">Charizard</t>
  </si>
  <si>
    <t xml:space="preserve">Squirtle</t>
  </si>
  <si>
    <t xml:space="preserve">Wartortle</t>
  </si>
  <si>
    <t xml:space="preserve">Blastoise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</si>
  <si>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</si>
  <si>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</si>
  <si>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</si>
  <si>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</si>
  <si>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</si>
  <si>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</si>
  <si>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</si>
  <si>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</si>
  <si>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</si>
  <si>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</si>
  <si>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</si>
  <si>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</si>
  <si>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</si>
  <si>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</si>
  <si>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</si>
  <si>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Pikachu</t>
  </si>
  <si>
    <t xml:space="preserve">Raichu</t>
  </si>
  <si>
    <t xml:space="preserve">Sandshrew</t>
  </si>
  <si>
    <t xml:space="preserve">Sandslash</t>
  </si>
  <si>
    <t xml:space="preserve">Nidoran ♀</t>
  </si>
  <si>
    <t xml:space="preserve">Nidorina</t>
  </si>
  <si>
    <t xml:space="preserve">Nidoqueen</t>
  </si>
  <si>
    <t xml:space="preserve">Nidoran ♂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</si>
  <si>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</si>
  <si>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</si>
  <si>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</si>
  <si>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</si>
  <si>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</si>
  <si>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</si>
  <si>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</si>
  <si>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</si>
  <si>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</si>
  <si>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</si>
  <si>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</si>
  <si>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</si>
  <si>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</si>
  <si>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</si>
  <si>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</si>
  <si>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</si>
  <si>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</si>
  <si>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</si>
  <si>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</si>
  <si>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</si>
  <si>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</si>
  <si>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</si>
  <si>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</si>
  <si>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</si>
  <si>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</si>
  <si>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</si>
  <si>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</si>
  <si>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</si>
  <si>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</si>
  <si>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</si>
  <si>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</si>
  <si>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Kadabra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</si>
  <si>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</si>
  <si>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</si>
  <si>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</si>
  <si>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</si>
  <si>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</si>
  <si>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</si>
  <si>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</si>
  <si>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</si>
  <si>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Tentacruel</t>
  </si>
  <si>
    <t xml:space="preserve">Geodude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</si>
  <si>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</si>
  <si>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</si>
  <si>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</si>
  <si>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</si>
  <si>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</si>
  <si>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</si>
  <si>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Magnemite</t>
  </si>
  <si>
    <t xml:space="preserve">Magneton</t>
  </si>
  <si>
    <t xml:space="preserve">Farfetch'd</t>
  </si>
  <si>
    <t xml:space="preserve">Doduo</t>
  </si>
  <si>
    <t xml:space="preserve">Dodrio</t>
  </si>
  <si>
    <t xml:space="preserve">Seel</t>
  </si>
  <si>
    <t xml:space="preserve">Dewgong</t>
  </si>
  <si>
    <t xml:space="preserve">Grimer</t>
  </si>
  <si>
    <t xml:space="preserve">Muk</t>
  </si>
  <si>
    <t xml:space="preserve">Shellder</t>
  </si>
  <si>
    <t xml:space="preserve">Cloyster</t>
  </si>
  <si>
    <t xml:space="preserve">Gastly</t>
  </si>
  <si>
    <t xml:space="preserve">Haunter</t>
  </si>
  <si>
    <t xml:space="preserve">Gengar</t>
  </si>
  <si>
    <t xml:space="preserve">Onix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</si>
  <si>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</si>
  <si>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</si>
  <si>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</si>
  <si>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</si>
  <si>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</si>
  <si>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</si>
  <si>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</si>
  <si>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</si>
  <si>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</si>
  <si>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</si>
  <si>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</si>
  <si>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</si>
  <si>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</si>
  <si>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</si>
  <si>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</si>
  <si>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</si>
  <si>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</si>
  <si>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</si>
  <si>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</si>
  <si>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</si>
  <si>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</si>
  <si>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</si>
  <si>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</si>
  <si>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</si>
  <si>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</si>
  <si>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Starmie</t>
  </si>
  <si>
    <t xml:space="preserve">Mr. 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</si>
  <si>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</si>
  <si>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</si>
  <si>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</si>
  <si>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</si>
  <si>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</si>
  <si>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</si>
  <si>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</si>
  <si>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</si>
  <si>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</si>
  <si>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</si>
  <si>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</si>
  <si>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</si>
  <si>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</si>
  <si>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</si>
  <si>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</si>
  <si>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</si>
  <si>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</si>
  <si>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</si>
  <si>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</si>
  <si>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</si>
  <si>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</si>
  <si>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</si>
  <si>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</si>
  <si>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</si>
  <si>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</si>
  <si>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</si>
  <si>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</si>
  <si>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</si>
  <si>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</t>
  </si>
  <si>
    <t xml:space="preserve">Pokemon level</t>
  </si>
  <si>
    <t xml:space="preserve">Stardust</t>
  </si>
  <si>
    <t xml:space="preserve">Candies</t>
  </si>
  <si>
    <t xml:space="preserve">Stardust to this level</t>
  </si>
  <si>
    <t xml:space="preserve">Candies to this level</t>
  </si>
  <si>
    <t xml:space="preserve">TotalCpMultiplier</t>
  </si>
  <si>
    <t xml:space="preserve">TotalCpMultiplier^2</t>
  </si>
  <si>
    <t xml:space="preserve">Delta(TCpM^2)</t>
  </si>
  <si>
    <t xml:space="preserve">Trainer level</t>
  </si>
  <si>
    <t xml:space="preserve">Notes</t>
  </si>
  <si>
    <t xml:space="preserve">Max egg</t>
  </si>
  <si>
    <t xml:space="preserve">Max encounter</t>
  </si>
  <si>
    <t xml:space="preserve">TCPM^2/level halved</t>
  </si>
  <si>
    <t xml:space="preserve">Max level</t>
  </si>
  <si>
    <t xml:space="preserve">#</t>
  </si>
  <si>
    <t xml:space="preserve">Stamina</t>
  </si>
  <si>
    <t xml:space="preserve">Attack</t>
  </si>
  <si>
    <t xml:space="preserve">Defense</t>
  </si>
  <si>
    <t xml:space="preserve">NORMAL</t>
  </si>
  <si>
    <t xml:space="preserve">FIGHTING</t>
  </si>
  <si>
    <t xml:space="preserve">FLYING</t>
  </si>
  <si>
    <t xml:space="preserve">POISON</t>
  </si>
  <si>
    <t xml:space="preserve">GROUND</t>
  </si>
  <si>
    <t xml:space="preserve">ROCK</t>
  </si>
  <si>
    <t xml:space="preserve">BUG</t>
  </si>
  <si>
    <t xml:space="preserve">GHOST</t>
  </si>
  <si>
    <t xml:space="preserve">STEEL</t>
  </si>
  <si>
    <t xml:space="preserve">FIRE</t>
  </si>
  <si>
    <t xml:space="preserve">WATER</t>
  </si>
  <si>
    <t xml:space="preserve">GRASS</t>
  </si>
  <si>
    <t xml:space="preserve">ELECTRIC</t>
  </si>
  <si>
    <t xml:space="preserve">PSYCHIC</t>
  </si>
  <si>
    <t xml:space="preserve">ICE</t>
  </si>
  <si>
    <t xml:space="preserve">DRAGON</t>
  </si>
  <si>
    <t xml:space="preserve">DARK</t>
  </si>
  <si>
    <t xml:space="preserve">FAIRY</t>
  </si>
  <si>
    <t xml:space="preserve">Pokemon</t>
  </si>
  <si>
    <t xml:space="preserve">Basic</t>
  </si>
  <si>
    <t xml:space="preserve">Special</t>
  </si>
  <si>
    <t xml:space="preserve">Vine Whip, Tackle</t>
  </si>
  <si>
    <t xml:space="preserve">Sludge Bomb, Seed Bomb, Power Whip</t>
  </si>
  <si>
    <t xml:space="preserve">Razor Leaf, Vine Whip</t>
  </si>
  <si>
    <t xml:space="preserve">Sludge Bomb, Solar Beam, Power Whip</t>
  </si>
  <si>
    <t xml:space="preserve">Sludge Bomb, Petal Blizzard, Solar Beam</t>
  </si>
  <si>
    <t xml:space="preserve">Ember, Scratch</t>
  </si>
  <si>
    <t xml:space="preserve">Flame Charge, Flame Burst, Flamethrower</t>
  </si>
  <si>
    <t xml:space="preserve">Fire Punch, Flame Burst, Flamethrower</t>
  </si>
  <si>
    <t xml:space="preserve">Ember, Wing Attack</t>
  </si>
  <si>
    <t xml:space="preserve">Fire Blast, Dragon Claw, Flamethrower</t>
  </si>
  <si>
    <t xml:space="preserve">Bubble, Tackle</t>
  </si>
  <si>
    <t xml:space="preserve">Aqua Jet, Aqua Tail, Water Pulse</t>
  </si>
  <si>
    <t xml:space="preserve">Water Gun, Bite</t>
  </si>
  <si>
    <t xml:space="preserve">Aqua Jet, Ice Beam, Hydro Pump</t>
  </si>
  <si>
    <t xml:space="preserve">Flash Cannon, Ice Beam, Hydro Pump</t>
  </si>
  <si>
    <t xml:space="preserve">Bug Bite, Tackle</t>
  </si>
  <si>
    <t xml:space="preserve">Struggle</t>
  </si>
  <si>
    <t xml:space="preserve">Bug Bite, Confusion</t>
  </si>
  <si>
    <t xml:space="preserve">Bug Buzz, Psychic, Signal Beam</t>
  </si>
  <si>
    <t xml:space="preserve">Bug Bite, Poison Sting</t>
  </si>
  <si>
    <t xml:space="preserve">Bug Bite, Poison Jab</t>
  </si>
  <si>
    <t xml:space="preserve">Sludge Bomb, Aerial Ace, X Scissor</t>
  </si>
  <si>
    <t xml:space="preserve">Quick Attack, Tackle</t>
  </si>
  <si>
    <t xml:space="preserve">Twister, Aerial Ace, Air Cutter</t>
  </si>
  <si>
    <t xml:space="preserve">Wing Attack, Steel Wing</t>
  </si>
  <si>
    <t xml:space="preserve">Hurricane, Aerial Ace, Air Cutter</t>
  </si>
  <si>
    <t xml:space="preserve">Tackle, Quick Attack</t>
  </si>
  <si>
    <t xml:space="preserve">Dig, Hyper Fang, Body Slam</t>
  </si>
  <si>
    <t xml:space="preserve">Bite, Quick Attack</t>
  </si>
  <si>
    <t xml:space="preserve">Dig, Hyper Fang, Hyper Beam</t>
  </si>
  <si>
    <t xml:space="preserve">Peck, Quick Attack</t>
  </si>
  <si>
    <t xml:space="preserve">Aerial Ace, Drill Peck, Twister</t>
  </si>
  <si>
    <t xml:space="preserve">Peck, Steel Wing</t>
  </si>
  <si>
    <t xml:space="preserve">Aerial Ace, Drill Run, Twister</t>
  </si>
  <si>
    <t xml:space="preserve">Poison Sting, Acid</t>
  </si>
  <si>
    <t xml:space="preserve">Wrap, Sludge Bomb, Gunk Shot</t>
  </si>
  <si>
    <t xml:space="preserve">Bite, Acid</t>
  </si>
  <si>
    <t xml:space="preserve">Dark Pulse, Sludge Wave, Gunk Shot</t>
  </si>
  <si>
    <t xml:space="preserve">Thunder Shock, Quick Attack</t>
  </si>
  <si>
    <t xml:space="preserve">Discharge, Thunderbolt, Thunder</t>
  </si>
  <si>
    <t xml:space="preserve">Thunder Shock, Spark</t>
  </si>
  <si>
    <t xml:space="preserve">Brick Break, Thunder Punch, Thunder</t>
  </si>
  <si>
    <t xml:space="preserve">Scratch, Mud Shot</t>
  </si>
  <si>
    <t xml:space="preserve">Dig, Rock Slide, Rock Tomb</t>
  </si>
  <si>
    <t xml:space="preserve">Metal Claw, Mud Shot</t>
  </si>
  <si>
    <t xml:space="preserve">Earthquake, Rock Tomb, Bulldoze</t>
  </si>
  <si>
    <t xml:space="preserve">Nidoran</t>
  </si>
  <si>
    <t xml:space="preserve">Bite, Poison Sting</t>
  </si>
  <si>
    <t xml:space="preserve">Poison Fang, Body Slam, Sludge Bomb</t>
  </si>
  <si>
    <t xml:space="preserve">Poison Fang, Dig, Sludge Bomb</t>
  </si>
  <si>
    <t xml:space="preserve">Poison Jab, Bite</t>
  </si>
  <si>
    <t xml:space="preserve">Earthquake, Sludge Wave, Stone Edge</t>
  </si>
  <si>
    <t xml:space="preserve">Peck, Poison Sting</t>
  </si>
  <si>
    <t xml:space="preserve">Horn Attack, Body Slam, Sludge Bomb</t>
  </si>
  <si>
    <t xml:space="preserve">Poison Jab, Poison Sting</t>
  </si>
  <si>
    <t xml:space="preserve">Horn Attack, Dig, Sludge Bomb</t>
  </si>
  <si>
    <t xml:space="preserve">Poison Jab, Fury Cutter</t>
  </si>
  <si>
    <t xml:space="preserve">Earthquake, Sludge Wave, Megahorn</t>
  </si>
  <si>
    <t xml:space="preserve">Pound, Zen Headbutt</t>
  </si>
  <si>
    <t xml:space="preserve">Disarming Voice, Body Slam, Moonblast</t>
  </si>
  <si>
    <t xml:space="preserve">Dazzling Gleam, Psychic, Moonblast</t>
  </si>
  <si>
    <t xml:space="preserve">Quick Attack, Ember</t>
  </si>
  <si>
    <t xml:space="preserve">Body Slam, Flamethrower, Flame Charge</t>
  </si>
  <si>
    <t xml:space="preserve">Feint Attack, Ember</t>
  </si>
  <si>
    <t xml:space="preserve">Heat Wave, Flamethrower, Fire Blast</t>
  </si>
  <si>
    <t xml:space="preserve">Pound, Feint Attack</t>
  </si>
  <si>
    <t xml:space="preserve">Disarming Voice, Body Slam, Play Rough</t>
  </si>
  <si>
    <t xml:space="preserve">Dazzling Gleam, Hyper Beam, Play Rough</t>
  </si>
  <si>
    <t xml:space="preserve">Quick Attack, Bite</t>
  </si>
  <si>
    <t xml:space="preserve">Poison Fang, Air Cutter, Sludge Bomb</t>
  </si>
  <si>
    <t xml:space="preserve">Wing Attack, Bite</t>
  </si>
  <si>
    <t xml:space="preserve">Poison Fang, Air Cutter, Ominous Wind</t>
  </si>
  <si>
    <t xml:space="preserve">Razor Leaf, Acid</t>
  </si>
  <si>
    <t xml:space="preserve">Seed Bomb, Sludge Bomb, Moonblast</t>
  </si>
  <si>
    <t xml:space="preserve">Petal Blizzard, Sludge Bomb, Moonblast</t>
  </si>
  <si>
    <t xml:space="preserve">Petal Blizzard, Solar Beam, Moonblast</t>
  </si>
  <si>
    <t xml:space="preserve">Scratch, Bug Bite</t>
  </si>
  <si>
    <t xml:space="preserve">Cross Poison, X Scissor, Seed Bomb</t>
  </si>
  <si>
    <t xml:space="preserve">Bug Bite, Fury Cutter</t>
  </si>
  <si>
    <t xml:space="preserve">Cross Poison, X Scissor, Solar Beam</t>
  </si>
  <si>
    <t xml:space="preserve">Psybeam, Dazzling Gleam, Shadow Ball</t>
  </si>
  <si>
    <t xml:space="preserve">Poison Fang, Psychic, Bug Buzz</t>
  </si>
  <si>
    <t xml:space="preserve">Mud Shot, Scratch</t>
  </si>
  <si>
    <t xml:space="preserve">Dig, Mud Bomb, Rock Tomb</t>
  </si>
  <si>
    <t xml:space="preserve">Sucker Punch, Mud Shot</t>
  </si>
  <si>
    <t xml:space="preserve">Earthquake, Mud Bomb, Stone Edge</t>
  </si>
  <si>
    <t xml:space="preserve">Scratch, Bite</t>
  </si>
  <si>
    <t xml:space="preserve">Night Slash, Dark Pulse, Body Slam</t>
  </si>
  <si>
    <t xml:space="preserve">Scratch, Feint Attack</t>
  </si>
  <si>
    <t xml:space="preserve">Night Slash, Power Gem, Play Rough</t>
  </si>
  <si>
    <t xml:space="preserve">Water Gun, Zen Headbutt</t>
  </si>
  <si>
    <t xml:space="preserve">Psybeam, Aqua Tail, Cross Chop</t>
  </si>
  <si>
    <t xml:space="preserve">Water Gun, Confusion</t>
  </si>
  <si>
    <t xml:space="preserve">Psychic, Hydro Pump, Ice Beam</t>
  </si>
  <si>
    <t xml:space="preserve">Karate Chop, Scratch</t>
  </si>
  <si>
    <t xml:space="preserve">Cross Chop, Low Sweep, Brick Break</t>
  </si>
  <si>
    <t xml:space="preserve">Low Kick, Karate Chop</t>
  </si>
  <si>
    <t xml:space="preserve">Cross Chop, Low Sweep, Night Slash</t>
  </si>
  <si>
    <t xml:space="preserve">Ember, Bite</t>
  </si>
  <si>
    <t xml:space="preserve">Flame Wheel, Body Slam, Flamethrower</t>
  </si>
  <si>
    <t xml:space="preserve">Fire Fang, Bite</t>
  </si>
  <si>
    <t xml:space="preserve">Fire Blast, Flamethrower, Bulldoze</t>
  </si>
  <si>
    <t xml:space="preserve">Bubble, Mud Shot</t>
  </si>
  <si>
    <t xml:space="preserve">Bubble Beam, Mud Bomb, Body Slam</t>
  </si>
  <si>
    <t xml:space="preserve">Scald, Mud Bomb, Bubble Beam</t>
  </si>
  <si>
    <t xml:space="preserve">Hydro Pump, Submission, Ice Punch</t>
  </si>
  <si>
    <t xml:space="preserve">Zen Headbutt</t>
  </si>
  <si>
    <t xml:space="preserve">Psyshock, Signal Beam, Shadow Ball</t>
  </si>
  <si>
    <t xml:space="preserve">Psycho Cut, Confusion</t>
  </si>
  <si>
    <t xml:space="preserve">Psychic, Dazzling Gleam, Shadow Ball</t>
  </si>
  <si>
    <t xml:space="preserve">Low Sweep, Brick Break, Cross Chop</t>
  </si>
  <si>
    <t xml:space="preserve">Submission, Brick Break, Cross Chop</t>
  </si>
  <si>
    <t xml:space="preserve">Bullet Punch, Karate Chop</t>
  </si>
  <si>
    <t xml:space="preserve">Stone Edge, Submission, Cross Chop</t>
  </si>
  <si>
    <t xml:space="preserve">Vine Whip, Acid</t>
  </si>
  <si>
    <t xml:space="preserve">Power Whip, Sludge Bomb, Wrap</t>
  </si>
  <si>
    <t xml:space="preserve">Power Whip, Sludge Bomb, Seed Bomb</t>
  </si>
  <si>
    <t xml:space="preserve">Leaf Blade, Sludge Bomb, Solar Beam</t>
  </si>
  <si>
    <t xml:space="preserve">Bubble, Poison Sting</t>
  </si>
  <si>
    <t xml:space="preserve">Bubble Beam, Water Pulse, Wrap</t>
  </si>
  <si>
    <t xml:space="preserve">Acid, Poison Jab</t>
  </si>
  <si>
    <t xml:space="preserve">Hydro Pump, Sludge Wave, Blizzard</t>
  </si>
  <si>
    <t xml:space="preserve">Rock Throw, Tackle</t>
  </si>
  <si>
    <t xml:space="preserve">Rock Slide, Rock Tomb, Dig</t>
  </si>
  <si>
    <t xml:space="preserve">Rock Throw, Mud Shot</t>
  </si>
  <si>
    <t xml:space="preserve">Dig, Stone Edge, Rock Slide</t>
  </si>
  <si>
    <t xml:space="preserve">Stone Edge, Ancient Power, Earthquake</t>
  </si>
  <si>
    <t xml:space="preserve">Tackle, Ember</t>
  </si>
  <si>
    <t xml:space="preserve">Flame Charge, Flame Wheel, Fire Blast</t>
  </si>
  <si>
    <t xml:space="preserve">Low Kick, Ember</t>
  </si>
  <si>
    <t xml:space="preserve">Fire Blast, Drill Run, Heat Wave</t>
  </si>
  <si>
    <t xml:space="preserve">Water Pulse, Psyshock, Psychic</t>
  </si>
  <si>
    <t xml:space="preserve">Water Pulse, Psychic, Ice Beam</t>
  </si>
  <si>
    <t xml:space="preserve">Spark, Thunder Shock</t>
  </si>
  <si>
    <t xml:space="preserve">Discharge, Magnet Bomb, Thunderbolt</t>
  </si>
  <si>
    <t xml:space="preserve">Discharge, Magnet Bomb, Flash Cannon</t>
  </si>
  <si>
    <t xml:space="preserve">Farfetchd</t>
  </si>
  <si>
    <t xml:space="preserve">Cut, Fury Cutter</t>
  </si>
  <si>
    <t xml:space="preserve">Aerial Ace, Air Cutter, Leaf Blade</t>
  </si>
  <si>
    <t xml:space="preserve">Drill Peck, Aerial Ace, Swift</t>
  </si>
  <si>
    <t xml:space="preserve">Feint Attack, Steel Wing</t>
  </si>
  <si>
    <t xml:space="preserve">Drill Peck, Aerial Ace, Air Cutter</t>
  </si>
  <si>
    <t xml:space="preserve">Ice Shard, Water Gun</t>
  </si>
  <si>
    <t xml:space="preserve">Aqua Jet, Icy Wind, Aqua Tail</t>
  </si>
  <si>
    <t xml:space="preserve">Frost Breath, Ice Shard</t>
  </si>
  <si>
    <t xml:space="preserve">Icy Wind, Aqua Jet, Blizzard</t>
  </si>
  <si>
    <t xml:space="preserve">Acid, Mud Slap</t>
  </si>
  <si>
    <t xml:space="preserve">Sludge, Mud Bomb, Sludge Bomb</t>
  </si>
  <si>
    <t xml:space="preserve">Dark Pulse, Gunk Shot, Sludge Wave</t>
  </si>
  <si>
    <t xml:space="preserve">Ice Shard, Tackle</t>
  </si>
  <si>
    <t xml:space="preserve">Bubble Beam, Water Pulse, Icy Wind</t>
  </si>
  <si>
    <t xml:space="preserve">Icy Wind, Hydro Pump, Blizzard</t>
  </si>
  <si>
    <t xml:space="preserve">Lick, Sucker Punch</t>
  </si>
  <si>
    <t xml:space="preserve">Ominous Wind, Dark Pulse, Sludge Bomb</t>
  </si>
  <si>
    <t xml:space="preserve">Shadow Claw, Lick</t>
  </si>
  <si>
    <t xml:space="preserve">Shadow Ball, Dark Pulse, Sludge Bomb</t>
  </si>
  <si>
    <t xml:space="preserve">Sucker Punch, Shadow Claw</t>
  </si>
  <si>
    <t xml:space="preserve">Shadow Ball, Dark Pulse, Sludge Wave</t>
  </si>
  <si>
    <t xml:space="preserve">Rock Slide, Stone Edge, Iron Head</t>
  </si>
  <si>
    <t xml:space="preserve">Pound, Confusion</t>
  </si>
  <si>
    <t xml:space="preserve">Psybeam, Psyshock, Psychic</t>
  </si>
  <si>
    <t xml:space="preserve">Zen Headbutt, Confusion</t>
  </si>
  <si>
    <t xml:space="preserve">Psyshock, Psychic, Shadow Ball</t>
  </si>
  <si>
    <t xml:space="preserve">Vice Grip, Bubble Beam, Water Pulse</t>
  </si>
  <si>
    <t xml:space="preserve">Vice Grip, X Scissor, Water Pulse</t>
  </si>
  <si>
    <t xml:space="preserve">Spark, Tackle</t>
  </si>
  <si>
    <t xml:space="preserve">Discharge, Thunderbolt, Signal Beam</t>
  </si>
  <si>
    <t xml:space="preserve">Discharge, Thunderbolt, Hyper Beam</t>
  </si>
  <si>
    <t xml:space="preserve">Confusion</t>
  </si>
  <si>
    <t xml:space="preserve">Seed Bomb, Psychic, Ancient Power</t>
  </si>
  <si>
    <t xml:space="preserve">Confusion, Zen Headbutt</t>
  </si>
  <si>
    <t xml:space="preserve">Seed Bomb, Psychic, Solar Beam</t>
  </si>
  <si>
    <t xml:space="preserve">Mud Slap, Rock Smash</t>
  </si>
  <si>
    <t xml:space="preserve">Bone Club, Dig, Bulldoze</t>
  </si>
  <si>
    <t xml:space="preserve">Bone Club, Dig, Earthquake</t>
  </si>
  <si>
    <t xml:space="preserve">Low Kick, Rock Smash</t>
  </si>
  <si>
    <t xml:space="preserve">Stomp, Low Sweep, Stone Edge</t>
  </si>
  <si>
    <t xml:space="preserve">Bullet Punch, Rock Smash</t>
  </si>
  <si>
    <t xml:space="preserve">Fire Punch, Ice Punch, Thunder Punch, Brick Break</t>
  </si>
  <si>
    <t xml:space="preserve">Lick, Zen Headbutt</t>
  </si>
  <si>
    <t xml:space="preserve">Hyper Beam, Stomp, Power Whip</t>
  </si>
  <si>
    <t xml:space="preserve">Acid, Tackle</t>
  </si>
  <si>
    <t xml:space="preserve">Sludge, Sludge Bomb, Dark Pulse</t>
  </si>
  <si>
    <t xml:space="preserve">Sludge Bomb, Shadow Ball, Dark Pulse</t>
  </si>
  <si>
    <t xml:space="preserve">Bulldoze, Horn Attack, Stomp</t>
  </si>
  <si>
    <t xml:space="preserve">Megahorn, Earthquake, Stone Edge</t>
  </si>
  <si>
    <t xml:space="preserve">Psychic, Psybeam, Dazzling Gleam</t>
  </si>
  <si>
    <t xml:space="preserve">Vine Whip</t>
  </si>
  <si>
    <t xml:space="preserve">Power Whip, Sludge Bomb, Solar Beam</t>
  </si>
  <si>
    <t xml:space="preserve">Mud Slap, Low Kick</t>
  </si>
  <si>
    <t xml:space="preserve">Brick Break, Earthquake, Stomp</t>
  </si>
  <si>
    <t xml:space="preserve">Water Gun, Bubble</t>
  </si>
  <si>
    <t xml:space="preserve">Bubble Beam, Dragon Pulse, Flash Cannon</t>
  </si>
  <si>
    <t xml:space="preserve">Water Gun, Dragon Breath</t>
  </si>
  <si>
    <t xml:space="preserve">Blizzard, Dragon Pulse, Hydro Pump</t>
  </si>
  <si>
    <t xml:space="preserve">Peck, Mud Shot</t>
  </si>
  <si>
    <t xml:space="preserve">Water Pulse, Horn Attack, Aqua Tail</t>
  </si>
  <si>
    <t xml:space="preserve">Peck, Poison Jab</t>
  </si>
  <si>
    <t xml:space="preserve">Icy Wind, Drill Run, Megahorn</t>
  </si>
  <si>
    <t xml:space="preserve">Quick Attack, Water Gun</t>
  </si>
  <si>
    <t xml:space="preserve">Swift, Bubble Beam, Power Gem</t>
  </si>
  <si>
    <t xml:space="preserve">Hydro Pump, Power Gem, Psybeam</t>
  </si>
  <si>
    <t xml:space="preserve">Mime</t>
  </si>
  <si>
    <t xml:space="preserve">Psybeam, Psychic, Shadow Ball</t>
  </si>
  <si>
    <t xml:space="preserve">Fury Cutter, Steel Wing</t>
  </si>
  <si>
    <t xml:space="preserve">Night Slash, X Scissor, Bug Buzz</t>
  </si>
  <si>
    <t xml:space="preserve">Frost Breath, Pound</t>
  </si>
  <si>
    <t xml:space="preserve">Draining Kiss, Ice Punch, Psyshock</t>
  </si>
  <si>
    <t xml:space="preserve">Thunder Shock, Low Kick</t>
  </si>
  <si>
    <t xml:space="preserve">Thunder Punch, Thunderbolt, Thunder</t>
  </si>
  <si>
    <t xml:space="preserve">Ember, Karate Chop</t>
  </si>
  <si>
    <t xml:space="preserve">Fire Blast, Fire Punch, Flamethrower</t>
  </si>
  <si>
    <t xml:space="preserve">Rock Smash, Fury Cutter</t>
  </si>
  <si>
    <t xml:space="preserve">Vice Grip, X Scissor, Submission</t>
  </si>
  <si>
    <t xml:space="preserve">Tackle, Zen Headbutt</t>
  </si>
  <si>
    <t xml:space="preserve">Horn Attack, Iron Head, Earthquake</t>
  </si>
  <si>
    <t xml:space="preserve">Splash</t>
  </si>
  <si>
    <t xml:space="preserve">Dragon Breath, Bite</t>
  </si>
  <si>
    <t xml:space="preserve">Hydro Pump, Twister, Dragon Pulse</t>
  </si>
  <si>
    <t xml:space="preserve">Dragon Pulse, Ice Beam, Blizzard</t>
  </si>
  <si>
    <t xml:space="preserve">Pound</t>
  </si>
  <si>
    <t xml:space="preserve">Dig, Swift, Body Slam</t>
  </si>
  <si>
    <t xml:space="preserve">Water Gun</t>
  </si>
  <si>
    <t xml:space="preserve">Water Pulse, Hydro Pump, Aqua Tail</t>
  </si>
  <si>
    <t xml:space="preserve">Thunder Shock</t>
  </si>
  <si>
    <t xml:space="preserve">Ember</t>
  </si>
  <si>
    <t xml:space="preserve">Fire Blast, Flamethrower, Heat Wave</t>
  </si>
  <si>
    <t xml:space="preserve">Psybeam, Signal Beam, Discharge</t>
  </si>
  <si>
    <t xml:space="preserve">Water Gun, Mud Shot</t>
  </si>
  <si>
    <t xml:space="preserve">Ancient Power, Brine, Rock Tomb</t>
  </si>
  <si>
    <t xml:space="preserve">Rock Throw, Water Gun</t>
  </si>
  <si>
    <t xml:space="preserve">Ancient Power, Hydro Pump, Rock Slide</t>
  </si>
  <si>
    <t xml:space="preserve">Ancient Power, Aqua Jet, Rock Tomb</t>
  </si>
  <si>
    <t xml:space="preserve">Mud Shot, Fury Cutter</t>
  </si>
  <si>
    <t xml:space="preserve">Ancient Power, Water Pulse, Stone Edge</t>
  </si>
  <si>
    <t xml:space="preserve">Steel Wing, Bite</t>
  </si>
  <si>
    <t xml:space="preserve">Ancient Power, Iron Head, Hyper Beam</t>
  </si>
  <si>
    <t xml:space="preserve">Zen Headbutt, Lick</t>
  </si>
  <si>
    <t xml:space="preserve">Body Slam, Hyper Beam, Earthquake</t>
  </si>
  <si>
    <t xml:space="preserve">Frost Breath</t>
  </si>
  <si>
    <t xml:space="preserve">Ice Beam, Icy Wind, Blizzard</t>
  </si>
  <si>
    <t xml:space="preserve">Fire Blast, Heat Wave, Flamethrower</t>
  </si>
  <si>
    <t xml:space="preserve">Dragon Breath</t>
  </si>
  <si>
    <t xml:space="preserve">Wrap, Twister, Aqua Tail</t>
  </si>
  <si>
    <t xml:space="preserve">Wrap, Aqua Tail, Dragon Pulse</t>
  </si>
  <si>
    <t xml:space="preserve">Dragon Breath, Steel Wing</t>
  </si>
  <si>
    <t xml:space="preserve">Dragon Pulse, Hyper Beam, Dragon Claw</t>
  </si>
  <si>
    <t xml:space="preserve">Psychic, Shadow Ball, Hyper Beam</t>
  </si>
  <si>
    <t xml:space="preserve">Hurricane, Earthquake, Psychic, Dragon Pulse, Thunder, Moonblast, Fire Blast, Solar Beam, Hyper Beam</t>
  </si>
  <si>
    <t xml:space="preserve">Timestamp</t>
  </si>
  <si>
    <t xml:space="preserve">Did you evolve or power up?</t>
  </si>
  <si>
    <t xml:space="preserve">Pokemon after evolution</t>
  </si>
  <si>
    <t xml:space="preserve">CP before</t>
  </si>
  <si>
    <t xml:space="preserve">CP after</t>
  </si>
  <si>
    <t xml:space="preserve">Pokemon </t>
  </si>
  <si>
    <t xml:space="preserve">CP gain (after - before)</t>
  </si>
  <si>
    <t xml:space="preserve">HP gain (after - before)</t>
  </si>
  <si>
    <t xml:space="preserve">Power up</t>
  </si>
  <si>
    <t xml:space="preserve">Evolve</t>
  </si>
  <si>
    <t xml:space="preserve">Evolve - VOID</t>
  </si>
  <si>
    <t xml:space="preserve">Power up - VOID</t>
  </si>
  <si>
    <t xml:space="preserve">Power up - OUTLIER</t>
  </si>
  <si>
    <t xml:space="preserve">99999999999999999999999999999999999999999999999999999999999999</t>
  </si>
  <si>
    <t xml:space="preserve">99999999999999999999999999999999999999999999999999999999</t>
  </si>
  <si>
    <t xml:space="preserve">CP gained power up (not evolve)</t>
  </si>
  <si>
    <t xml:space="preserve">Trainer Level</t>
  </si>
  <si>
    <t xml:space="preserve">CP before power up</t>
  </si>
  <si>
    <t xml:space="preserve">pidgeotto</t>
  </si>
  <si>
    <t xml:space="preserve">HP</t>
  </si>
  <si>
    <t xml:space="preserve">CP</t>
  </si>
  <si>
    <t xml:space="preserve">Stardust for next power up</t>
  </si>
  <si>
    <t xml:space="preserve">Weight</t>
  </si>
  <si>
    <t xml:space="preserve">Height</t>
  </si>
  <si>
    <t xml:space="preserve">PU Cost</t>
  </si>
  <si>
    <t xml:space="preserve">Level (from CP)</t>
  </si>
  <si>
    <t xml:space="preserve">Calculated PU Cost</t>
  </si>
  <si>
    <t xml:space="preserve">Sqrt(Level)</t>
  </si>
  <si>
    <t xml:space="preserve">HP/Base stat</t>
  </si>
  <si>
    <t xml:space="preserve">HP/level</t>
  </si>
  <si>
    <t xml:space="preserve">HP/level/base stat</t>
  </si>
  <si>
    <t xml:space="preserve">HP/level from games</t>
  </si>
  <si>
    <t xml:space="preserve">Min/Max</t>
  </si>
  <si>
    <t xml:space="preserve">Average</t>
  </si>
  <si>
    <t xml:space="preserve">BULBASAUR</t>
  </si>
  <si>
    <t xml:space="preserve">CHARMANDER</t>
  </si>
  <si>
    <t xml:space="preserve">SQUIRTLE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</si>
  <si>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</si>
  <si>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</si>
  <si>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</si>
  <si>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</si>
  <si>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</si>
  <si>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</si>
  <si>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</si>
  <si>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2,85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</si>
  <si>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</si>
  <si>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</si>
  <si>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</si>
  <si>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</si>
  <si>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</si>
  <si>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</si>
  <si>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PIKACHU</t>
  </si>
  <si>
    <t xml:space="preserve">SANDSHREW</t>
  </si>
  <si>
    <t xml:space="preserve">NIDORINA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</si>
  <si>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</si>
  <si>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</si>
  <si>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</si>
  <si>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</si>
  <si>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</si>
  <si>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JIGGLYPUFF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</si>
  <si>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</si>
  <si>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</si>
  <si>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</si>
  <si>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</si>
  <si>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</si>
  <si>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</si>
  <si>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VENONAT</t>
  </si>
  <si>
    <t xml:space="preserve">VENOMOTH</t>
  </si>
  <si>
    <t xml:space="preserve">MEOWTH</t>
  </si>
  <si>
    <t xml:space="preserve">PERSIAN</t>
  </si>
  <si>
    <t xml:space="preserve">PSYDUCK</t>
  </si>
  <si>
    <t xml:space="preserve">GROWLITHE</t>
  </si>
  <si>
    <t xml:space="preserve">POLIWAG</t>
  </si>
  <si>
    <t xml:space="preserve">POLIWHIRL</t>
  </si>
  <si>
    <t xml:space="preserve">ABRA</t>
  </si>
  <si>
    <t xml:space="preserve">MACHOP</t>
  </si>
  <si>
    <t xml:space="preserve">MACHOKE</t>
  </si>
  <si>
    <t xml:space="preserve">BELLSPROUT</t>
  </si>
  <si>
    <t xml:space="preserve">WEEPINBELL</t>
  </si>
  <si>
    <t xml:space="preserve">TENTACOOL</t>
  </si>
  <si>
    <t xml:space="preserve">GRAVELER</t>
  </si>
  <si>
    <t xml:space="preserve">MAGNEMITE</t>
  </si>
  <si>
    <t xml:space="preserve">DODUO</t>
  </si>
  <si>
    <t xml:space="preserve">SEEL</t>
  </si>
  <si>
    <t xml:space="preserve">SHELLDER</t>
  </si>
  <si>
    <t xml:space="preserve">GASTLY</t>
  </si>
  <si>
    <t xml:space="preserve">DROWZEE</t>
  </si>
  <si>
    <t xml:space="preserve">HYPNO</t>
  </si>
  <si>
    <t xml:space="preserve">KRABBY</t>
  </si>
  <si>
    <t xml:space="preserve">EXEGGCUTE</t>
  </si>
  <si>
    <t xml:space="preserve">LICKITUNG</t>
  </si>
  <si>
    <t xml:space="preserve">RHYHORN</t>
  </si>
  <si>
    <t xml:space="preserve">RHYDON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</si>
  <si>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</si>
  <si>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</si>
  <si>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</si>
  <si>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</si>
  <si>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</si>
  <si>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ELECTABUZZ</t>
  </si>
  <si>
    <t xml:space="preserve">PINSIR</t>
  </si>
  <si>
    <t xml:space="preserve">TAUROS</t>
  </si>
  <si>
    <t xml:space="preserve">MAGIKARP</t>
  </si>
  <si>
    <t xml:space="preserve">EEVEE</t>
  </si>
  <si>
    <t xml:space="preserve">VAPOREON</t>
  </si>
  <si>
    <t xml:space="preserve">JOLTEON</t>
  </si>
  <si>
    <t xml:space="preserve">FLAREON</t>
  </si>
  <si>
    <t xml:space="preserve">DRATINI</t>
  </si>
  <si>
    <t xml:space="preserve">DRAGONITE</t>
  </si>
  <si>
    <t xml:space="preserve">Sp. Attack</t>
  </si>
  <si>
    <t xml:space="preserve">Sp. Defense</t>
  </si>
  <si>
    <t xml:space="preserve">Speed</t>
  </si>
  <si>
    <t xml:space="preserve">Total</t>
  </si>
  <si>
    <t xml:space="preserve">003M</t>
  </si>
  <si>
    <t xml:space="preserve">Venusaur (Mega Venusaur)</t>
  </si>
  <si>
    <t xml:space="preserve">006MX</t>
  </si>
  <si>
    <t xml:space="preserve">Charizard (Mega Charizard X)</t>
  </si>
  <si>
    <t xml:space="preserve">006MY</t>
  </si>
  <si>
    <t xml:space="preserve">Charizard (Mega Charizard Y)</t>
  </si>
  <si>
    <t xml:space="preserve">009M</t>
  </si>
  <si>
    <t xml:space="preserve">Blastoise (Mega Blastoise)</t>
  </si>
  <si>
    <t xml:space="preserve">015M</t>
  </si>
  <si>
    <t xml:space="preserve">Beedrill (Mega Beedrill)</t>
  </si>
  <si>
    <t xml:space="preserve">018M</t>
  </si>
  <si>
    <t xml:space="preserve">Pidgeot (Mega Pidgeot)</t>
  </si>
  <si>
    <t xml:space="preserve">065M</t>
  </si>
  <si>
    <t xml:space="preserve">Alakazam (Mega Alakazam)</t>
  </si>
  <si>
    <t xml:space="preserve">080M</t>
  </si>
  <si>
    <t xml:space="preserve">Slowbro (Mega Slowbro)</t>
  </si>
  <si>
    <t xml:space="preserve">094M</t>
  </si>
  <si>
    <t xml:space="preserve">Gengar (Mega Gengar)</t>
  </si>
  <si>
    <t xml:space="preserve">115M</t>
  </si>
  <si>
    <t xml:space="preserve">Kangaskhan (Mega Kangaskhan)</t>
  </si>
  <si>
    <t xml:space="preserve">127M</t>
  </si>
  <si>
    <t xml:space="preserve">Pinsir (Mega Pinsir)</t>
  </si>
  <si>
    <t xml:space="preserve">130M</t>
  </si>
  <si>
    <t xml:space="preserve">Gyarados (Mega Gyarados)</t>
  </si>
  <si>
    <t xml:space="preserve">142M</t>
  </si>
  <si>
    <t xml:space="preserve">Aerodactyl (Mega Aerodactyl)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</si>
</sst>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M\-D"/>
    <numFmt numFmtId="167" formatCode="#,##0.0000000"/>
    <numFmt numFmtId="168" formatCode="#,##0"/>
    <numFmt numFmtId="169" formatCode="0.0000000"/>
    <numFmt numFmtId="170" formatCode="M/D/YYYY\ H:MM: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mbria"/>
      <family val="1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name val="Cambria"/>
      <family val="1"/>
      <charset val="1"/>
    </font>
    <font>
      <sz val="11"/>
      <color rgb="FF00000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'Pokemon Science 2.0 data'!$L$1</c:f>
              <c:strCache>
                <c:ptCount val="1"/>
                <c:pt idx="0">
                  <c:v>HP/level/base stat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'Pokemon Science 2.0 data'!$G$2:$G$1000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'Pokemon Science 2.0 data'!$L$2:$L$1000</c:f>
              <c:numCache>
                <c:formatCode>General</c:formatCode>
                <c:ptCount val="9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numCache>
            </c:numRef>
          </c:yVal>
          <c:smooth val="1"/>
        </c:ser>
        <c:axId val="42891133"/>
        <c:axId val="40990930"/>
      </c:scatterChart>
      <c:valAx>
        <c:axId val="42891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990930"/>
        <c:crosses val="autoZero"/>
        <c:crossBetween val="midCat"/>
      </c:valAx>
      <c:valAx>
        <c:axId val="40990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 (from CP)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9113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'Pokemon Science 2.0 data'!$J$1</c:f>
              <c:strCache>
                <c:ptCount val="1"/>
                <c:pt idx="0">
                  <c:v>HP/Base stat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'Pokemon Science 2.0 data'!$G$2:$G$1000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'Pokemon Science 2.0 data'!$J$2:$J$1000</c:f>
              <c:numCache>
                <c:formatCode>General</c:formatCode>
                <c:ptCount val="9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numCache>
            </c:numRef>
          </c:yVal>
          <c:smooth val="1"/>
        </c:ser>
        <c:axId val="13676586"/>
        <c:axId val="22629447"/>
      </c:scatterChart>
      <c:valAx>
        <c:axId val="13676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Level (from CP)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629447"/>
        <c:crosses val="autoZero"/>
        <c:crossBetween val="midCat"/>
      </c:valAx>
      <c:valAx>
        <c:axId val="2262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67658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'Pokemon Science 2.0 data'!$J$1</c:f>
              <c:strCache>
                <c:ptCount val="1"/>
                <c:pt idx="0">
                  <c:v>HP/Base stat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Trendline for Data series 1</c:name>
            <c:spPr>
              <a:ln w="19080">
                <a:solidFill>
                  <a:srgbClr val="3366c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'Pokemon Science 2.0 data'!$I$2:$I$1000</c:f>
              <c:numCache>
                <c:formatCode>General</c:formatCode>
                <c:ptCount val="999"/>
                <c:pt idx="0">
                  <c:v>4.58257569495584</c:v>
                </c:pt>
                <c:pt idx="1">
                  <c:v>4.58257569495584</c:v>
                </c:pt>
                <c:pt idx="2">
                  <c:v>3.16227766016838</c:v>
                </c:pt>
                <c:pt idx="3">
                  <c:v>1.73205080756888</c:v>
                </c:pt>
                <c:pt idx="4">
                  <c:v>1.4142135623731</c:v>
                </c:pt>
                <c:pt idx="5">
                  <c:v>1</c:v>
                </c:pt>
                <c:pt idx="6">
                  <c:v>3.3166247903554</c:v>
                </c:pt>
                <c:pt idx="7">
                  <c:v>3.16227766016838</c:v>
                </c:pt>
                <c:pt idx="8">
                  <c:v>2.82842712474619</c:v>
                </c:pt>
                <c:pt idx="9">
                  <c:v>4.69041575982343</c:v>
                </c:pt>
                <c:pt idx="10">
                  <c:v>4.58257569495584</c:v>
                </c:pt>
                <c:pt idx="11">
                  <c:v>4.47213595499958</c:v>
                </c:pt>
                <c:pt idx="12">
                  <c:v>4.35889894354067</c:v>
                </c:pt>
                <c:pt idx="13">
                  <c:v>4.24264068711929</c:v>
                </c:pt>
                <c:pt idx="14">
                  <c:v>4.24264068711929</c:v>
                </c:pt>
                <c:pt idx="15">
                  <c:v>3.87298334620742</c:v>
                </c:pt>
                <c:pt idx="16">
                  <c:v>3.60555127546399</c:v>
                </c:pt>
                <c:pt idx="17">
                  <c:v>3.3166247903554</c:v>
                </c:pt>
                <c:pt idx="18">
                  <c:v>2.23606797749979</c:v>
                </c:pt>
                <c:pt idx="19">
                  <c:v>2.23606797749979</c:v>
                </c:pt>
                <c:pt idx="20">
                  <c:v>2.23606797749979</c:v>
                </c:pt>
                <c:pt idx="21">
                  <c:v>1.4142135623731</c:v>
                </c:pt>
                <c:pt idx="22">
                  <c:v>4.58257569495584</c:v>
                </c:pt>
                <c:pt idx="23">
                  <c:v>4.24264068711929</c:v>
                </c:pt>
                <c:pt idx="24">
                  <c:v>4.35889894354067</c:v>
                </c:pt>
                <c:pt idx="25">
                  <c:v>2.44948974278318</c:v>
                </c:pt>
                <c:pt idx="26">
                  <c:v>5.74456264653803</c:v>
                </c:pt>
                <c:pt idx="27">
                  <c:v>5.65685424949238</c:v>
                </c:pt>
                <c:pt idx="28">
                  <c:v>5.65685424949238</c:v>
                </c:pt>
                <c:pt idx="29">
                  <c:v>5.19615242270663</c:v>
                </c:pt>
                <c:pt idx="30">
                  <c:v>4.89897948556636</c:v>
                </c:pt>
                <c:pt idx="31">
                  <c:v>4.69041575982343</c:v>
                </c:pt>
                <c:pt idx="32">
                  <c:v>4.69041575982343</c:v>
                </c:pt>
                <c:pt idx="33">
                  <c:v>4.24264068711929</c:v>
                </c:pt>
                <c:pt idx="34">
                  <c:v>4.24264068711929</c:v>
                </c:pt>
                <c:pt idx="35">
                  <c:v>4.24264068711929</c:v>
                </c:pt>
                <c:pt idx="36">
                  <c:v>4.12310562561766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3.60555127546399</c:v>
                </c:pt>
                <c:pt idx="41">
                  <c:v>3.60555127546399</c:v>
                </c:pt>
                <c:pt idx="42">
                  <c:v>3.60555127546399</c:v>
                </c:pt>
                <c:pt idx="43">
                  <c:v>3.46410161513775</c:v>
                </c:pt>
                <c:pt idx="44">
                  <c:v>3.3166247903554</c:v>
                </c:pt>
                <c:pt idx="45">
                  <c:v>3.3166247903554</c:v>
                </c:pt>
                <c:pt idx="46">
                  <c:v>3.3166247903554</c:v>
                </c:pt>
                <c:pt idx="47">
                  <c:v>3.16227766016838</c:v>
                </c:pt>
                <c:pt idx="48">
                  <c:v>3.16227766016838</c:v>
                </c:pt>
                <c:pt idx="49">
                  <c:v>3.16227766016838</c:v>
                </c:pt>
                <c:pt idx="50">
                  <c:v>3</c:v>
                </c:pt>
                <c:pt idx="51">
                  <c:v>3</c:v>
                </c:pt>
                <c:pt idx="52">
                  <c:v>2.82842712474619</c:v>
                </c:pt>
                <c:pt idx="53">
                  <c:v>2.64575131106459</c:v>
                </c:pt>
                <c:pt idx="54">
                  <c:v>2.64575131106459</c:v>
                </c:pt>
                <c:pt idx="55">
                  <c:v>2.64575131106459</c:v>
                </c:pt>
                <c:pt idx="56">
                  <c:v>2.64575131106459</c:v>
                </c:pt>
                <c:pt idx="57">
                  <c:v>2.64575131106459</c:v>
                </c:pt>
                <c:pt idx="58">
                  <c:v>2.64575131106459</c:v>
                </c:pt>
                <c:pt idx="59">
                  <c:v>2.23606797749979</c:v>
                </c:pt>
                <c:pt idx="60">
                  <c:v>2.23606797749979</c:v>
                </c:pt>
                <c:pt idx="61">
                  <c:v>2.23606797749979</c:v>
                </c:pt>
                <c:pt idx="62">
                  <c:v>1.73205080756888</c:v>
                </c:pt>
                <c:pt idx="63">
                  <c:v>1.73205080756888</c:v>
                </c:pt>
                <c:pt idx="64">
                  <c:v>1.73205080756888</c:v>
                </c:pt>
                <c:pt idx="65">
                  <c:v>1.73205080756888</c:v>
                </c:pt>
                <c:pt idx="66">
                  <c:v>1.73205080756888</c:v>
                </c:pt>
                <c:pt idx="67">
                  <c:v>1.4142135623731</c:v>
                </c:pt>
                <c:pt idx="68">
                  <c:v>1.4142135623731</c:v>
                </c:pt>
                <c:pt idx="69">
                  <c:v>1.4142135623731</c:v>
                </c:pt>
                <c:pt idx="70">
                  <c:v>5.29150262212918</c:v>
                </c:pt>
                <c:pt idx="71">
                  <c:v>4.47213595499958</c:v>
                </c:pt>
                <c:pt idx="72">
                  <c:v>4</c:v>
                </c:pt>
                <c:pt idx="73">
                  <c:v>3.87298334620742</c:v>
                </c:pt>
                <c:pt idx="74">
                  <c:v>2.44948974278318</c:v>
                </c:pt>
                <c:pt idx="75">
                  <c:v>5.56776436283002</c:v>
                </c:pt>
                <c:pt idx="76">
                  <c:v>2.64575131106459</c:v>
                </c:pt>
                <c:pt idx="77">
                  <c:v>5.91607978309962</c:v>
                </c:pt>
                <c:pt idx="78">
                  <c:v>4.89897948556636</c:v>
                </c:pt>
                <c:pt idx="79">
                  <c:v>4.47213595499958</c:v>
                </c:pt>
                <c:pt idx="80">
                  <c:v>4.35889894354067</c:v>
                </c:pt>
                <c:pt idx="81">
                  <c:v>4.35889894354067</c:v>
                </c:pt>
                <c:pt idx="82">
                  <c:v>4.35889894354067</c:v>
                </c:pt>
                <c:pt idx="83">
                  <c:v>4.24264068711929</c:v>
                </c:pt>
                <c:pt idx="84">
                  <c:v>4.24264068711929</c:v>
                </c:pt>
                <c:pt idx="85">
                  <c:v>4.24264068711929</c:v>
                </c:pt>
                <c:pt idx="86">
                  <c:v>4.12310562561766</c:v>
                </c:pt>
                <c:pt idx="87">
                  <c:v>4.12310562561766</c:v>
                </c:pt>
                <c:pt idx="88">
                  <c:v>4</c:v>
                </c:pt>
                <c:pt idx="89">
                  <c:v>4</c:v>
                </c:pt>
                <c:pt idx="90">
                  <c:v>3.87298334620742</c:v>
                </c:pt>
                <c:pt idx="91">
                  <c:v>3.87298334620742</c:v>
                </c:pt>
                <c:pt idx="92">
                  <c:v>3.87298334620742</c:v>
                </c:pt>
                <c:pt idx="93">
                  <c:v>3.74165738677394</c:v>
                </c:pt>
                <c:pt idx="94">
                  <c:v>3.60555127546399</c:v>
                </c:pt>
                <c:pt idx="95">
                  <c:v>3.60555127546399</c:v>
                </c:pt>
                <c:pt idx="96">
                  <c:v>3.60555127546399</c:v>
                </c:pt>
                <c:pt idx="97">
                  <c:v>3.46410161513775</c:v>
                </c:pt>
                <c:pt idx="98">
                  <c:v>3.3166247903554</c:v>
                </c:pt>
                <c:pt idx="99">
                  <c:v>3.3166247903554</c:v>
                </c:pt>
                <c:pt idx="100">
                  <c:v>3.3166247903554</c:v>
                </c:pt>
                <c:pt idx="101">
                  <c:v>3.3166247903554</c:v>
                </c:pt>
                <c:pt idx="102">
                  <c:v>3.16227766016838</c:v>
                </c:pt>
                <c:pt idx="103">
                  <c:v>3.16227766016838</c:v>
                </c:pt>
                <c:pt idx="104">
                  <c:v>3.16227766016838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2.82842712474619</c:v>
                </c:pt>
                <c:pt idx="112">
                  <c:v>2.82842712474619</c:v>
                </c:pt>
                <c:pt idx="113">
                  <c:v>2.82842712474619</c:v>
                </c:pt>
                <c:pt idx="114">
                  <c:v>2.64575131106459</c:v>
                </c:pt>
                <c:pt idx="115">
                  <c:v>2.64575131106459</c:v>
                </c:pt>
                <c:pt idx="116">
                  <c:v>2.64575131106459</c:v>
                </c:pt>
                <c:pt idx="117">
                  <c:v>2.64575131106459</c:v>
                </c:pt>
                <c:pt idx="118">
                  <c:v>2.64575131106459</c:v>
                </c:pt>
                <c:pt idx="119">
                  <c:v>2.64575131106459</c:v>
                </c:pt>
                <c:pt idx="120">
                  <c:v>2.44948974278318</c:v>
                </c:pt>
                <c:pt idx="121">
                  <c:v>2.44948974278318</c:v>
                </c:pt>
                <c:pt idx="122">
                  <c:v>2.44948974278318</c:v>
                </c:pt>
                <c:pt idx="123">
                  <c:v>2.44948974278318</c:v>
                </c:pt>
                <c:pt idx="124">
                  <c:v>2.44948974278318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1.4142135623731</c:v>
                </c:pt>
                <c:pt idx="132">
                  <c:v>1.4142135623731</c:v>
                </c:pt>
                <c:pt idx="133">
                  <c:v>1.4142135623731</c:v>
                </c:pt>
                <c:pt idx="134">
                  <c:v>1.4142135623731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4.79583152331272</c:v>
                </c:pt>
                <c:pt idx="142">
                  <c:v>4.79583152331272</c:v>
                </c:pt>
                <c:pt idx="143">
                  <c:v>4.47213595499958</c:v>
                </c:pt>
                <c:pt idx="144">
                  <c:v>4.24264068711929</c:v>
                </c:pt>
                <c:pt idx="145">
                  <c:v>4.12310562561766</c:v>
                </c:pt>
                <c:pt idx="146">
                  <c:v>3.3166247903554</c:v>
                </c:pt>
                <c:pt idx="147">
                  <c:v>3</c:v>
                </c:pt>
                <c:pt idx="148">
                  <c:v>2.44948974278318</c:v>
                </c:pt>
                <c:pt idx="149">
                  <c:v>5.47722557505166</c:v>
                </c:pt>
                <c:pt idx="150">
                  <c:v>5.19615242270663</c:v>
                </c:pt>
                <c:pt idx="151">
                  <c:v>3.3166247903554</c:v>
                </c:pt>
                <c:pt idx="152">
                  <c:v>4.69041575982343</c:v>
                </c:pt>
                <c:pt idx="153">
                  <c:v>4.35889894354067</c:v>
                </c:pt>
                <c:pt idx="154">
                  <c:v>4.24264068711929</c:v>
                </c:pt>
                <c:pt idx="155">
                  <c:v>4.24264068711929</c:v>
                </c:pt>
                <c:pt idx="156">
                  <c:v>4.12310562561766</c:v>
                </c:pt>
                <c:pt idx="157">
                  <c:v>4</c:v>
                </c:pt>
                <c:pt idx="158">
                  <c:v>3.87298334620742</c:v>
                </c:pt>
                <c:pt idx="159">
                  <c:v>3.60555127546399</c:v>
                </c:pt>
                <c:pt idx="160">
                  <c:v>3.46410161513775</c:v>
                </c:pt>
                <c:pt idx="161">
                  <c:v>3.46410161513775</c:v>
                </c:pt>
                <c:pt idx="162">
                  <c:v>3.3166247903554</c:v>
                </c:pt>
                <c:pt idx="163">
                  <c:v>3.3166247903554</c:v>
                </c:pt>
                <c:pt idx="164">
                  <c:v>3.16227766016838</c:v>
                </c:pt>
                <c:pt idx="165">
                  <c:v>3.16227766016838</c:v>
                </c:pt>
                <c:pt idx="166">
                  <c:v>2.64575131106459</c:v>
                </c:pt>
                <c:pt idx="167">
                  <c:v>2.64575131106459</c:v>
                </c:pt>
                <c:pt idx="168">
                  <c:v>2.64575131106459</c:v>
                </c:pt>
                <c:pt idx="169">
                  <c:v>2.23606797749979</c:v>
                </c:pt>
                <c:pt idx="170">
                  <c:v>2</c:v>
                </c:pt>
                <c:pt idx="171">
                  <c:v>1.73205080756888</c:v>
                </c:pt>
                <c:pt idx="172">
                  <c:v>1.73205080756888</c:v>
                </c:pt>
                <c:pt idx="173">
                  <c:v>1.73205080756888</c:v>
                </c:pt>
                <c:pt idx="174">
                  <c:v>1</c:v>
                </c:pt>
                <c:pt idx="175">
                  <c:v>1</c:v>
                </c:pt>
                <c:pt idx="176">
                  <c:v>5.19615242270663</c:v>
                </c:pt>
                <c:pt idx="177">
                  <c:v>5</c:v>
                </c:pt>
                <c:pt idx="178">
                  <c:v>4.79583152331272</c:v>
                </c:pt>
                <c:pt idx="179">
                  <c:v>4.69041575982343</c:v>
                </c:pt>
                <c:pt idx="180">
                  <c:v>4.12310562561766</c:v>
                </c:pt>
                <c:pt idx="181">
                  <c:v>3.87298334620742</c:v>
                </c:pt>
                <c:pt idx="182">
                  <c:v>5.65685424949238</c:v>
                </c:pt>
                <c:pt idx="183">
                  <c:v>5.19615242270663</c:v>
                </c:pt>
                <c:pt idx="184">
                  <c:v>4.89897948556636</c:v>
                </c:pt>
                <c:pt idx="185">
                  <c:v>4.47213595499958</c:v>
                </c:pt>
                <c:pt idx="186">
                  <c:v>3</c:v>
                </c:pt>
                <c:pt idx="187">
                  <c:v>1.73205080756888</c:v>
                </c:pt>
                <c:pt idx="188">
                  <c:v>5.3851648071345</c:v>
                </c:pt>
                <c:pt idx="189">
                  <c:v>4.35889894354067</c:v>
                </c:pt>
                <c:pt idx="190">
                  <c:v>3.46410161513775</c:v>
                </c:pt>
                <c:pt idx="191">
                  <c:v>2.64575131106459</c:v>
                </c:pt>
                <c:pt idx="192">
                  <c:v>5.29150262212918</c:v>
                </c:pt>
                <c:pt idx="193">
                  <c:v>5.09901951359278</c:v>
                </c:pt>
                <c:pt idx="194">
                  <c:v>4.24264068711929</c:v>
                </c:pt>
                <c:pt idx="195">
                  <c:v>4.12310562561766</c:v>
                </c:pt>
                <c:pt idx="196">
                  <c:v>4.12310562561766</c:v>
                </c:pt>
                <c:pt idx="197">
                  <c:v>3.87298334620742</c:v>
                </c:pt>
                <c:pt idx="198">
                  <c:v>4.12310562561766</c:v>
                </c:pt>
                <c:pt idx="199">
                  <c:v>4.58257569495584</c:v>
                </c:pt>
                <c:pt idx="200">
                  <c:v>4.24264068711929</c:v>
                </c:pt>
                <c:pt idx="201">
                  <c:v>4.24264068711929</c:v>
                </c:pt>
                <c:pt idx="202">
                  <c:v>3.74165738677394</c:v>
                </c:pt>
                <c:pt idx="203">
                  <c:v>3.16227766016838</c:v>
                </c:pt>
                <c:pt idx="204">
                  <c:v>1</c:v>
                </c:pt>
                <c:pt idx="205">
                  <c:v>4.58257569495584</c:v>
                </c:pt>
                <c:pt idx="206">
                  <c:v>3.87298334620742</c:v>
                </c:pt>
                <c:pt idx="207">
                  <c:v>4.35889894354067</c:v>
                </c:pt>
                <c:pt idx="208">
                  <c:v>5.09901951359278</c:v>
                </c:pt>
                <c:pt idx="209">
                  <c:v>5</c:v>
                </c:pt>
                <c:pt idx="210">
                  <c:v>4.89897948556636</c:v>
                </c:pt>
                <c:pt idx="211">
                  <c:v>4.89897948556636</c:v>
                </c:pt>
                <c:pt idx="212">
                  <c:v>4.69041575982343</c:v>
                </c:pt>
                <c:pt idx="213">
                  <c:v>4.58257569495584</c:v>
                </c:pt>
                <c:pt idx="214">
                  <c:v>4.35889894354067</c:v>
                </c:pt>
                <c:pt idx="215">
                  <c:v>2.64575131106459</c:v>
                </c:pt>
                <c:pt idx="216">
                  <c:v>5.56776436283002</c:v>
                </c:pt>
                <c:pt idx="217">
                  <c:v>4.79583152331272</c:v>
                </c:pt>
                <c:pt idx="218">
                  <c:v>2.23606797749979</c:v>
                </c:pt>
                <c:pt idx="219">
                  <c:v>5.09901951359278</c:v>
                </c:pt>
                <c:pt idx="220">
                  <c:v>4.24264068711929</c:v>
                </c:pt>
                <c:pt idx="221">
                  <c:v>3.60555127546399</c:v>
                </c:pt>
                <c:pt idx="222">
                  <c:v>3</c:v>
                </c:pt>
                <c:pt idx="223">
                  <c:v>2.64575131106459</c:v>
                </c:pt>
                <c:pt idx="224">
                  <c:v>5.29150262212918</c:v>
                </c:pt>
                <c:pt idx="225">
                  <c:v>4.47213595499958</c:v>
                </c:pt>
                <c:pt idx="226">
                  <c:v>4.35889894354067</c:v>
                </c:pt>
                <c:pt idx="227">
                  <c:v>4.35889894354067</c:v>
                </c:pt>
                <c:pt idx="228">
                  <c:v>3.87298334620742</c:v>
                </c:pt>
                <c:pt idx="229">
                  <c:v>3.46410161513775</c:v>
                </c:pt>
                <c:pt idx="230">
                  <c:v>3.3166247903554</c:v>
                </c:pt>
                <c:pt idx="231">
                  <c:v>1</c:v>
                </c:pt>
                <c:pt idx="232">
                  <c:v>4</c:v>
                </c:pt>
                <c:pt idx="233">
                  <c:v>3.60555127546399</c:v>
                </c:pt>
                <c:pt idx="234">
                  <c:v>5.8309518948453</c:v>
                </c:pt>
                <c:pt idx="235">
                  <c:v>4.58257569495584</c:v>
                </c:pt>
                <c:pt idx="236">
                  <c:v>4.47213595499958</c:v>
                </c:pt>
                <c:pt idx="237">
                  <c:v>4.47213595499958</c:v>
                </c:pt>
                <c:pt idx="238">
                  <c:v>4</c:v>
                </c:pt>
                <c:pt idx="239">
                  <c:v>3.60555127546399</c:v>
                </c:pt>
                <c:pt idx="240">
                  <c:v>3.16227766016838</c:v>
                </c:pt>
                <c:pt idx="241">
                  <c:v>3.16227766016838</c:v>
                </c:pt>
                <c:pt idx="242">
                  <c:v>4.79583152331272</c:v>
                </c:pt>
                <c:pt idx="243">
                  <c:v>3.87298334620742</c:v>
                </c:pt>
                <c:pt idx="244">
                  <c:v>3.3166247903554</c:v>
                </c:pt>
                <c:pt idx="245">
                  <c:v>5.09901951359278</c:v>
                </c:pt>
                <c:pt idx="246">
                  <c:v>4.58257569495584</c:v>
                </c:pt>
                <c:pt idx="247">
                  <c:v>4.47213595499958</c:v>
                </c:pt>
                <c:pt idx="248">
                  <c:v>5.56776436283002</c:v>
                </c:pt>
                <c:pt idx="249">
                  <c:v>5.47722557505166</c:v>
                </c:pt>
                <c:pt idx="250">
                  <c:v>5.09901951359278</c:v>
                </c:pt>
                <c:pt idx="251">
                  <c:v>4.12310562561766</c:v>
                </c:pt>
                <c:pt idx="252">
                  <c:v>3.74165738677394</c:v>
                </c:pt>
                <c:pt idx="253">
                  <c:v>3.60555127546399</c:v>
                </c:pt>
                <c:pt idx="254">
                  <c:v>3.60555127546399</c:v>
                </c:pt>
                <c:pt idx="255">
                  <c:v>3.3166247903554</c:v>
                </c:pt>
                <c:pt idx="256">
                  <c:v>4.12310562561766</c:v>
                </c:pt>
                <c:pt idx="257">
                  <c:v>4.58257569495584</c:v>
                </c:pt>
                <c:pt idx="258">
                  <c:v>3</c:v>
                </c:pt>
                <c:pt idx="259">
                  <c:v>3</c:v>
                </c:pt>
                <c:pt idx="260">
                  <c:v>5.47722557505166</c:v>
                </c:pt>
                <c:pt idx="261">
                  <c:v>4.47213595499958</c:v>
                </c:pt>
                <c:pt idx="262">
                  <c:v>4.47213595499958</c:v>
                </c:pt>
                <c:pt idx="263">
                  <c:v>1</c:v>
                </c:pt>
                <c:pt idx="264">
                  <c:v>3.60555127546399</c:v>
                </c:pt>
                <c:pt idx="265">
                  <c:v>2.23606797749979</c:v>
                </c:pt>
                <c:pt idx="266">
                  <c:v>2.23606797749979</c:v>
                </c:pt>
                <c:pt idx="267">
                  <c:v>4.58257569495584</c:v>
                </c:pt>
                <c:pt idx="268">
                  <c:v>5.65685424949238</c:v>
                </c:pt>
                <c:pt idx="269">
                  <c:v>4.35889894354067</c:v>
                </c:pt>
                <c:pt idx="270">
                  <c:v>3.74165738677394</c:v>
                </c:pt>
                <c:pt idx="271">
                  <c:v>4.24264068711929</c:v>
                </c:pt>
                <c:pt idx="272">
                  <c:v>3.87298334620742</c:v>
                </c:pt>
                <c:pt idx="273">
                  <c:v>3.16227766016838</c:v>
                </c:pt>
                <c:pt idx="274">
                  <c:v>1.73205080756888</c:v>
                </c:pt>
                <c:pt idx="275">
                  <c:v>5.09901951359278</c:v>
                </c:pt>
                <c:pt idx="276">
                  <c:v>5.8309518948453</c:v>
                </c:pt>
                <c:pt idx="277">
                  <c:v>4.24264068711929</c:v>
                </c:pt>
                <c:pt idx="278">
                  <c:v>4.24264068711929</c:v>
                </c:pt>
                <c:pt idx="279">
                  <c:v>3.87298334620742</c:v>
                </c:pt>
                <c:pt idx="280">
                  <c:v>3.3166247903554</c:v>
                </c:pt>
                <c:pt idx="281">
                  <c:v>3.3166247903554</c:v>
                </c:pt>
                <c:pt idx="282">
                  <c:v>2.82842712474619</c:v>
                </c:pt>
                <c:pt idx="283">
                  <c:v>2.44948974278318</c:v>
                </c:pt>
                <c:pt idx="284">
                  <c:v>2.23606797749979</c:v>
                </c:pt>
                <c:pt idx="285">
                  <c:v>4.58257569495584</c:v>
                </c:pt>
                <c:pt idx="286">
                  <c:v>2.44948974278318</c:v>
                </c:pt>
                <c:pt idx="287">
                  <c:v>5.09901951359278</c:v>
                </c:pt>
                <c:pt idx="288">
                  <c:v>3</c:v>
                </c:pt>
                <c:pt idx="289">
                  <c:v>1.4142135623731</c:v>
                </c:pt>
                <c:pt idx="290">
                  <c:v>3.74165738677394</c:v>
                </c:pt>
                <c:pt idx="291">
                  <c:v>4.79583152331272</c:v>
                </c:pt>
                <c:pt idx="292">
                  <c:v>3</c:v>
                </c:pt>
                <c:pt idx="293">
                  <c:v>2.44948974278318</c:v>
                </c:pt>
                <c:pt idx="294">
                  <c:v>4.35889894354067</c:v>
                </c:pt>
                <c:pt idx="295">
                  <c:v>3.16227766016838</c:v>
                </c:pt>
                <c:pt idx="296">
                  <c:v>1</c:v>
                </c:pt>
                <c:pt idx="297">
                  <c:v>4.24264068711929</c:v>
                </c:pt>
                <c:pt idx="298">
                  <c:v>3.87298334620742</c:v>
                </c:pt>
                <c:pt idx="299">
                  <c:v>5.3851648071345</c:v>
                </c:pt>
                <c:pt idx="300">
                  <c:v>5.3851648071345</c:v>
                </c:pt>
                <c:pt idx="301">
                  <c:v>4.58257569495584</c:v>
                </c:pt>
                <c:pt idx="302">
                  <c:v>4.35889894354067</c:v>
                </c:pt>
                <c:pt idx="303">
                  <c:v>4.24264068711929</c:v>
                </c:pt>
                <c:pt idx="304">
                  <c:v>4.24264068711929</c:v>
                </c:pt>
                <c:pt idx="305">
                  <c:v>3.60555127546399</c:v>
                </c:pt>
                <c:pt idx="306">
                  <c:v>3.60555127546399</c:v>
                </c:pt>
                <c:pt idx="307">
                  <c:v>3.60555127546399</c:v>
                </c:pt>
                <c:pt idx="308">
                  <c:v>3.46410161513775</c:v>
                </c:pt>
                <c:pt idx="309">
                  <c:v>3.46410161513775</c:v>
                </c:pt>
                <c:pt idx="310">
                  <c:v>3.3166247903554</c:v>
                </c:pt>
                <c:pt idx="311">
                  <c:v>3</c:v>
                </c:pt>
                <c:pt idx="312">
                  <c:v>2.64575131106459</c:v>
                </c:pt>
                <c:pt idx="313">
                  <c:v>2.23606797749979</c:v>
                </c:pt>
                <c:pt idx="314">
                  <c:v>1.73205080756888</c:v>
                </c:pt>
                <c:pt idx="315">
                  <c:v>4.89897948556636</c:v>
                </c:pt>
                <c:pt idx="316">
                  <c:v>3</c:v>
                </c:pt>
                <c:pt idx="317">
                  <c:v>2.23606797749979</c:v>
                </c:pt>
                <c:pt idx="318">
                  <c:v>5.09901951359278</c:v>
                </c:pt>
                <c:pt idx="319">
                  <c:v>3.74165738677394</c:v>
                </c:pt>
                <c:pt idx="320">
                  <c:v>4.24264068711929</c:v>
                </c:pt>
                <c:pt idx="321">
                  <c:v>1.73205080756888</c:v>
                </c:pt>
                <c:pt idx="322">
                  <c:v>4.89897948556636</c:v>
                </c:pt>
                <c:pt idx="323">
                  <c:v>3.3166247903554</c:v>
                </c:pt>
                <c:pt idx="324">
                  <c:v>3.87298334620742</c:v>
                </c:pt>
                <c:pt idx="325">
                  <c:v>4.12310562561766</c:v>
                </c:pt>
                <c:pt idx="326">
                  <c:v>2.64575131106459</c:v>
                </c:pt>
                <c:pt idx="327">
                  <c:v>2.44948974278318</c:v>
                </c:pt>
                <c:pt idx="328">
                  <c:v>3.87298334620742</c:v>
                </c:pt>
                <c:pt idx="329">
                  <c:v>3</c:v>
                </c:pt>
                <c:pt idx="330">
                  <c:v>4.12310562561766</c:v>
                </c:pt>
                <c:pt idx="331">
                  <c:v>3.46410161513775</c:v>
                </c:pt>
                <c:pt idx="332">
                  <c:v>3.3166247903554</c:v>
                </c:pt>
                <c:pt idx="333">
                  <c:v>2.64575131106459</c:v>
                </c:pt>
                <c:pt idx="334">
                  <c:v>5.29150262212918</c:v>
                </c:pt>
                <c:pt idx="335">
                  <c:v>3.74165738677394</c:v>
                </c:pt>
                <c:pt idx="336">
                  <c:v>3</c:v>
                </c:pt>
                <c:pt idx="337">
                  <c:v>2.23606797749979</c:v>
                </c:pt>
                <c:pt idx="338">
                  <c:v>6</c:v>
                </c:pt>
                <c:pt idx="339">
                  <c:v>4</c:v>
                </c:pt>
                <c:pt idx="340">
                  <c:v>3.60555127546399</c:v>
                </c:pt>
                <c:pt idx="341">
                  <c:v>5.3851648071345</c:v>
                </c:pt>
                <c:pt idx="342">
                  <c:v>5.3851648071345</c:v>
                </c:pt>
                <c:pt idx="343">
                  <c:v>4.79583152331272</c:v>
                </c:pt>
                <c:pt idx="344">
                  <c:v>4.58257569495584</c:v>
                </c:pt>
                <c:pt idx="345">
                  <c:v>4.58257569495584</c:v>
                </c:pt>
                <c:pt idx="346">
                  <c:v>4.35889894354067</c:v>
                </c:pt>
                <c:pt idx="347">
                  <c:v>4.35889894354067</c:v>
                </c:pt>
                <c:pt idx="348">
                  <c:v>3.87298334620742</c:v>
                </c:pt>
                <c:pt idx="349">
                  <c:v>3.60555127546399</c:v>
                </c:pt>
                <c:pt idx="350">
                  <c:v>3.60555127546399</c:v>
                </c:pt>
                <c:pt idx="351">
                  <c:v>3.46410161513775</c:v>
                </c:pt>
                <c:pt idx="352">
                  <c:v>3.46410161513775</c:v>
                </c:pt>
                <c:pt idx="353">
                  <c:v>3.46410161513775</c:v>
                </c:pt>
                <c:pt idx="354">
                  <c:v>3.46410161513775</c:v>
                </c:pt>
                <c:pt idx="355">
                  <c:v>3.3166247903554</c:v>
                </c:pt>
                <c:pt idx="356">
                  <c:v>3.16227766016838</c:v>
                </c:pt>
                <c:pt idx="357">
                  <c:v>3</c:v>
                </c:pt>
                <c:pt idx="358">
                  <c:v>2.82842712474619</c:v>
                </c:pt>
                <c:pt idx="359">
                  <c:v>2.82842712474619</c:v>
                </c:pt>
                <c:pt idx="360">
                  <c:v>2.82842712474619</c:v>
                </c:pt>
                <c:pt idx="361">
                  <c:v>2.64575131106459</c:v>
                </c:pt>
                <c:pt idx="362">
                  <c:v>1.73205080756888</c:v>
                </c:pt>
                <c:pt idx="363">
                  <c:v>1.73205080756888</c:v>
                </c:pt>
                <c:pt idx="364">
                  <c:v>1.73205080756888</c:v>
                </c:pt>
                <c:pt idx="365">
                  <c:v>1.73205080756888</c:v>
                </c:pt>
                <c:pt idx="366">
                  <c:v>1</c:v>
                </c:pt>
                <c:pt idx="367">
                  <c:v>5.09901951359278</c:v>
                </c:pt>
                <c:pt idx="368">
                  <c:v>5.09901951359278</c:v>
                </c:pt>
                <c:pt idx="369">
                  <c:v>5.74456264653803</c:v>
                </c:pt>
                <c:pt idx="370">
                  <c:v>4.58257569495584</c:v>
                </c:pt>
                <c:pt idx="371">
                  <c:v>4.12310562561766</c:v>
                </c:pt>
                <c:pt idx="372">
                  <c:v>5.19615242270663</c:v>
                </c:pt>
                <c:pt idx="373">
                  <c:v>5.8309518948453</c:v>
                </c:pt>
                <c:pt idx="374">
                  <c:v>6.557438524302</c:v>
                </c:pt>
                <c:pt idx="375">
                  <c:v>4.69041575982343</c:v>
                </c:pt>
                <c:pt idx="376">
                  <c:v>4.24264068711929</c:v>
                </c:pt>
                <c:pt idx="377">
                  <c:v>5.56776436283002</c:v>
                </c:pt>
                <c:pt idx="378">
                  <c:v>1</c:v>
                </c:pt>
                <c:pt idx="379">
                  <c:v>1.73205080756888</c:v>
                </c:pt>
                <c:pt idx="380">
                  <c:v>3.3166247903554</c:v>
                </c:pt>
                <c:pt idx="381">
                  <c:v>2.23606797749979</c:v>
                </c:pt>
                <c:pt idx="382">
                  <c:v>1</c:v>
                </c:pt>
                <c:pt idx="383">
                  <c:v>2.23606797749979</c:v>
                </c:pt>
                <c:pt idx="384">
                  <c:v>1</c:v>
                </c:pt>
                <c:pt idx="385">
                  <c:v>1.73205080756888</c:v>
                </c:pt>
                <c:pt idx="386">
                  <c:v>2.64575131106459</c:v>
                </c:pt>
                <c:pt idx="387">
                  <c:v>2.64575131106459</c:v>
                </c:pt>
                <c:pt idx="388">
                  <c:v>2.64575131106459</c:v>
                </c:pt>
                <c:pt idx="389">
                  <c:v>2.23606797749979</c:v>
                </c:pt>
                <c:pt idx="390">
                  <c:v>1.73205080756888</c:v>
                </c:pt>
                <c:pt idx="391">
                  <c:v>2.23606797749979</c:v>
                </c:pt>
                <c:pt idx="392">
                  <c:v>2.64575131106459</c:v>
                </c:pt>
                <c:pt idx="393">
                  <c:v>2.23606797749979</c:v>
                </c:pt>
                <c:pt idx="394">
                  <c:v>3</c:v>
                </c:pt>
                <c:pt idx="395">
                  <c:v>2.82842712474619</c:v>
                </c:pt>
                <c:pt idx="396">
                  <c:v>2</c:v>
                </c:pt>
                <c:pt idx="397">
                  <c:v>2</c:v>
                </c:pt>
                <c:pt idx="398">
                  <c:v>1.73205080756888</c:v>
                </c:pt>
                <c:pt idx="399">
                  <c:v>1</c:v>
                </c:pt>
                <c:pt idx="400">
                  <c:v>3.3166247903554</c:v>
                </c:pt>
                <c:pt idx="401">
                  <c:v>3</c:v>
                </c:pt>
                <c:pt idx="402">
                  <c:v>2.23606797749979</c:v>
                </c:pt>
                <c:pt idx="403">
                  <c:v>1.73205080756888</c:v>
                </c:pt>
                <c:pt idx="404">
                  <c:v>1</c:v>
                </c:pt>
                <c:pt idx="405">
                  <c:v>2.44948974278318</c:v>
                </c:pt>
                <c:pt idx="406">
                  <c:v>2.23606797749979</c:v>
                </c:pt>
                <c:pt idx="407">
                  <c:v>1.73205080756888</c:v>
                </c:pt>
                <c:pt idx="408">
                  <c:v>2.82842712474619</c:v>
                </c:pt>
                <c:pt idx="409">
                  <c:v>2.23606797749979</c:v>
                </c:pt>
                <c:pt idx="410">
                  <c:v>1.4142135623731</c:v>
                </c:pt>
                <c:pt idx="411">
                  <c:v>1.73205080756888</c:v>
                </c:pt>
                <c:pt idx="412">
                  <c:v>2.64575131106459</c:v>
                </c:pt>
                <c:pt idx="413">
                  <c:v>1.73205080756888</c:v>
                </c:pt>
                <c:pt idx="414">
                  <c:v>1</c:v>
                </c:pt>
                <c:pt idx="415">
                  <c:v>5</c:v>
                </c:pt>
                <c:pt idx="416">
                  <c:v>5.09901951359278</c:v>
                </c:pt>
                <c:pt idx="417">
                  <c:v>2.64575131106459</c:v>
                </c:pt>
                <c:pt idx="418">
                  <c:v>4.89897948556636</c:v>
                </c:pt>
                <c:pt idx="419">
                  <c:v>4.35889894354067</c:v>
                </c:pt>
                <c:pt idx="420">
                  <c:v>3.60555127546399</c:v>
                </c:pt>
                <c:pt idx="421">
                  <c:v>3.16227766016838</c:v>
                </c:pt>
                <c:pt idx="422">
                  <c:v>5.09901951359278</c:v>
                </c:pt>
                <c:pt idx="423">
                  <c:v>4.47213595499958</c:v>
                </c:pt>
                <c:pt idx="424">
                  <c:v>3.87298334620742</c:v>
                </c:pt>
                <c:pt idx="425">
                  <c:v>4.35889894354067</c:v>
                </c:pt>
                <c:pt idx="426">
                  <c:v>4.35889894354067</c:v>
                </c:pt>
                <c:pt idx="427">
                  <c:v>4.79583152331272</c:v>
                </c:pt>
                <c:pt idx="428">
                  <c:v>4.47213595499958</c:v>
                </c:pt>
                <c:pt idx="429">
                  <c:v>4.89897948556636</c:v>
                </c:pt>
                <c:pt idx="430">
                  <c:v>4</c:v>
                </c:pt>
                <c:pt idx="431">
                  <c:v>3.87298334620742</c:v>
                </c:pt>
                <c:pt idx="432">
                  <c:v>4.79583152331272</c:v>
                </c:pt>
                <c:pt idx="433">
                  <c:v>5.09901951359278</c:v>
                </c:pt>
                <c:pt idx="434">
                  <c:v>4.35889894354067</c:v>
                </c:pt>
                <c:pt idx="435">
                  <c:v>4.58257569495584</c:v>
                </c:pt>
                <c:pt idx="436">
                  <c:v>6.70820393249937</c:v>
                </c:pt>
                <c:pt idx="437">
                  <c:v>6.32455532033676</c:v>
                </c:pt>
                <c:pt idx="438">
                  <c:v>7</c:v>
                </c:pt>
                <c:pt idx="439">
                  <c:v>6.2449979983984</c:v>
                </c:pt>
                <c:pt idx="440">
                  <c:v>6.48074069840786</c:v>
                </c:pt>
                <c:pt idx="441">
                  <c:v>6.08276253029822</c:v>
                </c:pt>
                <c:pt idx="442">
                  <c:v>6.6332495807108</c:v>
                </c:pt>
                <c:pt idx="443">
                  <c:v>6.6332495807108</c:v>
                </c:pt>
                <c:pt idx="444">
                  <c:v>6.2449979983984</c:v>
                </c:pt>
                <c:pt idx="445">
                  <c:v>1.73205080756888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9</c:v>
                </c:pt>
                <c:pt idx="455">
                  <c:v>10</c:v>
                </c:pt>
                <c:pt idx="456">
                  <c:v>11</c:v>
                </c:pt>
                <c:pt idx="457">
                  <c:v>12</c:v>
                </c:pt>
                <c:pt idx="458">
                  <c:v>13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17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21</c:v>
                </c:pt>
                <c:pt idx="467">
                  <c:v>22</c:v>
                </c:pt>
                <c:pt idx="468">
                  <c:v>23</c:v>
                </c:pt>
                <c:pt idx="469">
                  <c:v>24</c:v>
                </c:pt>
                <c:pt idx="470">
                  <c:v>25</c:v>
                </c:pt>
                <c:pt idx="471">
                  <c:v>26</c:v>
                </c:pt>
                <c:pt idx="472">
                  <c:v>27</c:v>
                </c:pt>
                <c:pt idx="473">
                  <c:v>28</c:v>
                </c:pt>
                <c:pt idx="474">
                  <c:v>29</c:v>
                </c:pt>
                <c:pt idx="475">
                  <c:v>30</c:v>
                </c:pt>
                <c:pt idx="476">
                  <c:v>31</c:v>
                </c:pt>
                <c:pt idx="477">
                  <c:v>32</c:v>
                </c:pt>
                <c:pt idx="478">
                  <c:v>33</c:v>
                </c:pt>
                <c:pt idx="479">
                  <c:v>34</c:v>
                </c:pt>
                <c:pt idx="480">
                  <c:v>35</c:v>
                </c:pt>
                <c:pt idx="481">
                  <c:v>36</c:v>
                </c:pt>
                <c:pt idx="482">
                  <c:v>37</c:v>
                </c:pt>
                <c:pt idx="483">
                  <c:v>38</c:v>
                </c:pt>
                <c:pt idx="484">
                  <c:v>39</c:v>
                </c:pt>
                <c:pt idx="485">
                  <c:v>40</c:v>
                </c:pt>
                <c:pt idx="486">
                  <c:v>41</c:v>
                </c:pt>
                <c:pt idx="487">
                  <c:v>42</c:v>
                </c:pt>
                <c:pt idx="488">
                  <c:v>43</c:v>
                </c:pt>
                <c:pt idx="489">
                  <c:v>44</c:v>
                </c:pt>
                <c:pt idx="490">
                  <c:v>45</c:v>
                </c:pt>
                <c:pt idx="491">
                  <c:v>46</c:v>
                </c:pt>
                <c:pt idx="492">
                  <c:v>47</c:v>
                </c:pt>
                <c:pt idx="493">
                  <c:v>48</c:v>
                </c:pt>
                <c:pt idx="494">
                  <c:v>49</c:v>
                </c:pt>
                <c:pt idx="495">
                  <c:v>50</c:v>
                </c:pt>
                <c:pt idx="496">
                  <c:v>51</c:v>
                </c:pt>
                <c:pt idx="497">
                  <c:v>52</c:v>
                </c:pt>
                <c:pt idx="498">
                  <c:v>53</c:v>
                </c:pt>
                <c:pt idx="499">
                  <c:v>54</c:v>
                </c:pt>
                <c:pt idx="500">
                  <c:v>55</c:v>
                </c:pt>
                <c:pt idx="501">
                  <c:v>56</c:v>
                </c:pt>
                <c:pt idx="502">
                  <c:v>57</c:v>
                </c:pt>
                <c:pt idx="503">
                  <c:v>58</c:v>
                </c:pt>
                <c:pt idx="504">
                  <c:v>59</c:v>
                </c:pt>
                <c:pt idx="505">
                  <c:v>60</c:v>
                </c:pt>
                <c:pt idx="506">
                  <c:v>61</c:v>
                </c:pt>
                <c:pt idx="507">
                  <c:v>62</c:v>
                </c:pt>
                <c:pt idx="508">
                  <c:v>63</c:v>
                </c:pt>
                <c:pt idx="509">
                  <c:v>64</c:v>
                </c:pt>
                <c:pt idx="510">
                  <c:v>65</c:v>
                </c:pt>
                <c:pt idx="511">
                  <c:v>66</c:v>
                </c:pt>
                <c:pt idx="512">
                  <c:v>67</c:v>
                </c:pt>
                <c:pt idx="513">
                  <c:v>68</c:v>
                </c:pt>
                <c:pt idx="514">
                  <c:v>69</c:v>
                </c:pt>
                <c:pt idx="515">
                  <c:v>70</c:v>
                </c:pt>
                <c:pt idx="516">
                  <c:v>71</c:v>
                </c:pt>
                <c:pt idx="517">
                  <c:v>72</c:v>
                </c:pt>
                <c:pt idx="518">
                  <c:v>73</c:v>
                </c:pt>
                <c:pt idx="519">
                  <c:v>74</c:v>
                </c:pt>
                <c:pt idx="520">
                  <c:v>75</c:v>
                </c:pt>
                <c:pt idx="521">
                  <c:v>76</c:v>
                </c:pt>
                <c:pt idx="522">
                  <c:v>77</c:v>
                </c:pt>
                <c:pt idx="523">
                  <c:v>78</c:v>
                </c:pt>
                <c:pt idx="524">
                  <c:v>79</c:v>
                </c:pt>
                <c:pt idx="525">
                  <c:v>80</c:v>
                </c:pt>
                <c:pt idx="526">
                  <c:v>81</c:v>
                </c:pt>
                <c:pt idx="527">
                  <c:v>82</c:v>
                </c:pt>
                <c:pt idx="528">
                  <c:v>83</c:v>
                </c:pt>
                <c:pt idx="529">
                  <c:v>84</c:v>
                </c:pt>
                <c:pt idx="530">
                  <c:v>85</c:v>
                </c:pt>
                <c:pt idx="531">
                  <c:v>86</c:v>
                </c:pt>
                <c:pt idx="532">
                  <c:v>87</c:v>
                </c:pt>
                <c:pt idx="533">
                  <c:v>88</c:v>
                </c:pt>
                <c:pt idx="534">
                  <c:v>89</c:v>
                </c:pt>
                <c:pt idx="535">
                  <c:v>90</c:v>
                </c:pt>
                <c:pt idx="536">
                  <c:v>91</c:v>
                </c:pt>
                <c:pt idx="537">
                  <c:v>92</c:v>
                </c:pt>
                <c:pt idx="538">
                  <c:v>93</c:v>
                </c:pt>
                <c:pt idx="539">
                  <c:v>94</c:v>
                </c:pt>
                <c:pt idx="540">
                  <c:v>95</c:v>
                </c:pt>
                <c:pt idx="541">
                  <c:v>96</c:v>
                </c:pt>
                <c:pt idx="542">
                  <c:v>97</c:v>
                </c:pt>
                <c:pt idx="543">
                  <c:v>98</c:v>
                </c:pt>
                <c:pt idx="544">
                  <c:v>99</c:v>
                </c:pt>
                <c:pt idx="545">
                  <c:v>100</c:v>
                </c:pt>
                <c:pt idx="546">
                  <c:v>101</c:v>
                </c:pt>
                <c:pt idx="547">
                  <c:v>102</c:v>
                </c:pt>
                <c:pt idx="548">
                  <c:v>103</c:v>
                </c:pt>
                <c:pt idx="549">
                  <c:v>104</c:v>
                </c:pt>
                <c:pt idx="550">
                  <c:v>105</c:v>
                </c:pt>
                <c:pt idx="551">
                  <c:v>106</c:v>
                </c:pt>
                <c:pt idx="552">
                  <c:v>107</c:v>
                </c:pt>
                <c:pt idx="553">
                  <c:v>108</c:v>
                </c:pt>
                <c:pt idx="554">
                  <c:v>109</c:v>
                </c:pt>
                <c:pt idx="555">
                  <c:v>110</c:v>
                </c:pt>
                <c:pt idx="556">
                  <c:v>111</c:v>
                </c:pt>
                <c:pt idx="557">
                  <c:v>112</c:v>
                </c:pt>
                <c:pt idx="558">
                  <c:v>113</c:v>
                </c:pt>
                <c:pt idx="559">
                  <c:v>114</c:v>
                </c:pt>
                <c:pt idx="560">
                  <c:v>115</c:v>
                </c:pt>
                <c:pt idx="561">
                  <c:v>116</c:v>
                </c:pt>
                <c:pt idx="562">
                  <c:v>117</c:v>
                </c:pt>
                <c:pt idx="563">
                  <c:v>118</c:v>
                </c:pt>
                <c:pt idx="564">
                  <c:v>119</c:v>
                </c:pt>
                <c:pt idx="565">
                  <c:v>120</c:v>
                </c:pt>
                <c:pt idx="566">
                  <c:v>121</c:v>
                </c:pt>
                <c:pt idx="567">
                  <c:v>122</c:v>
                </c:pt>
                <c:pt idx="568">
                  <c:v>123</c:v>
                </c:pt>
                <c:pt idx="569">
                  <c:v>124</c:v>
                </c:pt>
                <c:pt idx="570">
                  <c:v>125</c:v>
                </c:pt>
                <c:pt idx="571">
                  <c:v>126</c:v>
                </c:pt>
                <c:pt idx="572">
                  <c:v>127</c:v>
                </c:pt>
                <c:pt idx="573">
                  <c:v>128</c:v>
                </c:pt>
                <c:pt idx="574">
                  <c:v>129</c:v>
                </c:pt>
                <c:pt idx="575">
                  <c:v>130</c:v>
                </c:pt>
                <c:pt idx="576">
                  <c:v>131</c:v>
                </c:pt>
                <c:pt idx="577">
                  <c:v>132</c:v>
                </c:pt>
                <c:pt idx="578">
                  <c:v>133</c:v>
                </c:pt>
                <c:pt idx="579">
                  <c:v>134</c:v>
                </c:pt>
                <c:pt idx="580">
                  <c:v>135</c:v>
                </c:pt>
                <c:pt idx="581">
                  <c:v>136</c:v>
                </c:pt>
                <c:pt idx="582">
                  <c:v>137</c:v>
                </c:pt>
                <c:pt idx="583">
                  <c:v>138</c:v>
                </c:pt>
                <c:pt idx="584">
                  <c:v>139</c:v>
                </c:pt>
                <c:pt idx="585">
                  <c:v>140</c:v>
                </c:pt>
                <c:pt idx="586">
                  <c:v>141</c:v>
                </c:pt>
                <c:pt idx="587">
                  <c:v>142</c:v>
                </c:pt>
                <c:pt idx="588">
                  <c:v>143</c:v>
                </c:pt>
                <c:pt idx="589">
                  <c:v>144</c:v>
                </c:pt>
                <c:pt idx="590">
                  <c:v>145</c:v>
                </c:pt>
                <c:pt idx="591">
                  <c:v>146</c:v>
                </c:pt>
                <c:pt idx="592">
                  <c:v>147</c:v>
                </c:pt>
                <c:pt idx="593">
                  <c:v>148</c:v>
                </c:pt>
                <c:pt idx="594">
                  <c:v>149</c:v>
                </c:pt>
                <c:pt idx="595">
                  <c:v>150</c:v>
                </c:pt>
                <c:pt idx="596">
                  <c:v>151</c:v>
                </c:pt>
                <c:pt idx="597">
                  <c:v>152</c:v>
                </c:pt>
                <c:pt idx="598">
                  <c:v>153</c:v>
                </c:pt>
                <c:pt idx="599">
                  <c:v>154</c:v>
                </c:pt>
                <c:pt idx="600">
                  <c:v>155</c:v>
                </c:pt>
                <c:pt idx="601">
                  <c:v>156</c:v>
                </c:pt>
                <c:pt idx="602">
                  <c:v>157</c:v>
                </c:pt>
                <c:pt idx="603">
                  <c:v>158</c:v>
                </c:pt>
                <c:pt idx="604">
                  <c:v>159</c:v>
                </c:pt>
                <c:pt idx="605">
                  <c:v>160</c:v>
                </c:pt>
                <c:pt idx="606">
                  <c:v>161</c:v>
                </c:pt>
                <c:pt idx="607">
                  <c:v>162</c:v>
                </c:pt>
                <c:pt idx="608">
                  <c:v>163</c:v>
                </c:pt>
                <c:pt idx="609">
                  <c:v>164</c:v>
                </c:pt>
                <c:pt idx="610">
                  <c:v>165</c:v>
                </c:pt>
                <c:pt idx="611">
                  <c:v>166</c:v>
                </c:pt>
                <c:pt idx="612">
                  <c:v>167</c:v>
                </c:pt>
                <c:pt idx="613">
                  <c:v>168</c:v>
                </c:pt>
                <c:pt idx="614">
                  <c:v>169</c:v>
                </c:pt>
                <c:pt idx="615">
                  <c:v>170</c:v>
                </c:pt>
                <c:pt idx="616">
                  <c:v>171</c:v>
                </c:pt>
                <c:pt idx="617">
                  <c:v>172</c:v>
                </c:pt>
                <c:pt idx="618">
                  <c:v>173</c:v>
                </c:pt>
                <c:pt idx="619">
                  <c:v>174</c:v>
                </c:pt>
                <c:pt idx="620">
                  <c:v>175</c:v>
                </c:pt>
                <c:pt idx="621">
                  <c:v>176</c:v>
                </c:pt>
                <c:pt idx="622">
                  <c:v>177</c:v>
                </c:pt>
                <c:pt idx="623">
                  <c:v>178</c:v>
                </c:pt>
                <c:pt idx="624">
                  <c:v>179</c:v>
                </c:pt>
                <c:pt idx="625">
                  <c:v>180</c:v>
                </c:pt>
                <c:pt idx="626">
                  <c:v>181</c:v>
                </c:pt>
                <c:pt idx="627">
                  <c:v>182</c:v>
                </c:pt>
                <c:pt idx="628">
                  <c:v>183</c:v>
                </c:pt>
                <c:pt idx="629">
                  <c:v>184</c:v>
                </c:pt>
                <c:pt idx="630">
                  <c:v>185</c:v>
                </c:pt>
                <c:pt idx="631">
                  <c:v>186</c:v>
                </c:pt>
                <c:pt idx="632">
                  <c:v>187</c:v>
                </c:pt>
                <c:pt idx="633">
                  <c:v>188</c:v>
                </c:pt>
                <c:pt idx="634">
                  <c:v>189</c:v>
                </c:pt>
                <c:pt idx="635">
                  <c:v>190</c:v>
                </c:pt>
                <c:pt idx="636">
                  <c:v>191</c:v>
                </c:pt>
                <c:pt idx="637">
                  <c:v>192</c:v>
                </c:pt>
                <c:pt idx="638">
                  <c:v>193</c:v>
                </c:pt>
                <c:pt idx="639">
                  <c:v>194</c:v>
                </c:pt>
                <c:pt idx="640">
                  <c:v>195</c:v>
                </c:pt>
                <c:pt idx="641">
                  <c:v>196</c:v>
                </c:pt>
                <c:pt idx="642">
                  <c:v>197</c:v>
                </c:pt>
                <c:pt idx="643">
                  <c:v>198</c:v>
                </c:pt>
                <c:pt idx="644">
                  <c:v>199</c:v>
                </c:pt>
                <c:pt idx="645">
                  <c:v>200</c:v>
                </c:pt>
                <c:pt idx="646">
                  <c:v>201</c:v>
                </c:pt>
                <c:pt idx="647">
                  <c:v>202</c:v>
                </c:pt>
                <c:pt idx="648">
                  <c:v>203</c:v>
                </c:pt>
                <c:pt idx="649">
                  <c:v>204</c:v>
                </c:pt>
                <c:pt idx="650">
                  <c:v>205</c:v>
                </c:pt>
                <c:pt idx="651">
                  <c:v>206</c:v>
                </c:pt>
                <c:pt idx="652">
                  <c:v>207</c:v>
                </c:pt>
                <c:pt idx="653">
                  <c:v>208</c:v>
                </c:pt>
                <c:pt idx="654">
                  <c:v>209</c:v>
                </c:pt>
                <c:pt idx="655">
                  <c:v>210</c:v>
                </c:pt>
                <c:pt idx="656">
                  <c:v>211</c:v>
                </c:pt>
                <c:pt idx="657">
                  <c:v>212</c:v>
                </c:pt>
                <c:pt idx="658">
                  <c:v>213</c:v>
                </c:pt>
                <c:pt idx="659">
                  <c:v>214</c:v>
                </c:pt>
                <c:pt idx="660">
                  <c:v>215</c:v>
                </c:pt>
                <c:pt idx="661">
                  <c:v>216</c:v>
                </c:pt>
                <c:pt idx="662">
                  <c:v>217</c:v>
                </c:pt>
                <c:pt idx="663">
                  <c:v>218</c:v>
                </c:pt>
                <c:pt idx="664">
                  <c:v>219</c:v>
                </c:pt>
                <c:pt idx="665">
                  <c:v>220</c:v>
                </c:pt>
                <c:pt idx="666">
                  <c:v>221</c:v>
                </c:pt>
                <c:pt idx="667">
                  <c:v>222</c:v>
                </c:pt>
                <c:pt idx="668">
                  <c:v>223</c:v>
                </c:pt>
                <c:pt idx="669">
                  <c:v>224</c:v>
                </c:pt>
                <c:pt idx="670">
                  <c:v>225</c:v>
                </c:pt>
                <c:pt idx="671">
                  <c:v>226</c:v>
                </c:pt>
                <c:pt idx="672">
                  <c:v>227</c:v>
                </c:pt>
                <c:pt idx="673">
                  <c:v>228</c:v>
                </c:pt>
                <c:pt idx="674">
                  <c:v>229</c:v>
                </c:pt>
                <c:pt idx="675">
                  <c:v>230</c:v>
                </c:pt>
                <c:pt idx="676">
                  <c:v>231</c:v>
                </c:pt>
                <c:pt idx="677">
                  <c:v>232</c:v>
                </c:pt>
                <c:pt idx="678">
                  <c:v>233</c:v>
                </c:pt>
                <c:pt idx="679">
                  <c:v>234</c:v>
                </c:pt>
                <c:pt idx="680">
                  <c:v>235</c:v>
                </c:pt>
                <c:pt idx="681">
                  <c:v>236</c:v>
                </c:pt>
                <c:pt idx="682">
                  <c:v>237</c:v>
                </c:pt>
                <c:pt idx="683">
                  <c:v>238</c:v>
                </c:pt>
                <c:pt idx="684">
                  <c:v>239</c:v>
                </c:pt>
                <c:pt idx="685">
                  <c:v>240</c:v>
                </c:pt>
                <c:pt idx="686">
                  <c:v>241</c:v>
                </c:pt>
                <c:pt idx="687">
                  <c:v>242</c:v>
                </c:pt>
                <c:pt idx="688">
                  <c:v>243</c:v>
                </c:pt>
                <c:pt idx="689">
                  <c:v>244</c:v>
                </c:pt>
                <c:pt idx="690">
                  <c:v>245</c:v>
                </c:pt>
                <c:pt idx="691">
                  <c:v>246</c:v>
                </c:pt>
                <c:pt idx="692">
                  <c:v>247</c:v>
                </c:pt>
                <c:pt idx="693">
                  <c:v>248</c:v>
                </c:pt>
                <c:pt idx="694">
                  <c:v>249</c:v>
                </c:pt>
                <c:pt idx="695">
                  <c:v>250</c:v>
                </c:pt>
                <c:pt idx="696">
                  <c:v>251</c:v>
                </c:pt>
                <c:pt idx="697">
                  <c:v>252</c:v>
                </c:pt>
                <c:pt idx="698">
                  <c:v>253</c:v>
                </c:pt>
                <c:pt idx="699">
                  <c:v>254</c:v>
                </c:pt>
                <c:pt idx="700">
                  <c:v>255</c:v>
                </c:pt>
                <c:pt idx="701">
                  <c:v>256</c:v>
                </c:pt>
                <c:pt idx="702">
                  <c:v>257</c:v>
                </c:pt>
                <c:pt idx="703">
                  <c:v>258</c:v>
                </c:pt>
                <c:pt idx="704">
                  <c:v>259</c:v>
                </c:pt>
                <c:pt idx="705">
                  <c:v>260</c:v>
                </c:pt>
                <c:pt idx="706">
                  <c:v>261</c:v>
                </c:pt>
                <c:pt idx="707">
                  <c:v>262</c:v>
                </c:pt>
                <c:pt idx="708">
                  <c:v>263</c:v>
                </c:pt>
                <c:pt idx="709">
                  <c:v>264</c:v>
                </c:pt>
                <c:pt idx="710">
                  <c:v>265</c:v>
                </c:pt>
                <c:pt idx="711">
                  <c:v>266</c:v>
                </c:pt>
                <c:pt idx="712">
                  <c:v>267</c:v>
                </c:pt>
                <c:pt idx="713">
                  <c:v>268</c:v>
                </c:pt>
                <c:pt idx="714">
                  <c:v>269</c:v>
                </c:pt>
                <c:pt idx="715">
                  <c:v>270</c:v>
                </c:pt>
                <c:pt idx="716">
                  <c:v>271</c:v>
                </c:pt>
                <c:pt idx="717">
                  <c:v>272</c:v>
                </c:pt>
                <c:pt idx="718">
                  <c:v>273</c:v>
                </c:pt>
                <c:pt idx="719">
                  <c:v>274</c:v>
                </c:pt>
                <c:pt idx="720">
                  <c:v>275</c:v>
                </c:pt>
                <c:pt idx="721">
                  <c:v>276</c:v>
                </c:pt>
                <c:pt idx="722">
                  <c:v>277</c:v>
                </c:pt>
                <c:pt idx="723">
                  <c:v>278</c:v>
                </c:pt>
                <c:pt idx="724">
                  <c:v>279</c:v>
                </c:pt>
                <c:pt idx="725">
                  <c:v>280</c:v>
                </c:pt>
                <c:pt idx="726">
                  <c:v>281</c:v>
                </c:pt>
                <c:pt idx="727">
                  <c:v>282</c:v>
                </c:pt>
                <c:pt idx="728">
                  <c:v>283</c:v>
                </c:pt>
                <c:pt idx="729">
                  <c:v>284</c:v>
                </c:pt>
                <c:pt idx="730">
                  <c:v>285</c:v>
                </c:pt>
                <c:pt idx="731">
                  <c:v>286</c:v>
                </c:pt>
                <c:pt idx="732">
                  <c:v>287</c:v>
                </c:pt>
                <c:pt idx="733">
                  <c:v>288</c:v>
                </c:pt>
                <c:pt idx="734">
                  <c:v>289</c:v>
                </c:pt>
                <c:pt idx="735">
                  <c:v>290</c:v>
                </c:pt>
                <c:pt idx="736">
                  <c:v>291</c:v>
                </c:pt>
                <c:pt idx="737">
                  <c:v>292</c:v>
                </c:pt>
                <c:pt idx="738">
                  <c:v>293</c:v>
                </c:pt>
                <c:pt idx="739">
                  <c:v>294</c:v>
                </c:pt>
                <c:pt idx="740">
                  <c:v>295</c:v>
                </c:pt>
                <c:pt idx="741">
                  <c:v>296</c:v>
                </c:pt>
                <c:pt idx="742">
                  <c:v>297</c:v>
                </c:pt>
                <c:pt idx="743">
                  <c:v>298</c:v>
                </c:pt>
                <c:pt idx="744">
                  <c:v>299</c:v>
                </c:pt>
                <c:pt idx="745">
                  <c:v>300</c:v>
                </c:pt>
                <c:pt idx="746">
                  <c:v>301</c:v>
                </c:pt>
                <c:pt idx="747">
                  <c:v>302</c:v>
                </c:pt>
                <c:pt idx="748">
                  <c:v>303</c:v>
                </c:pt>
                <c:pt idx="749">
                  <c:v>304</c:v>
                </c:pt>
                <c:pt idx="750">
                  <c:v>305</c:v>
                </c:pt>
                <c:pt idx="751">
                  <c:v>306</c:v>
                </c:pt>
                <c:pt idx="752">
                  <c:v>307</c:v>
                </c:pt>
                <c:pt idx="753">
                  <c:v>308</c:v>
                </c:pt>
                <c:pt idx="754">
                  <c:v>309</c:v>
                </c:pt>
                <c:pt idx="755">
                  <c:v>310</c:v>
                </c:pt>
                <c:pt idx="756">
                  <c:v>311</c:v>
                </c:pt>
                <c:pt idx="757">
                  <c:v>312</c:v>
                </c:pt>
                <c:pt idx="758">
                  <c:v>313</c:v>
                </c:pt>
                <c:pt idx="759">
                  <c:v>314</c:v>
                </c:pt>
                <c:pt idx="760">
                  <c:v>315</c:v>
                </c:pt>
                <c:pt idx="761">
                  <c:v>316</c:v>
                </c:pt>
                <c:pt idx="762">
                  <c:v>317</c:v>
                </c:pt>
                <c:pt idx="763">
                  <c:v>318</c:v>
                </c:pt>
                <c:pt idx="764">
                  <c:v>319</c:v>
                </c:pt>
                <c:pt idx="765">
                  <c:v>320</c:v>
                </c:pt>
                <c:pt idx="766">
                  <c:v>321</c:v>
                </c:pt>
                <c:pt idx="767">
                  <c:v>322</c:v>
                </c:pt>
                <c:pt idx="768">
                  <c:v>323</c:v>
                </c:pt>
                <c:pt idx="769">
                  <c:v>324</c:v>
                </c:pt>
                <c:pt idx="770">
                  <c:v>325</c:v>
                </c:pt>
                <c:pt idx="771">
                  <c:v>326</c:v>
                </c:pt>
                <c:pt idx="772">
                  <c:v>327</c:v>
                </c:pt>
                <c:pt idx="773">
                  <c:v>328</c:v>
                </c:pt>
                <c:pt idx="774">
                  <c:v>329</c:v>
                </c:pt>
                <c:pt idx="775">
                  <c:v>330</c:v>
                </c:pt>
                <c:pt idx="776">
                  <c:v>331</c:v>
                </c:pt>
                <c:pt idx="777">
                  <c:v>332</c:v>
                </c:pt>
                <c:pt idx="778">
                  <c:v>333</c:v>
                </c:pt>
                <c:pt idx="779">
                  <c:v>334</c:v>
                </c:pt>
                <c:pt idx="780">
                  <c:v>335</c:v>
                </c:pt>
                <c:pt idx="781">
                  <c:v>336</c:v>
                </c:pt>
                <c:pt idx="782">
                  <c:v>337</c:v>
                </c:pt>
                <c:pt idx="783">
                  <c:v>338</c:v>
                </c:pt>
                <c:pt idx="784">
                  <c:v>339</c:v>
                </c:pt>
                <c:pt idx="785">
                  <c:v>340</c:v>
                </c:pt>
                <c:pt idx="786">
                  <c:v>341</c:v>
                </c:pt>
                <c:pt idx="787">
                  <c:v>342</c:v>
                </c:pt>
                <c:pt idx="788">
                  <c:v>343</c:v>
                </c:pt>
                <c:pt idx="789">
                  <c:v>344</c:v>
                </c:pt>
                <c:pt idx="790">
                  <c:v>345</c:v>
                </c:pt>
                <c:pt idx="791">
                  <c:v>346</c:v>
                </c:pt>
                <c:pt idx="792">
                  <c:v>347</c:v>
                </c:pt>
                <c:pt idx="793">
                  <c:v>348</c:v>
                </c:pt>
                <c:pt idx="794">
                  <c:v>349</c:v>
                </c:pt>
                <c:pt idx="795">
                  <c:v>350</c:v>
                </c:pt>
                <c:pt idx="796">
                  <c:v>351</c:v>
                </c:pt>
                <c:pt idx="797">
                  <c:v>352</c:v>
                </c:pt>
                <c:pt idx="798">
                  <c:v>353</c:v>
                </c:pt>
                <c:pt idx="799">
                  <c:v>354</c:v>
                </c:pt>
                <c:pt idx="800">
                  <c:v>355</c:v>
                </c:pt>
                <c:pt idx="801">
                  <c:v>356</c:v>
                </c:pt>
                <c:pt idx="802">
                  <c:v>357</c:v>
                </c:pt>
                <c:pt idx="803">
                  <c:v>358</c:v>
                </c:pt>
                <c:pt idx="804">
                  <c:v>359</c:v>
                </c:pt>
                <c:pt idx="805">
                  <c:v>360</c:v>
                </c:pt>
                <c:pt idx="806">
                  <c:v>361</c:v>
                </c:pt>
                <c:pt idx="807">
                  <c:v>362</c:v>
                </c:pt>
                <c:pt idx="808">
                  <c:v>363</c:v>
                </c:pt>
                <c:pt idx="809">
                  <c:v>364</c:v>
                </c:pt>
                <c:pt idx="810">
                  <c:v>365</c:v>
                </c:pt>
                <c:pt idx="811">
                  <c:v>366</c:v>
                </c:pt>
                <c:pt idx="812">
                  <c:v>367</c:v>
                </c:pt>
                <c:pt idx="813">
                  <c:v>368</c:v>
                </c:pt>
                <c:pt idx="814">
                  <c:v>369</c:v>
                </c:pt>
                <c:pt idx="815">
                  <c:v>370</c:v>
                </c:pt>
                <c:pt idx="816">
                  <c:v>371</c:v>
                </c:pt>
                <c:pt idx="817">
                  <c:v>372</c:v>
                </c:pt>
                <c:pt idx="818">
                  <c:v>373</c:v>
                </c:pt>
                <c:pt idx="819">
                  <c:v>374</c:v>
                </c:pt>
                <c:pt idx="820">
                  <c:v>375</c:v>
                </c:pt>
                <c:pt idx="821">
                  <c:v>376</c:v>
                </c:pt>
                <c:pt idx="822">
                  <c:v>377</c:v>
                </c:pt>
                <c:pt idx="823">
                  <c:v>378</c:v>
                </c:pt>
                <c:pt idx="824">
                  <c:v>379</c:v>
                </c:pt>
                <c:pt idx="825">
                  <c:v>380</c:v>
                </c:pt>
                <c:pt idx="826">
                  <c:v>381</c:v>
                </c:pt>
                <c:pt idx="827">
                  <c:v>382</c:v>
                </c:pt>
                <c:pt idx="828">
                  <c:v>383</c:v>
                </c:pt>
                <c:pt idx="829">
                  <c:v>384</c:v>
                </c:pt>
                <c:pt idx="830">
                  <c:v>385</c:v>
                </c:pt>
                <c:pt idx="831">
                  <c:v>386</c:v>
                </c:pt>
                <c:pt idx="832">
                  <c:v>387</c:v>
                </c:pt>
                <c:pt idx="833">
                  <c:v>388</c:v>
                </c:pt>
                <c:pt idx="834">
                  <c:v>389</c:v>
                </c:pt>
                <c:pt idx="835">
                  <c:v>390</c:v>
                </c:pt>
                <c:pt idx="836">
                  <c:v>391</c:v>
                </c:pt>
                <c:pt idx="837">
                  <c:v>392</c:v>
                </c:pt>
                <c:pt idx="838">
                  <c:v>393</c:v>
                </c:pt>
                <c:pt idx="839">
                  <c:v>394</c:v>
                </c:pt>
                <c:pt idx="840">
                  <c:v>395</c:v>
                </c:pt>
                <c:pt idx="841">
                  <c:v>396</c:v>
                </c:pt>
                <c:pt idx="842">
                  <c:v>397</c:v>
                </c:pt>
                <c:pt idx="843">
                  <c:v>398</c:v>
                </c:pt>
                <c:pt idx="844">
                  <c:v>399</c:v>
                </c:pt>
                <c:pt idx="845">
                  <c:v>400</c:v>
                </c:pt>
                <c:pt idx="846">
                  <c:v>401</c:v>
                </c:pt>
                <c:pt idx="847">
                  <c:v>402</c:v>
                </c:pt>
                <c:pt idx="848">
                  <c:v>403</c:v>
                </c:pt>
                <c:pt idx="849">
                  <c:v>404</c:v>
                </c:pt>
                <c:pt idx="850">
                  <c:v>405</c:v>
                </c:pt>
                <c:pt idx="851">
                  <c:v>406</c:v>
                </c:pt>
                <c:pt idx="852">
                  <c:v>407</c:v>
                </c:pt>
                <c:pt idx="853">
                  <c:v>408</c:v>
                </c:pt>
                <c:pt idx="854">
                  <c:v>409</c:v>
                </c:pt>
                <c:pt idx="855">
                  <c:v>410</c:v>
                </c:pt>
                <c:pt idx="856">
                  <c:v>411</c:v>
                </c:pt>
                <c:pt idx="857">
                  <c:v>412</c:v>
                </c:pt>
                <c:pt idx="858">
                  <c:v>413</c:v>
                </c:pt>
                <c:pt idx="859">
                  <c:v>414</c:v>
                </c:pt>
                <c:pt idx="860">
                  <c:v>415</c:v>
                </c:pt>
                <c:pt idx="861">
                  <c:v>416</c:v>
                </c:pt>
                <c:pt idx="862">
                  <c:v>417</c:v>
                </c:pt>
                <c:pt idx="863">
                  <c:v>418</c:v>
                </c:pt>
                <c:pt idx="864">
                  <c:v>419</c:v>
                </c:pt>
                <c:pt idx="865">
                  <c:v>420</c:v>
                </c:pt>
                <c:pt idx="866">
                  <c:v>421</c:v>
                </c:pt>
                <c:pt idx="867">
                  <c:v>422</c:v>
                </c:pt>
                <c:pt idx="868">
                  <c:v>423</c:v>
                </c:pt>
                <c:pt idx="869">
                  <c:v>424</c:v>
                </c:pt>
                <c:pt idx="870">
                  <c:v>425</c:v>
                </c:pt>
                <c:pt idx="871">
                  <c:v>426</c:v>
                </c:pt>
                <c:pt idx="872">
                  <c:v>427</c:v>
                </c:pt>
                <c:pt idx="873">
                  <c:v>428</c:v>
                </c:pt>
                <c:pt idx="874">
                  <c:v>429</c:v>
                </c:pt>
                <c:pt idx="875">
                  <c:v>430</c:v>
                </c:pt>
                <c:pt idx="876">
                  <c:v>431</c:v>
                </c:pt>
                <c:pt idx="877">
                  <c:v>432</c:v>
                </c:pt>
                <c:pt idx="878">
                  <c:v>433</c:v>
                </c:pt>
                <c:pt idx="879">
                  <c:v>434</c:v>
                </c:pt>
                <c:pt idx="880">
                  <c:v>435</c:v>
                </c:pt>
                <c:pt idx="881">
                  <c:v>436</c:v>
                </c:pt>
                <c:pt idx="882">
                  <c:v>437</c:v>
                </c:pt>
                <c:pt idx="883">
                  <c:v>438</c:v>
                </c:pt>
                <c:pt idx="884">
                  <c:v>439</c:v>
                </c:pt>
                <c:pt idx="885">
                  <c:v>440</c:v>
                </c:pt>
                <c:pt idx="886">
                  <c:v>441</c:v>
                </c:pt>
                <c:pt idx="887">
                  <c:v>442</c:v>
                </c:pt>
                <c:pt idx="888">
                  <c:v>443</c:v>
                </c:pt>
                <c:pt idx="889">
                  <c:v>444</c:v>
                </c:pt>
                <c:pt idx="890">
                  <c:v>445</c:v>
                </c:pt>
                <c:pt idx="891">
                  <c:v>446</c:v>
                </c:pt>
                <c:pt idx="892">
                  <c:v>447</c:v>
                </c:pt>
                <c:pt idx="893">
                  <c:v>448</c:v>
                </c:pt>
                <c:pt idx="894">
                  <c:v>449</c:v>
                </c:pt>
                <c:pt idx="895">
                  <c:v>450</c:v>
                </c:pt>
                <c:pt idx="896">
                  <c:v>451</c:v>
                </c:pt>
                <c:pt idx="897">
                  <c:v>452</c:v>
                </c:pt>
                <c:pt idx="898">
                  <c:v>453</c:v>
                </c:pt>
                <c:pt idx="899">
                  <c:v>454</c:v>
                </c:pt>
                <c:pt idx="900">
                  <c:v>455</c:v>
                </c:pt>
                <c:pt idx="901">
                  <c:v>456</c:v>
                </c:pt>
                <c:pt idx="902">
                  <c:v>457</c:v>
                </c:pt>
                <c:pt idx="903">
                  <c:v>458</c:v>
                </c:pt>
                <c:pt idx="904">
                  <c:v>459</c:v>
                </c:pt>
                <c:pt idx="905">
                  <c:v>460</c:v>
                </c:pt>
                <c:pt idx="906">
                  <c:v>461</c:v>
                </c:pt>
                <c:pt idx="907">
                  <c:v>462</c:v>
                </c:pt>
                <c:pt idx="908">
                  <c:v>463</c:v>
                </c:pt>
                <c:pt idx="909">
                  <c:v>464</c:v>
                </c:pt>
                <c:pt idx="910">
                  <c:v>465</c:v>
                </c:pt>
                <c:pt idx="911">
                  <c:v>466</c:v>
                </c:pt>
                <c:pt idx="912">
                  <c:v>467</c:v>
                </c:pt>
                <c:pt idx="913">
                  <c:v>468</c:v>
                </c:pt>
                <c:pt idx="914">
                  <c:v>469</c:v>
                </c:pt>
                <c:pt idx="915">
                  <c:v>470</c:v>
                </c:pt>
                <c:pt idx="916">
                  <c:v>471</c:v>
                </c:pt>
                <c:pt idx="917">
                  <c:v>472</c:v>
                </c:pt>
                <c:pt idx="918">
                  <c:v>473</c:v>
                </c:pt>
                <c:pt idx="919">
                  <c:v>474</c:v>
                </c:pt>
                <c:pt idx="920">
                  <c:v>475</c:v>
                </c:pt>
                <c:pt idx="921">
                  <c:v>476</c:v>
                </c:pt>
                <c:pt idx="922">
                  <c:v>477</c:v>
                </c:pt>
                <c:pt idx="923">
                  <c:v>478</c:v>
                </c:pt>
                <c:pt idx="924">
                  <c:v>479</c:v>
                </c:pt>
                <c:pt idx="925">
                  <c:v>480</c:v>
                </c:pt>
                <c:pt idx="926">
                  <c:v>481</c:v>
                </c:pt>
                <c:pt idx="927">
                  <c:v>482</c:v>
                </c:pt>
                <c:pt idx="928">
                  <c:v>483</c:v>
                </c:pt>
                <c:pt idx="929">
                  <c:v>484</c:v>
                </c:pt>
                <c:pt idx="930">
                  <c:v>485</c:v>
                </c:pt>
                <c:pt idx="931">
                  <c:v>486</c:v>
                </c:pt>
                <c:pt idx="932">
                  <c:v>487</c:v>
                </c:pt>
                <c:pt idx="933">
                  <c:v>488</c:v>
                </c:pt>
                <c:pt idx="934">
                  <c:v>489</c:v>
                </c:pt>
                <c:pt idx="935">
                  <c:v>490</c:v>
                </c:pt>
                <c:pt idx="936">
                  <c:v>491</c:v>
                </c:pt>
                <c:pt idx="937">
                  <c:v>492</c:v>
                </c:pt>
                <c:pt idx="938">
                  <c:v>493</c:v>
                </c:pt>
                <c:pt idx="939">
                  <c:v>494</c:v>
                </c:pt>
                <c:pt idx="940">
                  <c:v>495</c:v>
                </c:pt>
                <c:pt idx="941">
                  <c:v>496</c:v>
                </c:pt>
                <c:pt idx="942">
                  <c:v>497</c:v>
                </c:pt>
                <c:pt idx="943">
                  <c:v>498</c:v>
                </c:pt>
                <c:pt idx="944">
                  <c:v>499</c:v>
                </c:pt>
                <c:pt idx="945">
                  <c:v>500</c:v>
                </c:pt>
                <c:pt idx="946">
                  <c:v>501</c:v>
                </c:pt>
                <c:pt idx="947">
                  <c:v>502</c:v>
                </c:pt>
                <c:pt idx="948">
                  <c:v>503</c:v>
                </c:pt>
                <c:pt idx="949">
                  <c:v>504</c:v>
                </c:pt>
                <c:pt idx="950">
                  <c:v>505</c:v>
                </c:pt>
                <c:pt idx="951">
                  <c:v>506</c:v>
                </c:pt>
                <c:pt idx="952">
                  <c:v>507</c:v>
                </c:pt>
                <c:pt idx="953">
                  <c:v>508</c:v>
                </c:pt>
                <c:pt idx="954">
                  <c:v>509</c:v>
                </c:pt>
                <c:pt idx="955">
                  <c:v>510</c:v>
                </c:pt>
                <c:pt idx="956">
                  <c:v>511</c:v>
                </c:pt>
                <c:pt idx="957">
                  <c:v>512</c:v>
                </c:pt>
                <c:pt idx="958">
                  <c:v>513</c:v>
                </c:pt>
                <c:pt idx="959">
                  <c:v>514</c:v>
                </c:pt>
                <c:pt idx="960">
                  <c:v>515</c:v>
                </c:pt>
                <c:pt idx="961">
                  <c:v>516</c:v>
                </c:pt>
                <c:pt idx="962">
                  <c:v>517</c:v>
                </c:pt>
                <c:pt idx="963">
                  <c:v>518</c:v>
                </c:pt>
                <c:pt idx="964">
                  <c:v>519</c:v>
                </c:pt>
                <c:pt idx="965">
                  <c:v>520</c:v>
                </c:pt>
                <c:pt idx="966">
                  <c:v>521</c:v>
                </c:pt>
                <c:pt idx="967">
                  <c:v>522</c:v>
                </c:pt>
                <c:pt idx="968">
                  <c:v>523</c:v>
                </c:pt>
                <c:pt idx="969">
                  <c:v>524</c:v>
                </c:pt>
                <c:pt idx="970">
                  <c:v>525</c:v>
                </c:pt>
                <c:pt idx="971">
                  <c:v>526</c:v>
                </c:pt>
                <c:pt idx="972">
                  <c:v>527</c:v>
                </c:pt>
                <c:pt idx="973">
                  <c:v>528</c:v>
                </c:pt>
                <c:pt idx="974">
                  <c:v>529</c:v>
                </c:pt>
                <c:pt idx="975">
                  <c:v>530</c:v>
                </c:pt>
                <c:pt idx="976">
                  <c:v>531</c:v>
                </c:pt>
                <c:pt idx="977">
                  <c:v>532</c:v>
                </c:pt>
                <c:pt idx="978">
                  <c:v>533</c:v>
                </c:pt>
                <c:pt idx="979">
                  <c:v>534</c:v>
                </c:pt>
                <c:pt idx="980">
                  <c:v>535</c:v>
                </c:pt>
                <c:pt idx="981">
                  <c:v>536</c:v>
                </c:pt>
                <c:pt idx="982">
                  <c:v>537</c:v>
                </c:pt>
                <c:pt idx="983">
                  <c:v>538</c:v>
                </c:pt>
                <c:pt idx="984">
                  <c:v>539</c:v>
                </c:pt>
                <c:pt idx="985">
                  <c:v>540</c:v>
                </c:pt>
                <c:pt idx="986">
                  <c:v>541</c:v>
                </c:pt>
                <c:pt idx="987">
                  <c:v>542</c:v>
                </c:pt>
                <c:pt idx="988">
                  <c:v>543</c:v>
                </c:pt>
                <c:pt idx="989">
                  <c:v>544</c:v>
                </c:pt>
                <c:pt idx="990">
                  <c:v>545</c:v>
                </c:pt>
                <c:pt idx="991">
                  <c:v>546</c:v>
                </c:pt>
                <c:pt idx="992">
                  <c:v>547</c:v>
                </c:pt>
                <c:pt idx="993">
                  <c:v>548</c:v>
                </c:pt>
                <c:pt idx="994">
                  <c:v>549</c:v>
                </c:pt>
                <c:pt idx="995">
                  <c:v>550</c:v>
                </c:pt>
                <c:pt idx="996">
                  <c:v>551</c:v>
                </c:pt>
                <c:pt idx="997">
                  <c:v>552</c:v>
                </c:pt>
                <c:pt idx="998">
                  <c:v>553</c:v>
                </c:pt>
              </c:numCache>
            </c:numRef>
          </c:xVal>
          <c:yVal>
            <c:numRef>
              <c:f>'Pokemon Science 2.0 data'!$J$2:$J$1000</c:f>
              <c:numCache>
                <c:formatCode>General</c:formatCode>
                <c:ptCount val="99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numCache>
            </c:numRef>
          </c:yVal>
          <c:smooth val="1"/>
        </c:ser>
        <c:axId val="39441085"/>
        <c:axId val="24546158"/>
      </c:scatterChart>
      <c:valAx>
        <c:axId val="39441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Sqrt(Level)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546158"/>
        <c:crosses val="autoZero"/>
        <c:crossBetween val="midCat"/>
      </c:valAx>
      <c:valAx>
        <c:axId val="2454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HP/Base stat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410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smooth val="1"/>
        </c:ser>
        <c:axId val="26745992"/>
        <c:axId val="53461655"/>
      </c:scatterChart>
      <c:valAx>
        <c:axId val="26745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CP Guess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61655"/>
        <c:crosses val="autoZero"/>
        <c:crossBetween val="midCat"/>
      </c:valAx>
      <c:valAx>
        <c:axId val="5346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7459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19080</xdr:colOff>
      <xdr:row>0</xdr:row>
      <xdr:rowOff>76320</xdr:rowOff>
    </xdr:from>
    <xdr:to>
      <xdr:col>11</xdr:col>
      <xdr:colOff>923760</xdr:colOff>
      <xdr:row>18</xdr:row>
      <xdr:rowOff>9360</xdr:rowOff>
    </xdr:to>
    <xdr:graphicFrame>
      <xdr:nvGraphicFramePr>
        <xdr:cNvPr id="0" name="Chart 1"/>
        <xdr:cNvGraphicFramePr/>
      </xdr:nvGraphicFramePr>
      <xdr:xfrm>
        <a:off x="6019560" y="76320"/>
        <a:ext cx="59054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47520</xdr:colOff>
      <xdr:row>18</xdr:row>
      <xdr:rowOff>190440</xdr:rowOff>
    </xdr:from>
    <xdr:to>
      <xdr:col>5</xdr:col>
      <xdr:colOff>952200</xdr:colOff>
      <xdr:row>36</xdr:row>
      <xdr:rowOff>123480</xdr:rowOff>
    </xdr:to>
    <xdr:graphicFrame>
      <xdr:nvGraphicFramePr>
        <xdr:cNvPr id="1" name="Chart 2"/>
        <xdr:cNvGraphicFramePr/>
      </xdr:nvGraphicFramePr>
      <xdr:xfrm>
        <a:off x="47520" y="3790800"/>
        <a:ext cx="590508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152280</xdr:colOff>
      <xdr:row>18</xdr:row>
      <xdr:rowOff>123840</xdr:rowOff>
    </xdr:from>
    <xdr:to>
      <xdr:col>12</xdr:col>
      <xdr:colOff>94680</xdr:colOff>
      <xdr:row>36</xdr:row>
      <xdr:rowOff>56880</xdr:rowOff>
    </xdr:to>
    <xdr:graphicFrame>
      <xdr:nvGraphicFramePr>
        <xdr:cNvPr id="2" name="Chart 3"/>
        <xdr:cNvGraphicFramePr/>
      </xdr:nvGraphicFramePr>
      <xdr:xfrm>
        <a:off x="6152760" y="3724200"/>
        <a:ext cx="5943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37</xdr:row>
      <xdr:rowOff>28440</xdr:rowOff>
    </xdr:from>
    <xdr:to>
      <xdr:col>5</xdr:col>
      <xdr:colOff>904680</xdr:colOff>
      <xdr:row>54</xdr:row>
      <xdr:rowOff>161280</xdr:rowOff>
    </xdr:to>
    <xdr:graphicFrame>
      <xdr:nvGraphicFramePr>
        <xdr:cNvPr id="3" name="Chart 4"/>
        <xdr:cNvGraphicFramePr/>
      </xdr:nvGraphicFramePr>
      <xdr:xfrm>
        <a:off x="0" y="7429320"/>
        <a:ext cx="59050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7.69387755102041"/>
    <col collapsed="false" hidden="false" max="2" min="2" style="0" width="14.1734693877551"/>
    <col collapsed="false" hidden="false" max="3" min="3" style="0" width="10.2602040816327"/>
    <col collapsed="false" hidden="false" max="4" min="4" style="0" width="10.530612244898"/>
    <col collapsed="false" hidden="false" max="5" min="5" style="0" width="10.6632653061225"/>
    <col collapsed="false" hidden="false" max="6" min="6" style="0" width="15.7959183673469"/>
    <col collapsed="false" hidden="false" max="7" min="7" style="0" width="15.5255102040816"/>
    <col collapsed="false" hidden="false" max="9" min="8" style="0" width="12.4183673469388"/>
    <col collapsed="false" hidden="false" max="12" min="10" style="0" width="14.1734693877551"/>
    <col collapsed="false" hidden="false" max="13" min="13" style="0" width="17.280612244898"/>
    <col collapsed="false" hidden="false" max="14" min="14" style="0" width="15.6581632653061"/>
    <col collapsed="false" hidden="false" max="15" min="15" style="0" width="19.4387755102041"/>
    <col collapsed="false" hidden="false" max="17" min="17" style="0" width="19.1683673469388"/>
    <col collapsed="false" hidden="false" max="18" min="18" style="0" width="13.3622448979592"/>
    <col collapsed="false" hidden="false" max="21" min="19" style="0" width="26.0510204081633"/>
    <col collapsed="false" hidden="false" max="22" min="22" style="0" width="28.6173469387755"/>
    <col collapsed="false" hidden="false" max="23" min="23" style="0" width="27.9438775510204"/>
    <col collapsed="false" hidden="false" max="24" min="24" style="0" width="18.8979591836735"/>
    <col collapsed="false" hidden="false" max="25" min="25" style="0" width="23.6224489795918"/>
    <col collapsed="false" hidden="false" max="1025" min="26" style="0" width="14.1734693877551"/>
  </cols>
  <sheetData>
    <row r="1" customFormat="false" ht="18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6" t="s">
        <v>9</v>
      </c>
      <c r="N1" s="7" t="s">
        <v>10</v>
      </c>
      <c r="O1" s="8" t="s">
        <v>11</v>
      </c>
      <c r="P1" s="1" t="s">
        <v>12</v>
      </c>
      <c r="Q1" s="1" t="s">
        <v>13</v>
      </c>
      <c r="R1" s="9" t="s">
        <v>14</v>
      </c>
      <c r="S1" s="8"/>
      <c r="T1" s="8"/>
      <c r="U1" s="8" t="s">
        <v>15</v>
      </c>
      <c r="V1" s="8" t="s">
        <v>16</v>
      </c>
      <c r="W1" s="8" t="s">
        <v>17</v>
      </c>
      <c r="X1" s="8" t="s">
        <v>18</v>
      </c>
      <c r="Y1" s="1" t="s">
        <v>19</v>
      </c>
    </row>
    <row r="2" customFormat="false" ht="15.75" hidden="false" customHeight="false" outlineLevel="0" collapsed="false">
      <c r="A2" s="10" t="n">
        <v>1</v>
      </c>
      <c r="B2" s="1" t="s">
        <v>20</v>
      </c>
      <c r="C2" s="0" t="str">
        <f aca="false">IFERROR(__xludf.dummyfunction("ROUND(0.00909003 * (FILTER('Go Base Stats'!$C$2:$C1000, 'Go Base Stats'!$A$2:$A1000 = $A2))^0.5 *(FILTER('Go Base Stats'!$D$2:$D1000, 'Go Base Stats'!$A$2:$A1000 = $A2))*(FILTER('Go Base Stats'!$E$2:$E1000, 'Go Base Stats'!$A$2:$A1000 = $A2))^0.5 / 10, 1)"),"12.2")</f>
        <v>12.2</v>
      </c>
      <c r="D2" s="0" t="str">
        <f aca="false">IFERROR(__xludf.dummyfunction("ROUND(0.00909003 * (FILTER('Go Base Stats'!$C$2:$C1000, 'Go Base Stats'!$A$2:$A1000 = $A2)+7.5)^0.5 *(FILTER('Go Base Stats'!$D$2:$D1000, 'Go Base Stats'!$A$2:$A1000 = $A2) + 7.5)*(FILTER('Go Base Stats'!$E$2:$E1000, 'Go Base Stats'!$A$2:$A1000 = $A2) + 7.5)^0.5 / 10, 1)"),"13.8")</f>
        <v>13.8</v>
      </c>
      <c r="E2" s="0" t="str">
        <f aca="false">IFERROR(__xludf.dummyfunction("ROUND(0.00909003 * (FILTER('Go Base Stats'!$C$2:$C1000, 'Go Base Stats'!$A$2:$A1000 = $A2)+15)^0.5 *(FILTER('Go Base Stats'!$D$2:$D1000, 'Go Base Stats'!$A$2:$A1000 = $A2) +15)*(FILTER('Go Base Stats'!$E$2:$E1000, 'Go Base Stats'!$A$2:$A1000 = $A2) + 15)^0.5 / 10, 1)"),"15.6")</f>
        <v>15.6</v>
      </c>
      <c r="F2" s="6"/>
      <c r="G2" s="6" t="str">
        <f aca="false">IFERROR(__xludf.dummyfunction("FILTER('Base Stats'!$C$2:$C1000, LOWER('Base Stats'!$B$2:$B1000) = LOWER($B2))"),"45")</f>
        <v>45</v>
      </c>
      <c r="H2" s="0" t="str">
        <f aca="false">IFERROR(__xludf.dummyfunction("FLOOR((0.7903)^2 * (FILTER('Go Base Stats'!$C$2:$C1000, 'Go Base Stats'!$A$2:$A1000 = $A2)+15)^0.5 *(FILTER('Go Base Stats'!$D$2:$D1000, 'Go Base Stats'!$A$2:$A1000 = $A2) +15)*(FILTER('Go Base Stats'!$E$2:$E1000, 'Go Base Stats'!$A$2:$A1000 = $A2) + 15)^0.5 / 10)"),"1071")</f>
        <v>1071</v>
      </c>
      <c r="I2" s="0" t="str">
        <f aca="false">IFERROR(__xludf.dummyfunction("FLOOR(0.7903* (FILTER('Go Base Stats'!$C$2:$C1000, 'Go Base Stats'!$A$2:$A1000 = $A2)+15))"),"82")</f>
        <v>82</v>
      </c>
      <c r="J2" s="11"/>
      <c r="K2" s="11"/>
      <c r="L2" s="11"/>
      <c r="M2" s="12" t="e">
        <f aca="false">IF(NOT(ISBLANK($R2)), $R2, IF(ROUND($P2, 1) = 0, "", ROUND($P2, 1) ))</f>
        <v>#VALUE!</v>
      </c>
      <c r="N2" s="13" t="e">
        <f aca="false">ABS(M2-D2)/M2</f>
        <v>#VALUE!</v>
      </c>
      <c r="P2" s="14" t="e">
        <f aca="false">IFERROR((U2+V2)/(W2+X2))</f>
        <v>#VALUE!</v>
      </c>
      <c r="Q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LOWER($B2)))
)"),"2")</f>
        <v>2</v>
      </c>
      <c r="R2" s="16"/>
      <c r="U2" s="0" t="str">
        <f aca="false">IFERROR(__xludf.dummyfunction("IFERROR(SUM(FILTER('Form Responses (Power-up data)'!$C$2:$C1000, LOWER('Form Responses (Power-up data)'!$B$2:$B1000) = LOWER($B2))), 0)"),"0")</f>
        <v>0</v>
      </c>
      <c r="V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LOWER($B2))
),0)"),"27")</f>
        <v>27</v>
      </c>
      <c r="W2" s="0" t="str">
        <f aca="false">IFERROR(__xludf.dummyfunction("COUNT(FILTER('Form Responses (Power-up data)'!$C$2:$C1000, LOWER('Form Responses (Power-up data)'!$B$2:$B1000) = LOWER($B2)))"),"0")</f>
        <v>0</v>
      </c>
      <c r="X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LOWER($B2)))"),"2")</f>
        <v>2</v>
      </c>
      <c r="Y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LOWER($B2))), 2)))"),"2/2")</f>
        <v>2/2</v>
      </c>
    </row>
    <row r="3" customFormat="false" ht="15.75" hidden="false" customHeight="false" outlineLevel="0" collapsed="false">
      <c r="A3" s="10" t="n">
        <v>2</v>
      </c>
      <c r="B3" s="1" t="s">
        <v>21</v>
      </c>
      <c r="C3" s="0" t="str">
        <f aca="false">IFERROR(__xludf.dummyfunction("ROUND(0.00909003 * (FILTER('Go Base Stats'!$C$2:$C1000, 'Go Base Stats'!$A$2:$A1000 = $A3))^0.5 *(FILTER('Go Base Stats'!$D$2:$D1000, 'Go Base Stats'!$A$2:$A1000 = $A3))*(FILTER('Go Base Stats'!$E$2:$E1000, 'Go Base Stats'!$A$2:$A1000 = $A3))^0.5 / 10, 1)"),"19.5")</f>
        <v>19.5</v>
      </c>
      <c r="D3" s="0" t="str">
        <f aca="false">IFERROR(__xludf.dummyfunction("ROUND(0.00909003 * (FILTER('Go Base Stats'!$C$2:$C1000, 'Go Base Stats'!$A$2:$A1000 = $A3)+7.5)^0.5 *(FILTER('Go Base Stats'!$D$2:$D1000, 'Go Base Stats'!$A$2:$A1000 = $A3) + 7.5)*(FILTER('Go Base Stats'!$E$2:$E1000, 'Go Base Stats'!$A$2:$A1000 = $A3) + 7.5)^0.5 / 10, 1)"),"21.6")</f>
        <v>21.6</v>
      </c>
      <c r="E3" s="0" t="str">
        <f aca="false">IFERROR(__xludf.dummyfunction("ROUND(0.00909003 * (FILTER('Go Base Stats'!$C$2:$C1000, 'Go Base Stats'!$A$2:$A1000 = $A3)+15)^0.5 *(FILTER('Go Base Stats'!$D$2:$D1000, 'Go Base Stats'!$A$2:$A1000 = $A3) +15)*(FILTER('Go Base Stats'!$E$2:$E1000, 'Go Base Stats'!$A$2:$A1000 = $A3) + 15)^0.5 / 10, 1)"),"23.8")</f>
        <v>23.8</v>
      </c>
      <c r="F3" s="6" t="n">
        <f aca="false">ROUND(D3/D2, 1)</f>
        <v>1.6</v>
      </c>
      <c r="G3" s="6" t="str">
        <f aca="false">IFERROR(__xludf.dummyfunction("FILTER('Base Stats'!$C$2:$C1000, LOWER('Base Stats'!$B$2:$B1000) = LOWER($B3))"),"60")</f>
        <v>60</v>
      </c>
      <c r="H3" s="0" t="str">
        <f aca="false">IFERROR(__xludf.dummyfunction("FLOOR((0.7903)^2 * (FILTER('Go Base Stats'!$C$2:$C1000, 'Go Base Stats'!$A$2:$A1000 = $A3)+15)^0.5 *(FILTER('Go Base Stats'!$D$2:$D1000, 'Go Base Stats'!$A$2:$A1000 = $A3) +15)*(FILTER('Go Base Stats'!$E$2:$E1000, 'Go Base Stats'!$A$2:$A1000 = $A3) + 15)^0.5 / 10)"),"1632")</f>
        <v>1632</v>
      </c>
      <c r="I3" s="0" t="str">
        <f aca="false">IFERROR(__xludf.dummyfunction("FLOOR(0.7903* (FILTER('Go Base Stats'!$C$2:$C1000, 'Go Base Stats'!$A$2:$A1000 = $A3)+15))"),"106")</f>
        <v>106</v>
      </c>
      <c r="J3" s="17"/>
      <c r="K3" s="17"/>
      <c r="L3" s="17"/>
      <c r="M3" s="12" t="e">
        <f aca="false">IF(NOT(ISBLANK($R3)), $R3, IF(ROUND($P3, 1) = 0, "", ROUND($P3, 1) ))</f>
        <v>#VALUE!</v>
      </c>
      <c r="N3" s="13" t="e">
        <f aca="false">ABS(M3-D3)/M3</f>
        <v>#VALUE!</v>
      </c>
      <c r="P3" s="14" t="e">
        <f aca="false">IFERROR((U3+V3)/(W3+X3))</f>
        <v>#VALUE!</v>
      </c>
      <c r="Q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LOWER($B3)))
)"),"")</f>
        <v/>
      </c>
      <c r="R3" s="16"/>
      <c r="U3" s="0" t="str">
        <f aca="false">IFERROR(__xludf.dummyfunction("IFERROR(SUM(FILTER('Form Responses (Power-up data)'!$C$2:$C1000, LOWER('Form Responses (Power-up data)'!$B$2:$B1000) = LOWER($B3))), 0)"),"0")</f>
        <v>0</v>
      </c>
      <c r="V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LOWER($B3))
),0)"),"22")</f>
        <v>22</v>
      </c>
      <c r="W3" s="0" t="str">
        <f aca="false">IFERROR(__xludf.dummyfunction("COUNT(FILTER('Form Responses (Power-up data)'!$C$2:$C1000, LOWER('Form Responses (Power-up data)'!$B$2:$B1000) = LOWER($B3)))"),"0")</f>
        <v>0</v>
      </c>
      <c r="X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LOWER($B3)))"),"1")</f>
        <v>1</v>
      </c>
      <c r="Y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LOWER($B3))), 2)))"),"/")</f>
        <v>/</v>
      </c>
    </row>
    <row r="4" customFormat="false" ht="15.75" hidden="false" customHeight="false" outlineLevel="0" collapsed="false">
      <c r="A4" s="10" t="n">
        <v>3</v>
      </c>
      <c r="B4" s="1" t="s">
        <v>22</v>
      </c>
      <c r="C4" s="0" t="str">
        <f aca="false">IFERROR(__xludf.dummyfunction("ROUND(0.00909003 * (FILTER('Go Base Stats'!$C$2:$C1000, 'Go Base Stats'!$A$2:$A1000 = $A4))^0.5 *(FILTER('Go Base Stats'!$D$2:$D1000, 'Go Base Stats'!$A$2:$A1000 = $A4))*(FILTER('Go Base Stats'!$E$2:$E1000, 'Go Base Stats'!$A$2:$A1000 = $A4))^0.5 / 10, 1)"),"32.2")</f>
        <v>32.2</v>
      </c>
      <c r="D4" s="0" t="str">
        <f aca="false">IFERROR(__xludf.dummyfunction("ROUND(0.00909003 * (FILTER('Go Base Stats'!$C$2:$C1000, 'Go Base Stats'!$A$2:$A1000 = $A4)+7.5)^0.5 *(FILTER('Go Base Stats'!$D$2:$D1000, 'Go Base Stats'!$A$2:$A1000 = $A4) + 7.5)*(FILTER('Go Base Stats'!$E$2:$E1000, 'Go Base Stats'!$A$2:$A1000 = $A4) + 7.5)^0.5 / 10, 1)"),"34.8")</f>
        <v>34.8</v>
      </c>
      <c r="E4" s="0" t="str">
        <f aca="false">IFERROR(__xludf.dummyfunction("ROUND(0.00909003 * (FILTER('Go Base Stats'!$C$2:$C1000, 'Go Base Stats'!$A$2:$A1000 = $A4)+15)^0.5 *(FILTER('Go Base Stats'!$D$2:$D1000, 'Go Base Stats'!$A$2:$A1000 = $A4) +15)*(FILTER('Go Base Stats'!$E$2:$E1000, 'Go Base Stats'!$A$2:$A1000 = $A4) + 15)^0.5 / 10, 1)"),"37.6")</f>
        <v>37.6</v>
      </c>
      <c r="F4" s="6" t="n">
        <f aca="false">ROUND(D4/D3, 1)</f>
        <v>1.6</v>
      </c>
      <c r="G4" s="6" t="str">
        <f aca="false">IFERROR(__xludf.dummyfunction("FILTER('Base Stats'!$C$2:$C1000, LOWER('Base Stats'!$B$2:$B1000) = LOWER($B4))"),"80")</f>
        <v>80</v>
      </c>
      <c r="H4" s="0" t="str">
        <f aca="false">IFERROR(__xludf.dummyfunction("FLOOR((0.7903)^2 * (FILTER('Go Base Stats'!$C$2:$C1000, 'Go Base Stats'!$A$2:$A1000 = $A4)+15)^0.5 *(FILTER('Go Base Stats'!$D$2:$D1000, 'Go Base Stats'!$A$2:$A1000 = $A4) +15)*(FILTER('Go Base Stats'!$E$2:$E1000, 'Go Base Stats'!$A$2:$A1000 = $A4) + 15)^0.5 / 10)"),"2580")</f>
        <v>2580</v>
      </c>
      <c r="I4" s="0" t="str">
        <f aca="false">IFERROR(__xludf.dummyfunction("FLOOR(0.7903* (FILTER('Go Base Stats'!$C$2:$C1000, 'Go Base Stats'!$A$2:$A1000 = $A4)+15))"),"138")</f>
        <v>138</v>
      </c>
      <c r="J4" s="17"/>
      <c r="K4" s="17"/>
      <c r="L4" s="17"/>
      <c r="M4" s="12" t="e">
        <f aca="false">IF(NOT(ISBLANK($R4)), $R4, IF(ROUND($P4, 1) = 0, "", ROUND($P4, 1) ))</f>
        <v>#VALUE!</v>
      </c>
      <c r="N4" s="13" t="e">
        <f aca="false">ABS(M4-D4)/M4</f>
        <v>#VALUE!</v>
      </c>
      <c r="P4" s="14" t="e">
        <f aca="false">IFERROR((U4+V4)/(W4+X4))</f>
        <v>#VALUE!</v>
      </c>
      <c r="Q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LOWER($B4)))
)"),"")</f>
        <v/>
      </c>
      <c r="R4" s="16"/>
      <c r="U4" s="0" t="str">
        <f aca="false">IFERROR(__xludf.dummyfunction("IFERROR(SUM(FILTER('Form Responses (Power-up data)'!$C$2:$C1000, LOWER('Form Responses (Power-up data)'!$B$2:$B1000) = LOWER($B4))), 0)"),"0")</f>
        <v>0</v>
      </c>
      <c r="V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LOWER($B4))
),0)"),"67")</f>
        <v>67</v>
      </c>
      <c r="W4" s="0" t="str">
        <f aca="false">IFERROR(__xludf.dummyfunction("COUNT(FILTER('Form Responses (Power-up data)'!$C$2:$C1000, LOWER('Form Responses (Power-up data)'!$B$2:$B1000) = LOWER($B4)))"),"0")</f>
        <v>0</v>
      </c>
      <c r="X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LOWER($B4)))"),"2")</f>
        <v>2</v>
      </c>
      <c r="Y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LOWER($B4))), 2)))"),"/")</f>
        <v>/</v>
      </c>
    </row>
    <row r="5" customFormat="false" ht="15.75" hidden="false" customHeight="false" outlineLevel="0" collapsed="false">
      <c r="A5" s="10" t="n">
        <v>4</v>
      </c>
      <c r="B5" s="1" t="s">
        <v>23</v>
      </c>
      <c r="C5" s="0" t="str">
        <f aca="false">IFERROR(__xludf.dummyfunction("ROUND(0.00909003 * (FILTER('Go Base Stats'!$C$2:$C1000, 'Go Base Stats'!$A$2:$A1000 = $A5))^0.5 *(FILTER('Go Base Stats'!$D$2:$D1000, 'Go Base Stats'!$A$2:$A1000 = $A5))*(FILTER('Go Base Stats'!$E$2:$E1000, 'Go Base Stats'!$A$2:$A1000 = $A5))^0.5 / 10, 1)"),"10.7")</f>
        <v>10.7</v>
      </c>
      <c r="D5" s="0" t="str">
        <f aca="false">IFERROR(__xludf.dummyfunction("ROUND(0.00909003 * (FILTER('Go Base Stats'!$C$2:$C1000, 'Go Base Stats'!$A$2:$A1000 = $A5)+7.5)^0.5 *(FILTER('Go Base Stats'!$D$2:$D1000, 'Go Base Stats'!$A$2:$A1000 = $A5) + 7.5)*(FILTER('Go Base Stats'!$E$2:$E1000, 'Go Base Stats'!$A$2:$A1000 = $A5) + 7.5)^0.5 / 10, 1)"),"12.2")</f>
        <v>12.2</v>
      </c>
      <c r="E5" s="0" t="str">
        <f aca="false">IFERROR(__xludf.dummyfunction("ROUND(0.00909003 * (FILTER('Go Base Stats'!$C$2:$C1000, 'Go Base Stats'!$A$2:$A1000 = $A5)+15)^0.5 *(FILTER('Go Base Stats'!$D$2:$D1000, 'Go Base Stats'!$A$2:$A1000 = $A5) +15)*(FILTER('Go Base Stats'!$E$2:$E1000, 'Go Base Stats'!$A$2:$A1000 = $A5) + 15)^0.5 / 10, 1)"),"13.9")</f>
        <v>13.9</v>
      </c>
      <c r="F5" s="6"/>
      <c r="G5" s="6" t="str">
        <f aca="false">IFERROR(__xludf.dummyfunction("FILTER('Base Stats'!$C$2:$C1000, LOWER('Base Stats'!$B$2:$B1000) = LOWER($B5))"),"39")</f>
        <v>39</v>
      </c>
      <c r="H5" s="0" t="str">
        <f aca="false">IFERROR(__xludf.dummyfunction("FLOOR((0.7903)^2 * (FILTER('Go Base Stats'!$C$2:$C1000, 'Go Base Stats'!$A$2:$A1000 = $A5)+15)^0.5 *(FILTER('Go Base Stats'!$D$2:$D1000, 'Go Base Stats'!$A$2:$A1000 = $A5) +15)*(FILTER('Go Base Stats'!$E$2:$E1000, 'Go Base Stats'!$A$2:$A1000 = $A5) + 15)^0.5 / 10)"),"955")</f>
        <v>955</v>
      </c>
      <c r="I5" s="0" t="str">
        <f aca="false">IFERROR(__xludf.dummyfunction("FLOOR(0.7903* (FILTER('Go Base Stats'!$C$2:$C1000, 'Go Base Stats'!$A$2:$A1000 = $A5)+15))"),"73")</f>
        <v>73</v>
      </c>
      <c r="J5" s="17"/>
      <c r="K5" s="17"/>
      <c r="L5" s="17"/>
      <c r="M5" s="12" t="e">
        <f aca="false">IF(NOT(ISBLANK($R5)), $R5, IF(ROUND($P5, 1) = 0, "", ROUND($P5, 1) ))</f>
        <v>#VALUE!</v>
      </c>
      <c r="N5" s="13" t="e">
        <f aca="false">ABS(M5-D5)/M5</f>
        <v>#VALUE!</v>
      </c>
      <c r="P5" s="14" t="e">
        <f aca="false">IFERROR((U5+V5)/(W5+X5))</f>
        <v>#VALUE!</v>
      </c>
      <c r="Q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LOWER($B5)))
)"),"")</f>
        <v/>
      </c>
      <c r="R5" s="16"/>
      <c r="U5" s="0" t="str">
        <f aca="false">IFERROR(__xludf.dummyfunction("IFERROR(SUM(FILTER('Form Responses (Power-up data)'!$C$2:$C1000, LOWER('Form Responses (Power-up data)'!$B$2:$B1000) = LOWER($B5))), 0)"),"0")</f>
        <v>0</v>
      </c>
      <c r="V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LOWER($B5))
),0)"),"68")</f>
        <v>68</v>
      </c>
      <c r="W5" s="0" t="str">
        <f aca="false">IFERROR(__xludf.dummyfunction("COUNT(FILTER('Form Responses (Power-up data)'!$C$2:$C1000, LOWER('Form Responses (Power-up data)'!$B$2:$B1000) = LOWER($B5)))"),"0")</f>
        <v>0</v>
      </c>
      <c r="X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LOWER($B5)))"),"5")</f>
        <v>5</v>
      </c>
      <c r="Y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LOWER($B5))), 2)))"),"/")</f>
        <v>/</v>
      </c>
    </row>
    <row r="6" customFormat="false" ht="15.75" hidden="false" customHeight="false" outlineLevel="0" collapsed="false">
      <c r="A6" s="10" t="n">
        <v>5</v>
      </c>
      <c r="B6" s="1" t="s">
        <v>24</v>
      </c>
      <c r="C6" s="0" t="str">
        <f aca="false">IFERROR(__xludf.dummyfunction("ROUND(0.00909003 * (FILTER('Go Base Stats'!$C$2:$C1000, 'Go Base Stats'!$A$2:$A1000 = $A6))^0.5 *(FILTER('Go Base Stats'!$D$2:$D1000, 'Go Base Stats'!$A$2:$A1000 = $A6))*(FILTER('Go Base Stats'!$E$2:$E1000, 'Go Base Stats'!$A$2:$A1000 = $A6))^0.5 / 10, 1)"),"18.5")</f>
        <v>18.5</v>
      </c>
      <c r="D6" s="0" t="str">
        <f aca="false">IFERROR(__xludf.dummyfunction("ROUND(0.00909003 * (FILTER('Go Base Stats'!$C$2:$C1000, 'Go Base Stats'!$A$2:$A1000 = $A6)+7.5)^0.5 *(FILTER('Go Base Stats'!$D$2:$D1000, 'Go Base Stats'!$A$2:$A1000 = $A6) + 7.5)*(FILTER('Go Base Stats'!$E$2:$E1000, 'Go Base Stats'!$A$2:$A1000 = $A6) + 7.5)^0.5 / 10, 1)"),"20.5")</f>
        <v>20.5</v>
      </c>
      <c r="E6" s="0" t="str">
        <f aca="false">IFERROR(__xludf.dummyfunction("ROUND(0.00909003 * (FILTER('Go Base Stats'!$C$2:$C1000, 'Go Base Stats'!$A$2:$A1000 = $A6)+15)^0.5 *(FILTER('Go Base Stats'!$D$2:$D1000, 'Go Base Stats'!$A$2:$A1000 = $A6) +15)*(FILTER('Go Base Stats'!$E$2:$E1000, 'Go Base Stats'!$A$2:$A1000 = $A6) + 15)^0.5 / 10, 1)"),"22.7")</f>
        <v>22.7</v>
      </c>
      <c r="F6" s="6" t="n">
        <f aca="false">ROUND(D6/D5, 1)</f>
        <v>1.7</v>
      </c>
      <c r="G6" s="6" t="str">
        <f aca="false">IFERROR(__xludf.dummyfunction("FILTER('Base Stats'!$C$2:$C1000, LOWER('Base Stats'!$B$2:$B1000) = LOWER($B6))"),"58")</f>
        <v>58</v>
      </c>
      <c r="H6" s="0" t="str">
        <f aca="false">IFERROR(__xludf.dummyfunction("FLOOR((0.7903)^2 * (FILTER('Go Base Stats'!$C$2:$C1000, 'Go Base Stats'!$A$2:$A1000 = $A6)+15)^0.5 *(FILTER('Go Base Stats'!$D$2:$D1000, 'Go Base Stats'!$A$2:$A1000 = $A6) +15)*(FILTER('Go Base Stats'!$E$2:$E1000, 'Go Base Stats'!$A$2:$A1000 = $A6) + 15)^0.5 / 10)"),"1557")</f>
        <v>1557</v>
      </c>
      <c r="I6" s="0" t="str">
        <f aca="false">IFERROR(__xludf.dummyfunction("FLOOR(0.7903* (FILTER('Go Base Stats'!$C$2:$C1000, 'Go Base Stats'!$A$2:$A1000 = $A6)+15))"),"103")</f>
        <v>103</v>
      </c>
      <c r="J6" s="17"/>
      <c r="K6" s="17"/>
      <c r="L6" s="17"/>
      <c r="M6" s="12" t="e">
        <f aca="false">IF(NOT(ISBLANK($R6)), $R6, IF(ROUND($P6, 1) = 0, "", ROUND($P6, 1) ))</f>
        <v>#VALUE!</v>
      </c>
      <c r="N6" s="13" t="e">
        <f aca="false">ABS(M6-D6)/M6</f>
        <v>#VALUE!</v>
      </c>
      <c r="P6" s="14" t="e">
        <f aca="false">IFERROR((U6+V6)/(W6+X6))</f>
        <v>#VALUE!</v>
      </c>
      <c r="Q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LOWER($B6)))
)"),"2.197586828")</f>
        <v>2.197586828</v>
      </c>
      <c r="R6" s="16"/>
      <c r="U6" s="0" t="str">
        <f aca="false">IFERROR(__xludf.dummyfunction("IFERROR(SUM(FILTER('Form Responses (Power-up data)'!$C$2:$C1000, LOWER('Form Responses (Power-up data)'!$B$2:$B1000) = LOWER($B6))), 0)"),"0")</f>
        <v>0</v>
      </c>
      <c r="V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LOWER($B6))
),0)"),"23")</f>
        <v>23</v>
      </c>
      <c r="W6" s="0" t="str">
        <f aca="false">IFERROR(__xludf.dummyfunction("COUNT(FILTER('Form Responses (Power-up data)'!$C$2:$C1000, LOWER('Form Responses (Power-up data)'!$B$2:$B1000) = LOWER($B6)))"),"0")</f>
        <v>0</v>
      </c>
      <c r="X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LOWER($B6)))"),"1")</f>
        <v>1</v>
      </c>
      <c r="Y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LOWER($B6))), 2)))"),"1.61/2.61")</f>
        <v>1.61/2.61</v>
      </c>
    </row>
    <row r="7" customFormat="false" ht="15.75" hidden="false" customHeight="false" outlineLevel="0" collapsed="false">
      <c r="A7" s="10" t="n">
        <v>6</v>
      </c>
      <c r="B7" s="1" t="s">
        <v>25</v>
      </c>
      <c r="C7" s="0" t="str">
        <f aca="false">IFERROR(__xludf.dummyfunction("ROUND(0.00909003 * (FILTER('Go Base Stats'!$C$2:$C1000, 'Go Base Stats'!$A$2:$A1000 = $A7))^0.5 *(FILTER('Go Base Stats'!$D$2:$D1000, 'Go Base Stats'!$A$2:$A1000 = $A7))*(FILTER('Go Base Stats'!$E$2:$E1000, 'Go Base Stats'!$A$2:$A1000 = $A7))^0.5 / 10, 1)"),"32.5")</f>
        <v>32.5</v>
      </c>
      <c r="D7" s="0" t="str">
        <f aca="false">IFERROR(__xludf.dummyfunction("ROUND(0.00909003 * (FILTER('Go Base Stats'!$C$2:$C1000, 'Go Base Stats'!$A$2:$A1000 = $A7)+7.5)^0.5 *(FILTER('Go Base Stats'!$D$2:$D1000, 'Go Base Stats'!$A$2:$A1000 = $A7) + 7.5)*(FILTER('Go Base Stats'!$E$2:$E1000, 'Go Base Stats'!$A$2:$A1000 = $A7) + 7.5)^0.5 / 10, 1)"),"35.1")</f>
        <v>35.1</v>
      </c>
      <c r="E7" s="0" t="str">
        <f aca="false">IFERROR(__xludf.dummyfunction("ROUND(0.00909003 * (FILTER('Go Base Stats'!$C$2:$C1000, 'Go Base Stats'!$A$2:$A1000 = $A7)+15)^0.5 *(FILTER('Go Base Stats'!$D$2:$D1000, 'Go Base Stats'!$A$2:$A1000 = $A7) +15)*(FILTER('Go Base Stats'!$E$2:$E1000, 'Go Base Stats'!$A$2:$A1000 = $A7) + 15)^0.5 / 10, 1)"),"37.9")</f>
        <v>37.9</v>
      </c>
      <c r="F7" s="6" t="n">
        <f aca="false">ROUND(D7/D6, 1)</f>
        <v>1.7</v>
      </c>
      <c r="G7" s="6" t="str">
        <f aca="false">IFERROR(__xludf.dummyfunction("FILTER('Base Stats'!$C$2:$C1000, LOWER('Base Stats'!$B$2:$B1000) = LOWER($B7))"),"78")</f>
        <v>78</v>
      </c>
      <c r="H7" s="0" t="str">
        <f aca="false">IFERROR(__xludf.dummyfunction("FLOOR((0.7903)^2 * (FILTER('Go Base Stats'!$C$2:$C1000, 'Go Base Stats'!$A$2:$A1000 = $A7)+15)^0.5 *(FILTER('Go Base Stats'!$D$2:$D1000, 'Go Base Stats'!$A$2:$A1000 = $A7) +15)*(FILTER('Go Base Stats'!$E$2:$E1000, 'Go Base Stats'!$A$2:$A1000 = $A7) + 15)^0.5 / 10)"),"2602")</f>
        <v>2602</v>
      </c>
      <c r="I7" s="0" t="str">
        <f aca="false">IFERROR(__xludf.dummyfunction("FLOOR(0.7903* (FILTER('Go Base Stats'!$C$2:$C1000, 'Go Base Stats'!$A$2:$A1000 = $A7)+15))"),"135")</f>
        <v>135</v>
      </c>
      <c r="J7" s="17"/>
      <c r="K7" s="17"/>
      <c r="L7" s="17"/>
      <c r="M7" s="12" t="e">
        <f aca="false">IF(NOT(ISBLANK($R7)), $R7, IF(ROUND($P7, 1) = 0, "", ROUND($P7, 1) ))</f>
        <v>#VALUE!</v>
      </c>
      <c r="N7" s="13" t="e">
        <f aca="false">ABS(M7-D7)/M7</f>
        <v>#VALUE!</v>
      </c>
      <c r="P7" s="14" t="e">
        <f aca="false">IFERROR((U7+V7)/(W7+X7))</f>
        <v>#VALUE!</v>
      </c>
      <c r="Q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LOWER($B7)))
)"),"")</f>
        <v/>
      </c>
      <c r="R7" s="16"/>
      <c r="U7" s="0" t="str">
        <f aca="false">IFERROR(__xludf.dummyfunction("IFERROR(SUM(FILTER('Form Responses (Power-up data)'!$C$2:$C1000, LOWER('Form Responses (Power-up data)'!$B$2:$B1000) = LOWER($B7))), 0)"),"0")</f>
        <v>0</v>
      </c>
      <c r="V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LOWER($B7))
),0)"),"33")</f>
        <v>33</v>
      </c>
      <c r="W7" s="0" t="str">
        <f aca="false">IFERROR(__xludf.dummyfunction("COUNT(FILTER('Form Responses (Power-up data)'!$C$2:$C1000, LOWER('Form Responses (Power-up data)'!$B$2:$B1000) = LOWER($B7)))"),"0")</f>
        <v>0</v>
      </c>
      <c r="X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LOWER($B7)))"),"1")</f>
        <v>1</v>
      </c>
      <c r="Y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LOWER($B7))), 2)))"),"/")</f>
        <v>/</v>
      </c>
    </row>
    <row r="8" customFormat="false" ht="15.75" hidden="false" customHeight="false" outlineLevel="0" collapsed="false">
      <c r="A8" s="10" t="n">
        <v>7</v>
      </c>
      <c r="B8" s="1" t="s">
        <v>26</v>
      </c>
      <c r="C8" s="0" t="str">
        <f aca="false">IFERROR(__xludf.dummyfunction("ROUND(0.00909003 * (FILTER('Go Base Stats'!$C$2:$C1000, 'Go Base Stats'!$A$2:$A1000 = $A8))^0.5 *(FILTER('Go Base Stats'!$D$2:$D1000, 'Go Base Stats'!$A$2:$A1000 = $A8))*(FILTER('Go Base Stats'!$E$2:$E1000, 'Go Base Stats'!$A$2:$A1000 = $A8))^0.5 / 10, 1)"),"11.4")</f>
        <v>11.4</v>
      </c>
      <c r="D8" s="0" t="str">
        <f aca="false">IFERROR(__xludf.dummyfunction("ROUND(0.00909003 * (FILTER('Go Base Stats'!$C$2:$C1000, 'Go Base Stats'!$A$2:$A1000 = $A8)+7.5)^0.5 *(FILTER('Go Base Stats'!$D$2:$D1000, 'Go Base Stats'!$A$2:$A1000 = $A8) + 7.5)*(FILTER('Go Base Stats'!$E$2:$E1000, 'Go Base Stats'!$A$2:$A1000 = $A8) + 7.5)^0.5 / 10, 1)"),"13")</f>
        <v>13</v>
      </c>
      <c r="E8" s="0" t="str">
        <f aca="false">IFERROR(__xludf.dummyfunction("ROUND(0.00909003 * (FILTER('Go Base Stats'!$C$2:$C1000, 'Go Base Stats'!$A$2:$A1000 = $A8)+15)^0.5 *(FILTER('Go Base Stats'!$D$2:$D1000, 'Go Base Stats'!$A$2:$A1000 = $A8) +15)*(FILTER('Go Base Stats'!$E$2:$E1000, 'Go Base Stats'!$A$2:$A1000 = $A8) + 15)^0.5 / 10, 1)"),"14.7")</f>
        <v>14.7</v>
      </c>
      <c r="F8" s="6"/>
      <c r="G8" s="6" t="str">
        <f aca="false">IFERROR(__xludf.dummyfunction("FILTER('Base Stats'!$C$2:$C1000, LOWER('Base Stats'!$B$2:$B1000) = LOWER($B8))"),"44")</f>
        <v>44</v>
      </c>
      <c r="H8" s="0" t="str">
        <f aca="false">IFERROR(__xludf.dummyfunction("FLOOR((0.7903)^2 * (FILTER('Go Base Stats'!$C$2:$C1000, 'Go Base Stats'!$A$2:$A1000 = $A8)+15)^0.5 *(FILTER('Go Base Stats'!$D$2:$D1000, 'Go Base Stats'!$A$2:$A1000 = $A8) +15)*(FILTER('Go Base Stats'!$E$2:$E1000, 'Go Base Stats'!$A$2:$A1000 = $A8) + 15)^0.5 / 10)"),"1008")</f>
        <v>1008</v>
      </c>
      <c r="I8" s="0" t="str">
        <f aca="false">IFERROR(__xludf.dummyfunction("FLOOR(0.7903* (FILTER('Go Base Stats'!$C$2:$C1000, 'Go Base Stats'!$A$2:$A1000 = $A8)+15))"),"81")</f>
        <v>81</v>
      </c>
      <c r="J8" s="17"/>
      <c r="K8" s="17"/>
      <c r="L8" s="17"/>
      <c r="M8" s="12" t="e">
        <f aca="false">IF(NOT(ISBLANK($R8)), $R8, IF(ROUND($P8, 1) = 0, "", ROUND($P8, 1) ))</f>
        <v>#VALUE!</v>
      </c>
      <c r="N8" s="13" t="e">
        <f aca="false">ABS(M8-D8)/M8</f>
        <v>#VALUE!</v>
      </c>
      <c r="P8" s="14" t="e">
        <f aca="false">IFERROR((U8+V8)/(W8+X8))</f>
        <v>#VALUE!</v>
      </c>
      <c r="Q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LOWER($B8)))
)"),"")</f>
        <v/>
      </c>
      <c r="R8" s="16"/>
      <c r="U8" s="0" t="str">
        <f aca="false">IFERROR(__xludf.dummyfunction("IFERROR(SUM(FILTER('Form Responses (Power-up data)'!$C$2:$C1000, LOWER('Form Responses (Power-up data)'!$B$2:$B1000) = LOWER($B8))), 0)"),"0")</f>
        <v>0</v>
      </c>
      <c r="V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LOWER($B8))
),0)"),"39")</f>
        <v>39</v>
      </c>
      <c r="W8" s="0" t="str">
        <f aca="false">IFERROR(__xludf.dummyfunction("COUNT(FILTER('Form Responses (Power-up data)'!$C$2:$C1000, LOWER('Form Responses (Power-up data)'!$B$2:$B1000) = LOWER($B8)))"),"0")</f>
        <v>0</v>
      </c>
      <c r="X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LOWER($B8)))"),"3")</f>
        <v>3</v>
      </c>
      <c r="Y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LOWER($B8))), 2)))"),"/")</f>
        <v>/</v>
      </c>
    </row>
    <row r="9" customFormat="false" ht="15.75" hidden="false" customHeight="false" outlineLevel="0" collapsed="false">
      <c r="A9" s="10" t="n">
        <v>8</v>
      </c>
      <c r="B9" s="1" t="s">
        <v>27</v>
      </c>
      <c r="C9" s="0" t="str">
        <f aca="false">IFERROR(__xludf.dummyfunction("ROUND(0.00909003 * (FILTER('Go Base Stats'!$C$2:$C1000, 'Go Base Stats'!$A$2:$A1000 = $A9))^0.5 *(FILTER('Go Base Stats'!$D$2:$D1000, 'Go Base Stats'!$A$2:$A1000 = $A9))*(FILTER('Go Base Stats'!$E$2:$E1000, 'Go Base Stats'!$A$2:$A1000 = $A9))^0.5 / 10, 1)"),"18.9")</f>
        <v>18.9</v>
      </c>
      <c r="D9" s="0" t="str">
        <f aca="false">IFERROR(__xludf.dummyfunction("ROUND(0.00909003 * (FILTER('Go Base Stats'!$C$2:$C1000, 'Go Base Stats'!$A$2:$A1000 = $A9)+7.5)^0.5 *(FILTER('Go Base Stats'!$D$2:$D1000, 'Go Base Stats'!$A$2:$A1000 = $A9) + 7.5)*(FILTER('Go Base Stats'!$E$2:$E1000, 'Go Base Stats'!$A$2:$A1000 = $A9) + 7.5)^0.5 / 10, 1)"),"20.9")</f>
        <v>20.9</v>
      </c>
      <c r="E9" s="0" t="str">
        <f aca="false">IFERROR(__xludf.dummyfunction("ROUND(0.00909003 * (FILTER('Go Base Stats'!$C$2:$C1000, 'Go Base Stats'!$A$2:$A1000 = $A9)+15)^0.5 *(FILTER('Go Base Stats'!$D$2:$D1000, 'Go Base Stats'!$A$2:$A1000 = $A9) +15)*(FILTER('Go Base Stats'!$E$2:$E1000, 'Go Base Stats'!$A$2:$A1000 = $A9) + 15)^0.5 / 10, 1)"),"23")</f>
        <v>23</v>
      </c>
      <c r="F9" s="6" t="n">
        <f aca="false">ROUND(D9/D8, 1)</f>
        <v>1.6</v>
      </c>
      <c r="G9" s="6" t="str">
        <f aca="false">IFERROR(__xludf.dummyfunction("FILTER('Base Stats'!$C$2:$C1000, LOWER('Base Stats'!$B$2:$B1000) = LOWER($B9))"),"59")</f>
        <v>59</v>
      </c>
      <c r="H9" s="0" t="str">
        <f aca="false">IFERROR(__xludf.dummyfunction("FLOOR((0.7903)^2 * (FILTER('Go Base Stats'!$C$2:$C1000, 'Go Base Stats'!$A$2:$A1000 = $A9)+15)^0.5 *(FILTER('Go Base Stats'!$D$2:$D1000, 'Go Base Stats'!$A$2:$A1000 = $A9) +15)*(FILTER('Go Base Stats'!$E$2:$E1000, 'Go Base Stats'!$A$2:$A1000 = $A9) + 15)^0.5 / 10)"),"1582")</f>
        <v>1582</v>
      </c>
      <c r="I9" s="0" t="str">
        <f aca="false">IFERROR(__xludf.dummyfunction("FLOOR(0.7903* (FILTER('Go Base Stats'!$C$2:$C1000, 'Go Base Stats'!$A$2:$A1000 = $A9)+15))"),"105")</f>
        <v>105</v>
      </c>
      <c r="J9" s="17"/>
      <c r="K9" s="17"/>
      <c r="L9" s="17"/>
      <c r="M9" s="12" t="n">
        <f aca="false">IF(NOT(ISBLANK($R9)), $R9, IF(ROUND($P9, 1) = 0, "", ROUND($P9, 1) ))</f>
        <v>21</v>
      </c>
      <c r="N9" s="13" t="n">
        <f aca="false">ABS(M9-D9)/M9</f>
        <v>0.00476190476190483</v>
      </c>
      <c r="P9" s="14" t="e">
        <f aca="false">IFERROR((U9+V9)/(W9+X9))</f>
        <v>#VALUE!</v>
      </c>
      <c r="Q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LOWER($B9)))
)"),"1.596797052")</f>
        <v>1.596797052</v>
      </c>
      <c r="R9" s="16" t="n">
        <v>21</v>
      </c>
      <c r="U9" s="0" t="str">
        <f aca="false">IFERROR(__xludf.dummyfunction("IFERROR(SUM(FILTER('Form Responses (Power-up data)'!$C$2:$C1000, LOWER('Form Responses (Power-up data)'!$B$2:$B1000) = LOWER($B9))), 0)"),"0")</f>
        <v>0</v>
      </c>
      <c r="V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LOWER($B9))
),0)"),"0")</f>
        <v>0</v>
      </c>
      <c r="W9" s="0" t="str">
        <f aca="false">IFERROR(__xludf.dummyfunction("COUNT(FILTER('Form Responses (Power-up data)'!$C$2:$C1000, LOWER('Form Responses (Power-up data)'!$B$2:$B1000) = LOWER($B9)))"),"0")</f>
        <v>0</v>
      </c>
      <c r="X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LOWER($B9)))"),"0")</f>
        <v>0</v>
      </c>
      <c r="Y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LOWER($B9))), 2)))"),"1.56/1.63")</f>
        <v>1.56/1.63</v>
      </c>
    </row>
    <row r="10" customFormat="false" ht="15.75" hidden="false" customHeight="false" outlineLevel="0" collapsed="false">
      <c r="A10" s="10" t="n">
        <v>9</v>
      </c>
      <c r="B10" s="1" t="s">
        <v>28</v>
      </c>
      <c r="C10" s="0" t="str">
        <f aca="false">IFERROR(__xludf.dummyfunction("ROUND(0.00909003 * (FILTER('Go Base Stats'!$C$2:$C1000, 'Go Base Stats'!$A$2:$A1000 = $A10))^0.5 *(FILTER('Go Base Stats'!$D$2:$D1000, 'Go Base Stats'!$A$2:$A1000 = $A10))*(FILTER('Go Base Stats'!$E$2:$E1000, 'Go Base Stats'!$A$2:$A1000 = $A10))^0.5 / 10, 1)"),"31.7")</f>
        <v>31.7</v>
      </c>
      <c r="D10" s="0" t="str">
        <f aca="false">IFERROR(__xludf.dummyfunction("ROUND(0.00909003 * (FILTER('Go Base Stats'!$C$2:$C1000, 'Go Base Stats'!$A$2:$A1000 = $A10)+7.5)^0.5 *(FILTER('Go Base Stats'!$D$2:$D1000, 'Go Base Stats'!$A$2:$A1000 = $A10) + 7.5)*(FILTER('Go Base Stats'!$E$2:$E1000, 'Go Base Stats'!$A$2:$A1000 = $A10) + 7.5)^0.5 / 10, 1)"),"34.3")</f>
        <v>34.3</v>
      </c>
      <c r="E10" s="0" t="str">
        <f aca="false">IFERROR(__xludf.dummyfunction("ROUND(0.00909003 * (FILTER('Go Base Stats'!$C$2:$C1000, 'Go Base Stats'!$A$2:$A1000 = $A10)+15)^0.5 *(FILTER('Go Base Stats'!$D$2:$D1000, 'Go Base Stats'!$A$2:$A1000 = $A10) +15)*(FILTER('Go Base Stats'!$E$2:$E1000, 'Go Base Stats'!$A$2:$A1000 = $A10) + 15)^0.5 / 10, 1)"),"37")</f>
        <v>37</v>
      </c>
      <c r="F10" s="6" t="n">
        <f aca="false">ROUND(D10/D9, 1)</f>
        <v>1.6</v>
      </c>
      <c r="G10" s="6" t="str">
        <f aca="false">IFERROR(__xludf.dummyfunction("FILTER('Base Stats'!$C$2:$C1000, LOWER('Base Stats'!$B$2:$B1000) = LOWER($B10))"),"79")</f>
        <v>79</v>
      </c>
      <c r="H10" s="0" t="str">
        <f aca="false">IFERROR(__xludf.dummyfunction("FLOOR((0.7903)^2 * (FILTER('Go Base Stats'!$C$2:$C1000, 'Go Base Stats'!$A$2:$A1000 = $A10)+15)^0.5 *(FILTER('Go Base Stats'!$D$2:$D1000, 'Go Base Stats'!$A$2:$A1000 = $A10) +15)*(FILTER('Go Base Stats'!$E$2:$E1000, 'Go Base Stats'!$A$2:$A1000 = $A10) + 15)^0.5 / 10)"),"2542")</f>
        <v>2542</v>
      </c>
      <c r="I10" s="0" t="str">
        <f aca="false">IFERROR(__xludf.dummyfunction("FLOOR(0.7903* (FILTER('Go Base Stats'!$C$2:$C1000, 'Go Base Stats'!$A$2:$A1000 = $A10)+15))"),"136")</f>
        <v>136</v>
      </c>
      <c r="J10" s="17"/>
      <c r="K10" s="17"/>
      <c r="L10" s="17"/>
      <c r="M10" s="12" t="e">
        <f aca="false">IF(NOT(ISBLANK($R10)), $R10, IF(ROUND($P10, 1) = 0, "", ROUND($P10, 1) ))</f>
        <v>#VALUE!</v>
      </c>
      <c r="N10" s="13" t="e">
        <f aca="false">ABS(M10-D10)/M10</f>
        <v>#VALUE!</v>
      </c>
      <c r="P10" s="14" t="e">
        <f aca="false">IFERROR((U10+V10)/(W10+X10))</f>
        <v>#VALUE!</v>
      </c>
      <c r="Q1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LOWER($B10)))
)"),"1.689163948")</f>
        <v>1.689163948</v>
      </c>
      <c r="R10" s="16"/>
      <c r="U10" s="0" t="str">
        <f aca="false">IFERROR(__xludf.dummyfunction("IFERROR(SUM(FILTER('Form Responses (Power-up data)'!$C$2:$C1000, LOWER('Form Responses (Power-up data)'!$B$2:$B1000) = LOWER($B10))), 0)"),"0")</f>
        <v>0</v>
      </c>
      <c r="V1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LOWER($B10))
),0)"),"63")</f>
        <v>63</v>
      </c>
      <c r="W10" s="0" t="str">
        <f aca="false">IFERROR(__xludf.dummyfunction("COUNT(FILTER('Form Responses (Power-up data)'!$C$2:$C1000, LOWER('Form Responses (Power-up data)'!$B$2:$B1000) = LOWER($B10)))"),"0")</f>
        <v>0</v>
      </c>
      <c r="X1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LOWER($B10)))"),"2")</f>
        <v>2</v>
      </c>
      <c r="Y1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LOWER($B10))), 2)))"),"1.66/1.72")</f>
        <v>1.66/1.72</v>
      </c>
    </row>
    <row r="11" customFormat="false" ht="15.75" hidden="false" customHeight="false" outlineLevel="0" collapsed="false">
      <c r="A11" s="10" t="n">
        <v>10</v>
      </c>
      <c r="B11" s="1" t="s">
        <v>29</v>
      </c>
      <c r="C11" s="0" t="str">
        <f aca="false">IFERROR(__xludf.dummyfunction("ROUND(0.00909003 * (FILTER('Go Base Stats'!$C$2:$C1000, 'Go Base Stats'!$A$2:$A1000 = $A11))^0.5 *(FILTER('Go Base Stats'!$D$2:$D1000, 'Go Base Stats'!$A$2:$A1000 = $A11))*(FILTER('Go Base Stats'!$E$2:$E1000, 'Go Base Stats'!$A$2:$A1000 = $A11))^0.5 / 10, 1)"),"4.3")</f>
        <v>4.3</v>
      </c>
      <c r="D11" s="0" t="str">
        <f aca="false">IFERROR(__xludf.dummyfunction("ROUND(0.00909003 * (FILTER('Go Base Stats'!$C$2:$C1000, 'Go Base Stats'!$A$2:$A1000 = $A11)+7.5)^0.5 *(FILTER('Go Base Stats'!$D$2:$D1000, 'Go Base Stats'!$A$2:$A1000 = $A11) + 7.5)*(FILTER('Go Base Stats'!$E$2:$E1000, 'Go Base Stats'!$A$2:$A1000 = $A11) + 7.5)^0.5 / 10, 1)"),"5.3")</f>
        <v>5.3</v>
      </c>
      <c r="E11" s="0" t="str">
        <f aca="false">IFERROR(__xludf.dummyfunction("ROUND(0.00909003 * (FILTER('Go Base Stats'!$C$2:$C1000, 'Go Base Stats'!$A$2:$A1000 = $A11)+15)^0.5 *(FILTER('Go Base Stats'!$D$2:$D1000, 'Go Base Stats'!$A$2:$A1000 = $A11) +15)*(FILTER('Go Base Stats'!$E$2:$E1000, 'Go Base Stats'!$A$2:$A1000 = $A11) + 15)^0.5 / 10, 1)"),"6.5")</f>
        <v>6.5</v>
      </c>
      <c r="F11" s="6"/>
      <c r="G11" s="6" t="str">
        <f aca="false">IFERROR(__xludf.dummyfunction("FILTER('Base Stats'!$C$2:$C1000, LOWER('Base Stats'!$B$2:$B1000) = LOWER($B11))"),"45")</f>
        <v>45</v>
      </c>
      <c r="H11" s="0" t="str">
        <f aca="false">IFERROR(__xludf.dummyfunction("FLOOR((0.7903)^2 * (FILTER('Go Base Stats'!$C$2:$C1000, 'Go Base Stats'!$A$2:$A1000 = $A11)+15)^0.5 *(FILTER('Go Base Stats'!$D$2:$D1000, 'Go Base Stats'!$A$2:$A1000 = $A11) +15)*(FILTER('Go Base Stats'!$E$2:$E1000, 'Go Base Stats'!$A$2:$A1000 = $A11) + 15)^0.5 / 10)"),"443")</f>
        <v>443</v>
      </c>
      <c r="I11" s="0" t="str">
        <f aca="false">IFERROR(__xludf.dummyfunction("FLOOR(0.7903* (FILTER('Go Base Stats'!$C$2:$C1000, 'Go Base Stats'!$A$2:$A1000 = $A11)+15))"),"82")</f>
        <v>82</v>
      </c>
      <c r="J11" s="17"/>
      <c r="K11" s="17"/>
      <c r="L11" s="17"/>
      <c r="M11" s="12" t="e">
        <f aca="false">IF(NOT(ISBLANK($R11)), $R11, IF(ROUND($P11, 1) = 0, "", ROUND($P11, 1) ))</f>
        <v>#VALUE!</v>
      </c>
      <c r="N11" s="13" t="e">
        <f aca="false">ABS(M11-D11)/M11</f>
        <v>#VALUE!</v>
      </c>
      <c r="P11" s="14" t="e">
        <f aca="false">IFERROR((U11+V11)/(W11+X11))</f>
        <v>#VALUE!</v>
      </c>
      <c r="Q1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LOWER($B11)))
)"),"")</f>
        <v/>
      </c>
      <c r="R11" s="16"/>
      <c r="U11" s="0" t="str">
        <f aca="false">IFERROR(__xludf.dummyfunction("IFERROR(SUM(FILTER('Form Responses (Power-up data)'!$C$2:$C1000, LOWER('Form Responses (Power-up data)'!$B$2:$B1000) = LOWER($B11))), 0)"),"5")</f>
        <v>5</v>
      </c>
      <c r="V1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LOWER($B11))
),0)"),"0")</f>
        <v>0</v>
      </c>
      <c r="W11" s="0" t="str">
        <f aca="false">IFERROR(__xludf.dummyfunction("COUNT(FILTER('Form Responses (Power-up data)'!$C$2:$C1000, LOWER('Form Responses (Power-up data)'!$B$2:$B1000) = LOWER($B11)))"),"1")</f>
        <v>1</v>
      </c>
      <c r="X1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LOWER($B11)))"),"0")</f>
        <v>0</v>
      </c>
      <c r="Y1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LOWER($B11))), 2)))"),"/")</f>
        <v>/</v>
      </c>
    </row>
    <row r="12" customFormat="false" ht="15.75" hidden="false" customHeight="false" outlineLevel="0" collapsed="false">
      <c r="A12" s="10" t="n">
        <v>11</v>
      </c>
      <c r="B12" s="1" t="s">
        <v>30</v>
      </c>
      <c r="C12" s="0" t="str">
        <f aca="false">IFERROR(__xludf.dummyfunction("ROUND(0.00909003 * (FILTER('Go Base Stats'!$C$2:$C1000, 'Go Base Stats'!$A$2:$A1000 = $A12))^0.5 *(FILTER('Go Base Stats'!$D$2:$D1000, 'Go Base Stats'!$A$2:$A1000 = $A12))*(FILTER('Go Base Stats'!$E$2:$E1000, 'Go Base Stats'!$A$2:$A1000 = $A12))^0.5 / 10, 1)"),"4.7")</f>
        <v>4.7</v>
      </c>
      <c r="D12" s="0" t="str">
        <f aca="false">IFERROR(__xludf.dummyfunction("ROUND(0.00909003 * (FILTER('Go Base Stats'!$C$2:$C1000, 'Go Base Stats'!$A$2:$A1000 = $A12)+7.5)^0.5 *(FILTER('Go Base Stats'!$D$2:$D1000, 'Go Base Stats'!$A$2:$A1000 = $A12) + 7.5)*(FILTER('Go Base Stats'!$E$2:$E1000, 'Go Base Stats'!$A$2:$A1000 = $A12) + 7.5)^0.5 / 10, 1)"),"5.8")</f>
        <v>5.8</v>
      </c>
      <c r="E12" s="0" t="str">
        <f aca="false">IFERROR(__xludf.dummyfunction("ROUND(0.00909003 * (FILTER('Go Base Stats'!$C$2:$C1000, 'Go Base Stats'!$A$2:$A1000 = $A12)+15)^0.5 *(FILTER('Go Base Stats'!$D$2:$D1000, 'Go Base Stats'!$A$2:$A1000 = $A12) +15)*(FILTER('Go Base Stats'!$E$2:$E1000, 'Go Base Stats'!$A$2:$A1000 = $A12) + 15)^0.5 / 10, 1)"),"7")</f>
        <v>7</v>
      </c>
      <c r="F12" s="6" t="n">
        <f aca="false">ROUND(D12/D11, 1)</f>
        <v>1.1</v>
      </c>
      <c r="G12" s="6" t="str">
        <f aca="false">IFERROR(__xludf.dummyfunction("FILTER('Base Stats'!$C$2:$C1000, LOWER('Base Stats'!$B$2:$B1000) = LOWER($B12))"),"50")</f>
        <v>50</v>
      </c>
      <c r="H12" s="0" t="str">
        <f aca="false">IFERROR(__xludf.dummyfunction("FLOOR((0.7903)^2 * (FILTER('Go Base Stats'!$C$2:$C1000, 'Go Base Stats'!$A$2:$A1000 = $A12)+15)^0.5 *(FILTER('Go Base Stats'!$D$2:$D1000, 'Go Base Stats'!$A$2:$A1000 = $A12) +15)*(FILTER('Go Base Stats'!$E$2:$E1000, 'Go Base Stats'!$A$2:$A1000 = $A12) + 15)^0.5 / 10)"),"477")</f>
        <v>477</v>
      </c>
      <c r="I12" s="0" t="str">
        <f aca="false">IFERROR(__xludf.dummyfunction("FLOOR(0.7903* (FILTER('Go Base Stats'!$C$2:$C1000, 'Go Base Stats'!$A$2:$A1000 = $A12)+15))"),"90")</f>
        <v>90</v>
      </c>
      <c r="J12" s="17"/>
      <c r="K12" s="17"/>
      <c r="L12" s="17"/>
      <c r="M12" s="12" t="n">
        <f aca="false">IF(NOT(ISBLANK($R12)), $R12, IF(ROUND($P12, 1) = 0, "", ROUND($P12, 1) ))</f>
        <v>5.5</v>
      </c>
      <c r="N12" s="13" t="n">
        <f aca="false">ABS(M12-D12)/M12</f>
        <v>0.0545454545454545</v>
      </c>
      <c r="P12" s="14" t="e">
        <f aca="false">IFERROR((U12+V12)/(W12+X12))</f>
        <v>#VALUE!</v>
      </c>
      <c r="Q1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LOWER($B12)))
)"),"1.065685868")</f>
        <v>1.065685868</v>
      </c>
      <c r="R12" s="16" t="n">
        <v>5.5</v>
      </c>
      <c r="U12" s="0" t="str">
        <f aca="false">IFERROR(__xludf.dummyfunction("IFERROR(SUM(FILTER('Form Responses (Power-up data)'!$C$2:$C1000, LOWER('Form Responses (Power-up data)'!$B$2:$B1000) = LOWER($B12))), 0)"),"0")</f>
        <v>0</v>
      </c>
      <c r="V1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LOWER($B12))
),0)"),"24")</f>
        <v>24</v>
      </c>
      <c r="W12" s="0" t="str">
        <f aca="false">IFERROR(__xludf.dummyfunction("COUNT(FILTER('Form Responses (Power-up data)'!$C$2:$C1000, LOWER('Form Responses (Power-up data)'!$B$2:$B1000) = LOWER($B12)))"),"0")</f>
        <v>0</v>
      </c>
      <c r="X1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LOWER($B12)))"),"1")</f>
        <v>1</v>
      </c>
      <c r="Y1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LOWER($B12))), 2)))"),"1.05/1.08")</f>
        <v>1.05/1.08</v>
      </c>
    </row>
    <row r="13" customFormat="false" ht="15.75" hidden="false" customHeight="false" outlineLevel="0" collapsed="false">
      <c r="A13" s="10" t="n">
        <v>12</v>
      </c>
      <c r="B13" s="1" t="s">
        <v>31</v>
      </c>
      <c r="C13" s="0" t="str">
        <f aca="false">IFERROR(__xludf.dummyfunction("ROUND(0.00909003 * (FILTER('Go Base Stats'!$C$2:$C1000, 'Go Base Stats'!$A$2:$A1000 = $A13))^0.5 *(FILTER('Go Base Stats'!$D$2:$D1000, 'Go Base Stats'!$A$2:$A1000 = $A13))*(FILTER('Go Base Stats'!$E$2:$E1000, 'Go Base Stats'!$A$2:$A1000 = $A13))^0.5 / 10, 1)"),"17.2")</f>
        <v>17.2</v>
      </c>
      <c r="D13" s="0" t="str">
        <f aca="false">IFERROR(__xludf.dummyfunction("ROUND(0.00909003 * (FILTER('Go Base Stats'!$C$2:$C1000, 'Go Base Stats'!$A$2:$A1000 = $A13)+7.5)^0.5 *(FILTER('Go Base Stats'!$D$2:$D1000, 'Go Base Stats'!$A$2:$A1000 = $A13) + 7.5)*(FILTER('Go Base Stats'!$E$2:$E1000, 'Go Base Stats'!$A$2:$A1000 = $A13) + 7.5)^0.5 / 10, 1)"),"19.1")</f>
        <v>19.1</v>
      </c>
      <c r="E13" s="0" t="str">
        <f aca="false">IFERROR(__xludf.dummyfunction("ROUND(0.00909003 * (FILTER('Go Base Stats'!$C$2:$C1000, 'Go Base Stats'!$A$2:$A1000 = $A13)+15)^0.5 *(FILTER('Go Base Stats'!$D$2:$D1000, 'Go Base Stats'!$A$2:$A1000 = $A13) +15)*(FILTER('Go Base Stats'!$E$2:$E1000, 'Go Base Stats'!$A$2:$A1000 = $A13) + 15)^0.5 / 10, 1)"),"21.2")</f>
        <v>21.2</v>
      </c>
      <c r="F13" s="6" t="n">
        <f aca="false">ROUND(D13/D12, 1)</f>
        <v>3.3</v>
      </c>
      <c r="G13" s="6" t="str">
        <f aca="false">IFERROR(__xludf.dummyfunction("FILTER('Base Stats'!$C$2:$C1000, LOWER('Base Stats'!$B$2:$B1000) = LOWER($B13))"),"60")</f>
        <v>60</v>
      </c>
      <c r="H13" s="0" t="str">
        <f aca="false">IFERROR(__xludf.dummyfunction("FLOOR((0.7903)^2 * (FILTER('Go Base Stats'!$C$2:$C1000, 'Go Base Stats'!$A$2:$A1000 = $A13)+15)^0.5 *(FILTER('Go Base Stats'!$D$2:$D1000, 'Go Base Stats'!$A$2:$A1000 = $A13) +15)*(FILTER('Go Base Stats'!$E$2:$E1000, 'Go Base Stats'!$A$2:$A1000 = $A13) + 15)^0.5 / 10)"),"1454")</f>
        <v>1454</v>
      </c>
      <c r="I13" s="0" t="str">
        <f aca="false">IFERROR(__xludf.dummyfunction("FLOOR(0.7903* (FILTER('Go Base Stats'!$C$2:$C1000, 'Go Base Stats'!$A$2:$A1000 = $A13)+15))"),"106")</f>
        <v>106</v>
      </c>
      <c r="J13" s="17"/>
      <c r="K13" s="17"/>
      <c r="L13" s="17"/>
      <c r="M13" s="12" t="e">
        <f aca="false">IF(NOT(ISBLANK($R13)), $R13, IF(ROUND($P13, 1) = 0, "", ROUND($P13, 1) ))</f>
        <v>#VALUE!</v>
      </c>
      <c r="N13" s="13" t="e">
        <f aca="false">ABS(M13-D13)/M13</f>
        <v>#VALUE!</v>
      </c>
      <c r="P13" s="14" t="e">
        <f aca="false">IFERROR((U13+V13)/(W13+X13))</f>
        <v>#VALUE!</v>
      </c>
      <c r="Q1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LOWER($B13)))
)"),"3.889705882")</f>
        <v>3.889705882</v>
      </c>
      <c r="R13" s="16"/>
      <c r="U13" s="0" t="str">
        <f aca="false">IFERROR(__xludf.dummyfunction("IFERROR(SUM(FILTER('Form Responses (Power-up data)'!$C$2:$C1000, LOWER('Form Responses (Power-up data)'!$B$2:$B1000) = LOWER($B13))), 0)"),"0")</f>
        <v>0</v>
      </c>
      <c r="V1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LOWER($B13))
),0)"),"111")</f>
        <v>111</v>
      </c>
      <c r="W13" s="0" t="str">
        <f aca="false">IFERROR(__xludf.dummyfunction("COUNT(FILTER('Form Responses (Power-up data)'!$C$2:$C1000, LOWER('Form Responses (Power-up data)'!$B$2:$B1000) = LOWER($B13)))"),"0")</f>
        <v>0</v>
      </c>
      <c r="X1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LOWER($B13)))"),"6")</f>
        <v>6</v>
      </c>
      <c r="Y1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LOWER($B13))), 2)))"),"3.89/3.89")</f>
        <v>3.89/3.89</v>
      </c>
    </row>
    <row r="14" customFormat="false" ht="15.75" hidden="false" customHeight="false" outlineLevel="0" collapsed="false">
      <c r="A14" s="10" t="n">
        <v>13</v>
      </c>
      <c r="B14" s="1" t="s">
        <v>32</v>
      </c>
      <c r="C14" s="0" t="str">
        <f aca="false">IFERROR(__xludf.dummyfunction("ROUND(0.00909003 * (FILTER('Go Base Stats'!$C$2:$C1000, 'Go Base Stats'!$A$2:$A1000 = $A14))^0.5 *(FILTER('Go Base Stats'!$D$2:$D1000, 'Go Base Stats'!$A$2:$A1000 = $A14))*(FILTER('Go Base Stats'!$E$2:$E1000, 'Go Base Stats'!$A$2:$A1000 = $A14))^0.5 / 10, 1)"),"4.4")</f>
        <v>4.4</v>
      </c>
      <c r="D14" s="0" t="str">
        <f aca="false">IFERROR(__xludf.dummyfunction("ROUND(0.00909003 * (FILTER('Go Base Stats'!$C$2:$C1000, 'Go Base Stats'!$A$2:$A1000 = $A14)+7.5)^0.5 *(FILTER('Go Base Stats'!$D$2:$D1000, 'Go Base Stats'!$A$2:$A1000 = $A14) + 7.5)*(FILTER('Go Base Stats'!$E$2:$E1000, 'Go Base Stats'!$A$2:$A1000 = $A14) + 7.5)^0.5 / 10, 1)"),"5.4")</f>
        <v>5.4</v>
      </c>
      <c r="E14" s="0" t="str">
        <f aca="false">IFERROR(__xludf.dummyfunction("ROUND(0.00909003 * (FILTER('Go Base Stats'!$C$2:$C1000, 'Go Base Stats'!$A$2:$A1000 = $A14)+15)^0.5 *(FILTER('Go Base Stats'!$D$2:$D1000, 'Go Base Stats'!$A$2:$A1000 = $A14) +15)*(FILTER('Go Base Stats'!$E$2:$E1000, 'Go Base Stats'!$A$2:$A1000 = $A14) + 15)^0.5 / 10, 1)"),"6.5")</f>
        <v>6.5</v>
      </c>
      <c r="F14" s="6"/>
      <c r="G14" s="6" t="str">
        <f aca="false">IFERROR(__xludf.dummyfunction("FILTER('Base Stats'!$C$2:$C1000, LOWER('Base Stats'!$B$2:$B1000) = LOWER($B14))"),"40")</f>
        <v>40</v>
      </c>
      <c r="H14" s="0" t="str">
        <f aca="false">IFERROR(__xludf.dummyfunction("FLOOR((0.7903)^2 * (FILTER('Go Base Stats'!$C$2:$C1000, 'Go Base Stats'!$A$2:$A1000 = $A14)+15)^0.5 *(FILTER('Go Base Stats'!$D$2:$D1000, 'Go Base Stats'!$A$2:$A1000 = $A14) +15)*(FILTER('Go Base Stats'!$E$2:$E1000, 'Go Base Stats'!$A$2:$A1000 = $A14) + 15)^0.5 / 10)"),"449")</f>
        <v>449</v>
      </c>
      <c r="I14" s="0" t="str">
        <f aca="false">IFERROR(__xludf.dummyfunction("FLOOR(0.7903* (FILTER('Go Base Stats'!$C$2:$C1000, 'Go Base Stats'!$A$2:$A1000 = $A14)+15))"),"75")</f>
        <v>75</v>
      </c>
      <c r="J14" s="17"/>
      <c r="K14" s="17"/>
      <c r="L14" s="17"/>
      <c r="M14" s="12" t="e">
        <f aca="false">IF(NOT(ISBLANK($R14)), $R14, IF(ROUND($P14, 1) = 0, "", ROUND($P14, 1) ))</f>
        <v>#VALUE!</v>
      </c>
      <c r="N14" s="13" t="e">
        <f aca="false">ABS(M14-D14)/M14</f>
        <v>#VALUE!</v>
      </c>
      <c r="P14" s="14" t="e">
        <f aca="false">IFERROR((U14+V14)/(W14+X14))</f>
        <v>#VALUE!</v>
      </c>
      <c r="Q1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LOWER($B14)))
)"),"1.087378641")</f>
        <v>1.087378641</v>
      </c>
      <c r="R14" s="18"/>
      <c r="U14" s="0" t="str">
        <f aca="false">IFERROR(__xludf.dummyfunction("IFERROR(SUM(FILTER('Form Responses (Power-up data)'!$C$2:$C1000, LOWER('Form Responses (Power-up data)'!$B$2:$B1000) = LOWER($B14))), 0)"),"0")</f>
        <v>0</v>
      </c>
      <c r="V1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LOWER($B14))
),0)"),"16")</f>
        <v>16</v>
      </c>
      <c r="W14" s="0" t="str">
        <f aca="false">IFERROR(__xludf.dummyfunction("COUNT(FILTER('Form Responses (Power-up data)'!$C$2:$C1000, LOWER('Form Responses (Power-up data)'!$B$2:$B1000) = LOWER($B14)))"),"0")</f>
        <v>0</v>
      </c>
      <c r="X1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LOWER($B14)))"),"3")</f>
        <v>3</v>
      </c>
      <c r="Y1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LOWER($B14))), 2)))"),"1.09/1.09")</f>
        <v>1.09/1.09</v>
      </c>
    </row>
    <row r="15" customFormat="false" ht="15.75" hidden="false" customHeight="false" outlineLevel="0" collapsed="false">
      <c r="A15" s="10" t="n">
        <v>14</v>
      </c>
      <c r="B15" s="1" t="s">
        <v>33</v>
      </c>
      <c r="C15" s="0" t="str">
        <f aca="false">IFERROR(__xludf.dummyfunction("ROUND(0.00909003 * (FILTER('Go Base Stats'!$C$2:$C1000, 'Go Base Stats'!$A$2:$A1000 = $A15))^0.5 *(FILTER('Go Base Stats'!$D$2:$D1000, 'Go Base Stats'!$A$2:$A1000 = $A15))*(FILTER('Go Base Stats'!$E$2:$E1000, 'Go Base Stats'!$A$2:$A1000 = $A15))^0.5 / 10, 1)"),"4.8")</f>
        <v>4.8</v>
      </c>
      <c r="D15" s="0" t="str">
        <f aca="false">IFERROR(__xludf.dummyfunction("ROUND(0.00909003 * (FILTER('Go Base Stats'!$C$2:$C1000, 'Go Base Stats'!$A$2:$A1000 = $A15)+7.5)^0.5 *(FILTER('Go Base Stats'!$D$2:$D1000, 'Go Base Stats'!$A$2:$A1000 = $A15) + 7.5)*(FILTER('Go Base Stats'!$E$2:$E1000, 'Go Base Stats'!$A$2:$A1000 = $A15) + 7.5)^0.5 / 10, 1)"),"5.9")</f>
        <v>5.9</v>
      </c>
      <c r="E15" s="0" t="str">
        <f aca="false">IFERROR(__xludf.dummyfunction("ROUND(0.00909003 * (FILTER('Go Base Stats'!$C$2:$C1000, 'Go Base Stats'!$A$2:$A1000 = $A15)+15)^0.5 *(FILTER('Go Base Stats'!$D$2:$D1000, 'Go Base Stats'!$A$2:$A1000 = $A15) +15)*(FILTER('Go Base Stats'!$E$2:$E1000, 'Go Base Stats'!$A$2:$A1000 = $A15) + 15)^0.5 / 10, 1)"),"7.1")</f>
        <v>7.1</v>
      </c>
      <c r="F15" s="6" t="n">
        <f aca="false">ROUND(D15/D14, 1)</f>
        <v>1.1</v>
      </c>
      <c r="G15" s="6" t="str">
        <f aca="false">IFERROR(__xludf.dummyfunction("FILTER('Base Stats'!$C$2:$C1000, LOWER('Base Stats'!$B$2:$B1000) = LOWER($B15))"),"45")</f>
        <v>45</v>
      </c>
      <c r="H15" s="0" t="str">
        <f aca="false">IFERROR(__xludf.dummyfunction("FLOOR((0.7903)^2 * (FILTER('Go Base Stats'!$C$2:$C1000, 'Go Base Stats'!$A$2:$A1000 = $A15)+15)^0.5 *(FILTER('Go Base Stats'!$D$2:$D1000, 'Go Base Stats'!$A$2:$A1000 = $A15) +15)*(FILTER('Go Base Stats'!$E$2:$E1000, 'Go Base Stats'!$A$2:$A1000 = $A15) + 15)^0.5 / 10)"),"485")</f>
        <v>485</v>
      </c>
      <c r="I15" s="0" t="str">
        <f aca="false">IFERROR(__xludf.dummyfunction("FLOOR(0.7903* (FILTER('Go Base Stats'!$C$2:$C1000, 'Go Base Stats'!$A$2:$A1000 = $A15)+15))"),"82")</f>
        <v>82</v>
      </c>
      <c r="J15" s="17"/>
      <c r="K15" s="17"/>
      <c r="L15" s="17"/>
      <c r="M15" s="12" t="n">
        <f aca="false">IF(NOT(ISBLANK($R15)), $R15, IF(ROUND($P15, 1) = 0, "", ROUND($P15, 1) ))</f>
        <v>6.5</v>
      </c>
      <c r="N15" s="13" t="n">
        <f aca="false">ABS(M15-D15)/M15</f>
        <v>0.0923076923076923</v>
      </c>
      <c r="P15" s="14" t="e">
        <f aca="false">IFERROR((U15+V15)/(W15+X15))</f>
        <v>#VALUE!</v>
      </c>
      <c r="Q1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LOWER($B15)))
)"),"1.251726363")</f>
        <v>1.251726363</v>
      </c>
      <c r="R15" s="18" t="n">
        <v>6.5</v>
      </c>
      <c r="U15" s="0" t="str">
        <f aca="false">IFERROR(__xludf.dummyfunction("IFERROR(SUM(FILTER('Form Responses (Power-up data)'!$C$2:$C1000, LOWER('Form Responses (Power-up data)'!$B$2:$B1000) = LOWER($B15))), 0)"),"0")</f>
        <v>0</v>
      </c>
      <c r="V1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LOWER($B15))
),0)"),"6")</f>
        <v>6</v>
      </c>
      <c r="W15" s="0" t="str">
        <f aca="false">IFERROR(__xludf.dummyfunction("COUNT(FILTER('Form Responses (Power-up data)'!$C$2:$C1000, LOWER('Form Responses (Power-up data)'!$B$2:$B1000) = LOWER($B15)))"),"0")</f>
        <v>0</v>
      </c>
      <c r="X1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LOWER($B15)))"),"1")</f>
        <v>1</v>
      </c>
      <c r="Y1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LOWER($B15))), 2)))"),"1.02/3.36")</f>
        <v>1.02/3.36</v>
      </c>
    </row>
    <row r="16" customFormat="false" ht="15.75" hidden="false" customHeight="false" outlineLevel="0" collapsed="false">
      <c r="A16" s="10" t="n">
        <v>15</v>
      </c>
      <c r="B16" s="1" t="s">
        <v>34</v>
      </c>
      <c r="C16" s="0" t="str">
        <f aca="false">IFERROR(__xludf.dummyfunction("ROUND(0.00909003 * (FILTER('Go Base Stats'!$C$2:$C1000, 'Go Base Stats'!$A$2:$A1000 = $A16))^0.5 *(FILTER('Go Base Stats'!$D$2:$D1000, 'Go Base Stats'!$A$2:$A1000 = $A16))*(FILTER('Go Base Stats'!$E$2:$E1000, 'Go Base Stats'!$A$2:$A1000 = $A16))^0.5 / 10, 1)"),"17")</f>
        <v>17</v>
      </c>
      <c r="D16" s="0" t="str">
        <f aca="false">IFERROR(__xludf.dummyfunction("ROUND(0.00909003 * (FILTER('Go Base Stats'!$C$2:$C1000, 'Go Base Stats'!$A$2:$A1000 = $A16)+7.5)^0.5 *(FILTER('Go Base Stats'!$D$2:$D1000, 'Go Base Stats'!$A$2:$A1000 = $A16) + 7.5)*(FILTER('Go Base Stats'!$E$2:$E1000, 'Go Base Stats'!$A$2:$A1000 = $A16) + 7.5)^0.5 / 10, 1)"),"18.9")</f>
        <v>18.9</v>
      </c>
      <c r="E16" s="0" t="str">
        <f aca="false">IFERROR(__xludf.dummyfunction("ROUND(0.00909003 * (FILTER('Go Base Stats'!$C$2:$C1000, 'Go Base Stats'!$A$2:$A1000 = $A16)+15)^0.5 *(FILTER('Go Base Stats'!$D$2:$D1000, 'Go Base Stats'!$A$2:$A1000 = $A16) +15)*(FILTER('Go Base Stats'!$E$2:$E1000, 'Go Base Stats'!$A$2:$A1000 = $A16) + 15)^0.5 / 10, 1)"),"21")</f>
        <v>21</v>
      </c>
      <c r="F16" s="6" t="n">
        <f aca="false">ROUND(D16/D15, 1)</f>
        <v>3.2</v>
      </c>
      <c r="G16" s="6" t="str">
        <f aca="false">IFERROR(__xludf.dummyfunction("FILTER('Base Stats'!$C$2:$C1000, LOWER('Base Stats'!$B$2:$B1000) = LOWER($B16))"),"65")</f>
        <v>65</v>
      </c>
      <c r="H16" s="0" t="str">
        <f aca="false">IFERROR(__xludf.dummyfunction("FLOOR((0.7903)^2 * (FILTER('Go Base Stats'!$C$2:$C1000, 'Go Base Stats'!$A$2:$A1000 = $A16)+15)^0.5 *(FILTER('Go Base Stats'!$D$2:$D1000, 'Go Base Stats'!$A$2:$A1000 = $A16) +15)*(FILTER('Go Base Stats'!$E$2:$E1000, 'Go Base Stats'!$A$2:$A1000 = $A16) + 15)^0.5 / 10)"),"1439")</f>
        <v>1439</v>
      </c>
      <c r="I16" s="0" t="str">
        <f aca="false">IFERROR(__xludf.dummyfunction("FLOOR(0.7903* (FILTER('Go Base Stats'!$C$2:$C1000, 'Go Base Stats'!$A$2:$A1000 = $A16)+15))"),"114")</f>
        <v>114</v>
      </c>
      <c r="J16" s="17"/>
      <c r="K16" s="17"/>
      <c r="L16" s="17"/>
      <c r="M16" s="12" t="e">
        <f aca="false">IF(NOT(ISBLANK($R16)), $R16, IF(ROUND($P16, 1) = 0, "", ROUND($P16, 1) ))</f>
        <v>#VALUE!</v>
      </c>
      <c r="N16" s="13" t="e">
        <f aca="false">ABS(M16-D16)/M16</f>
        <v>#VALUE!</v>
      </c>
      <c r="P16" s="14" t="e">
        <f aca="false">IFERROR((U16+V16)/(W16+X16))</f>
        <v>#VALUE!</v>
      </c>
      <c r="Q1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LOWER($B16)))
)"),"2.694924894")</f>
        <v>2.694924894</v>
      </c>
      <c r="R16" s="16"/>
      <c r="U16" s="0" t="str">
        <f aca="false">IFERROR(__xludf.dummyfunction("IFERROR(SUM(FILTER('Form Responses (Power-up data)'!$C$2:$C1000, LOWER('Form Responses (Power-up data)'!$B$2:$B1000) = LOWER($B16))), 0)"),"18")</f>
        <v>18</v>
      </c>
      <c r="V1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LOWER($B16))
),0)"),"78")</f>
        <v>78</v>
      </c>
      <c r="W16" s="0" t="str">
        <f aca="false">IFERROR(__xludf.dummyfunction("COUNT(FILTER('Form Responses (Power-up data)'!$C$2:$C1000, LOWER('Form Responses (Power-up data)'!$B$2:$B1000) = LOWER($B16)))"),"1")</f>
        <v>1</v>
      </c>
      <c r="X1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LOWER($B16)))"),"4")</f>
        <v>4</v>
      </c>
      <c r="Y1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LOWER($B16))), 2)))"),"1.39/3.46")</f>
        <v>1.39/3.46</v>
      </c>
    </row>
    <row r="17" customFormat="false" ht="15.75" hidden="false" customHeight="false" outlineLevel="0" collapsed="false">
      <c r="A17" s="10" t="n">
        <v>16</v>
      </c>
      <c r="B17" s="1" t="s">
        <v>35</v>
      </c>
      <c r="C17" s="0" t="str">
        <f aca="false">IFERROR(__xludf.dummyfunction("ROUND(0.00909003 * (FILTER('Go Base Stats'!$C$2:$C1000, 'Go Base Stats'!$A$2:$A1000 = $A17))^0.5 *(FILTER('Go Base Stats'!$D$2:$D1000, 'Go Base Stats'!$A$2:$A1000 = $A17))*(FILTER('Go Base Stats'!$E$2:$E1000, 'Go Base Stats'!$A$2:$A1000 = $A17))^0.5 / 10, 1)"),"7.3")</f>
        <v>7.3</v>
      </c>
      <c r="D17" s="0" t="str">
        <f aca="false">IFERROR(__xludf.dummyfunction("ROUND(0.00909003 * (FILTER('Go Base Stats'!$C$2:$C1000, 'Go Base Stats'!$A$2:$A1000 = $A17)+7.5)^0.5 *(FILTER('Go Base Stats'!$D$2:$D1000, 'Go Base Stats'!$A$2:$A1000 = $A17) + 7.5)*(FILTER('Go Base Stats'!$E$2:$E1000, 'Go Base Stats'!$A$2:$A1000 = $A17) + 7.5)^0.5 / 10, 1)"),"8.5")</f>
        <v>8.5</v>
      </c>
      <c r="E17" s="0" t="str">
        <f aca="false">IFERROR(__xludf.dummyfunction("ROUND(0.00909003 * (FILTER('Go Base Stats'!$C$2:$C1000, 'Go Base Stats'!$A$2:$A1000 = $A17)+15)^0.5 *(FILTER('Go Base Stats'!$D$2:$D1000, 'Go Base Stats'!$A$2:$A1000 = $A17) +15)*(FILTER('Go Base Stats'!$E$2:$E1000, 'Go Base Stats'!$A$2:$A1000 = $A17) + 15)^0.5 / 10, 1)"),"9.9")</f>
        <v>9.9</v>
      </c>
      <c r="F17" s="6"/>
      <c r="G17" s="6" t="str">
        <f aca="false">IFERROR(__xludf.dummyfunction("FILTER('Base Stats'!$C$2:$C1000, LOWER('Base Stats'!$B$2:$B1000) = LOWER($B17))"),"40")</f>
        <v>40</v>
      </c>
      <c r="H17" s="0" t="str">
        <f aca="false">IFERROR(__xludf.dummyfunction("FLOOR((0.7903)^2 * (FILTER('Go Base Stats'!$C$2:$C1000, 'Go Base Stats'!$A$2:$A1000 = $A17)+15)^0.5 *(FILTER('Go Base Stats'!$D$2:$D1000, 'Go Base Stats'!$A$2:$A1000 = $A17) +15)*(FILTER('Go Base Stats'!$E$2:$E1000, 'Go Base Stats'!$A$2:$A1000 = $A17) + 15)^0.5 / 10)"),"679")</f>
        <v>679</v>
      </c>
      <c r="I17" s="0" t="str">
        <f aca="false">IFERROR(__xludf.dummyfunction("FLOOR(0.7903* (FILTER('Go Base Stats'!$C$2:$C1000, 'Go Base Stats'!$A$2:$A1000 = $A17)+15))"),"75")</f>
        <v>75</v>
      </c>
      <c r="J17" s="17"/>
      <c r="K17" s="17"/>
      <c r="L17" s="17"/>
      <c r="M17" s="12" t="e">
        <f aca="false">IF(NOT(ISBLANK($R17)), $R17, IF(ROUND($P17, 1) = 0, "", ROUND($P17, 1) ))</f>
        <v>#VALUE!</v>
      </c>
      <c r="N17" s="13" t="e">
        <f aca="false">ABS(M17-D17)/M17</f>
        <v>#VALUE!</v>
      </c>
      <c r="P17" s="14" t="e">
        <f aca="false">IFERROR((U17+V17)/(W17+X17))</f>
        <v>#VALUE!</v>
      </c>
      <c r="Q1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LOWER($B17)))
)"),"")</f>
        <v/>
      </c>
      <c r="R17" s="16"/>
      <c r="U17" s="0" t="str">
        <f aca="false">IFERROR(__xludf.dummyfunction("IFERROR(SUM(FILTER('Form Responses (Power-up data)'!$C$2:$C1000, LOWER('Form Responses (Power-up data)'!$B$2:$B1000) = LOWER($B17))), 0)"),"9")</f>
        <v>9</v>
      </c>
      <c r="V1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LOWER($B17))
),0)"),"52")</f>
        <v>52</v>
      </c>
      <c r="W17" s="0" t="str">
        <f aca="false">IFERROR(__xludf.dummyfunction("COUNT(FILTER('Form Responses (Power-up data)'!$C$2:$C1000, LOWER('Form Responses (Power-up data)'!$B$2:$B1000) = LOWER($B17)))"),"1")</f>
        <v>1</v>
      </c>
      <c r="X1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LOWER($B17)))"),"5")</f>
        <v>5</v>
      </c>
      <c r="Y1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LOWER($B17))), 2)))"),"/")</f>
        <v>/</v>
      </c>
    </row>
    <row r="18" customFormat="false" ht="15.75" hidden="false" customHeight="false" outlineLevel="0" collapsed="false">
      <c r="A18" s="10" t="n">
        <v>17</v>
      </c>
      <c r="B18" s="1" t="s">
        <v>36</v>
      </c>
      <c r="C18" s="0" t="str">
        <f aca="false">IFERROR(__xludf.dummyfunction("ROUND(0.00909003 * (FILTER('Go Base Stats'!$C$2:$C1000, 'Go Base Stats'!$A$2:$A1000 = $A18))^0.5 *(FILTER('Go Base Stats'!$D$2:$D1000, 'Go Base Stats'!$A$2:$A1000 = $A18))*(FILTER('Go Base Stats'!$E$2:$E1000, 'Go Base Stats'!$A$2:$A1000 = $A18))^0.5 / 10, 1)"),"14.2")</f>
        <v>14.2</v>
      </c>
      <c r="D18" s="0" t="str">
        <f aca="false">IFERROR(__xludf.dummyfunction("ROUND(0.00909003 * (FILTER('Go Base Stats'!$C$2:$C1000, 'Go Base Stats'!$A$2:$A1000 = $A18)+7.5)^0.5 *(FILTER('Go Base Stats'!$D$2:$D1000, 'Go Base Stats'!$A$2:$A1000 = $A18) + 7.5)*(FILTER('Go Base Stats'!$E$2:$E1000, 'Go Base Stats'!$A$2:$A1000 = $A18) + 7.5)^0.5 / 10, 1)"),"16")</f>
        <v>16</v>
      </c>
      <c r="E18" s="0" t="str">
        <f aca="false">IFERROR(__xludf.dummyfunction("ROUND(0.00909003 * (FILTER('Go Base Stats'!$C$2:$C1000, 'Go Base Stats'!$A$2:$A1000 = $A18)+15)^0.5 *(FILTER('Go Base Stats'!$D$2:$D1000, 'Go Base Stats'!$A$2:$A1000 = $A18) +15)*(FILTER('Go Base Stats'!$E$2:$E1000, 'Go Base Stats'!$A$2:$A1000 = $A18) + 15)^0.5 / 10, 1)"),"17.8")</f>
        <v>17.8</v>
      </c>
      <c r="F18" s="6" t="n">
        <f aca="false">ROUND(D18/D17, 1)</f>
        <v>1.9</v>
      </c>
      <c r="G18" s="6" t="str">
        <f aca="false">IFERROR(__xludf.dummyfunction("FILTER('Base Stats'!$C$2:$C1000, LOWER('Base Stats'!$B$2:$B1000) = LOWER($B18))"),"63")</f>
        <v>63</v>
      </c>
      <c r="H18" s="0" t="str">
        <f aca="false">IFERROR(__xludf.dummyfunction("FLOOR((0.7903)^2 * (FILTER('Go Base Stats'!$C$2:$C1000, 'Go Base Stats'!$A$2:$A1000 = $A18)+15)^0.5 *(FILTER('Go Base Stats'!$D$2:$D1000, 'Go Base Stats'!$A$2:$A1000 = $A18) +15)*(FILTER('Go Base Stats'!$E$2:$E1000, 'Go Base Stats'!$A$2:$A1000 = $A18) + 15)^0.5 / 10)"),"1223")</f>
        <v>1223</v>
      </c>
      <c r="I18" s="0" t="str">
        <f aca="false">IFERROR(__xludf.dummyfunction("FLOOR(0.7903* (FILTER('Go Base Stats'!$C$2:$C1000, 'Go Base Stats'!$A$2:$A1000 = $A18)+15))"),"111")</f>
        <v>111</v>
      </c>
      <c r="J18" s="17"/>
      <c r="K18" s="17"/>
      <c r="L18" s="17"/>
      <c r="M18" s="12" t="e">
        <f aca="false">IF(NOT(ISBLANK($R18)), $R18, IF(ROUND($P18, 1) = 0, "", ROUND($P18, 1) ))</f>
        <v>#VALUE!</v>
      </c>
      <c r="N18" s="13" t="e">
        <f aca="false">ABS(M18-D18)/M18</f>
        <v>#VALUE!</v>
      </c>
      <c r="P18" s="14" t="e">
        <f aca="false">IFERROR((U18+V18)/(W18+X18))</f>
        <v>#VALUE!</v>
      </c>
      <c r="Q1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LOWER($B18)))
)"),"1.880134008")</f>
        <v>1.880134008</v>
      </c>
      <c r="R18" s="16"/>
      <c r="U18" s="0" t="str">
        <f aca="false">IFERROR(__xludf.dummyfunction("IFERROR(SUM(FILTER('Form Responses (Power-up data)'!$C$2:$C1000, LOWER('Form Responses (Power-up data)'!$B$2:$B1000) = LOWER($B18))), 0)"),"59")</f>
        <v>59</v>
      </c>
      <c r="V1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LOWER($B18))
),0)"),"177")</f>
        <v>177</v>
      </c>
      <c r="W18" s="0" t="str">
        <f aca="false">IFERROR(__xludf.dummyfunction("COUNT(FILTER('Form Responses (Power-up data)'!$C$2:$C1000, LOWER('Form Responses (Power-up data)'!$B$2:$B1000) = LOWER($B18)))"),"3")</f>
        <v>3</v>
      </c>
      <c r="X1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LOWER($B18)))"),"10")</f>
        <v>10</v>
      </c>
      <c r="Y1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LOWER($B18))), 2)))"),"1.74/1.96")</f>
        <v>1.74/1.96</v>
      </c>
    </row>
    <row r="19" customFormat="false" ht="15.75" hidden="false" customHeight="false" outlineLevel="0" collapsed="false">
      <c r="A19" s="10" t="n">
        <v>18</v>
      </c>
      <c r="B19" s="1" t="s">
        <v>37</v>
      </c>
      <c r="C19" s="0" t="str">
        <f aca="false">IFERROR(__xludf.dummyfunction("ROUND(0.00909003 * (FILTER('Go Base Stats'!$C$2:$C1000, 'Go Base Stats'!$A$2:$A1000 = $A19))^0.5 *(FILTER('Go Base Stats'!$D$2:$D1000, 'Go Base Stats'!$A$2:$A1000 = $A19))*(FILTER('Go Base Stats'!$E$2:$E1000, 'Go Base Stats'!$A$2:$A1000 = $A19))^0.5 / 10, 1)"),"25.7")</f>
        <v>25.7</v>
      </c>
      <c r="D19" s="0" t="str">
        <f aca="false">IFERROR(__xludf.dummyfunction("ROUND(0.00909003 * (FILTER('Go Base Stats'!$C$2:$C1000, 'Go Base Stats'!$A$2:$A1000 = $A19)+7.5)^0.5 *(FILTER('Go Base Stats'!$D$2:$D1000, 'Go Base Stats'!$A$2:$A1000 = $A19) + 7.5)*(FILTER('Go Base Stats'!$E$2:$E1000, 'Go Base Stats'!$A$2:$A1000 = $A19) + 7.5)^0.5 / 10, 1)"),"28")</f>
        <v>28</v>
      </c>
      <c r="E19" s="0" t="str">
        <f aca="false">IFERROR(__xludf.dummyfunction("ROUND(0.00909003 * (FILTER('Go Base Stats'!$C$2:$C1000, 'Go Base Stats'!$A$2:$A1000 = $A19)+15)^0.5 *(FILTER('Go Base Stats'!$D$2:$D1000, 'Go Base Stats'!$A$2:$A1000 = $A19) +15)*(FILTER('Go Base Stats'!$E$2:$E1000, 'Go Base Stats'!$A$2:$A1000 = $A19) + 15)^0.5 / 10, 1)"),"30.4")</f>
        <v>30.4</v>
      </c>
      <c r="F19" s="6" t="n">
        <f aca="false">ROUND(D19/D18, 1)</f>
        <v>1.8</v>
      </c>
      <c r="G19" s="6" t="str">
        <f aca="false">IFERROR(__xludf.dummyfunction("FILTER('Base Stats'!$C$2:$C1000, LOWER('Base Stats'!$B$2:$B1000) = LOWER($B19))"),"83")</f>
        <v>83</v>
      </c>
      <c r="H19" s="0" t="str">
        <f aca="false">IFERROR(__xludf.dummyfunction("FLOOR((0.7903)^2 * (FILTER('Go Base Stats'!$C$2:$C1000, 'Go Base Stats'!$A$2:$A1000 = $A19)+15)^0.5 *(FILTER('Go Base Stats'!$D$2:$D1000, 'Go Base Stats'!$A$2:$A1000 = $A19) +15)*(FILTER('Go Base Stats'!$E$2:$E1000, 'Go Base Stats'!$A$2:$A1000 = $A19) + 15)^0.5 / 10)"),"2091")</f>
        <v>2091</v>
      </c>
      <c r="I19" s="0" t="str">
        <f aca="false">IFERROR(__xludf.dummyfunction("FLOOR(0.7903* (FILTER('Go Base Stats'!$C$2:$C1000, 'Go Base Stats'!$A$2:$A1000 = $A19)+15))"),"143")</f>
        <v>143</v>
      </c>
      <c r="J19" s="17"/>
      <c r="K19" s="17"/>
      <c r="L19" s="17"/>
      <c r="M19" s="12" t="e">
        <f aca="false">IF(NOT(ISBLANK($R19)), $R19, IF(ROUND($P19, 1) = 0, "", ROUND($P19, 1) ))</f>
        <v>#VALUE!</v>
      </c>
      <c r="N19" s="13" t="e">
        <f aca="false">ABS(M19-D19)/M19</f>
        <v>#VALUE!</v>
      </c>
      <c r="P19" s="14" t="e">
        <f aca="false">IFERROR((U19+V19)/(W19+X19))</f>
        <v>#VALUE!</v>
      </c>
      <c r="Q1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LOWER($B19)))
)"),"2.17367721")</f>
        <v>2.17367721</v>
      </c>
      <c r="R19" s="16"/>
      <c r="U19" s="0" t="str">
        <f aca="false">IFERROR(__xludf.dummyfunction("IFERROR(SUM(FILTER('Form Responses (Power-up data)'!$C$2:$C1000, LOWER('Form Responses (Power-up data)'!$B$2:$B1000) = LOWER($B19))), 0)"),"55")</f>
        <v>55</v>
      </c>
      <c r="V1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LOWER($B19))
),0)"),"554")</f>
        <v>554</v>
      </c>
      <c r="W19" s="0" t="str">
        <f aca="false">IFERROR(__xludf.dummyfunction("COUNT(FILTER('Form Responses (Power-up data)'!$C$2:$C1000, LOWER('Form Responses (Power-up data)'!$B$2:$B1000) = LOWER($B19)))"),"2")</f>
        <v>2</v>
      </c>
      <c r="X1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LOWER($B19)))"),"20")</f>
        <v>20</v>
      </c>
      <c r="Y1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LOWER($B19))), 2)))"),"1.7/6.35")</f>
        <v>1.7/6.35</v>
      </c>
    </row>
    <row r="20" customFormat="false" ht="15.75" hidden="false" customHeight="false" outlineLevel="0" collapsed="false">
      <c r="A20" s="10" t="n">
        <v>19</v>
      </c>
      <c r="B20" s="1" t="s">
        <v>38</v>
      </c>
      <c r="C20" s="0" t="str">
        <f aca="false">IFERROR(__xludf.dummyfunction("ROUND(0.00909003 * (FILTER('Go Base Stats'!$C$2:$C1000, 'Go Base Stats'!$A$2:$A1000 = $A20))^0.5 *(FILTER('Go Base Stats'!$D$2:$D1000, 'Go Base Stats'!$A$2:$A1000 = $A20))*(FILTER('Go Base Stats'!$E$2:$E1000, 'Go Base Stats'!$A$2:$A1000 = $A20))^0.5 / 10, 1)"),"6")</f>
        <v>6</v>
      </c>
      <c r="D20" s="0" t="str">
        <f aca="false">IFERROR(__xludf.dummyfunction("ROUND(0.00909003 * (FILTER('Go Base Stats'!$C$2:$C1000, 'Go Base Stats'!$A$2:$A1000 = $A20)+7.5)^0.5 *(FILTER('Go Base Stats'!$D$2:$D1000, 'Go Base Stats'!$A$2:$A1000 = $A20) + 7.5)*(FILTER('Go Base Stats'!$E$2:$E1000, 'Go Base Stats'!$A$2:$A1000 = $A20) + 7.5)^0.5 / 10, 1)"),"7.2")</f>
        <v>7.2</v>
      </c>
      <c r="E20" s="0" t="str">
        <f aca="false">IFERROR(__xludf.dummyfunction("ROUND(0.00909003 * (FILTER('Go Base Stats'!$C$2:$C1000, 'Go Base Stats'!$A$2:$A1000 = $A20)+15)^0.5 *(FILTER('Go Base Stats'!$D$2:$D1000, 'Go Base Stats'!$A$2:$A1000 = $A20) +15)*(FILTER('Go Base Stats'!$E$2:$E1000, 'Go Base Stats'!$A$2:$A1000 = $A20) + 15)^0.5 / 10, 1)"),"8.5")</f>
        <v>8.5</v>
      </c>
      <c r="F20" s="6"/>
      <c r="G20" s="6" t="str">
        <f aca="false">IFERROR(__xludf.dummyfunction("FILTER('Base Stats'!$C$2:$C1000, LOWER('Base Stats'!$B$2:$B1000) = LOWER($B20))"),"30")</f>
        <v>30</v>
      </c>
      <c r="H20" s="0" t="str">
        <f aca="false">IFERROR(__xludf.dummyfunction("FLOOR((0.7903)^2 * (FILTER('Go Base Stats'!$C$2:$C1000, 'Go Base Stats'!$A$2:$A1000 = $A20)+15)^0.5 *(FILTER('Go Base Stats'!$D$2:$D1000, 'Go Base Stats'!$A$2:$A1000 = $A20) +15)*(FILTER('Go Base Stats'!$E$2:$E1000, 'Go Base Stats'!$A$2:$A1000 = $A20) + 15)^0.5 / 10)"),"581")</f>
        <v>581</v>
      </c>
      <c r="I20" s="0" t="str">
        <f aca="false">IFERROR(__xludf.dummyfunction("FLOOR(0.7903* (FILTER('Go Base Stats'!$C$2:$C1000, 'Go Base Stats'!$A$2:$A1000 = $A20)+15))"),"59")</f>
        <v>59</v>
      </c>
      <c r="J20" s="17"/>
      <c r="K20" s="17"/>
      <c r="L20" s="17"/>
      <c r="M20" s="12" t="e">
        <f aca="false">IF(NOT(ISBLANK($R20)), $R20, IF(ROUND($P20, 1) = 0, "", ROUND($P20, 1) ))</f>
        <v>#VALUE!</v>
      </c>
      <c r="N20" s="13" t="e">
        <f aca="false">ABS(M20-D20)/M20</f>
        <v>#VALUE!</v>
      </c>
      <c r="P20" s="14" t="e">
        <f aca="false">IFERROR((U20+V20)/(W20+X20))</f>
        <v>#VALUE!</v>
      </c>
      <c r="Q2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LOWER($B20)))
)"),"2.556603774")</f>
        <v>2.556603774</v>
      </c>
      <c r="R20" s="16"/>
      <c r="U20" s="0" t="str">
        <f aca="false">IFERROR(__xludf.dummyfunction("IFERROR(SUM(FILTER('Form Responses (Power-up data)'!$C$2:$C1000, LOWER('Form Responses (Power-up data)'!$B$2:$B1000) = LOWER($B20))), 0)"),"14")</f>
        <v>14</v>
      </c>
      <c r="V2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LOWER($B20))
),0)"),"16")</f>
        <v>16</v>
      </c>
      <c r="W20" s="0" t="str">
        <f aca="false">IFERROR(__xludf.dummyfunction("COUNT(FILTER('Form Responses (Power-up data)'!$C$2:$C1000, LOWER('Form Responses (Power-up data)'!$B$2:$B1000) = LOWER($B20)))"),"2")</f>
        <v>2</v>
      </c>
      <c r="X2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LOWER($B20)))"),"2")</f>
        <v>2</v>
      </c>
      <c r="Y2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LOWER($B20))), 2)))"),"2.56/2.56")</f>
        <v>2.56/2.56</v>
      </c>
    </row>
    <row r="21" customFormat="false" ht="15.75" hidden="false" customHeight="false" outlineLevel="0" collapsed="false">
      <c r="A21" s="10" t="n">
        <v>20</v>
      </c>
      <c r="B21" s="1" t="s">
        <v>39</v>
      </c>
      <c r="C21" s="0" t="str">
        <f aca="false">IFERROR(__xludf.dummyfunction("ROUND(0.00909003 * (FILTER('Go Base Stats'!$C$2:$C1000, 'Go Base Stats'!$A$2:$A1000 = $A21))^0.5 *(FILTER('Go Base Stats'!$D$2:$D1000, 'Go Base Stats'!$A$2:$A1000 = $A21))*(FILTER('Go Base Stats'!$E$2:$E1000, 'Go Base Stats'!$A$2:$A1000 = $A21))^0.5 / 10, 1)"),"17")</f>
        <v>17</v>
      </c>
      <c r="D21" s="0" t="str">
        <f aca="false">IFERROR(__xludf.dummyfunction("ROUND(0.00909003 * (FILTER('Go Base Stats'!$C$2:$C1000, 'Go Base Stats'!$A$2:$A1000 = $A21)+7.5)^0.5 *(FILTER('Go Base Stats'!$D$2:$D1000, 'Go Base Stats'!$A$2:$A1000 = $A21) + 7.5)*(FILTER('Go Base Stats'!$E$2:$E1000, 'Go Base Stats'!$A$2:$A1000 = $A21) + 7.5)^0.5 / 10, 1)"),"19")</f>
        <v>19</v>
      </c>
      <c r="E21" s="0" t="str">
        <f aca="false">IFERROR(__xludf.dummyfunction("ROUND(0.00909003 * (FILTER('Go Base Stats'!$C$2:$C1000, 'Go Base Stats'!$A$2:$A1000 = $A21)+15)^0.5 *(FILTER('Go Base Stats'!$D$2:$D1000, 'Go Base Stats'!$A$2:$A1000 = $A21) +15)*(FILTER('Go Base Stats'!$E$2:$E1000, 'Go Base Stats'!$A$2:$A1000 = $A21) + 15)^0.5 / 10, 1)"),"21")</f>
        <v>21</v>
      </c>
      <c r="F21" s="6" t="str">
        <f aca="false">ROUND(D21/D20, 1)</f>
        <v>2.6</v>
      </c>
      <c r="G21" s="6" t="str">
        <f aca="false">IFERROR(__xludf.dummyfunction("FILTER('Base Stats'!$C$2:$C1000, LOWER('Base Stats'!$B$2:$B1000) = LOWER($B21))"),"55")</f>
        <v>55</v>
      </c>
      <c r="H21" s="0" t="str">
        <f aca="false">IFERROR(__xludf.dummyfunction("FLOOR((0.7903)^2 * (FILTER('Go Base Stats'!$C$2:$C1000, 'Go Base Stats'!$A$2:$A1000 = $A21)+15)^0.5 *(FILTER('Go Base Stats'!$D$2:$D1000, 'Go Base Stats'!$A$2:$A1000 = $A21) +15)*(FILTER('Go Base Stats'!$E$2:$E1000, 'Go Base Stats'!$A$2:$A1000 = $A21) + 15)^0.5 / 10)"),"1444")</f>
        <v>1444</v>
      </c>
      <c r="I21" s="0" t="str">
        <f aca="false">IFERROR(__xludf.dummyfunction("FLOOR(0.7903* (FILTER('Go Base Stats'!$C$2:$C1000, 'Go Base Stats'!$A$2:$A1000 = $A21)+15))"),"98")</f>
        <v>98</v>
      </c>
      <c r="J21" s="17"/>
      <c r="K21" s="17"/>
      <c r="L21" s="17"/>
      <c r="M21" s="12" t="e">
        <f aca="false">IF(NOT(ISBLANK($R21)), $R21, IF(ROUND($P21, 1) = 0, "", ROUND($P21, 1) ))</f>
        <v>#VALUE!</v>
      </c>
      <c r="N21" s="13" t="e">
        <f aca="false">ABS(M21-D21)/M21</f>
        <v>#VALUE!</v>
      </c>
      <c r="P21" s="14" t="e">
        <f aca="false">IFERROR((U21+V21)/(W21+X21))</f>
        <v>#VALUE!</v>
      </c>
      <c r="Q2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LOWER($B21)))
)"),"2.844014701")</f>
        <v>2.844014701</v>
      </c>
      <c r="R21" s="16"/>
      <c r="U21" s="0" t="str">
        <f aca="false">IFERROR(__xludf.dummyfunction("IFERROR(SUM(FILTER('Form Responses (Power-up data)'!$C$2:$C1000, LOWER('Form Responses (Power-up data)'!$B$2:$B1000) = LOWER($B21))), 0)"),"40")</f>
        <v>40</v>
      </c>
      <c r="V2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LOWER($B21))
),0)"),"78")</f>
        <v>78</v>
      </c>
      <c r="W21" s="0" t="str">
        <f aca="false">IFERROR(__xludf.dummyfunction("COUNT(FILTER('Form Responses (Power-up data)'!$C$2:$C1000, LOWER('Form Responses (Power-up data)'!$B$2:$B1000) = LOWER($B21)))"),"2")</f>
        <v>2</v>
      </c>
      <c r="X2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LOWER($B21)))"),"4")</f>
        <v>4</v>
      </c>
      <c r="Y2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LOWER($B21))), 2)))"),"2.5/5.85")</f>
        <v>2.5/5.85</v>
      </c>
    </row>
    <row r="22" customFormat="false" ht="15.75" hidden="false" customHeight="false" outlineLevel="0" collapsed="false">
      <c r="A22" s="10" t="n">
        <v>21</v>
      </c>
      <c r="B22" s="1" t="s">
        <v>40</v>
      </c>
      <c r="C22" s="0" t="str">
        <f aca="false">IFERROR(__xludf.dummyfunction("ROUND(0.00909003 * (FILTER('Go Base Stats'!$C$2:$C1000, 'Go Base Stats'!$A$2:$A1000 = $A22))^0.5 *(FILTER('Go Base Stats'!$D$2:$D1000, 'Go Base Stats'!$A$2:$A1000 = $A22))*(FILTER('Go Base Stats'!$E$2:$E1000, 'Go Base Stats'!$A$2:$A1000 = $A22))^0.5 / 10, 1)"),"7.3")</f>
        <v>7.3</v>
      </c>
      <c r="D22" s="0" t="str">
        <f aca="false">IFERROR(__xludf.dummyfunction("ROUND(0.00909003 * (FILTER('Go Base Stats'!$C$2:$C1000, 'Go Base Stats'!$A$2:$A1000 = $A22)+7.5)^0.5 *(FILTER('Go Base Stats'!$D$2:$D1000, 'Go Base Stats'!$A$2:$A1000 = $A22) + 7.5)*(FILTER('Go Base Stats'!$E$2:$E1000, 'Go Base Stats'!$A$2:$A1000 = $A22) + 7.5)^0.5 / 10, 1)"),"8.6")</f>
        <v>8.6</v>
      </c>
      <c r="E22" s="0" t="str">
        <f aca="false">IFERROR(__xludf.dummyfunction("ROUND(0.00909003 * (FILTER('Go Base Stats'!$C$2:$C1000, 'Go Base Stats'!$A$2:$A1000 = $A22)+15)^0.5 *(FILTER('Go Base Stats'!$D$2:$D1000, 'Go Base Stats'!$A$2:$A1000 = $A22) +15)*(FILTER('Go Base Stats'!$E$2:$E1000, 'Go Base Stats'!$A$2:$A1000 = $A22) + 15)^0.5 / 10, 1)"),"10")</f>
        <v>10</v>
      </c>
      <c r="F22" s="6"/>
      <c r="G22" s="6" t="str">
        <f aca="false">IFERROR(__xludf.dummyfunction("FILTER('Base Stats'!$C$2:$C1000, LOWER('Base Stats'!$B$2:$B1000) = LOWER($B22))"),"40")</f>
        <v>40</v>
      </c>
      <c r="H22" s="0" t="str">
        <f aca="false">IFERROR(__xludf.dummyfunction("FLOOR((0.7903)^2 * (FILTER('Go Base Stats'!$C$2:$C1000, 'Go Base Stats'!$A$2:$A1000 = $A22)+15)^0.5 *(FILTER('Go Base Stats'!$D$2:$D1000, 'Go Base Stats'!$A$2:$A1000 = $A22) +15)*(FILTER('Go Base Stats'!$E$2:$E1000, 'Go Base Stats'!$A$2:$A1000 = $A22) + 15)^0.5 / 10)"),"686")</f>
        <v>686</v>
      </c>
      <c r="I22" s="0" t="str">
        <f aca="false">IFERROR(__xludf.dummyfunction("FLOOR(0.7903* (FILTER('Go Base Stats'!$C$2:$C1000, 'Go Base Stats'!$A$2:$A1000 = $A22)+15))"),"75")</f>
        <v>75</v>
      </c>
      <c r="J22" s="17"/>
      <c r="K22" s="17"/>
      <c r="L22" s="17"/>
      <c r="M22" s="12" t="n">
        <f aca="false">IF(NOT(ISBLANK($R22)), $R22, IF(ROUND($P22, 1) = 0, "", ROUND($P22, 1) ))</f>
        <v>8.7</v>
      </c>
      <c r="N22" s="13" t="n">
        <f aca="false">ABS(M22-D22)/M22</f>
        <v>0.0114942528735632</v>
      </c>
      <c r="P22" s="14" t="e">
        <f aca="false">IFERROR((U22+V22)/(W22+X22))</f>
        <v>#VALUE!</v>
      </c>
      <c r="Q2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LOWER($B22)))
)"),"")</f>
        <v/>
      </c>
      <c r="R22" s="18" t="n">
        <v>8.7</v>
      </c>
      <c r="U22" s="0" t="str">
        <f aca="false">IFERROR(__xludf.dummyfunction("IFERROR(SUM(FILTER('Form Responses (Power-up data)'!$C$2:$C1000, LOWER('Form Responses (Power-up data)'!$B$2:$B1000) = LOWER($B22))), 0)"),"0")</f>
        <v>0</v>
      </c>
      <c r="V2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LOWER($B22))
),0)"),"0")</f>
        <v>0</v>
      </c>
      <c r="W22" s="0" t="str">
        <f aca="false">IFERROR(__xludf.dummyfunction("COUNT(FILTER('Form Responses (Power-up data)'!$C$2:$C1000, LOWER('Form Responses (Power-up data)'!$B$2:$B1000) = LOWER($B22)))"),"0")</f>
        <v>0</v>
      </c>
      <c r="X2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LOWER($B22)))"),"0")</f>
        <v>0</v>
      </c>
      <c r="Y2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LOWER($B22))), 2)))"),"/")</f>
        <v>/</v>
      </c>
    </row>
    <row r="23" customFormat="false" ht="15.75" hidden="false" customHeight="false" outlineLevel="0" collapsed="false">
      <c r="A23" s="10" t="n">
        <v>22</v>
      </c>
      <c r="B23" s="1" t="s">
        <v>41</v>
      </c>
      <c r="C23" s="0" t="str">
        <f aca="false">IFERROR(__xludf.dummyfunction("ROUND(0.00909003 * (FILTER('Go Base Stats'!$C$2:$C1000, 'Go Base Stats'!$A$2:$A1000 = $A23))^0.5 *(FILTER('Go Base Stats'!$D$2:$D1000, 'Go Base Stats'!$A$2:$A1000 = $A23))*(FILTER('Go Base Stats'!$E$2:$E1000, 'Go Base Stats'!$A$2:$A1000 = $A23))^0.5 / 10, 1)"),"21")</f>
        <v>21</v>
      </c>
      <c r="D23" s="0" t="str">
        <f aca="false">IFERROR(__xludf.dummyfunction("ROUND(0.00909003 * (FILTER('Go Base Stats'!$C$2:$C1000, 'Go Base Stats'!$A$2:$A1000 = $A23)+7.5)^0.5 *(FILTER('Go Base Stats'!$D$2:$D1000, 'Go Base Stats'!$A$2:$A1000 = $A23) + 7.5)*(FILTER('Go Base Stats'!$E$2:$E1000, 'Go Base Stats'!$A$2:$A1000 = $A23) + 7.5)^0.5 / 10, 1)"),"23.2")</f>
        <v>23.2</v>
      </c>
      <c r="E23" s="0" t="str">
        <f aca="false">IFERROR(__xludf.dummyfunction("ROUND(0.00909003 * (FILTER('Go Base Stats'!$C$2:$C1000, 'Go Base Stats'!$A$2:$A1000 = $A23)+15)^0.5 *(FILTER('Go Base Stats'!$D$2:$D1000, 'Go Base Stats'!$A$2:$A1000 = $A23) +15)*(FILTER('Go Base Stats'!$E$2:$E1000, 'Go Base Stats'!$A$2:$A1000 = $A23) + 15)^0.5 / 10, 1)"),"25.4")</f>
        <v>25.4</v>
      </c>
      <c r="F23" s="6" t="str">
        <f aca="false">ROUND(D23/D22, 1)</f>
        <v>2.7</v>
      </c>
      <c r="G23" s="6" t="str">
        <f aca="false">IFERROR(__xludf.dummyfunction("FILTER('Base Stats'!$C$2:$C1000, LOWER('Base Stats'!$B$2:$B1000) = LOWER($B23))"),"65")</f>
        <v>65</v>
      </c>
      <c r="H23" s="0" t="str">
        <f aca="false">IFERROR(__xludf.dummyfunction("FLOOR((0.7903)^2 * (FILTER('Go Base Stats'!$C$2:$C1000, 'Go Base Stats'!$A$2:$A1000 = $A23)+15)^0.5 *(FILTER('Go Base Stats'!$D$2:$D1000, 'Go Base Stats'!$A$2:$A1000 = $A23) +15)*(FILTER('Go Base Stats'!$E$2:$E1000, 'Go Base Stats'!$A$2:$A1000 = $A23) + 15)^0.5 / 10)"),"1746")</f>
        <v>1746</v>
      </c>
      <c r="I23" s="0" t="str">
        <f aca="false">IFERROR(__xludf.dummyfunction("FLOOR(0.7903* (FILTER('Go Base Stats'!$C$2:$C1000, 'Go Base Stats'!$A$2:$A1000 = $A23)+15))"),"114")</f>
        <v>114</v>
      </c>
      <c r="J23" s="17"/>
      <c r="K23" s="17"/>
      <c r="L23" s="17"/>
      <c r="M23" s="12" t="e">
        <f aca="false">IF(NOT(ISBLANK($R23)), $R23, IF(ROUND($P23, 1) = 0, "", ROUND($P23, 1) ))</f>
        <v>#VALUE!</v>
      </c>
      <c r="N23" s="13" t="e">
        <f aca="false">ABS(M23-D23)/M23</f>
        <v>#VALUE!</v>
      </c>
      <c r="P23" s="14" t="e">
        <f aca="false">IFERROR((U23+V23)/(W23+X23))</f>
        <v>#VALUE!</v>
      </c>
      <c r="Q2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LOWER($B23)))
)"),"2.646899919")</f>
        <v>2.646899919</v>
      </c>
      <c r="R23" s="16"/>
      <c r="U23" s="0" t="str">
        <f aca="false">IFERROR(__xludf.dummyfunction("IFERROR(SUM(FILTER('Form Responses (Power-up data)'!$C$2:$C1000, LOWER('Form Responses (Power-up data)'!$B$2:$B1000) = LOWER($B23))), 0)"),"0")</f>
        <v>0</v>
      </c>
      <c r="V2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LOWER($B23))
),0)"),"417")</f>
        <v>417</v>
      </c>
      <c r="W23" s="0" t="str">
        <f aca="false">IFERROR(__xludf.dummyfunction("COUNT(FILTER('Form Responses (Power-up data)'!$C$2:$C1000, LOWER('Form Responses (Power-up data)'!$B$2:$B1000) = LOWER($B23)))"),"0")</f>
        <v>0</v>
      </c>
      <c r="X2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LOWER($B23)))"),"17")</f>
        <v>17</v>
      </c>
      <c r="Y2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LOWER($B23))), 2)))"),"2.61/2.69")</f>
        <v>2.61/2.69</v>
      </c>
    </row>
    <row r="24" customFormat="false" ht="15.75" hidden="false" customHeight="false" outlineLevel="0" collapsed="false">
      <c r="A24" s="10" t="n">
        <v>23</v>
      </c>
      <c r="B24" s="1" t="s">
        <v>42</v>
      </c>
      <c r="C24" s="0" t="str">
        <f aca="false">IFERROR(__xludf.dummyfunction("ROUND(0.00909003 * (FILTER('Go Base Stats'!$C$2:$C1000, 'Go Base Stats'!$A$2:$A1000 = $A24))^0.5 *(FILTER('Go Base Stats'!$D$2:$D1000, 'Go Base Stats'!$A$2:$A1000 = $A24))*(FILTER('Go Base Stats'!$E$2:$E1000, 'Go Base Stats'!$A$2:$A1000 = $A24))^0.5 / 10, 1)"),"9")</f>
        <v>9</v>
      </c>
      <c r="D24" s="0" t="str">
        <f aca="false">IFERROR(__xludf.dummyfunction("ROUND(0.00909003 * (FILTER('Go Base Stats'!$C$2:$C1000, 'Go Base Stats'!$A$2:$A1000 = $A24)+7.5)^0.5 *(FILTER('Go Base Stats'!$D$2:$D1000, 'Go Base Stats'!$A$2:$A1000 = $A24) + 7.5)*(FILTER('Go Base Stats'!$E$2:$E1000, 'Go Base Stats'!$A$2:$A1000 = $A24) + 7.5)^0.5 / 10, 1)"),"10.5")</f>
        <v>10.5</v>
      </c>
      <c r="E24" s="0" t="str">
        <f aca="false">IFERROR(__xludf.dummyfunction("ROUND(0.00909003 * (FILTER('Go Base Stats'!$C$2:$C1000, 'Go Base Stats'!$A$2:$A1000 = $A24)+15)^0.5 *(FILTER('Go Base Stats'!$D$2:$D1000, 'Go Base Stats'!$A$2:$A1000 = $A24) +15)*(FILTER('Go Base Stats'!$E$2:$E1000, 'Go Base Stats'!$A$2:$A1000 = $A24) + 15)^0.5 / 10, 1)"),"12")</f>
        <v>12</v>
      </c>
      <c r="F24" s="6"/>
      <c r="G24" s="6" t="str">
        <f aca="false">IFERROR(__xludf.dummyfunction("FILTER('Base Stats'!$C$2:$C1000, LOWER('Base Stats'!$B$2:$B1000) = LOWER($B24))"),"35")</f>
        <v>35</v>
      </c>
      <c r="H24" s="0" t="str">
        <f aca="false">IFERROR(__xludf.dummyfunction("FLOOR((0.7903)^2 * (FILTER('Go Base Stats'!$C$2:$C1000, 'Go Base Stats'!$A$2:$A1000 = $A24)+15)^0.5 *(FILTER('Go Base Stats'!$D$2:$D1000, 'Go Base Stats'!$A$2:$A1000 = $A24) +15)*(FILTER('Go Base Stats'!$E$2:$E1000, 'Go Base Stats'!$A$2:$A1000 = $A24) + 15)^0.5 / 10)"),"824")</f>
        <v>824</v>
      </c>
      <c r="I24" s="0" t="str">
        <f aca="false">IFERROR(__xludf.dummyfunction("FLOOR(0.7903* (FILTER('Go Base Stats'!$C$2:$C1000, 'Go Base Stats'!$A$2:$A1000 = $A24)+15))"),"67")</f>
        <v>67</v>
      </c>
      <c r="J24" s="17"/>
      <c r="K24" s="17"/>
      <c r="L24" s="17"/>
      <c r="M24" s="12" t="e">
        <f aca="false">IF(NOT(ISBLANK($R24)), $R24, IF(ROUND($P24, 1) = 0, "", ROUND($P24, 1) ))</f>
        <v>#VALUE!</v>
      </c>
      <c r="N24" s="13" t="e">
        <f aca="false">ABS(M24-D24)/M24</f>
        <v>#VALUE!</v>
      </c>
      <c r="P24" s="14" t="e">
        <f aca="false">IFERROR((U24+V24)/(W24+X24))</f>
        <v>#VALUE!</v>
      </c>
      <c r="Q2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LOWER($B24)))
)"),"")</f>
        <v/>
      </c>
      <c r="R24" s="16"/>
      <c r="U24" s="0" t="str">
        <f aca="false">IFERROR(__xludf.dummyfunction("IFERROR(SUM(FILTER('Form Responses (Power-up data)'!$C$2:$C1000, LOWER('Form Responses (Power-up data)'!$B$2:$B1000) = LOWER($B24))), 0)"),"0")</f>
        <v>0</v>
      </c>
      <c r="V2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LOWER($B24))
),0)"),"11")</f>
        <v>11</v>
      </c>
      <c r="W24" s="0" t="str">
        <f aca="false">IFERROR(__xludf.dummyfunction("COUNT(FILTER('Form Responses (Power-up data)'!$C$2:$C1000, LOWER('Form Responses (Power-up data)'!$B$2:$B1000) = LOWER($B24)))"),"0")</f>
        <v>0</v>
      </c>
      <c r="X2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LOWER($B24)))"),"1")</f>
        <v>1</v>
      </c>
      <c r="Y2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LOWER($B24))), 2)))"),"/")</f>
        <v>/</v>
      </c>
    </row>
    <row r="25" customFormat="false" ht="15.75" hidden="false" customHeight="false" outlineLevel="0" collapsed="false">
      <c r="A25" s="10" t="n">
        <v>24</v>
      </c>
      <c r="B25" s="1" t="s">
        <v>43</v>
      </c>
      <c r="C25" s="0" t="str">
        <f aca="false">IFERROR(__xludf.dummyfunction("ROUND(0.00909003 * (FILTER('Go Base Stats'!$C$2:$C1000, 'Go Base Stats'!$A$2:$A1000 = $A25))^0.5 *(FILTER('Go Base Stats'!$D$2:$D1000, 'Go Base Stats'!$A$2:$A1000 = $A25))*(FILTER('Go Base Stats'!$E$2:$E1000, 'Go Base Stats'!$A$2:$A1000 = $A25))^0.5 / 10, 1)"),"21.3")</f>
        <v>21.3</v>
      </c>
      <c r="D25" s="0" t="str">
        <f aca="false">IFERROR(__xludf.dummyfunction("ROUND(0.00909003 * (FILTER('Go Base Stats'!$C$2:$C1000, 'Go Base Stats'!$A$2:$A1000 = $A25)+7.5)^0.5 *(FILTER('Go Base Stats'!$D$2:$D1000, 'Go Base Stats'!$A$2:$A1000 = $A25) + 7.5)*(FILTER('Go Base Stats'!$E$2:$E1000, 'Go Base Stats'!$A$2:$A1000 = $A25) + 7.5)^0.5 / 10, 1)"),"23.5")</f>
        <v>23.5</v>
      </c>
      <c r="E25" s="0" t="str">
        <f aca="false">IFERROR(__xludf.dummyfunction("ROUND(0.00909003 * (FILTER('Go Base Stats'!$C$2:$C1000, 'Go Base Stats'!$A$2:$A1000 = $A25)+15)^0.5 *(FILTER('Go Base Stats'!$D$2:$D1000, 'Go Base Stats'!$A$2:$A1000 = $A25) +15)*(FILTER('Go Base Stats'!$E$2:$E1000, 'Go Base Stats'!$A$2:$A1000 = $A25) + 15)^0.5 / 10, 1)"),"25.7")</f>
        <v>25.7</v>
      </c>
      <c r="F25" s="6" t="str">
        <f aca="false">ROUND(D25/D24, 1)</f>
        <v>2.2</v>
      </c>
      <c r="G25" s="6" t="str">
        <f aca="false">IFERROR(__xludf.dummyfunction("FILTER('Base Stats'!$C$2:$C1000, LOWER('Base Stats'!$B$2:$B1000) = LOWER($B25))"),"60")</f>
        <v>60</v>
      </c>
      <c r="H25" s="0" t="str">
        <f aca="false">IFERROR(__xludf.dummyfunction("FLOOR((0.7903)^2 * (FILTER('Go Base Stats'!$C$2:$C1000, 'Go Base Stats'!$A$2:$A1000 = $A25)+15)^0.5 *(FILTER('Go Base Stats'!$D$2:$D1000, 'Go Base Stats'!$A$2:$A1000 = $A25) +15)*(FILTER('Go Base Stats'!$E$2:$E1000, 'Go Base Stats'!$A$2:$A1000 = $A25) + 15)^0.5 / 10)"),"1767")</f>
        <v>1767</v>
      </c>
      <c r="I25" s="0" t="str">
        <f aca="false">IFERROR(__xludf.dummyfunction("FLOOR(0.7903* (FILTER('Go Base Stats'!$C$2:$C1000, 'Go Base Stats'!$A$2:$A1000 = $A25)+15))"),"106")</f>
        <v>106</v>
      </c>
      <c r="J25" s="17"/>
      <c r="K25" s="17"/>
      <c r="L25" s="17"/>
      <c r="M25" s="12" t="e">
        <f aca="false">IF(NOT(ISBLANK($R25)), $R25, IF(ROUND($P25, 1) = 0, "", ROUND($P25, 1) ))</f>
        <v>#VALUE!</v>
      </c>
      <c r="N25" s="13" t="e">
        <f aca="false">ABS(M25-D25)/M25</f>
        <v>#VALUE!</v>
      </c>
      <c r="P25" s="14" t="e">
        <f aca="false">IFERROR((U25+V25)/(W25+X25))</f>
        <v>#VALUE!</v>
      </c>
      <c r="Q2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LOWER($B25)))
)"),"2.127264453")</f>
        <v>2.127264453</v>
      </c>
      <c r="R25" s="16"/>
      <c r="U25" s="0" t="str">
        <f aca="false">IFERROR(__xludf.dummyfunction("IFERROR(SUM(FILTER('Form Responses (Power-up data)'!$C$2:$C1000, LOWER('Form Responses (Power-up data)'!$B$2:$B1000) = LOWER($B25))), 0)"),"0")</f>
        <v>0</v>
      </c>
      <c r="V2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LOWER($B25))
),0)"),"114")</f>
        <v>114</v>
      </c>
      <c r="W25" s="0" t="str">
        <f aca="false">IFERROR(__xludf.dummyfunction("COUNT(FILTER('Form Responses (Power-up data)'!$C$2:$C1000, LOWER('Form Responses (Power-up data)'!$B$2:$B1000) = LOWER($B25)))"),"0")</f>
        <v>0</v>
      </c>
      <c r="X2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LOWER($B25)))"),"5")</f>
        <v>5</v>
      </c>
      <c r="Y2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LOWER($B25))), 2)))"),"1.5/2.33")</f>
        <v>1.5/2.33</v>
      </c>
    </row>
    <row r="26" customFormat="false" ht="15.75" hidden="false" customHeight="false" outlineLevel="0" collapsed="false">
      <c r="A26" s="10" t="n">
        <v>25</v>
      </c>
      <c r="B26" s="1" t="s">
        <v>44</v>
      </c>
      <c r="C26" s="0" t="str">
        <f aca="false">IFERROR(__xludf.dummyfunction("ROUND(0.00909003 * (FILTER('Go Base Stats'!$C$2:$C1000, 'Go Base Stats'!$A$2:$A1000 = $A26))^0.5 *(FILTER('Go Base Stats'!$D$2:$D1000, 'Go Base Stats'!$A$2:$A1000 = $A26))*(FILTER('Go Base Stats'!$E$2:$E1000, 'Go Base Stats'!$A$2:$A1000 = $A26))^0.5 / 10, 1)"),"9.8")</f>
        <v>9.8</v>
      </c>
      <c r="D26" s="0" t="str">
        <f aca="false">IFERROR(__xludf.dummyfunction("ROUND(0.00909003 * (FILTER('Go Base Stats'!$C$2:$C1000, 'Go Base Stats'!$A$2:$A1000 = $A26)+7.5)^0.5 *(FILTER('Go Base Stats'!$D$2:$D1000, 'Go Base Stats'!$A$2:$A1000 = $A26) + 7.5)*(FILTER('Go Base Stats'!$E$2:$E1000, 'Go Base Stats'!$A$2:$A1000 = $A26) + 7.5)^0.5 / 10, 1)"),"11.3")</f>
        <v>11.3</v>
      </c>
      <c r="E26" s="0" t="str">
        <f aca="false">IFERROR(__xludf.dummyfunction("ROUND(0.00909003 * (FILTER('Go Base Stats'!$C$2:$C1000, 'Go Base Stats'!$A$2:$A1000 = $A26)+15)^0.5 *(FILTER('Go Base Stats'!$D$2:$D1000, 'Go Base Stats'!$A$2:$A1000 = $A26) +15)*(FILTER('Go Base Stats'!$E$2:$E1000, 'Go Base Stats'!$A$2:$A1000 = $A26) + 15)^0.5 / 10, 1)"),"12.9")</f>
        <v>12.9</v>
      </c>
      <c r="F26" s="6"/>
      <c r="G26" s="6" t="str">
        <f aca="false">IFERROR(__xludf.dummyfunction("FILTER('Base Stats'!$C$2:$C1000, LOWER('Base Stats'!$B$2:$B1000) = LOWER($B26))"),"35")</f>
        <v>35</v>
      </c>
      <c r="H26" s="0" t="str">
        <f aca="false">IFERROR(__xludf.dummyfunction("FLOOR((0.7903)^2 * (FILTER('Go Base Stats'!$C$2:$C1000, 'Go Base Stats'!$A$2:$A1000 = $A26)+15)^0.5 *(FILTER('Go Base Stats'!$D$2:$D1000, 'Go Base Stats'!$A$2:$A1000 = $A26) +15)*(FILTER('Go Base Stats'!$E$2:$E1000, 'Go Base Stats'!$A$2:$A1000 = $A26) + 15)^0.5 / 10)"),"887")</f>
        <v>887</v>
      </c>
      <c r="I26" s="0" t="str">
        <f aca="false">IFERROR(__xludf.dummyfunction("FLOOR(0.7903* (FILTER('Go Base Stats'!$C$2:$C1000, 'Go Base Stats'!$A$2:$A1000 = $A26)+15))"),"67")</f>
        <v>67</v>
      </c>
      <c r="J26" s="17"/>
      <c r="K26" s="17"/>
      <c r="L26" s="17"/>
      <c r="M26" s="12" t="n">
        <f aca="false">IF(NOT(ISBLANK($R26)), $R26, IF(ROUND($P26, 1) = 0, "", ROUND($P26, 1) ))</f>
        <v>11.5</v>
      </c>
      <c r="N26" s="13" t="n">
        <f aca="false">ABS(M26-D26)/M26</f>
        <v>0.017391304347826</v>
      </c>
      <c r="P26" s="14" t="e">
        <f aca="false">IFERROR((U26+V26)/(W26+X26))</f>
        <v>#VALUE!</v>
      </c>
      <c r="Q2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LOWER($B26)))
)"),"")</f>
        <v/>
      </c>
      <c r="R26" s="16" t="n">
        <v>11.5</v>
      </c>
      <c r="U26" s="0" t="str">
        <f aca="false">IFERROR(__xludf.dummyfunction("IFERROR(SUM(FILTER('Form Responses (Power-up data)'!$C$2:$C1000, LOWER('Form Responses (Power-up data)'!$B$2:$B1000) = LOWER($B26))), 0)"),"0")</f>
        <v>0</v>
      </c>
      <c r="V2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LOWER($B26))
),0)"),"0")</f>
        <v>0</v>
      </c>
      <c r="W26" s="0" t="str">
        <f aca="false">IFERROR(__xludf.dummyfunction("COUNT(FILTER('Form Responses (Power-up data)'!$C$2:$C1000, LOWER('Form Responses (Power-up data)'!$B$2:$B1000) = LOWER($B26)))"),"0")</f>
        <v>0</v>
      </c>
      <c r="X2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LOWER($B26)))"),"0")</f>
        <v>0</v>
      </c>
      <c r="Y2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LOWER($B26))), 2)))"),"/")</f>
        <v>/</v>
      </c>
    </row>
    <row r="27" customFormat="false" ht="15.75" hidden="false" customHeight="false" outlineLevel="0" collapsed="false">
      <c r="A27" s="10" t="n">
        <v>26</v>
      </c>
      <c r="B27" s="1" t="s">
        <v>45</v>
      </c>
      <c r="C27" s="0" t="str">
        <f aca="false">IFERROR(__xludf.dummyfunction("ROUND(0.00909003 * (FILTER('Go Base Stats'!$C$2:$C1000, 'Go Base Stats'!$A$2:$A1000 = $A27))^0.5 *(FILTER('Go Base Stats'!$D$2:$D1000, 'Go Base Stats'!$A$2:$A1000 = $A27))*(FILTER('Go Base Stats'!$E$2:$E1000, 'Go Base Stats'!$A$2:$A1000 = $A27))^0.5 / 10, 1)"),"24.7")</f>
        <v>24.7</v>
      </c>
      <c r="D27" s="0" t="str">
        <f aca="false">IFERROR(__xludf.dummyfunction("ROUND(0.00909003 * (FILTER('Go Base Stats'!$C$2:$C1000, 'Go Base Stats'!$A$2:$A1000 = $A27)+7.5)^0.5 *(FILTER('Go Base Stats'!$D$2:$D1000, 'Go Base Stats'!$A$2:$A1000 = $A27) + 7.5)*(FILTER('Go Base Stats'!$E$2:$E1000, 'Go Base Stats'!$A$2:$A1000 = $A27) + 7.5)^0.5 / 10, 1)"),"27.1")</f>
        <v>27.1</v>
      </c>
      <c r="E27" s="0" t="str">
        <f aca="false">IFERROR(__xludf.dummyfunction("ROUND(0.00909003 * (FILTER('Go Base Stats'!$C$2:$C1000, 'Go Base Stats'!$A$2:$A1000 = $A27)+15)^0.5 *(FILTER('Go Base Stats'!$D$2:$D1000, 'Go Base Stats'!$A$2:$A1000 = $A27) +15)*(FILTER('Go Base Stats'!$E$2:$E1000, 'Go Base Stats'!$A$2:$A1000 = $A27) + 15)^0.5 / 10, 1)"),"29.5")</f>
        <v>29.5</v>
      </c>
      <c r="F27" s="6" t="str">
        <f aca="false">ROUND(D27/D26, 1)</f>
        <v>2.4</v>
      </c>
      <c r="G27" s="6" t="str">
        <f aca="false">IFERROR(__xludf.dummyfunction("FILTER('Base Stats'!$C$2:$C1000, LOWER('Base Stats'!$B$2:$B1000) = LOWER($B27))"),"60")</f>
        <v>60</v>
      </c>
      <c r="H27" s="0" t="str">
        <f aca="false">IFERROR(__xludf.dummyfunction("FLOOR((0.7903)^2 * (FILTER('Go Base Stats'!$C$2:$C1000, 'Go Base Stats'!$A$2:$A1000 = $A27)+15)^0.5 *(FILTER('Go Base Stats'!$D$2:$D1000, 'Go Base Stats'!$A$2:$A1000 = $A27) +15)*(FILTER('Go Base Stats'!$E$2:$E1000, 'Go Base Stats'!$A$2:$A1000 = $A27) + 15)^0.5 / 10)"),"2028")</f>
        <v>2028</v>
      </c>
      <c r="I27" s="0" t="str">
        <f aca="false">IFERROR(__xludf.dummyfunction("FLOOR(0.7903* (FILTER('Go Base Stats'!$C$2:$C1000, 'Go Base Stats'!$A$2:$A1000 = $A27)+15))"),"106")</f>
        <v>106</v>
      </c>
      <c r="J27" s="17"/>
      <c r="K27" s="17"/>
      <c r="L27" s="17"/>
      <c r="M27" s="12" t="n">
        <f aca="false">IF(NOT(ISBLANK($R27)), $R27, IF(ROUND($P27, 1) = 0, "", ROUND($P27, 1) ))</f>
        <v>27</v>
      </c>
      <c r="N27" s="13" t="n">
        <f aca="false">ABS(M27-D27)/M27</f>
        <v>0.00370370370370376</v>
      </c>
      <c r="P27" s="14" t="e">
        <f aca="false">IFERROR((U27+V27)/(W27+X27))</f>
        <v>#VALUE!</v>
      </c>
      <c r="Q2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LOWER($B27)))
)"),"2.350819672")</f>
        <v>2.350819672</v>
      </c>
      <c r="R27" s="16" t="n">
        <v>27</v>
      </c>
      <c r="U27" s="0" t="str">
        <f aca="false">IFERROR(__xludf.dummyfunction("IFERROR(SUM(FILTER('Form Responses (Power-up data)'!$C$2:$C1000, LOWER('Form Responses (Power-up data)'!$B$2:$B1000) = LOWER($B27))), 0)"),"0")</f>
        <v>0</v>
      </c>
      <c r="V2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LOWER($B27))
),0)"),"0")</f>
        <v>0</v>
      </c>
      <c r="W27" s="0" t="str">
        <f aca="false">IFERROR(__xludf.dummyfunction("COUNT(FILTER('Form Responses (Power-up data)'!$C$2:$C1000, LOWER('Form Responses (Power-up data)'!$B$2:$B1000) = LOWER($B27)))"),"0")</f>
        <v>0</v>
      </c>
      <c r="X2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LOWER($B27)))"),"0")</f>
        <v>0</v>
      </c>
      <c r="Y2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LOWER($B27))), 2)))"),"2.35/2.35")</f>
        <v>2.35/2.35</v>
      </c>
    </row>
    <row r="28" customFormat="false" ht="15.75" hidden="false" customHeight="false" outlineLevel="0" collapsed="false">
      <c r="A28" s="10" t="n">
        <v>27</v>
      </c>
      <c r="B28" s="1" t="s">
        <v>46</v>
      </c>
      <c r="C28" s="0" t="str">
        <f aca="false">IFERROR(__xludf.dummyfunction("ROUND(0.00909003 * (FILTER('Go Base Stats'!$C$2:$C1000, 'Go Base Stats'!$A$2:$A1000 = $A28))^0.5 *(FILTER('Go Base Stats'!$D$2:$D1000, 'Go Base Stats'!$A$2:$A1000 = $A28))*(FILTER('Go Base Stats'!$E$2:$E1000, 'Go Base Stats'!$A$2:$A1000 = $A28))^0.5 / 10, 1)"),"8.7")</f>
        <v>8.7</v>
      </c>
      <c r="D28" s="0" t="str">
        <f aca="false">IFERROR(__xludf.dummyfunction("ROUND(0.00909003 * (FILTER('Go Base Stats'!$C$2:$C1000, 'Go Base Stats'!$A$2:$A1000 = $A28)+7.5)^0.5 *(FILTER('Go Base Stats'!$D$2:$D1000, 'Go Base Stats'!$A$2:$A1000 = $A28) + 7.5)*(FILTER('Go Base Stats'!$E$2:$E1000, 'Go Base Stats'!$A$2:$A1000 = $A28) + 7.5)^0.5 / 10, 1)"),"10.1")</f>
        <v>10.1</v>
      </c>
      <c r="E28" s="0" t="str">
        <f aca="false">IFERROR(__xludf.dummyfunction("ROUND(0.00909003 * (FILTER('Go Base Stats'!$C$2:$C1000, 'Go Base Stats'!$A$2:$A1000 = $A28)+15)^0.5 *(FILTER('Go Base Stats'!$D$2:$D1000, 'Go Base Stats'!$A$2:$A1000 = $A28) +15)*(FILTER('Go Base Stats'!$E$2:$E1000, 'Go Base Stats'!$A$2:$A1000 = $A28) + 15)^0.5 / 10, 1)"),"11.6")</f>
        <v>11.6</v>
      </c>
      <c r="F28" s="6"/>
      <c r="G28" s="6" t="str">
        <f aca="false">IFERROR(__xludf.dummyfunction("FILTER('Base Stats'!$C$2:$C1000, LOWER('Base Stats'!$B$2:$B1000) = LOWER($B28))"),"50")</f>
        <v>50</v>
      </c>
      <c r="H28" s="0" t="str">
        <f aca="false">IFERROR(__xludf.dummyfunction("FLOOR((0.7903)^2 * (FILTER('Go Base Stats'!$C$2:$C1000, 'Go Base Stats'!$A$2:$A1000 = $A28)+15)^0.5 *(FILTER('Go Base Stats'!$D$2:$D1000, 'Go Base Stats'!$A$2:$A1000 = $A28) +15)*(FILTER('Go Base Stats'!$E$2:$E1000, 'Go Base Stats'!$A$2:$A1000 = $A28) + 15)^0.5 / 10)"),"798")</f>
        <v>798</v>
      </c>
      <c r="I28" s="0" t="str">
        <f aca="false">IFERROR(__xludf.dummyfunction("FLOOR(0.7903* (FILTER('Go Base Stats'!$C$2:$C1000, 'Go Base Stats'!$A$2:$A1000 = $A28)+15))"),"90")</f>
        <v>90</v>
      </c>
      <c r="J28" s="17"/>
      <c r="K28" s="17"/>
      <c r="L28" s="17"/>
      <c r="M28" s="12" t="n">
        <f aca="false">IF(NOT(ISBLANK($R28)), $R28, IF(ROUND($P28, 1) = 0, "", ROUND($P28, 1) ))</f>
        <v>11</v>
      </c>
      <c r="N28" s="13" t="n">
        <f aca="false">ABS(M28-D28)/M28</f>
        <v>0.0818181818181819</v>
      </c>
      <c r="P28" s="14" t="e">
        <f aca="false">IFERROR((U28+V28)/(W28+X28))</f>
        <v>#VALUE!</v>
      </c>
      <c r="Q2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LOWER($B28)))
)"),"")</f>
        <v/>
      </c>
      <c r="R28" s="16" t="n">
        <v>11</v>
      </c>
      <c r="U28" s="0" t="str">
        <f aca="false">IFERROR(__xludf.dummyfunction("IFERROR(SUM(FILTER('Form Responses (Power-up data)'!$C$2:$C1000, LOWER('Form Responses (Power-up data)'!$B$2:$B1000) = LOWER($B28))), 0)"),"0")</f>
        <v>0</v>
      </c>
      <c r="V2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LOWER($B28))
),0)"),"11")</f>
        <v>11</v>
      </c>
      <c r="W28" s="0" t="str">
        <f aca="false">IFERROR(__xludf.dummyfunction("COUNT(FILTER('Form Responses (Power-up data)'!$C$2:$C1000, LOWER('Form Responses (Power-up data)'!$B$2:$B1000) = LOWER($B28)))"),"0")</f>
        <v>0</v>
      </c>
      <c r="X2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LOWER($B28)))"),"1")</f>
        <v>1</v>
      </c>
      <c r="Y2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LOWER($B28))), 2)))"),"/")</f>
        <v>/</v>
      </c>
    </row>
    <row r="29" customFormat="false" ht="15.75" hidden="false" customHeight="false" outlineLevel="0" collapsed="false">
      <c r="A29" s="10" t="n">
        <v>28</v>
      </c>
      <c r="B29" s="1" t="s">
        <v>47</v>
      </c>
      <c r="C29" s="0" t="str">
        <f aca="false">IFERROR(__xludf.dummyfunction("ROUND(0.00909003 * (FILTER('Go Base Stats'!$C$2:$C1000, 'Go Base Stats'!$A$2:$A1000 = $A29))^0.5 *(FILTER('Go Base Stats'!$D$2:$D1000, 'Go Base Stats'!$A$2:$A1000 = $A29))*(FILTER('Go Base Stats'!$E$2:$E1000, 'Go Base Stats'!$A$2:$A1000 = $A29))^0.5 / 10, 1)"),"21.9")</f>
        <v>21.9</v>
      </c>
      <c r="D29" s="0" t="str">
        <f aca="false">IFERROR(__xludf.dummyfunction("ROUND(0.00909003 * (FILTER('Go Base Stats'!$C$2:$C1000, 'Go Base Stats'!$A$2:$A1000 = $A29)+7.5)^0.5 *(FILTER('Go Base Stats'!$D$2:$D1000, 'Go Base Stats'!$A$2:$A1000 = $A29) + 7.5)*(FILTER('Go Base Stats'!$E$2:$E1000, 'Go Base Stats'!$A$2:$A1000 = $A29) + 7.5)^0.5 / 10, 1)"),"24.1")</f>
        <v>24.1</v>
      </c>
      <c r="E29" s="0" t="str">
        <f aca="false">IFERROR(__xludf.dummyfunction("ROUND(0.00909003 * (FILTER('Go Base Stats'!$C$2:$C1000, 'Go Base Stats'!$A$2:$A1000 = $A29)+15)^0.5 *(FILTER('Go Base Stats'!$D$2:$D1000, 'Go Base Stats'!$A$2:$A1000 = $A29) +15)*(FILTER('Go Base Stats'!$E$2:$E1000, 'Go Base Stats'!$A$2:$A1000 = $A29) + 15)^0.5 / 10, 1)"),"26.3")</f>
        <v>26.3</v>
      </c>
      <c r="F29" s="6" t="str">
        <f aca="false">ROUND(D29/D28, 1)</f>
        <v>2.4</v>
      </c>
      <c r="G29" s="6" t="str">
        <f aca="false">IFERROR(__xludf.dummyfunction("FILTER('Base Stats'!$C$2:$C1000, LOWER('Base Stats'!$B$2:$B1000) = LOWER($B29))"),"75")</f>
        <v>75</v>
      </c>
      <c r="H29" s="0" t="str">
        <f aca="false">IFERROR(__xludf.dummyfunction("FLOOR((0.7903)^2 * (FILTER('Go Base Stats'!$C$2:$C1000, 'Go Base Stats'!$A$2:$A1000 = $A29)+15)^0.5 *(FILTER('Go Base Stats'!$D$2:$D1000, 'Go Base Stats'!$A$2:$A1000 = $A29) +15)*(FILTER('Go Base Stats'!$E$2:$E1000, 'Go Base Stats'!$A$2:$A1000 = $A29) + 15)^0.5 / 10)"),"1810")</f>
        <v>1810</v>
      </c>
      <c r="I29" s="0" t="str">
        <f aca="false">IFERROR(__xludf.dummyfunction("FLOOR(0.7903* (FILTER('Go Base Stats'!$C$2:$C1000, 'Go Base Stats'!$A$2:$A1000 = $A29)+15))"),"130")</f>
        <v>130</v>
      </c>
      <c r="J29" s="17"/>
      <c r="K29" s="17"/>
      <c r="L29" s="17"/>
      <c r="M29" s="12" t="e">
        <f aca="false">IF(NOT(ISBLANK($R29)), $R29, IF(ROUND($P29, 1) = 0, "", ROUND($P29, 1) ))</f>
        <v>#VALUE!</v>
      </c>
      <c r="N29" s="13" t="e">
        <f aca="false">ABS(M29-D29)/M29</f>
        <v>#VALUE!</v>
      </c>
      <c r="P29" s="14" t="e">
        <f aca="false">IFERROR((U29+V29)/(W29+X29))</f>
        <v>#VALUE!</v>
      </c>
      <c r="Q2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LOWER($B29)))
)"),"2.292613636")</f>
        <v>2.292613636</v>
      </c>
      <c r="R29" s="16"/>
      <c r="U29" s="0" t="str">
        <f aca="false">IFERROR(__xludf.dummyfunction("IFERROR(SUM(FILTER('Form Responses (Power-up data)'!$C$2:$C1000, LOWER('Form Responses (Power-up data)'!$B$2:$B1000) = LOWER($B29))), 0)"),"0")</f>
        <v>0</v>
      </c>
      <c r="V2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LOWER($B29))
),0)"),"67")</f>
        <v>67</v>
      </c>
      <c r="W29" s="0" t="str">
        <f aca="false">IFERROR(__xludf.dummyfunction("COUNT(FILTER('Form Responses (Power-up data)'!$C$2:$C1000, LOWER('Form Responses (Power-up data)'!$B$2:$B1000) = LOWER($B29)))"),"0")</f>
        <v>0</v>
      </c>
      <c r="X2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LOWER($B29)))"),"3")</f>
        <v>3</v>
      </c>
      <c r="Y2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LOWER($B29))), 2)))"),"2.29/2.29")</f>
        <v>2.29/2.29</v>
      </c>
    </row>
    <row r="30" customFormat="false" ht="15.75" hidden="false" customHeight="false" outlineLevel="0" collapsed="false">
      <c r="A30" s="10" t="n">
        <v>29</v>
      </c>
      <c r="B30" s="1" t="s">
        <v>48</v>
      </c>
      <c r="C30" s="0" t="str">
        <f aca="false">IFERROR(__xludf.dummyfunction("ROUND(0.00909003 * (FILTER('Go Base Stats'!$C$2:$C1000, 'Go Base Stats'!$A$2:$A1000 = $A30))^0.5 *(FILTER('Go Base Stats'!$D$2:$D1000, 'Go Base Stats'!$A$2:$A1000 = $A30))*(FILTER('Go Base Stats'!$E$2:$E1000, 'Go Base Stats'!$A$2:$A1000 = $A30))^0.5 / 10, 1)"),"9.7")</f>
        <v>9.7</v>
      </c>
      <c r="D30" s="0" t="str">
        <f aca="false">IFERROR(__xludf.dummyfunction("ROUND(0.00909003 * (FILTER('Go Base Stats'!$C$2:$C1000, 'Go Base Stats'!$A$2:$A1000 = $A30)+7.5)^0.5 *(FILTER('Go Base Stats'!$D$2:$D1000, 'Go Base Stats'!$A$2:$A1000 = $A30) + 7.5)*(FILTER('Go Base Stats'!$E$2:$E1000, 'Go Base Stats'!$A$2:$A1000 = $A30) + 7.5)^0.5 / 10, 1)"),"11.2")</f>
        <v>11.2</v>
      </c>
      <c r="E30" s="0" t="str">
        <f aca="false">IFERROR(__xludf.dummyfunction("ROUND(0.00909003 * (FILTER('Go Base Stats'!$C$2:$C1000, 'Go Base Stats'!$A$2:$A1000 = $A30)+15)^0.5 *(FILTER('Go Base Stats'!$D$2:$D1000, 'Go Base Stats'!$A$2:$A1000 = $A30) +15)*(FILTER('Go Base Stats'!$E$2:$E1000, 'Go Base Stats'!$A$2:$A1000 = $A30) + 15)^0.5 / 10, 1)"),"12.7")</f>
        <v>12.7</v>
      </c>
      <c r="F30" s="6"/>
      <c r="G30" s="6" t="str">
        <f aca="false">IFERROR(__xludf.dummyfunction("FILTER('Base Stats'!$C$2:$C1000, LOWER('Base Stats'!$B$2:$B1000) = LOWER($B30))"),"55")</f>
        <v>55</v>
      </c>
      <c r="H30" s="0" t="str">
        <f aca="false">IFERROR(__xludf.dummyfunction("FLOOR((0.7903)^2 * (FILTER('Go Base Stats'!$C$2:$C1000, 'Go Base Stats'!$A$2:$A1000 = $A30)+15)^0.5 *(FILTER('Go Base Stats'!$D$2:$D1000, 'Go Base Stats'!$A$2:$A1000 = $A30) +15)*(FILTER('Go Base Stats'!$E$2:$E1000, 'Go Base Stats'!$A$2:$A1000 = $A30) + 15)^0.5 / 10)"),"876")</f>
        <v>876</v>
      </c>
      <c r="I30" s="0" t="str">
        <f aca="false">IFERROR(__xludf.dummyfunction("FLOOR(0.7903* (FILTER('Go Base Stats'!$C$2:$C1000, 'Go Base Stats'!$A$2:$A1000 = $A30)+15))"),"98")</f>
        <v>98</v>
      </c>
      <c r="J30" s="17"/>
      <c r="K30" s="17"/>
      <c r="L30" s="17"/>
      <c r="M30" s="12" t="n">
        <f aca="false">IF(NOT(ISBLANK($R30)), $R30, IF(ROUND($P30, 1) = 0, "", ROUND($P30, 1) ))</f>
        <v>11</v>
      </c>
      <c r="N30" s="13" t="n">
        <f aca="false">ABS(M30-D30)/M30</f>
        <v>0.0181818181818181</v>
      </c>
      <c r="P30" s="14" t="e">
        <f aca="false">IFERROR((U30+V30)/(W30+X30))</f>
        <v>#VALUE!</v>
      </c>
      <c r="Q3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LOWER($B30)))
)"),"1.625441696")</f>
        <v>1.625441696</v>
      </c>
      <c r="R30" s="16" t="n">
        <v>11</v>
      </c>
      <c r="U30" s="0" t="str">
        <f aca="false">IFERROR(__xludf.dummyfunction("IFERROR(SUM(FILTER('Form Responses (Power-up data)'!$C$2:$C1000, LOWER('Form Responses (Power-up data)'!$B$2:$B1000) = LOWER($B30))), 0)"),"0")</f>
        <v>0</v>
      </c>
      <c r="V3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LOWER($B30))
),0)"),"0")</f>
        <v>0</v>
      </c>
      <c r="W30" s="0" t="str">
        <f aca="false">IFERROR(__xludf.dummyfunction("COUNT(FILTER('Form Responses (Power-up data)'!$C$2:$C1000, LOWER('Form Responses (Power-up data)'!$B$2:$B1000) = LOWER($B30)))"),"0")</f>
        <v>0</v>
      </c>
      <c r="X3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LOWER($B30)))"),"0")</f>
        <v>0</v>
      </c>
      <c r="Y3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LOWER($B30))), 2)))"),"1.63/1.63")</f>
        <v>1.63/1.63</v>
      </c>
    </row>
    <row r="31" customFormat="false" ht="15.75" hidden="false" customHeight="false" outlineLevel="0" collapsed="false">
      <c r="A31" s="10" t="n">
        <v>30</v>
      </c>
      <c r="B31" s="1" t="s">
        <v>49</v>
      </c>
      <c r="C31" s="0" t="str">
        <f aca="false">IFERROR(__xludf.dummyfunction("ROUND(0.00909003 * (FILTER('Go Base Stats'!$C$2:$C1000, 'Go Base Stats'!$A$2:$A1000 = $A31))^0.5 *(FILTER('Go Base Stats'!$D$2:$D1000, 'Go Base Stats'!$A$2:$A1000 = $A31))*(FILTER('Go Base Stats'!$E$2:$E1000, 'Go Base Stats'!$A$2:$A1000 = $A31))^0.5 / 10, 1)"),"16.6")</f>
        <v>16.6</v>
      </c>
      <c r="D31" s="0" t="str">
        <f aca="false">IFERROR(__xludf.dummyfunction("ROUND(0.00909003 * (FILTER('Go Base Stats'!$C$2:$C1000, 'Go Base Stats'!$A$2:$A1000 = $A31)+7.5)^0.5 *(FILTER('Go Base Stats'!$D$2:$D1000, 'Go Base Stats'!$A$2:$A1000 = $A31) + 7.5)*(FILTER('Go Base Stats'!$E$2:$E1000, 'Go Base Stats'!$A$2:$A1000 = $A31) + 7.5)^0.5 / 10, 1)"),"18.4")</f>
        <v>18.4</v>
      </c>
      <c r="E31" s="0" t="str">
        <f aca="false">IFERROR(__xludf.dummyfunction("ROUND(0.00909003 * (FILTER('Go Base Stats'!$C$2:$C1000, 'Go Base Stats'!$A$2:$A1000 = $A31)+15)^0.5 *(FILTER('Go Base Stats'!$D$2:$D1000, 'Go Base Stats'!$A$2:$A1000 = $A31) +15)*(FILTER('Go Base Stats'!$E$2:$E1000, 'Go Base Stats'!$A$2:$A1000 = $A31) + 15)^0.5 / 10, 1)"),"20.4")</f>
        <v>20.4</v>
      </c>
      <c r="F31" s="6" t="n">
        <f aca="false">ROUND(D31/D30, 1)</f>
        <v>1.6</v>
      </c>
      <c r="G31" s="6" t="str">
        <f aca="false">IFERROR(__xludf.dummyfunction("FILTER('Base Stats'!$C$2:$C1000, LOWER('Base Stats'!$B$2:$B1000) = LOWER($B31))"),"70")</f>
        <v>70</v>
      </c>
      <c r="H31" s="0" t="str">
        <f aca="false">IFERROR(__xludf.dummyfunction("FLOOR((0.7903)^2 * (FILTER('Go Base Stats'!$C$2:$C1000, 'Go Base Stats'!$A$2:$A1000 = $A31)+15)^0.5 *(FILTER('Go Base Stats'!$D$2:$D1000, 'Go Base Stats'!$A$2:$A1000 = $A31) +15)*(FILTER('Go Base Stats'!$E$2:$E1000, 'Go Base Stats'!$A$2:$A1000 = $A31) + 15)^0.5 / 10)"),"1404")</f>
        <v>1404</v>
      </c>
      <c r="I31" s="0" t="str">
        <f aca="false">IFERROR(__xludf.dummyfunction("FLOOR(0.7903* (FILTER('Go Base Stats'!$C$2:$C1000, 'Go Base Stats'!$A$2:$A1000 = $A31)+15))"),"122")</f>
        <v>122</v>
      </c>
      <c r="J31" s="17"/>
      <c r="K31" s="17"/>
      <c r="L31" s="17"/>
      <c r="M31" s="12" t="n">
        <f aca="false">IF(NOT(ISBLANK($R31)), $R31, IF(ROUND($P31, 1) = 0, "", ROUND($P31, 1) ))</f>
        <v>19</v>
      </c>
      <c r="N31" s="13" t="n">
        <f aca="false">ABS(M31-D31)/M31</f>
        <v>0.0315789473684211</v>
      </c>
      <c r="P31" s="14" t="e">
        <f aca="false">IFERROR((U31+V31)/(W31+X31))</f>
        <v>#VALUE!</v>
      </c>
      <c r="Q3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LOWER($B31)))
)"),"1.655498169")</f>
        <v>1.655498169</v>
      </c>
      <c r="R31" s="16" t="n">
        <v>19</v>
      </c>
      <c r="U31" s="0" t="str">
        <f aca="false">IFERROR(__xludf.dummyfunction("IFERROR(SUM(FILTER('Form Responses (Power-up data)'!$C$2:$C1000, LOWER('Form Responses (Power-up data)'!$B$2:$B1000) = LOWER($B31))), 0)"),"0")</f>
        <v>0</v>
      </c>
      <c r="V3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LOWER($B31))
),0)"),"0")</f>
        <v>0</v>
      </c>
      <c r="W31" s="0" t="str">
        <f aca="false">IFERROR(__xludf.dummyfunction("COUNT(FILTER('Form Responses (Power-up data)'!$C$2:$C1000, LOWER('Form Responses (Power-up data)'!$B$2:$B1000) = LOWER($B31)))"),"0")</f>
        <v>0</v>
      </c>
      <c r="X3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LOWER($B31)))"),"0")</f>
        <v>0</v>
      </c>
      <c r="Y3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LOWER($B31))), 2)))"),"1.63/1.67")</f>
        <v>1.63/1.67</v>
      </c>
    </row>
    <row r="32" customFormat="false" ht="15.75" hidden="false" customHeight="false" outlineLevel="0" collapsed="false">
      <c r="A32" s="10" t="n">
        <v>31</v>
      </c>
      <c r="B32" s="1" t="s">
        <v>50</v>
      </c>
      <c r="C32" s="0" t="str">
        <f aca="false">IFERROR(__xludf.dummyfunction("ROUND(0.00909003 * (FILTER('Go Base Stats'!$C$2:$C1000, 'Go Base Stats'!$A$2:$A1000 = $A32))^0.5 *(FILTER('Go Base Stats'!$D$2:$D1000, 'Go Base Stats'!$A$2:$A1000 = $A32))*(FILTER('Go Base Stats'!$E$2:$E1000, 'Go Base Stats'!$A$2:$A1000 = $A32))^0.5 / 10, 1)"),"30.9")</f>
        <v>30.9</v>
      </c>
      <c r="D32" s="0" t="str">
        <f aca="false">IFERROR(__xludf.dummyfunction("ROUND(0.00909003 * (FILTER('Go Base Stats'!$C$2:$C1000, 'Go Base Stats'!$A$2:$A1000 = $A32)+7.5)^0.5 *(FILTER('Go Base Stats'!$D$2:$D1000, 'Go Base Stats'!$A$2:$A1000 = $A32) + 7.5)*(FILTER('Go Base Stats'!$E$2:$E1000, 'Go Base Stats'!$A$2:$A1000 = $A32) + 7.5)^0.5 / 10, 1)"),"33.5")</f>
        <v>33.5</v>
      </c>
      <c r="E32" s="0" t="str">
        <f aca="false">IFERROR(__xludf.dummyfunction("ROUND(0.00909003 * (FILTER('Go Base Stats'!$C$2:$C1000, 'Go Base Stats'!$A$2:$A1000 = $A32)+15)^0.5 *(FILTER('Go Base Stats'!$D$2:$D1000, 'Go Base Stats'!$A$2:$A1000 = $A32) +15)*(FILTER('Go Base Stats'!$E$2:$E1000, 'Go Base Stats'!$A$2:$A1000 = $A32) + 15)^0.5 / 10, 1)"),"36.2")</f>
        <v>36.2</v>
      </c>
      <c r="F32" s="6" t="n">
        <f aca="false">ROUND(D32/D31, 1)</f>
        <v>1.8</v>
      </c>
      <c r="G32" s="6" t="str">
        <f aca="false">IFERROR(__xludf.dummyfunction("FILTER('Base Stats'!$C$2:$C1000, LOWER('Base Stats'!$B$2:$B1000) = LOWER($B32))"),"90")</f>
        <v>90</v>
      </c>
      <c r="H32" s="0" t="str">
        <f aca="false">IFERROR(__xludf.dummyfunction("FLOOR((0.7903)^2 * (FILTER('Go Base Stats'!$C$2:$C1000, 'Go Base Stats'!$A$2:$A1000 = $A32)+15)^0.5 *(FILTER('Go Base Stats'!$D$2:$D1000, 'Go Base Stats'!$A$2:$A1000 = $A32) +15)*(FILTER('Go Base Stats'!$E$2:$E1000, 'Go Base Stats'!$A$2:$A1000 = $A32) + 15)^0.5 / 10)"),"2485")</f>
        <v>2485</v>
      </c>
      <c r="I32" s="0" t="str">
        <f aca="false">IFERROR(__xludf.dummyfunction("FLOOR(0.7903* (FILTER('Go Base Stats'!$C$2:$C1000, 'Go Base Stats'!$A$2:$A1000 = $A32)+15))"),"154")</f>
        <v>154</v>
      </c>
      <c r="J32" s="17"/>
      <c r="K32" s="17"/>
      <c r="L32" s="17"/>
      <c r="M32" s="12" t="e">
        <f aca="false">IF(NOT(ISBLANK($R32)), $R32, IF(ROUND($P32, 1) = 0, "", ROUND($P32, 1) ))</f>
        <v>#VALUE!</v>
      </c>
      <c r="N32" s="13" t="e">
        <f aca="false">ABS(M32-D32)/M32</f>
        <v>#VALUE!</v>
      </c>
      <c r="P32" s="14" t="e">
        <f aca="false">IFERROR((U32+V32)/(W32+X32))</f>
        <v>#VALUE!</v>
      </c>
      <c r="Q3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LOWER($B32)))
)"),"")</f>
        <v/>
      </c>
      <c r="R32" s="16"/>
      <c r="U32" s="0" t="str">
        <f aca="false">IFERROR(__xludf.dummyfunction("IFERROR(SUM(FILTER('Form Responses (Power-up data)'!$C$2:$C1000, LOWER('Form Responses (Power-up data)'!$B$2:$B1000) = LOWER($B32))), 0)"),"0")</f>
        <v>0</v>
      </c>
      <c r="V3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LOWER($B32))
),0)"),"102")</f>
        <v>102</v>
      </c>
      <c r="W32" s="0" t="str">
        <f aca="false">IFERROR(__xludf.dummyfunction("COUNT(FILTER('Form Responses (Power-up data)'!$C$2:$C1000, LOWER('Form Responses (Power-up data)'!$B$2:$B1000) = LOWER($B32)))"),"0")</f>
        <v>0</v>
      </c>
      <c r="X3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LOWER($B32)))"),"3")</f>
        <v>3</v>
      </c>
      <c r="Y3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LOWER($B32))), 2)))"),"/")</f>
        <v>/</v>
      </c>
    </row>
    <row r="33" customFormat="false" ht="15.75" hidden="false" customHeight="false" outlineLevel="0" collapsed="false">
      <c r="A33" s="10" t="n">
        <v>32</v>
      </c>
      <c r="B33" s="1" t="s">
        <v>51</v>
      </c>
      <c r="C33" s="0" t="str">
        <f aca="false">IFERROR(__xludf.dummyfunction("ROUND(0.00909003 * (FILTER('Go Base Stats'!$C$2:$C1000, 'Go Base Stats'!$A$2:$A1000 = $A33))^0.5 *(FILTER('Go Base Stats'!$D$2:$D1000, 'Go Base Stats'!$A$2:$A1000 = $A33))*(FILTER('Go Base Stats'!$E$2:$E1000, 'Go Base Stats'!$A$2:$A1000 = $A33))^0.5 / 10, 1)"),"9.3")</f>
        <v>9.3</v>
      </c>
      <c r="D33" s="0" t="str">
        <f aca="false">IFERROR(__xludf.dummyfunction("ROUND(0.00909003 * (FILTER('Go Base Stats'!$C$2:$C1000, 'Go Base Stats'!$A$2:$A1000 = $A33)+7.5)^0.5 *(FILTER('Go Base Stats'!$D$2:$D1000, 'Go Base Stats'!$A$2:$A1000 = $A33) + 7.5)*(FILTER('Go Base Stats'!$E$2:$E1000, 'Go Base Stats'!$A$2:$A1000 = $A33) + 7.5)^0.5 / 10, 1)"),"10.7")</f>
        <v>10.7</v>
      </c>
      <c r="E33" s="0" t="str">
        <f aca="false">IFERROR(__xludf.dummyfunction("ROUND(0.00909003 * (FILTER('Go Base Stats'!$C$2:$C1000, 'Go Base Stats'!$A$2:$A1000 = $A33)+15)^0.5 *(FILTER('Go Base Stats'!$D$2:$D1000, 'Go Base Stats'!$A$2:$A1000 = $A33) +15)*(FILTER('Go Base Stats'!$E$2:$E1000, 'Go Base Stats'!$A$2:$A1000 = $A33) + 15)^0.5 / 10, 1)"),"12.3")</f>
        <v>12.3</v>
      </c>
      <c r="F33" s="6"/>
      <c r="G33" s="6" t="str">
        <f aca="false">IFERROR(__xludf.dummyfunction("FILTER('Base Stats'!$C$2:$C1000, LOWER('Base Stats'!$B$2:$B1000) = LOWER($B33))"),"46")</f>
        <v>46</v>
      </c>
      <c r="H33" s="0" t="str">
        <f aca="false">IFERROR(__xludf.dummyfunction("FLOOR((0.7903)^2 * (FILTER('Go Base Stats'!$C$2:$C1000, 'Go Base Stats'!$A$2:$A1000 = $A33)+15)^0.5 *(FILTER('Go Base Stats'!$D$2:$D1000, 'Go Base Stats'!$A$2:$A1000 = $A33) +15)*(FILTER('Go Base Stats'!$E$2:$E1000, 'Go Base Stats'!$A$2:$A1000 = $A33) + 15)^0.5 / 10)"),"843")</f>
        <v>843</v>
      </c>
      <c r="I33" s="0" t="str">
        <f aca="false">IFERROR(__xludf.dummyfunction("FLOOR(0.7903* (FILTER('Go Base Stats'!$C$2:$C1000, 'Go Base Stats'!$A$2:$A1000 = $A33)+15))"),"84")</f>
        <v>84</v>
      </c>
      <c r="J33" s="17"/>
      <c r="K33" s="17"/>
      <c r="L33" s="17"/>
      <c r="M33" s="12" t="n">
        <f aca="false">IF(NOT(ISBLANK($R33)), $R33, IF(ROUND($P33, 1) = 0, "", ROUND($P33, 1) ))</f>
        <v>12</v>
      </c>
      <c r="N33" s="13" t="n">
        <f aca="false">ABS(M33-D33)/M33</f>
        <v>0.108333333333333</v>
      </c>
      <c r="P33" s="14" t="e">
        <f aca="false">IFERROR((U33+V33)/(W33+X33))</f>
        <v>#VALUE!</v>
      </c>
      <c r="Q3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LOWER($B33)))
)"),"")</f>
        <v/>
      </c>
      <c r="R33" s="16" t="n">
        <v>12</v>
      </c>
      <c r="U33" s="0" t="str">
        <f aca="false">IFERROR(__xludf.dummyfunction("IFERROR(SUM(FILTER('Form Responses (Power-up data)'!$C$2:$C1000, LOWER('Form Responses (Power-up data)'!$B$2:$B1000) = LOWER($B33))), 0)"),"0")</f>
        <v>0</v>
      </c>
      <c r="V3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LOWER($B33))
),0)"),"0")</f>
        <v>0</v>
      </c>
      <c r="W33" s="0" t="str">
        <f aca="false">IFERROR(__xludf.dummyfunction("COUNT(FILTER('Form Responses (Power-up data)'!$C$2:$C1000, LOWER('Form Responses (Power-up data)'!$B$2:$B1000) = LOWER($B33)))"),"0")</f>
        <v>0</v>
      </c>
      <c r="X3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LOWER($B33)))"),"0")</f>
        <v>0</v>
      </c>
      <c r="Y3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LOWER($B33))), 2)))"),"/")</f>
        <v>/</v>
      </c>
    </row>
    <row r="34" customFormat="false" ht="15.75" hidden="false" customHeight="false" outlineLevel="0" collapsed="false">
      <c r="A34" s="10" t="n">
        <v>33</v>
      </c>
      <c r="B34" s="1" t="s">
        <v>52</v>
      </c>
      <c r="C34" s="0" t="str">
        <f aca="false">IFERROR(__xludf.dummyfunction("ROUND(0.00909003 * (FILTER('Go Base Stats'!$C$2:$C1000, 'Go Base Stats'!$A$2:$A1000 = $A34))^0.5 *(FILTER('Go Base Stats'!$D$2:$D1000, 'Go Base Stats'!$A$2:$A1000 = $A34))*(FILTER('Go Base Stats'!$E$2:$E1000, 'Go Base Stats'!$A$2:$A1000 = $A34))^0.5 / 10, 1)"),"16.1")</f>
        <v>16.1</v>
      </c>
      <c r="D34" s="0" t="str">
        <f aca="false">IFERROR(__xludf.dummyfunction("ROUND(0.00909003 * (FILTER('Go Base Stats'!$C$2:$C1000, 'Go Base Stats'!$A$2:$A1000 = $A34)+7.5)^0.5 *(FILTER('Go Base Stats'!$D$2:$D1000, 'Go Base Stats'!$A$2:$A1000 = $A34) + 7.5)*(FILTER('Go Base Stats'!$E$2:$E1000, 'Go Base Stats'!$A$2:$A1000 = $A34) + 7.5)^0.5 / 10, 1)"),"18")</f>
        <v>18</v>
      </c>
      <c r="E34" s="0" t="str">
        <f aca="false">IFERROR(__xludf.dummyfunction("ROUND(0.00909003 * (FILTER('Go Base Stats'!$C$2:$C1000, 'Go Base Stats'!$A$2:$A1000 = $A34)+15)^0.5 *(FILTER('Go Base Stats'!$D$2:$D1000, 'Go Base Stats'!$A$2:$A1000 = $A34) +15)*(FILTER('Go Base Stats'!$E$2:$E1000, 'Go Base Stats'!$A$2:$A1000 = $A34) + 15)^0.5 / 10, 1)"),"20")</f>
        <v>20</v>
      </c>
      <c r="F34" s="6" t="n">
        <f aca="false">ROUND(D34/D33, 1)</f>
        <v>1.7</v>
      </c>
      <c r="G34" s="6" t="str">
        <f aca="false">IFERROR(__xludf.dummyfunction("FILTER('Base Stats'!$C$2:$C1000, LOWER('Base Stats'!$B$2:$B1000) = LOWER($B34))"),"61")</f>
        <v>61</v>
      </c>
      <c r="H34" s="0" t="str">
        <f aca="false">IFERROR(__xludf.dummyfunction("FLOOR((0.7903)^2 * (FILTER('Go Base Stats'!$C$2:$C1000, 'Go Base Stats'!$A$2:$A1000 = $A34)+15)^0.5 *(FILTER('Go Base Stats'!$D$2:$D1000, 'Go Base Stats'!$A$2:$A1000 = $A34) +15)*(FILTER('Go Base Stats'!$E$2:$E1000, 'Go Base Stats'!$A$2:$A1000 = $A34) + 15)^0.5 / 10)"),"1372")</f>
        <v>1372</v>
      </c>
      <c r="I34" s="0" t="str">
        <f aca="false">IFERROR(__xludf.dummyfunction("FLOOR(0.7903* (FILTER('Go Base Stats'!$C$2:$C1000, 'Go Base Stats'!$A$2:$A1000 = $A34)+15))"),"108")</f>
        <v>108</v>
      </c>
      <c r="J34" s="17"/>
      <c r="K34" s="17"/>
      <c r="L34" s="17"/>
      <c r="M34" s="12" t="n">
        <f aca="false">IF(NOT(ISBLANK($R34)), $R34, IF(ROUND($P34, 1) = 0, "", ROUND($P34, 1) ))</f>
        <v>19.8</v>
      </c>
      <c r="N34" s="13" t="n">
        <f aca="false">ABS(M34-D34)/M34</f>
        <v>0.0909090909090909</v>
      </c>
      <c r="P34" s="14" t="e">
        <f aca="false">IFERROR((U34+V34)/(W34+X34))</f>
        <v>#VALUE!</v>
      </c>
      <c r="Q3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LOWER($B34)))
)"),"1.595174591")</f>
        <v>1.595174591</v>
      </c>
      <c r="R34" s="16" t="n">
        <v>19.8</v>
      </c>
      <c r="U34" s="0" t="str">
        <f aca="false">IFERROR(__xludf.dummyfunction("IFERROR(SUM(FILTER('Form Responses (Power-up data)'!$C$2:$C1000, LOWER('Form Responses (Power-up data)'!$B$2:$B1000) = LOWER($B34))), 0)"),"0")</f>
        <v>0</v>
      </c>
      <c r="V3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LOWER($B34))
),0)"),"0")</f>
        <v>0</v>
      </c>
      <c r="W34" s="0" t="str">
        <f aca="false">IFERROR(__xludf.dummyfunction("COUNT(FILTER('Form Responses (Power-up data)'!$C$2:$C1000, LOWER('Form Responses (Power-up data)'!$B$2:$B1000) = LOWER($B34)))"),"0")</f>
        <v>0</v>
      </c>
      <c r="X3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LOWER($B34)))"),"0")</f>
        <v>0</v>
      </c>
      <c r="Y3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LOWER($B34))), 2)))"),"1.44/1.68")</f>
        <v>1.44/1.68</v>
      </c>
    </row>
    <row r="35" customFormat="false" ht="15.75" hidden="false" customHeight="false" outlineLevel="0" collapsed="false">
      <c r="A35" s="10" t="n">
        <v>34</v>
      </c>
      <c r="B35" s="1" t="s">
        <v>53</v>
      </c>
      <c r="C35" s="0" t="str">
        <f aca="false">IFERROR(__xludf.dummyfunction("ROUND(0.00909003 * (FILTER('Go Base Stats'!$C$2:$C1000, 'Go Base Stats'!$A$2:$A1000 = $A35))^0.5 *(FILTER('Go Base Stats'!$D$2:$D1000, 'Go Base Stats'!$A$2:$A1000 = $A35))*(FILTER('Go Base Stats'!$E$2:$E1000, 'Go Base Stats'!$A$2:$A1000 = $A35))^0.5 / 10, 1)"),"30.8")</f>
        <v>30.8</v>
      </c>
      <c r="D35" s="0" t="str">
        <f aca="false">IFERROR(__xludf.dummyfunction("ROUND(0.00909003 * (FILTER('Go Base Stats'!$C$2:$C1000, 'Go Base Stats'!$A$2:$A1000 = $A35)+7.5)^0.5 *(FILTER('Go Base Stats'!$D$2:$D1000, 'Go Base Stats'!$A$2:$A1000 = $A35) + 7.5)*(FILTER('Go Base Stats'!$E$2:$E1000, 'Go Base Stats'!$A$2:$A1000 = $A35) + 7.5)^0.5 / 10, 1)"),"33.3")</f>
        <v>33.3</v>
      </c>
      <c r="E35" s="0" t="str">
        <f aca="false">IFERROR(__xludf.dummyfunction("ROUND(0.00909003 * (FILTER('Go Base Stats'!$C$2:$C1000, 'Go Base Stats'!$A$2:$A1000 = $A35)+15)^0.5 *(FILTER('Go Base Stats'!$D$2:$D1000, 'Go Base Stats'!$A$2:$A1000 = $A35) +15)*(FILTER('Go Base Stats'!$E$2:$E1000, 'Go Base Stats'!$A$2:$A1000 = $A35) + 15)^0.5 / 10, 1)"),"36")</f>
        <v>36</v>
      </c>
      <c r="F35" s="6" t="n">
        <f aca="false">ROUND(D35/D34, 1)</f>
        <v>1.9</v>
      </c>
      <c r="G35" s="6" t="str">
        <f aca="false">IFERROR(__xludf.dummyfunction("FILTER('Base Stats'!$C$2:$C1000, LOWER('Base Stats'!$B$2:$B1000) = LOWER($B35))"),"81")</f>
        <v>81</v>
      </c>
      <c r="H35" s="0" t="str">
        <f aca="false">IFERROR(__xludf.dummyfunction("FLOOR((0.7903)^2 * (FILTER('Go Base Stats'!$C$2:$C1000, 'Go Base Stats'!$A$2:$A1000 = $A35)+15)^0.5 *(FILTER('Go Base Stats'!$D$2:$D1000, 'Go Base Stats'!$A$2:$A1000 = $A35) +15)*(FILTER('Go Base Stats'!$E$2:$E1000, 'Go Base Stats'!$A$2:$A1000 = $A35) + 15)^0.5 / 10)"),"2475")</f>
        <v>2475</v>
      </c>
      <c r="I35" s="0" t="str">
        <f aca="false">IFERROR(__xludf.dummyfunction("FLOOR(0.7903* (FILTER('Go Base Stats'!$C$2:$C1000, 'Go Base Stats'!$A$2:$A1000 = $A35)+15))"),"139")</f>
        <v>139</v>
      </c>
      <c r="J35" s="17"/>
      <c r="K35" s="17"/>
      <c r="L35" s="17"/>
      <c r="M35" s="12" t="e">
        <f aca="false">IF(NOT(ISBLANK($R35)), $R35, IF(ROUND($P35, 1) = 0, "", ROUND($P35, 1) ))</f>
        <v>#VALUE!</v>
      </c>
      <c r="N35" s="13" t="e">
        <f aca="false">ABS(M35-D35)/M35</f>
        <v>#VALUE!</v>
      </c>
      <c r="P35" s="14" t="e">
        <f aca="false">IFERROR((U35+V35)/(W35+X35))</f>
        <v>#VALUE!</v>
      </c>
      <c r="Q3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LOWER($B35)))
)"),"")</f>
        <v/>
      </c>
      <c r="R35" s="16"/>
      <c r="U35" s="0" t="str">
        <f aca="false">IFERROR(__xludf.dummyfunction("IFERROR(SUM(FILTER('Form Responses (Power-up data)'!$C$2:$C1000, LOWER('Form Responses (Power-up data)'!$B$2:$B1000) = LOWER($B35))), 0)"),"0")</f>
        <v>0</v>
      </c>
      <c r="V3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LOWER($B35))
),0)"),"34")</f>
        <v>34</v>
      </c>
      <c r="W35" s="0" t="str">
        <f aca="false">IFERROR(__xludf.dummyfunction("COUNT(FILTER('Form Responses (Power-up data)'!$C$2:$C1000, LOWER('Form Responses (Power-up data)'!$B$2:$B1000) = LOWER($B35)))"),"0")</f>
        <v>0</v>
      </c>
      <c r="X3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LOWER($B35)))"),"1")</f>
        <v>1</v>
      </c>
      <c r="Y3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LOWER($B35))), 2)))"),"/")</f>
        <v>/</v>
      </c>
    </row>
    <row r="36" customFormat="false" ht="15.75" hidden="false" customHeight="false" outlineLevel="0" collapsed="false">
      <c r="A36" s="10" t="n">
        <v>35</v>
      </c>
      <c r="B36" s="1" t="s">
        <v>54</v>
      </c>
      <c r="C36" s="0" t="str">
        <f aca="false">IFERROR(__xludf.dummyfunction("ROUND(0.00909003 * (FILTER('Go Base Stats'!$C$2:$C1000, 'Go Base Stats'!$A$2:$A1000 = $A36))^0.5 *(FILTER('Go Base Stats'!$D$2:$D1000, 'Go Base Stats'!$A$2:$A1000 = $A36))*(FILTER('Go Base Stats'!$E$2:$E1000, 'Go Base Stats'!$A$2:$A1000 = $A36))^0.5 / 10, 1)"),"13.9")</f>
        <v>13.9</v>
      </c>
      <c r="D36" s="0" t="str">
        <f aca="false">IFERROR(__xludf.dummyfunction("ROUND(0.00909003 * (FILTER('Go Base Stats'!$C$2:$C1000, 'Go Base Stats'!$A$2:$A1000 = $A36)+7.5)^0.5 *(FILTER('Go Base Stats'!$D$2:$D1000, 'Go Base Stats'!$A$2:$A1000 = $A36) + 7.5)*(FILTER('Go Base Stats'!$E$2:$E1000, 'Go Base Stats'!$A$2:$A1000 = $A36) + 7.5)^0.5 / 10, 1)"),"15.6")</f>
        <v>15.6</v>
      </c>
      <c r="E36" s="0" t="str">
        <f aca="false">IFERROR(__xludf.dummyfunction("ROUND(0.00909003 * (FILTER('Go Base Stats'!$C$2:$C1000, 'Go Base Stats'!$A$2:$A1000 = $A36)+15)^0.5 *(FILTER('Go Base Stats'!$D$2:$D1000, 'Go Base Stats'!$A$2:$A1000 = $A36) +15)*(FILTER('Go Base Stats'!$E$2:$E1000, 'Go Base Stats'!$A$2:$A1000 = $A36) + 15)^0.5 / 10, 1)"),"17.5")</f>
        <v>17.5</v>
      </c>
      <c r="F36" s="6"/>
      <c r="G36" s="6" t="str">
        <f aca="false">IFERROR(__xludf.dummyfunction("FILTER('Base Stats'!$C$2:$C1000, LOWER('Base Stats'!$B$2:$B1000) = LOWER($B36))"),"70")</f>
        <v>70</v>
      </c>
      <c r="H36" s="0" t="str">
        <f aca="false">IFERROR(__xludf.dummyfunction("FLOOR((0.7903)^2 * (FILTER('Go Base Stats'!$C$2:$C1000, 'Go Base Stats'!$A$2:$A1000 = $A36)+15)^0.5 *(FILTER('Go Base Stats'!$D$2:$D1000, 'Go Base Stats'!$A$2:$A1000 = $A36) +15)*(FILTER('Go Base Stats'!$E$2:$E1000, 'Go Base Stats'!$A$2:$A1000 = $A36) + 15)^0.5 / 10)"),"1200")</f>
        <v>1200</v>
      </c>
      <c r="I36" s="0" t="str">
        <f aca="false">IFERROR(__xludf.dummyfunction("FLOOR(0.7903* (FILTER('Go Base Stats'!$C$2:$C1000, 'Go Base Stats'!$A$2:$A1000 = $A36)+15))"),"122")</f>
        <v>122</v>
      </c>
      <c r="J36" s="17"/>
      <c r="K36" s="17"/>
      <c r="L36" s="17"/>
      <c r="M36" s="12" t="e">
        <f aca="false">IF(NOT(ISBLANK($R36)), $R36, IF(ROUND($P36, 1) = 0, "", ROUND($P36, 1) ))</f>
        <v>#VALUE!</v>
      </c>
      <c r="N36" s="13" t="e">
        <f aca="false">ABS(M36-D36)/M36</f>
        <v>#VALUE!</v>
      </c>
      <c r="P36" s="14" t="e">
        <f aca="false">IFERROR((U36+V36)/(W36+X36))</f>
        <v>#VALUE!</v>
      </c>
      <c r="Q3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LOWER($B36)))
)"),"")</f>
        <v/>
      </c>
      <c r="R36" s="16"/>
      <c r="U36" s="0" t="str">
        <f aca="false">IFERROR(__xludf.dummyfunction("IFERROR(SUM(FILTER('Form Responses (Power-up data)'!$C$2:$C1000, LOWER('Form Responses (Power-up data)'!$B$2:$B1000) = LOWER($B36))), 0)"),"0")</f>
        <v>0</v>
      </c>
      <c r="V3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LOWER($B36))
),0)"),"32")</f>
        <v>32</v>
      </c>
      <c r="W36" s="0" t="str">
        <f aca="false">IFERROR(__xludf.dummyfunction("COUNT(FILTER('Form Responses (Power-up data)'!$C$2:$C1000, LOWER('Form Responses (Power-up data)'!$B$2:$B1000) = LOWER($B36)))"),"0")</f>
        <v>0</v>
      </c>
      <c r="X3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LOWER($B36)))"),"2")</f>
        <v>2</v>
      </c>
      <c r="Y3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LOWER($B36))), 2)))"),"/")</f>
        <v>/</v>
      </c>
    </row>
    <row r="37" customFormat="false" ht="15.75" hidden="false" customHeight="false" outlineLevel="0" collapsed="false">
      <c r="A37" s="10" t="n">
        <v>36</v>
      </c>
      <c r="B37" s="1" t="s">
        <v>55</v>
      </c>
      <c r="C37" s="0" t="str">
        <f aca="false">IFERROR(__xludf.dummyfunction("ROUND(0.00909003 * (FILTER('Go Base Stats'!$C$2:$C1000, 'Go Base Stats'!$A$2:$A1000 = $A37))^0.5 *(FILTER('Go Base Stats'!$D$2:$D1000, 'Go Base Stats'!$A$2:$A1000 = $A37))*(FILTER('Go Base Stats'!$E$2:$E1000, 'Go Base Stats'!$A$2:$A1000 = $A37))^0.5 / 10, 1)"),"29.8")</f>
        <v>29.8</v>
      </c>
      <c r="D37" s="0" t="str">
        <f aca="false">IFERROR(__xludf.dummyfunction("ROUND(0.00909003 * (FILTER('Go Base Stats'!$C$2:$C1000, 'Go Base Stats'!$A$2:$A1000 = $A37)+7.5)^0.5 *(FILTER('Go Base Stats'!$D$2:$D1000, 'Go Base Stats'!$A$2:$A1000 = $A37) + 7.5)*(FILTER('Go Base Stats'!$E$2:$E1000, 'Go Base Stats'!$A$2:$A1000 = $A37) + 7.5)^0.5 / 10, 1)"),"32.3")</f>
        <v>32.3</v>
      </c>
      <c r="E37" s="0" t="str">
        <f aca="false">IFERROR(__xludf.dummyfunction("ROUND(0.00909003 * (FILTER('Go Base Stats'!$C$2:$C1000, 'Go Base Stats'!$A$2:$A1000 = $A37)+15)^0.5 *(FILTER('Go Base Stats'!$D$2:$D1000, 'Go Base Stats'!$A$2:$A1000 = $A37) +15)*(FILTER('Go Base Stats'!$E$2:$E1000, 'Go Base Stats'!$A$2:$A1000 = $A37) + 15)^0.5 / 10, 1)"),"34.9")</f>
        <v>34.9</v>
      </c>
      <c r="F37" s="6" t="str">
        <f aca="false">ROUND(D37/D36, 1)</f>
        <v>2.1</v>
      </c>
      <c r="G37" s="6" t="str">
        <f aca="false">IFERROR(__xludf.dummyfunction("FILTER('Base Stats'!$C$2:$C1000, LOWER('Base Stats'!$B$2:$B1000) = LOWER($B37))"),"95")</f>
        <v>95</v>
      </c>
      <c r="H37" s="0" t="str">
        <f aca="false">IFERROR(__xludf.dummyfunction("FLOOR((0.7903)^2 * (FILTER('Go Base Stats'!$C$2:$C1000, 'Go Base Stats'!$A$2:$A1000 = $A37)+15)^0.5 *(FILTER('Go Base Stats'!$D$2:$D1000, 'Go Base Stats'!$A$2:$A1000 = $A37) +15)*(FILTER('Go Base Stats'!$E$2:$E1000, 'Go Base Stats'!$A$2:$A1000 = $A37) + 15)^0.5 / 10)"),"2397")</f>
        <v>2397</v>
      </c>
      <c r="I37" s="0" t="str">
        <f aca="false">IFERROR(__xludf.dummyfunction("FLOOR(0.7903* (FILTER('Go Base Stats'!$C$2:$C1000, 'Go Base Stats'!$A$2:$A1000 = $A37)+15))"),"162")</f>
        <v>162</v>
      </c>
      <c r="J37" s="17"/>
      <c r="K37" s="17"/>
      <c r="L37" s="17"/>
      <c r="M37" s="12" t="e">
        <f aca="false">IF(NOT(ISBLANK($R37)), $R37, IF(ROUND($P37, 1) = 0, "", ROUND($P37, 1) ))</f>
        <v>#VALUE!</v>
      </c>
      <c r="N37" s="13" t="e">
        <f aca="false">ABS(M37-D37)/M37</f>
        <v>#VALUE!</v>
      </c>
      <c r="P37" s="14" t="e">
        <f aca="false">IFERROR((U37+V37)/(W37+X37))</f>
        <v>#VALUE!</v>
      </c>
      <c r="Q3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LOWER($B37)))
)"),"1.369685767")</f>
        <v>1.369685767</v>
      </c>
      <c r="R37" s="16"/>
      <c r="U37" s="0" t="str">
        <f aca="false">IFERROR(__xludf.dummyfunction("IFERROR(SUM(FILTER('Form Responses (Power-up data)'!$C$2:$C1000, LOWER('Form Responses (Power-up data)'!$B$2:$B1000) = LOWER($B37))), 0)"),"0")</f>
        <v>0</v>
      </c>
      <c r="V3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LOWER($B37))
),0)"),"221")</f>
        <v>221</v>
      </c>
      <c r="W37" s="0" t="str">
        <f aca="false">IFERROR(__xludf.dummyfunction("COUNT(FILTER('Form Responses (Power-up data)'!$C$2:$C1000, LOWER('Form Responses (Power-up data)'!$B$2:$B1000) = LOWER($B37)))"),"0")</f>
        <v>0</v>
      </c>
      <c r="X3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LOWER($B37)))"),"7")</f>
        <v>7</v>
      </c>
      <c r="Y3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LOWER($B37))), 2)))"),"1.37/1.37")</f>
        <v>1.37/1.37</v>
      </c>
    </row>
    <row r="38" customFormat="false" ht="15.75" hidden="false" customHeight="false" outlineLevel="0" collapsed="false">
      <c r="A38" s="10" t="n">
        <v>37</v>
      </c>
      <c r="B38" s="1" t="s">
        <v>56</v>
      </c>
      <c r="C38" s="0" t="str">
        <f aca="false">IFERROR(__xludf.dummyfunction("ROUND(0.00909003 * (FILTER('Go Base Stats'!$C$2:$C1000, 'Go Base Stats'!$A$2:$A1000 = $A38))^0.5 *(FILTER('Go Base Stats'!$D$2:$D1000, 'Go Base Stats'!$A$2:$A1000 = $A38))*(FILTER('Go Base Stats'!$E$2:$E1000, 'Go Base Stats'!$A$2:$A1000 = $A38))^0.5 / 10, 1)"),"9.1")</f>
        <v>9.1</v>
      </c>
      <c r="D38" s="0" t="str">
        <f aca="false">IFERROR(__xludf.dummyfunction("ROUND(0.00909003 * (FILTER('Go Base Stats'!$C$2:$C1000, 'Go Base Stats'!$A$2:$A1000 = $A38)+7.5)^0.5 *(FILTER('Go Base Stats'!$D$2:$D1000, 'Go Base Stats'!$A$2:$A1000 = $A38) + 7.5)*(FILTER('Go Base Stats'!$E$2:$E1000, 'Go Base Stats'!$A$2:$A1000 = $A38) + 7.5)^0.5 / 10, 1)"),"10.6")</f>
        <v>10.6</v>
      </c>
      <c r="E38" s="0" t="str">
        <f aca="false">IFERROR(__xludf.dummyfunction("ROUND(0.00909003 * (FILTER('Go Base Stats'!$C$2:$C1000, 'Go Base Stats'!$A$2:$A1000 = $A38)+15)^0.5 *(FILTER('Go Base Stats'!$D$2:$D1000, 'Go Base Stats'!$A$2:$A1000 = $A38) +15)*(FILTER('Go Base Stats'!$E$2:$E1000, 'Go Base Stats'!$A$2:$A1000 = $A38) + 15)^0.5 / 10, 1)"),"12.1")</f>
        <v>12.1</v>
      </c>
      <c r="F38" s="6"/>
      <c r="G38" s="6" t="str">
        <f aca="false">IFERROR(__xludf.dummyfunction("FILTER('Base Stats'!$C$2:$C1000, LOWER('Base Stats'!$B$2:$B1000) = LOWER($B38))"),"38")</f>
        <v>38</v>
      </c>
      <c r="H38" s="0" t="str">
        <f aca="false">IFERROR(__xludf.dummyfunction("FLOOR((0.7903)^2 * (FILTER('Go Base Stats'!$C$2:$C1000, 'Go Base Stats'!$A$2:$A1000 = $A38)+15)^0.5 *(FILTER('Go Base Stats'!$D$2:$D1000, 'Go Base Stats'!$A$2:$A1000 = $A38) +15)*(FILTER('Go Base Stats'!$E$2:$E1000, 'Go Base Stats'!$A$2:$A1000 = $A38) + 15)^0.5 / 10)"),"831")</f>
        <v>831</v>
      </c>
      <c r="I38" s="0" t="str">
        <f aca="false">IFERROR(__xludf.dummyfunction("FLOOR(0.7903* (FILTER('Go Base Stats'!$C$2:$C1000, 'Go Base Stats'!$A$2:$A1000 = $A38)+15))"),"71")</f>
        <v>71</v>
      </c>
      <c r="J38" s="17"/>
      <c r="K38" s="17"/>
      <c r="L38" s="17"/>
      <c r="M38" s="12" t="e">
        <f aca="false">IF(NOT(ISBLANK($R38)), $R38, IF(ROUND($P38, 1) = 0, "", ROUND($P38, 1) ))</f>
        <v>#VALUE!</v>
      </c>
      <c r="N38" s="13" t="e">
        <f aca="false">ABS(M38-D38)/M38</f>
        <v>#VALUE!</v>
      </c>
      <c r="P38" s="14" t="e">
        <f aca="false">IFERROR((U38+V38)/(W38+X38))</f>
        <v>#VALUE!</v>
      </c>
      <c r="Q3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LOWER($B38)))
)"),"")</f>
        <v/>
      </c>
      <c r="R38" s="16"/>
      <c r="U38" s="0" t="str">
        <f aca="false">IFERROR(__xludf.dummyfunction("IFERROR(SUM(FILTER('Form Responses (Power-up data)'!$C$2:$C1000, LOWER('Form Responses (Power-up data)'!$B$2:$B1000) = LOWER($B38))), 0)"),"0")</f>
        <v>0</v>
      </c>
      <c r="V3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LOWER($B38))
),0)"),"12")</f>
        <v>12</v>
      </c>
      <c r="W38" s="0" t="str">
        <f aca="false">IFERROR(__xludf.dummyfunction("COUNT(FILTER('Form Responses (Power-up data)'!$C$2:$C1000, LOWER('Form Responses (Power-up data)'!$B$2:$B1000) = LOWER($B38)))"),"0")</f>
        <v>0</v>
      </c>
      <c r="X3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LOWER($B38)))"),"1")</f>
        <v>1</v>
      </c>
      <c r="Y3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LOWER($B38))), 2)))"),"/")</f>
        <v>/</v>
      </c>
    </row>
    <row r="39" customFormat="false" ht="15.75" hidden="false" customHeight="false" outlineLevel="0" collapsed="false">
      <c r="A39" s="10" t="n">
        <v>38</v>
      </c>
      <c r="B39" s="1" t="s">
        <v>57</v>
      </c>
      <c r="C39" s="0" t="str">
        <f aca="false">IFERROR(__xludf.dummyfunction("ROUND(0.00909003 * (FILTER('Go Base Stats'!$C$2:$C1000, 'Go Base Stats'!$A$2:$A1000 = $A39))^0.5 *(FILTER('Go Base Stats'!$D$2:$D1000, 'Go Base Stats'!$A$2:$A1000 = $A39))*(FILTER('Go Base Stats'!$E$2:$E1000, 'Go Base Stats'!$A$2:$A1000 = $A39))^0.5 / 10, 1)"),"26.9")</f>
        <v>26.9</v>
      </c>
      <c r="D39" s="0" t="str">
        <f aca="false">IFERROR(__xludf.dummyfunction("ROUND(0.00909003 * (FILTER('Go Base Stats'!$C$2:$C1000, 'Go Base Stats'!$A$2:$A1000 = $A39)+7.5)^0.5 *(FILTER('Go Base Stats'!$D$2:$D1000, 'Go Base Stats'!$A$2:$A1000 = $A39) + 7.5)*(FILTER('Go Base Stats'!$E$2:$E1000, 'Go Base Stats'!$A$2:$A1000 = $A39) + 7.5)^0.5 / 10, 1)"),"29.3")</f>
        <v>29.3</v>
      </c>
      <c r="E39" s="0" t="str">
        <f aca="false">IFERROR(__xludf.dummyfunction("ROUND(0.00909003 * (FILTER('Go Base Stats'!$C$2:$C1000, 'Go Base Stats'!$A$2:$A1000 = $A39)+15)^0.5 *(FILTER('Go Base Stats'!$D$2:$D1000, 'Go Base Stats'!$A$2:$A1000 = $A39) +15)*(FILTER('Go Base Stats'!$E$2:$E1000, 'Go Base Stats'!$A$2:$A1000 = $A39) + 15)^0.5 / 10, 1)"),"31.8")</f>
        <v>31.8</v>
      </c>
      <c r="F39" s="6" t="str">
        <f aca="false">ROUND(D39/D38, 1)</f>
        <v>2.8</v>
      </c>
      <c r="G39" s="6" t="str">
        <f aca="false">IFERROR(__xludf.dummyfunction("FILTER('Base Stats'!$C$2:$C1000, LOWER('Base Stats'!$B$2:$B1000) = LOWER($B39))"),"73")</f>
        <v>73</v>
      </c>
      <c r="H39" s="0" t="str">
        <f aca="false">IFERROR(__xludf.dummyfunction("FLOOR((0.7903)^2 * (FILTER('Go Base Stats'!$C$2:$C1000, 'Go Base Stats'!$A$2:$A1000 = $A39)+15)^0.5 *(FILTER('Go Base Stats'!$D$2:$D1000, 'Go Base Stats'!$A$2:$A1000 = $A39) +15)*(FILTER('Go Base Stats'!$E$2:$E1000, 'Go Base Stats'!$A$2:$A1000 = $A39) + 15)^0.5 / 10)"),"2188")</f>
        <v>2188</v>
      </c>
      <c r="I39" s="0" t="str">
        <f aca="false">IFERROR(__xludf.dummyfunction("FLOOR(0.7903* (FILTER('Go Base Stats'!$C$2:$C1000, 'Go Base Stats'!$A$2:$A1000 = $A39)+15))"),"127")</f>
        <v>127</v>
      </c>
      <c r="J39" s="17"/>
      <c r="K39" s="17"/>
      <c r="L39" s="17"/>
      <c r="M39" s="12" t="e">
        <f aca="false">IF(NOT(ISBLANK($R39)), $R39, IF(ROUND($P39, 1) = 0, "", ROUND($P39, 1) ))</f>
        <v>#VALUE!</v>
      </c>
      <c r="N39" s="13" t="e">
        <f aca="false">ABS(M39-D39)/M39</f>
        <v>#VALUE!</v>
      </c>
      <c r="P39" s="14" t="e">
        <f aca="false">IFERROR((U39+V39)/(W39+X39))</f>
        <v>#VALUE!</v>
      </c>
      <c r="Q3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LOWER($B39)))
)"),"")</f>
        <v/>
      </c>
      <c r="R39" s="16"/>
      <c r="U39" s="0" t="str">
        <f aca="false">IFERROR(__xludf.dummyfunction("IFERROR(SUM(FILTER('Form Responses (Power-up data)'!$C$2:$C1000, LOWER('Form Responses (Power-up data)'!$B$2:$B1000) = LOWER($B39))), 0)"),"0")</f>
        <v>0</v>
      </c>
      <c r="V3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LOWER($B39))
),0)"),"31")</f>
        <v>31</v>
      </c>
      <c r="W39" s="0" t="str">
        <f aca="false">IFERROR(__xludf.dummyfunction("COUNT(FILTER('Form Responses (Power-up data)'!$C$2:$C1000, LOWER('Form Responses (Power-up data)'!$B$2:$B1000) = LOWER($B39)))"),"0")</f>
        <v>0</v>
      </c>
      <c r="X3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LOWER($B39)))"),"1")</f>
        <v>1</v>
      </c>
      <c r="Y3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LOWER($B39))), 2)))"),"/")</f>
        <v>/</v>
      </c>
    </row>
    <row r="40" customFormat="false" ht="15.75" hidden="false" customHeight="false" outlineLevel="0" collapsed="false">
      <c r="A40" s="10" t="n">
        <v>39</v>
      </c>
      <c r="B40" s="1" t="s">
        <v>58</v>
      </c>
      <c r="C40" s="0" t="str">
        <f aca="false">IFERROR(__xludf.dummyfunction("ROUND(0.00909003 * (FILTER('Go Base Stats'!$C$2:$C1000, 'Go Base Stats'!$A$2:$A1000 = $A40))^0.5 *(FILTER('Go Base Stats'!$D$2:$D1000, 'Go Base Stats'!$A$2:$A1000 = $A40))*(FILTER('Go Base Stats'!$E$2:$E1000, 'Go Base Stats'!$A$2:$A1000 = $A40))^0.5 / 10, 1)"),"9.9")</f>
        <v>9.9</v>
      </c>
      <c r="D40" s="0" t="str">
        <f aca="false">IFERROR(__xludf.dummyfunction("ROUND(0.00909003 * (FILTER('Go Base Stats'!$C$2:$C1000, 'Go Base Stats'!$A$2:$A1000 = $A40)+7.5)^0.5 *(FILTER('Go Base Stats'!$D$2:$D1000, 'Go Base Stats'!$A$2:$A1000 = $A40) + 7.5)*(FILTER('Go Base Stats'!$E$2:$E1000, 'Go Base Stats'!$A$2:$A1000 = $A40) + 7.5)^0.5 / 10, 1)"),"11.6")</f>
        <v>11.6</v>
      </c>
      <c r="E40" s="0" t="str">
        <f aca="false">IFERROR(__xludf.dummyfunction("ROUND(0.00909003 * (FILTER('Go Base Stats'!$C$2:$C1000, 'Go Base Stats'!$A$2:$A1000 = $A40)+15)^0.5 *(FILTER('Go Base Stats'!$D$2:$D1000, 'Go Base Stats'!$A$2:$A1000 = $A40) +15)*(FILTER('Go Base Stats'!$E$2:$E1000, 'Go Base Stats'!$A$2:$A1000 = $A40) + 15)^0.5 / 10, 1)"),"13.4")</f>
        <v>13.4</v>
      </c>
      <c r="F40" s="6"/>
      <c r="G40" s="6" t="str">
        <f aca="false">IFERROR(__xludf.dummyfunction("FILTER('Base Stats'!$C$2:$C1000, LOWER('Base Stats'!$B$2:$B1000) = LOWER($B40))"),"115")</f>
        <v>115</v>
      </c>
      <c r="H40" s="0" t="str">
        <f aca="false">IFERROR(__xludf.dummyfunction("FLOOR((0.7903)^2 * (FILTER('Go Base Stats'!$C$2:$C1000, 'Go Base Stats'!$A$2:$A1000 = $A40)+15)^0.5 *(FILTER('Go Base Stats'!$D$2:$D1000, 'Go Base Stats'!$A$2:$A1000 = $A40) +15)*(FILTER('Go Base Stats'!$E$2:$E1000, 'Go Base Stats'!$A$2:$A1000 = $A40) + 15)^0.5 / 10)"),"917")</f>
        <v>917</v>
      </c>
      <c r="I40" s="0" t="str">
        <f aca="false">IFERROR(__xludf.dummyfunction("FLOOR(0.7903* (FILTER('Go Base Stats'!$C$2:$C1000, 'Go Base Stats'!$A$2:$A1000 = $A40)+15))"),"193")</f>
        <v>193</v>
      </c>
      <c r="J40" s="17"/>
      <c r="K40" s="17"/>
      <c r="L40" s="17"/>
      <c r="M40" s="12" t="e">
        <f aca="false">IF(NOT(ISBLANK($R40)), $R40, IF(ROUND($P40, 1) = 0, "", ROUND($P40, 1) ))</f>
        <v>#VALUE!</v>
      </c>
      <c r="N40" s="13" t="e">
        <f aca="false">ABS(M40-D40)/M40</f>
        <v>#VALUE!</v>
      </c>
      <c r="P40" s="14" t="e">
        <f aca="false">IFERROR((U40+V40)/(W40+X40))</f>
        <v>#VALUE!</v>
      </c>
      <c r="Q4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LOWER($B40)))
)"),"")</f>
        <v/>
      </c>
      <c r="R40" s="16"/>
      <c r="U40" s="0" t="str">
        <f aca="false">IFERROR(__xludf.dummyfunction("IFERROR(SUM(FILTER('Form Responses (Power-up data)'!$C$2:$C1000, LOWER('Form Responses (Power-up data)'!$B$2:$B1000) = LOWER($B40))), 0)"),"0")</f>
        <v>0</v>
      </c>
      <c r="V4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LOWER($B40))
),0)"),"11")</f>
        <v>11</v>
      </c>
      <c r="W40" s="0" t="str">
        <f aca="false">IFERROR(__xludf.dummyfunction("COUNT(FILTER('Form Responses (Power-up data)'!$C$2:$C1000, LOWER('Form Responses (Power-up data)'!$B$2:$B1000) = LOWER($B40)))"),"0")</f>
        <v>0</v>
      </c>
      <c r="X4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LOWER($B40)))"),"1")</f>
        <v>1</v>
      </c>
      <c r="Y4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LOWER($B40))), 2)))"),"/")</f>
        <v>/</v>
      </c>
    </row>
    <row r="41" customFormat="false" ht="15.75" hidden="false" customHeight="false" outlineLevel="0" collapsed="false">
      <c r="A41" s="10" t="n">
        <v>40</v>
      </c>
      <c r="B41" s="1" t="s">
        <v>59</v>
      </c>
      <c r="C41" s="0" t="str">
        <f aca="false">IFERROR(__xludf.dummyfunction("ROUND(0.00909003 * (FILTER('Go Base Stats'!$C$2:$C1000, 'Go Base Stats'!$A$2:$A1000 = $A41))^0.5 *(FILTER('Go Base Stats'!$D$2:$D1000, 'Go Base Stats'!$A$2:$A1000 = $A41))*(FILTER('Go Base Stats'!$E$2:$E1000, 'Go Base Stats'!$A$2:$A1000 = $A41))^0.5 / 10, 1)"),"26.6")</f>
        <v>26.6</v>
      </c>
      <c r="D41" s="0" t="str">
        <f aca="false">IFERROR(__xludf.dummyfunction("ROUND(0.00909003 * (FILTER('Go Base Stats'!$C$2:$C1000, 'Go Base Stats'!$A$2:$A1000 = $A41)+7.5)^0.5 *(FILTER('Go Base Stats'!$D$2:$D1000, 'Go Base Stats'!$A$2:$A1000 = $A41) + 7.5)*(FILTER('Go Base Stats'!$E$2:$E1000, 'Go Base Stats'!$A$2:$A1000 = $A41) + 7.5)^0.5 / 10, 1)"),"29.1")</f>
        <v>29.1</v>
      </c>
      <c r="E41" s="0" t="str">
        <f aca="false">IFERROR(__xludf.dummyfunction("ROUND(0.00909003 * (FILTER('Go Base Stats'!$C$2:$C1000, 'Go Base Stats'!$A$2:$A1000 = $A41)+15)^0.5 *(FILTER('Go Base Stats'!$D$2:$D1000, 'Go Base Stats'!$A$2:$A1000 = $A41) +15)*(FILTER('Go Base Stats'!$E$2:$E1000, 'Go Base Stats'!$A$2:$A1000 = $A41) + 15)^0.5 / 10, 1)"),"31.7")</f>
        <v>31.7</v>
      </c>
      <c r="F41" s="6" t="str">
        <f aca="false">ROUND(D41/D40, 1)</f>
        <v>2.5</v>
      </c>
      <c r="G41" s="6" t="str">
        <f aca="false">IFERROR(__xludf.dummyfunction("FILTER('Base Stats'!$C$2:$C1000, LOWER('Base Stats'!$B$2:$B1000) = LOWER($B41))"),"140")</f>
        <v>140</v>
      </c>
      <c r="H41" s="0" t="str">
        <f aca="false">IFERROR(__xludf.dummyfunction("FLOOR((0.7903)^2 * (FILTER('Go Base Stats'!$C$2:$C1000, 'Go Base Stats'!$A$2:$A1000 = $A41)+15)^0.5 *(FILTER('Go Base Stats'!$D$2:$D1000, 'Go Base Stats'!$A$2:$A1000 = $A41) +15)*(FILTER('Go Base Stats'!$E$2:$E1000, 'Go Base Stats'!$A$2:$A1000 = $A41) + 15)^0.5 / 10)"),"2177")</f>
        <v>2177</v>
      </c>
      <c r="I41" s="0" t="str">
        <f aca="false">IFERROR(__xludf.dummyfunction("FLOOR(0.7903* (FILTER('Go Base Stats'!$C$2:$C1000, 'Go Base Stats'!$A$2:$A1000 = $A41)+15))"),"233")</f>
        <v>233</v>
      </c>
      <c r="J41" s="17"/>
      <c r="K41" s="17"/>
      <c r="L41" s="17"/>
      <c r="M41" s="12" t="e">
        <f aca="false">IF(NOT(ISBLANK($R41)), $R41, IF(ROUND($P41, 1) = 0, "", ROUND($P41, 1) ))</f>
        <v>#VALUE!</v>
      </c>
      <c r="N41" s="13" t="e">
        <f aca="false">ABS(M41-D41)/M41</f>
        <v>#VALUE!</v>
      </c>
      <c r="P41" s="14" t="e">
        <f aca="false">IFERROR((U41+V41)/(W41+X41))</f>
        <v>#VALUE!</v>
      </c>
      <c r="Q4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LOWER($B41)))
)"),"")</f>
        <v/>
      </c>
      <c r="R41" s="16"/>
      <c r="U41" s="0" t="str">
        <f aca="false">IFERROR(__xludf.dummyfunction("IFERROR(SUM(FILTER('Form Responses (Power-up data)'!$C$2:$C1000, LOWER('Form Responses (Power-up data)'!$B$2:$B1000) = LOWER($B41))), 0)"),"0")</f>
        <v>0</v>
      </c>
      <c r="V4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LOWER($B41))
),0)"),"31")</f>
        <v>31</v>
      </c>
      <c r="W41" s="0" t="str">
        <f aca="false">IFERROR(__xludf.dummyfunction("COUNT(FILTER('Form Responses (Power-up data)'!$C$2:$C1000, LOWER('Form Responses (Power-up data)'!$B$2:$B1000) = LOWER($B41)))"),"0")</f>
        <v>0</v>
      </c>
      <c r="X4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LOWER($B41)))"),"1")</f>
        <v>1</v>
      </c>
      <c r="Y4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LOWER($B41))), 2)))"),"/")</f>
        <v>/</v>
      </c>
    </row>
    <row r="42" customFormat="false" ht="15.75" hidden="false" customHeight="false" outlineLevel="0" collapsed="false">
      <c r="A42" s="10" t="n">
        <v>41</v>
      </c>
      <c r="B42" s="1" t="s">
        <v>60</v>
      </c>
      <c r="C42" s="0" t="str">
        <f aca="false">IFERROR(__xludf.dummyfunction("ROUND(0.00909003 * (FILTER('Go Base Stats'!$C$2:$C1000, 'Go Base Stats'!$A$2:$A1000 = $A42))^0.5 *(FILTER('Go Base Stats'!$D$2:$D1000, 'Go Base Stats'!$A$2:$A1000 = $A42))*(FILTER('Go Base Stats'!$E$2:$E1000, 'Go Base Stats'!$A$2:$A1000 = $A42))^0.5 / 10, 1)"),"6.8")</f>
        <v>6.8</v>
      </c>
      <c r="D42" s="0" t="str">
        <f aca="false">IFERROR(__xludf.dummyfunction("ROUND(0.00909003 * (FILTER('Go Base Stats'!$C$2:$C1000, 'Go Base Stats'!$A$2:$A1000 = $A42)+7.5)^0.5 *(FILTER('Go Base Stats'!$D$2:$D1000, 'Go Base Stats'!$A$2:$A1000 = $A42) + 7.5)*(FILTER('Go Base Stats'!$E$2:$E1000, 'Go Base Stats'!$A$2:$A1000 = $A42) + 7.5)^0.5 / 10, 1)"),"8")</f>
        <v>8</v>
      </c>
      <c r="E42" s="0" t="str">
        <f aca="false">IFERROR(__xludf.dummyfunction("ROUND(0.00909003 * (FILTER('Go Base Stats'!$C$2:$C1000, 'Go Base Stats'!$A$2:$A1000 = $A42)+15)^0.5 *(FILTER('Go Base Stats'!$D$2:$D1000, 'Go Base Stats'!$A$2:$A1000 = $A42) +15)*(FILTER('Go Base Stats'!$E$2:$E1000, 'Go Base Stats'!$A$2:$A1000 = $A42) + 15)^0.5 / 10, 1)"),"9.4")</f>
        <v>9.4</v>
      </c>
      <c r="F42" s="6"/>
      <c r="G42" s="6" t="str">
        <f aca="false">IFERROR(__xludf.dummyfunction("FILTER('Base Stats'!$C$2:$C1000, LOWER('Base Stats'!$B$2:$B1000) = LOWER($B42))"),"40")</f>
        <v>40</v>
      </c>
      <c r="H42" s="0" t="str">
        <f aca="false">IFERROR(__xludf.dummyfunction("FLOOR((0.7903)^2 * (FILTER('Go Base Stats'!$C$2:$C1000, 'Go Base Stats'!$A$2:$A1000 = $A42)+15)^0.5 *(FILTER('Go Base Stats'!$D$2:$D1000, 'Go Base Stats'!$A$2:$A1000 = $A42) +15)*(FILTER('Go Base Stats'!$E$2:$E1000, 'Go Base Stats'!$A$2:$A1000 = $A42) + 15)^0.5 / 10)"),"642")</f>
        <v>642</v>
      </c>
      <c r="I42" s="0" t="str">
        <f aca="false">IFERROR(__xludf.dummyfunction("FLOOR(0.7903* (FILTER('Go Base Stats'!$C$2:$C1000, 'Go Base Stats'!$A$2:$A1000 = $A42)+15))"),"75")</f>
        <v>75</v>
      </c>
      <c r="J42" s="17"/>
      <c r="K42" s="17"/>
      <c r="L42" s="17"/>
      <c r="M42" s="12" t="n">
        <f aca="false">IF(NOT(ISBLANK($R42)), $R42, IF(ROUND($P42, 1) = 0, "", ROUND($P42, 1) ))</f>
        <v>8.5</v>
      </c>
      <c r="N42" s="13" t="n">
        <f aca="false">ABS(M42-D42)/M42</f>
        <v>0.0588235294117647</v>
      </c>
      <c r="P42" s="14" t="e">
        <f aca="false">IFERROR((U42+V42)/(W42+X42))</f>
        <v>#VALUE!</v>
      </c>
      <c r="Q4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LOWER($B42)))
)"),"")</f>
        <v/>
      </c>
      <c r="R42" s="18" t="n">
        <v>8.5</v>
      </c>
      <c r="U42" s="0" t="str">
        <f aca="false">IFERROR(__xludf.dummyfunction("IFERROR(SUM(FILTER('Form Responses (Power-up data)'!$C$2:$C1000, LOWER('Form Responses (Power-up data)'!$B$2:$B1000) = LOWER($B42))), 0)"),"0")</f>
        <v>0</v>
      </c>
      <c r="V4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LOWER($B42))
),0)"),"31")</f>
        <v>31</v>
      </c>
      <c r="W42" s="0" t="str">
        <f aca="false">IFERROR(__xludf.dummyfunction("COUNT(FILTER('Form Responses (Power-up data)'!$C$2:$C1000, LOWER('Form Responses (Power-up data)'!$B$2:$B1000) = LOWER($B42)))"),"0")</f>
        <v>0</v>
      </c>
      <c r="X4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LOWER($B42)))"),"3")</f>
        <v>3</v>
      </c>
      <c r="Y4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LOWER($B42))), 2)))"),"/")</f>
        <v>/</v>
      </c>
    </row>
    <row r="43" customFormat="false" ht="15.75" hidden="false" customHeight="false" outlineLevel="0" collapsed="false">
      <c r="A43" s="10" t="n">
        <v>42</v>
      </c>
      <c r="B43" s="1" t="s">
        <v>61</v>
      </c>
      <c r="C43" s="0" t="str">
        <f aca="false">IFERROR(__xludf.dummyfunction("ROUND(0.00909003 * (FILTER('Go Base Stats'!$C$2:$C1000, 'Go Base Stats'!$A$2:$A1000 = $A43))^0.5 *(FILTER('Go Base Stats'!$D$2:$D1000, 'Go Base Stats'!$A$2:$A1000 = $A43))*(FILTER('Go Base Stats'!$E$2:$E1000, 'Go Base Stats'!$A$2:$A1000 = $A43))^0.5 / 10, 1)"),"23.4")</f>
        <v>23.4</v>
      </c>
      <c r="D43" s="0" t="str">
        <f aca="false">IFERROR(__xludf.dummyfunction("ROUND(0.00909003 * (FILTER('Go Base Stats'!$C$2:$C1000, 'Go Base Stats'!$A$2:$A1000 = $A43)+7.5)^0.5 *(FILTER('Go Base Stats'!$D$2:$D1000, 'Go Base Stats'!$A$2:$A1000 = $A43) + 7.5)*(FILTER('Go Base Stats'!$E$2:$E1000, 'Go Base Stats'!$A$2:$A1000 = $A43) + 7.5)^0.5 / 10, 1)"),"25.6")</f>
        <v>25.6</v>
      </c>
      <c r="E43" s="0" t="str">
        <f aca="false">IFERROR(__xludf.dummyfunction("ROUND(0.00909003 * (FILTER('Go Base Stats'!$C$2:$C1000, 'Go Base Stats'!$A$2:$A1000 = $A43)+15)^0.5 *(FILTER('Go Base Stats'!$D$2:$D1000, 'Go Base Stats'!$A$2:$A1000 = $A43) +15)*(FILTER('Go Base Stats'!$E$2:$E1000, 'Go Base Stats'!$A$2:$A1000 = $A43) + 15)^0.5 / 10, 1)"),"28")</f>
        <v>28</v>
      </c>
      <c r="F43" s="6" t="str">
        <f aca="false">ROUND(D43/D42, 1)</f>
        <v>3.2</v>
      </c>
      <c r="G43" s="6" t="str">
        <f aca="false">IFERROR(__xludf.dummyfunction("FILTER('Base Stats'!$C$2:$C1000, LOWER('Base Stats'!$B$2:$B1000) = LOWER($B43))"),"75")</f>
        <v>75</v>
      </c>
      <c r="H43" s="0" t="str">
        <f aca="false">IFERROR(__xludf.dummyfunction("FLOOR((0.7903)^2 * (FILTER('Go Base Stats'!$C$2:$C1000, 'Go Base Stats'!$A$2:$A1000 = $A43)+15)^0.5 *(FILTER('Go Base Stats'!$D$2:$D1000, 'Go Base Stats'!$A$2:$A1000 = $A43) +15)*(FILTER('Go Base Stats'!$E$2:$E1000, 'Go Base Stats'!$A$2:$A1000 = $A43) + 15)^0.5 / 10)"),"1921")</f>
        <v>1921</v>
      </c>
      <c r="I43" s="0" t="str">
        <f aca="false">IFERROR(__xludf.dummyfunction("FLOOR(0.7903* (FILTER('Go Base Stats'!$C$2:$C1000, 'Go Base Stats'!$A$2:$A1000 = $A43)+15))"),"130")</f>
        <v>130</v>
      </c>
      <c r="J43" s="17"/>
      <c r="K43" s="17"/>
      <c r="L43" s="17"/>
      <c r="M43" s="12" t="e">
        <f aca="false">IF(NOT(ISBLANK($R43)), $R43, IF(ROUND($P43, 1) = 0, "", ROUND($P43, 1) ))</f>
        <v>#VALUE!</v>
      </c>
      <c r="N43" s="13" t="e">
        <f aca="false">ABS(M43-D43)/M43</f>
        <v>#VALUE!</v>
      </c>
      <c r="P43" s="14" t="e">
        <f aca="false">IFERROR((U43+V43)/(W43+X43))</f>
        <v>#VALUE!</v>
      </c>
      <c r="Q4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LOWER($B43)))
)"),"3.131271061")</f>
        <v>3.131271061</v>
      </c>
      <c r="R43" s="16"/>
      <c r="U43" s="0" t="str">
        <f aca="false">IFERROR(__xludf.dummyfunction("IFERROR(SUM(FILTER('Form Responses (Power-up data)'!$C$2:$C1000, LOWER('Form Responses (Power-up data)'!$B$2:$B1000) = LOWER($B43))), 0)"),"0")</f>
        <v>0</v>
      </c>
      <c r="V4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LOWER($B43))
),0)"),"187")</f>
        <v>187</v>
      </c>
      <c r="W43" s="0" t="str">
        <f aca="false">IFERROR(__xludf.dummyfunction("COUNT(FILTER('Form Responses (Power-up data)'!$C$2:$C1000, LOWER('Form Responses (Power-up data)'!$B$2:$B1000) = LOWER($B43)))"),"0")</f>
        <v>0</v>
      </c>
      <c r="X4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LOWER($B43)))"),"7")</f>
        <v>7</v>
      </c>
      <c r="Y4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LOWER($B43))), 2)))"),"3.04/3.23")</f>
        <v>3.04/3.23</v>
      </c>
    </row>
    <row r="44" customFormat="false" ht="15.75" hidden="false" customHeight="false" outlineLevel="0" collapsed="false">
      <c r="A44" s="10" t="n">
        <v>43</v>
      </c>
      <c r="B44" s="1" t="s">
        <v>62</v>
      </c>
      <c r="C44" s="0" t="str">
        <f aca="false">IFERROR(__xludf.dummyfunction("ROUND(0.00909003 * (FILTER('Go Base Stats'!$C$2:$C1000, 'Go Base Stats'!$A$2:$A1000 = $A44))^0.5 *(FILTER('Go Base Stats'!$D$2:$D1000, 'Go Base Stats'!$A$2:$A1000 = $A44))*(FILTER('Go Base Stats'!$E$2:$E1000, 'Go Base Stats'!$A$2:$A1000 = $A44))^0.5 / 10, 1)"),"13.2")</f>
        <v>13.2</v>
      </c>
      <c r="D44" s="0" t="str">
        <f aca="false">IFERROR(__xludf.dummyfunction("ROUND(0.00909003 * (FILTER('Go Base Stats'!$C$2:$C1000, 'Go Base Stats'!$A$2:$A1000 = $A44)+7.5)^0.5 *(FILTER('Go Base Stats'!$D$2:$D1000, 'Go Base Stats'!$A$2:$A1000 = $A44) + 7.5)*(FILTER('Go Base Stats'!$E$2:$E1000, 'Go Base Stats'!$A$2:$A1000 = $A44) + 7.5)^0.5 / 10, 1)"),"14.9")</f>
        <v>14.9</v>
      </c>
      <c r="E44" s="0" t="str">
        <f aca="false">IFERROR(__xludf.dummyfunction("ROUND(0.00909003 * (FILTER('Go Base Stats'!$C$2:$C1000, 'Go Base Stats'!$A$2:$A1000 = $A44)+15)^0.5 *(FILTER('Go Base Stats'!$D$2:$D1000, 'Go Base Stats'!$A$2:$A1000 = $A44) +15)*(FILTER('Go Base Stats'!$E$2:$E1000, 'Go Base Stats'!$A$2:$A1000 = $A44) + 15)^0.5 / 10, 1)"),"16.7")</f>
        <v>16.7</v>
      </c>
      <c r="F44" s="6"/>
      <c r="G44" s="6" t="str">
        <f aca="false">IFERROR(__xludf.dummyfunction("FILTER('Base Stats'!$C$2:$C1000, LOWER('Base Stats'!$B$2:$B1000) = LOWER($B44))"),"45")</f>
        <v>45</v>
      </c>
      <c r="H44" s="0" t="str">
        <f aca="false">IFERROR(__xludf.dummyfunction("FLOOR((0.7903)^2 * (FILTER('Go Base Stats'!$C$2:$C1000, 'Go Base Stats'!$A$2:$A1000 = $A44)+15)^0.5 *(FILTER('Go Base Stats'!$D$2:$D1000, 'Go Base Stats'!$A$2:$A1000 = $A44) +15)*(FILTER('Go Base Stats'!$E$2:$E1000, 'Go Base Stats'!$A$2:$A1000 = $A44) + 15)^0.5 / 10)"),"1148")</f>
        <v>1148</v>
      </c>
      <c r="I44" s="0" t="str">
        <f aca="false">IFERROR(__xludf.dummyfunction("FLOOR(0.7903* (FILTER('Go Base Stats'!$C$2:$C1000, 'Go Base Stats'!$A$2:$A1000 = $A44)+15))"),"82")</f>
        <v>82</v>
      </c>
      <c r="J44" s="17"/>
      <c r="K44" s="17"/>
      <c r="L44" s="17"/>
      <c r="M44" s="12" t="e">
        <f aca="false">IF(NOT(ISBLANK($R44)), $R44, IF(ROUND($P44, 1) = 0, "", ROUND($P44, 1) ))</f>
        <v>#VALUE!</v>
      </c>
      <c r="N44" s="13" t="e">
        <f aca="false">ABS(M44-D44)/M44</f>
        <v>#VALUE!</v>
      </c>
      <c r="P44" s="14" t="e">
        <f aca="false">IFERROR((U44+V44)/(W44+X44))</f>
        <v>#VALUE!</v>
      </c>
      <c r="Q4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LOWER($B44)))
)"),"1.500917431")</f>
        <v>1.500917431</v>
      </c>
      <c r="R44" s="16"/>
      <c r="U44" s="0" t="str">
        <f aca="false">IFERROR(__xludf.dummyfunction("IFERROR(SUM(FILTER('Form Responses (Power-up data)'!$C$2:$C1000, LOWER('Form Responses (Power-up data)'!$B$2:$B1000) = LOWER($B44))), 0)"),"0")</f>
        <v>0</v>
      </c>
      <c r="V4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LOWER($B44))
),0)"),"30")</f>
        <v>30</v>
      </c>
      <c r="W44" s="0" t="str">
        <f aca="false">IFERROR(__xludf.dummyfunction("COUNT(FILTER('Form Responses (Power-up data)'!$C$2:$C1000, LOWER('Form Responses (Power-up data)'!$B$2:$B1000) = LOWER($B44)))"),"0")</f>
        <v>0</v>
      </c>
      <c r="X4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LOWER($B44)))"),"2")</f>
        <v>2</v>
      </c>
      <c r="Y4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LOWER($B44))), 2)))"),"1.5/1.5")</f>
        <v>1.5/1.5</v>
      </c>
    </row>
    <row r="45" customFormat="false" ht="15.75" hidden="false" customHeight="false" outlineLevel="0" collapsed="false">
      <c r="A45" s="10" t="n">
        <v>44</v>
      </c>
      <c r="B45" s="1" t="s">
        <v>63</v>
      </c>
      <c r="C45" s="0" t="str">
        <f aca="false">IFERROR(__xludf.dummyfunction("ROUND(0.00909003 * (FILTER('Go Base Stats'!$C$2:$C1000, 'Go Base Stats'!$A$2:$A1000 = $A45))^0.5 *(FILTER('Go Base Stats'!$D$2:$D1000, 'Go Base Stats'!$A$2:$A1000 = $A45))*(FILTER('Go Base Stats'!$E$2:$E1000, 'Go Base Stats'!$A$2:$A1000 = $A45))^0.5 / 10, 1)"),"20.3")</f>
        <v>20.3</v>
      </c>
      <c r="D45" s="0" t="str">
        <f aca="false">IFERROR(__xludf.dummyfunction("ROUND(0.00909003 * (FILTER('Go Base Stats'!$C$2:$C1000, 'Go Base Stats'!$A$2:$A1000 = $A45)+7.5)^0.5 *(FILTER('Go Base Stats'!$D$2:$D1000, 'Go Base Stats'!$A$2:$A1000 = $A45) + 7.5)*(FILTER('Go Base Stats'!$E$2:$E1000, 'Go Base Stats'!$A$2:$A1000 = $A45) + 7.5)^0.5 / 10, 1)"),"22.4")</f>
        <v>22.4</v>
      </c>
      <c r="E45" s="0" t="str">
        <f aca="false">IFERROR(__xludf.dummyfunction("ROUND(0.00909003 * (FILTER('Go Base Stats'!$C$2:$C1000, 'Go Base Stats'!$A$2:$A1000 = $A45)+15)^0.5 *(FILTER('Go Base Stats'!$D$2:$D1000, 'Go Base Stats'!$A$2:$A1000 = $A45) +15)*(FILTER('Go Base Stats'!$E$2:$E1000, 'Go Base Stats'!$A$2:$A1000 = $A45) + 15)^0.5 / 10, 1)"),"24.6")</f>
        <v>24.6</v>
      </c>
      <c r="F45" s="6" t="n">
        <f aca="false">ROUND(D45/D44, 1)</f>
        <v>1.5</v>
      </c>
      <c r="G45" s="6" t="str">
        <f aca="false">IFERROR(__xludf.dummyfunction("FILTER('Base Stats'!$C$2:$C1000, LOWER('Base Stats'!$B$2:$B1000) = LOWER($B45))"),"60")</f>
        <v>60</v>
      </c>
      <c r="H45" s="0" t="str">
        <f aca="false">IFERROR(__xludf.dummyfunction("FLOOR((0.7903)^2 * (FILTER('Go Base Stats'!$C$2:$C1000, 'Go Base Stats'!$A$2:$A1000 = $A45)+15)^0.5 *(FILTER('Go Base Stats'!$D$2:$D1000, 'Go Base Stats'!$A$2:$A1000 = $A45) +15)*(FILTER('Go Base Stats'!$E$2:$E1000, 'Go Base Stats'!$A$2:$A1000 = $A45) + 15)^0.5 / 10)"),"1689")</f>
        <v>1689</v>
      </c>
      <c r="I45" s="0" t="str">
        <f aca="false">IFERROR(__xludf.dummyfunction("FLOOR(0.7903* (FILTER('Go Base Stats'!$C$2:$C1000, 'Go Base Stats'!$A$2:$A1000 = $A45)+15))"),"106")</f>
        <v>106</v>
      </c>
      <c r="J45" s="17"/>
      <c r="K45" s="17"/>
      <c r="L45" s="17"/>
      <c r="M45" s="12" t="e">
        <f aca="false">IF(NOT(ISBLANK($R45)), $R45, IF(ROUND($P45, 1) = 0, "", ROUND($P45, 1) ))</f>
        <v>#VALUE!</v>
      </c>
      <c r="N45" s="13" t="e">
        <f aca="false">ABS(M45-D45)/M45</f>
        <v>#VALUE!</v>
      </c>
      <c r="P45" s="14" t="e">
        <f aca="false">IFERROR((U45+V45)/(W45+X45))</f>
        <v>#VALUE!</v>
      </c>
      <c r="Q4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LOWER($B45)))
)"),"1.510344828")</f>
        <v>1.510344828</v>
      </c>
      <c r="R45" s="16"/>
      <c r="U45" s="0" t="str">
        <f aca="false">IFERROR(__xludf.dummyfunction("IFERROR(SUM(FILTER('Form Responses (Power-up data)'!$C$2:$C1000, LOWER('Form Responses (Power-up data)'!$B$2:$B1000) = LOWER($B45))), 0)"),"0")</f>
        <v>0</v>
      </c>
      <c r="V4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LOWER($B45))
),0)"),"21")</f>
        <v>21</v>
      </c>
      <c r="W45" s="0" t="str">
        <f aca="false">IFERROR(__xludf.dummyfunction("COUNT(FILTER('Form Responses (Power-up data)'!$C$2:$C1000, LOWER('Form Responses (Power-up data)'!$B$2:$B1000) = LOWER($B45)))"),"0")</f>
        <v>0</v>
      </c>
      <c r="X4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LOWER($B45)))"),"1")</f>
        <v>1</v>
      </c>
      <c r="Y4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LOWER($B45))), 2)))"),"1.51/1.51")</f>
        <v>1.51/1.51</v>
      </c>
    </row>
    <row r="46" customFormat="false" ht="15.75" hidden="false" customHeight="false" outlineLevel="0" collapsed="false">
      <c r="A46" s="10" t="n">
        <v>45</v>
      </c>
      <c r="B46" s="1" t="s">
        <v>64</v>
      </c>
      <c r="C46" s="0" t="str">
        <f aca="false">IFERROR(__xludf.dummyfunction("ROUND(0.00909003 * (FILTER('Go Base Stats'!$C$2:$C1000, 'Go Base Stats'!$A$2:$A1000 = $A46))^0.5 *(FILTER('Go Base Stats'!$D$2:$D1000, 'Go Base Stats'!$A$2:$A1000 = $A46))*(FILTER('Go Base Stats'!$E$2:$E1000, 'Go Base Stats'!$A$2:$A1000 = $A46))^0.5 / 10, 1)"),"31")</f>
        <v>31</v>
      </c>
      <c r="D46" s="0" t="str">
        <f aca="false">IFERROR(__xludf.dummyfunction("ROUND(0.00909003 * (FILTER('Go Base Stats'!$C$2:$C1000, 'Go Base Stats'!$A$2:$A1000 = $A46)+7.5)^0.5 *(FILTER('Go Base Stats'!$D$2:$D1000, 'Go Base Stats'!$A$2:$A1000 = $A46) + 7.5)*(FILTER('Go Base Stats'!$E$2:$E1000, 'Go Base Stats'!$A$2:$A1000 = $A46) + 7.5)^0.5 / 10, 1)"),"33.6")</f>
        <v>33.6</v>
      </c>
      <c r="E46" s="0" t="str">
        <f aca="false">IFERROR(__xludf.dummyfunction("ROUND(0.00909003 * (FILTER('Go Base Stats'!$C$2:$C1000, 'Go Base Stats'!$A$2:$A1000 = $A46)+15)^0.5 *(FILTER('Go Base Stats'!$D$2:$D1000, 'Go Base Stats'!$A$2:$A1000 = $A46) +15)*(FILTER('Go Base Stats'!$E$2:$E1000, 'Go Base Stats'!$A$2:$A1000 = $A46) + 15)^0.5 / 10, 1)"),"36.3")</f>
        <v>36.3</v>
      </c>
      <c r="F46" s="6" t="n">
        <f aca="false">ROUND(D46/D45, 1)</f>
        <v>1.5</v>
      </c>
      <c r="G46" s="6" t="str">
        <f aca="false">IFERROR(__xludf.dummyfunction("FILTER('Base Stats'!$C$2:$C1000, LOWER('Base Stats'!$B$2:$B1000) = LOWER($B46))"),"75")</f>
        <v>75</v>
      </c>
      <c r="H46" s="0" t="str">
        <f aca="false">IFERROR(__xludf.dummyfunction("FLOOR((0.7903)^2 * (FILTER('Go Base Stats'!$C$2:$C1000, 'Go Base Stats'!$A$2:$A1000 = $A46)+15)^0.5 *(FILTER('Go Base Stats'!$D$2:$D1000, 'Go Base Stats'!$A$2:$A1000 = $A46) +15)*(FILTER('Go Base Stats'!$E$2:$E1000, 'Go Base Stats'!$A$2:$A1000 = $A46) + 15)^0.5 / 10)"),"2492")</f>
        <v>2492</v>
      </c>
      <c r="I46" s="0" t="str">
        <f aca="false">IFERROR(__xludf.dummyfunction("FLOOR(0.7903* (FILTER('Go Base Stats'!$C$2:$C1000, 'Go Base Stats'!$A$2:$A1000 = $A46)+15))"),"130")</f>
        <v>130</v>
      </c>
      <c r="J46" s="17"/>
      <c r="K46" s="17"/>
      <c r="L46" s="17"/>
      <c r="M46" s="12" t="e">
        <f aca="false">IF(NOT(ISBLANK($R46)), $R46, IF(ROUND($P46, 1) = 0, "", ROUND($P46, 1) ))</f>
        <v>#VALUE!</v>
      </c>
      <c r="N46" s="13" t="e">
        <f aca="false">ABS(M46-D46)/M46</f>
        <v>#VALUE!</v>
      </c>
      <c r="P46" s="14" t="e">
        <f aca="false">IFERROR((U46+V46)/(W46+X46))</f>
        <v>#VALUE!</v>
      </c>
      <c r="Q4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LOWER($B46)))
)"),"1.492616034")</f>
        <v>1.492616034</v>
      </c>
      <c r="R46" s="16"/>
      <c r="U46" s="0" t="str">
        <f aca="false">IFERROR(__xludf.dummyfunction("IFERROR(SUM(FILTER('Form Responses (Power-up data)'!$C$2:$C1000, LOWER('Form Responses (Power-up data)'!$B$2:$B1000) = LOWER($B46))), 0)"),"0")</f>
        <v>0</v>
      </c>
      <c r="V4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LOWER($B46))
),0)"),"34")</f>
        <v>34</v>
      </c>
      <c r="W46" s="0" t="str">
        <f aca="false">IFERROR(__xludf.dummyfunction("COUNT(FILTER('Form Responses (Power-up data)'!$C$2:$C1000, LOWER('Form Responses (Power-up data)'!$B$2:$B1000) = LOWER($B46)))"),"0")</f>
        <v>0</v>
      </c>
      <c r="X4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LOWER($B46)))"),"1")</f>
        <v>1</v>
      </c>
      <c r="Y4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LOWER($B46))), 2)))"),"1.49/1.49")</f>
        <v>1.49/1.49</v>
      </c>
    </row>
    <row r="47" customFormat="false" ht="15.75" hidden="false" customHeight="false" outlineLevel="0" collapsed="false">
      <c r="A47" s="10" t="n">
        <v>46</v>
      </c>
      <c r="B47" s="1" t="s">
        <v>65</v>
      </c>
      <c r="C47" s="0" t="str">
        <f aca="false">IFERROR(__xludf.dummyfunction("ROUND(0.00909003 * (FILTER('Go Base Stats'!$C$2:$C1000, 'Go Base Stats'!$A$2:$A1000 = $A47))^0.5 *(FILTER('Go Base Stats'!$D$2:$D1000, 'Go Base Stats'!$A$2:$A1000 = $A47))*(FILTER('Go Base Stats'!$E$2:$E1000, 'Go Base Stats'!$A$2:$A1000 = $A47))^0.5 / 10, 1)"),"10.2")</f>
        <v>10.2</v>
      </c>
      <c r="D47" s="0" t="str">
        <f aca="false">IFERROR(__xludf.dummyfunction("ROUND(0.00909003 * (FILTER('Go Base Stats'!$C$2:$C1000, 'Go Base Stats'!$A$2:$A1000 = $A47)+7.5)^0.5 *(FILTER('Go Base Stats'!$D$2:$D1000, 'Go Base Stats'!$A$2:$A1000 = $A47) + 7.5)*(FILTER('Go Base Stats'!$E$2:$E1000, 'Go Base Stats'!$A$2:$A1000 = $A47) + 7.5)^0.5 / 10, 1)"),"11.7")</f>
        <v>11.7</v>
      </c>
      <c r="E47" s="0" t="str">
        <f aca="false">IFERROR(__xludf.dummyfunction("ROUND(0.00909003 * (FILTER('Go Base Stats'!$C$2:$C1000, 'Go Base Stats'!$A$2:$A1000 = $A47)+15)^0.5 *(FILTER('Go Base Stats'!$D$2:$D1000, 'Go Base Stats'!$A$2:$A1000 = $A47) +15)*(FILTER('Go Base Stats'!$E$2:$E1000, 'Go Base Stats'!$A$2:$A1000 = $A47) + 15)^0.5 / 10, 1)"),"13.3")</f>
        <v>13.3</v>
      </c>
      <c r="F47" s="6"/>
      <c r="G47" s="6" t="str">
        <f aca="false">IFERROR(__xludf.dummyfunction("FILTER('Base Stats'!$C$2:$C1000, LOWER('Base Stats'!$B$2:$B1000) = LOWER($B47))"),"35")</f>
        <v>35</v>
      </c>
      <c r="H47" s="0" t="str">
        <f aca="false">IFERROR(__xludf.dummyfunction("FLOOR((0.7903)^2 * (FILTER('Go Base Stats'!$C$2:$C1000, 'Go Base Stats'!$A$2:$A1000 = $A47)+15)^0.5 *(FILTER('Go Base Stats'!$D$2:$D1000, 'Go Base Stats'!$A$2:$A1000 = $A47) +15)*(FILTER('Go Base Stats'!$E$2:$E1000, 'Go Base Stats'!$A$2:$A1000 = $A47) + 15)^0.5 / 10)"),"916")</f>
        <v>916</v>
      </c>
      <c r="I47" s="0" t="str">
        <f aca="false">IFERROR(__xludf.dummyfunction("FLOOR(0.7903* (FILTER('Go Base Stats'!$C$2:$C1000, 'Go Base Stats'!$A$2:$A1000 = $A47)+15))"),"67")</f>
        <v>67</v>
      </c>
      <c r="J47" s="17"/>
      <c r="K47" s="17"/>
      <c r="L47" s="17"/>
      <c r="M47" s="12" t="e">
        <f aca="false">IF(NOT(ISBLANK($R47)), $R47, IF(ROUND($P47, 1) = 0, "", ROUND($P47, 1) ))</f>
        <v>#VALUE!</v>
      </c>
      <c r="N47" s="13" t="e">
        <f aca="false">ABS(M47-D47)/M47</f>
        <v>#VALUE!</v>
      </c>
      <c r="P47" s="14" t="e">
        <f aca="false">IFERROR((U47+V47)/(W47+X47))</f>
        <v>#VALUE!</v>
      </c>
      <c r="Q4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LOWER($B47)))
)"),"")</f>
        <v/>
      </c>
      <c r="R47" s="16"/>
      <c r="U47" s="0" t="str">
        <f aca="false">IFERROR(__xludf.dummyfunction("IFERROR(SUM(FILTER('Form Responses (Power-up data)'!$C$2:$C1000, LOWER('Form Responses (Power-up data)'!$B$2:$B1000) = LOWER($B47))), 0)"),"0")</f>
        <v>0</v>
      </c>
      <c r="V4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LOWER($B47))
),0)"),"12")</f>
        <v>12</v>
      </c>
      <c r="W47" s="0" t="str">
        <f aca="false">IFERROR(__xludf.dummyfunction("COUNT(FILTER('Form Responses (Power-up data)'!$C$2:$C1000, LOWER('Form Responses (Power-up data)'!$B$2:$B1000) = LOWER($B47)))"),"0")</f>
        <v>0</v>
      </c>
      <c r="X4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LOWER($B47)))"),"1")</f>
        <v>1</v>
      </c>
      <c r="Y4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LOWER($B47))), 2)))"),"/")</f>
        <v>/</v>
      </c>
    </row>
    <row r="48" customFormat="false" ht="15.75" hidden="false" customHeight="false" outlineLevel="0" collapsed="false">
      <c r="A48" s="10" t="n">
        <v>47</v>
      </c>
      <c r="B48" s="1" t="s">
        <v>66</v>
      </c>
      <c r="C48" s="0" t="str">
        <f aca="false">IFERROR(__xludf.dummyfunction("ROUND(0.00909003 * (FILTER('Go Base Stats'!$C$2:$C1000, 'Go Base Stats'!$A$2:$A1000 = $A48))^0.5 *(FILTER('Go Base Stats'!$D$2:$D1000, 'Go Base Stats'!$A$2:$A1000 = $A48))*(FILTER('Go Base Stats'!$E$2:$E1000, 'Go Base Stats'!$A$2:$A1000 = $A48))^0.5 / 10, 1)"),"21")</f>
        <v>21</v>
      </c>
      <c r="D48" s="0" t="str">
        <f aca="false">IFERROR(__xludf.dummyfunction("ROUND(0.00909003 * (FILTER('Go Base Stats'!$C$2:$C1000, 'Go Base Stats'!$A$2:$A1000 = $A48)+7.5)^0.5 *(FILTER('Go Base Stats'!$D$2:$D1000, 'Go Base Stats'!$A$2:$A1000 = $A48) + 7.5)*(FILTER('Go Base Stats'!$E$2:$E1000, 'Go Base Stats'!$A$2:$A1000 = $A48) + 7.5)^0.5 / 10, 1)"),"23.2")</f>
        <v>23.2</v>
      </c>
      <c r="E48" s="0" t="str">
        <f aca="false">IFERROR(__xludf.dummyfunction("ROUND(0.00909003 * (FILTER('Go Base Stats'!$C$2:$C1000, 'Go Base Stats'!$A$2:$A1000 = $A48)+15)^0.5 *(FILTER('Go Base Stats'!$D$2:$D1000, 'Go Base Stats'!$A$2:$A1000 = $A48) +15)*(FILTER('Go Base Stats'!$E$2:$E1000, 'Go Base Stats'!$A$2:$A1000 = $A48) + 15)^0.5 / 10, 1)"),"25.4")</f>
        <v>25.4</v>
      </c>
      <c r="F48" s="6" t="str">
        <f aca="false">ROUND(D48/D47, 1)</f>
        <v>2</v>
      </c>
      <c r="G48" s="6" t="str">
        <f aca="false">IFERROR(__xludf.dummyfunction("FILTER('Base Stats'!$C$2:$C1000, LOWER('Base Stats'!$B$2:$B1000) = LOWER($B48))"),"60")</f>
        <v>60</v>
      </c>
      <c r="H48" s="0" t="str">
        <f aca="false">IFERROR(__xludf.dummyfunction("FLOOR((0.7903)^2 * (FILTER('Go Base Stats'!$C$2:$C1000, 'Go Base Stats'!$A$2:$A1000 = $A48)+15)^0.5 *(FILTER('Go Base Stats'!$D$2:$D1000, 'Go Base Stats'!$A$2:$A1000 = $A48) +15)*(FILTER('Go Base Stats'!$E$2:$E1000, 'Go Base Stats'!$A$2:$A1000 = $A48) + 15)^0.5 / 10)"),"1747")</f>
        <v>1747</v>
      </c>
      <c r="I48" s="0" t="str">
        <f aca="false">IFERROR(__xludf.dummyfunction("FLOOR(0.7903* (FILTER('Go Base Stats'!$C$2:$C1000, 'Go Base Stats'!$A$2:$A1000 = $A48)+15))"),"106")</f>
        <v>106</v>
      </c>
      <c r="J48" s="17"/>
      <c r="K48" s="17"/>
      <c r="L48" s="17"/>
      <c r="M48" s="12" t="e">
        <f aca="false">IF(NOT(ISBLANK($R48)), $R48, IF(ROUND($P48, 1) = 0, "", ROUND($P48, 1) ))</f>
        <v>#VALUE!</v>
      </c>
      <c r="N48" s="13" t="e">
        <f aca="false">ABS(M48-D48)/M48</f>
        <v>#VALUE!</v>
      </c>
      <c r="P48" s="14" t="e">
        <f aca="false">IFERROR((U48+V48)/(W48+X48))</f>
        <v>#VALUE!</v>
      </c>
      <c r="Q4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LOWER($B48)))
)"),"1.953617309")</f>
        <v>1.953617309</v>
      </c>
      <c r="R48" s="16"/>
      <c r="U48" s="0" t="str">
        <f aca="false">IFERROR(__xludf.dummyfunction("IFERROR(SUM(FILTER('Form Responses (Power-up data)'!$C$2:$C1000, LOWER('Form Responses (Power-up data)'!$B$2:$B1000) = LOWER($B48))), 0)"),"0")</f>
        <v>0</v>
      </c>
      <c r="V4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LOWER($B48))
),0)"),"70")</f>
        <v>70</v>
      </c>
      <c r="W48" s="0" t="str">
        <f aca="false">IFERROR(__xludf.dummyfunction("COUNT(FILTER('Form Responses (Power-up data)'!$C$2:$C1000, LOWER('Form Responses (Power-up data)'!$B$2:$B1000) = LOWER($B48)))"),"0")</f>
        <v>0</v>
      </c>
      <c r="X4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LOWER($B48)))"),"3")</f>
        <v>3</v>
      </c>
      <c r="Y4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LOWER($B48))), 2)))"),"1.94/1.97")</f>
        <v>1.94/1.97</v>
      </c>
    </row>
    <row r="49" customFormat="false" ht="15.75" hidden="false" customHeight="false" outlineLevel="0" collapsed="false">
      <c r="A49" s="10" t="n">
        <v>48</v>
      </c>
      <c r="B49" s="1" t="s">
        <v>67</v>
      </c>
      <c r="C49" s="0" t="str">
        <f aca="false">IFERROR(__xludf.dummyfunction("ROUND(0.00909003 * (FILTER('Go Base Stats'!$C$2:$C1000, 'Go Base Stats'!$A$2:$A1000 = $A49))^0.5 *(FILTER('Go Base Stats'!$D$2:$D1000, 'Go Base Stats'!$A$2:$A1000 = $A49))*(FILTER('Go Base Stats'!$E$2:$E1000, 'Go Base Stats'!$A$2:$A1000 = $A49))^0.5 / 10, 1)"),"11.7")</f>
        <v>11.7</v>
      </c>
      <c r="D49" s="0" t="str">
        <f aca="false">IFERROR(__xludf.dummyfunction("ROUND(0.00909003 * (FILTER('Go Base Stats'!$C$2:$C1000, 'Go Base Stats'!$A$2:$A1000 = $A49)+7.5)^0.5 *(FILTER('Go Base Stats'!$D$2:$D1000, 'Go Base Stats'!$A$2:$A1000 = $A49) + 7.5)*(FILTER('Go Base Stats'!$E$2:$E1000, 'Go Base Stats'!$A$2:$A1000 = $A49) + 7.5)^0.5 / 10, 1)"),"13.3")</f>
        <v>13.3</v>
      </c>
      <c r="E49" s="0" t="str">
        <f aca="false">IFERROR(__xludf.dummyfunction("ROUND(0.00909003 * (FILTER('Go Base Stats'!$C$2:$C1000, 'Go Base Stats'!$A$2:$A1000 = $A49)+15)^0.5 *(FILTER('Go Base Stats'!$D$2:$D1000, 'Go Base Stats'!$A$2:$A1000 = $A49) +15)*(FILTER('Go Base Stats'!$E$2:$E1000, 'Go Base Stats'!$A$2:$A1000 = $A49) + 15)^0.5 / 10, 1)"),"15")</f>
        <v>15</v>
      </c>
      <c r="F49" s="6"/>
      <c r="G49" s="6" t="str">
        <f aca="false">IFERROR(__xludf.dummyfunction("FILTER('Base Stats'!$C$2:$C1000, LOWER('Base Stats'!$B$2:$B1000) = LOWER($B49))"),"60")</f>
        <v>60</v>
      </c>
      <c r="H49" s="0" t="str">
        <f aca="false">IFERROR(__xludf.dummyfunction("FLOOR((0.7903)^2 * (FILTER('Go Base Stats'!$C$2:$C1000, 'Go Base Stats'!$A$2:$A1000 = $A49)+15)^0.5 *(FILTER('Go Base Stats'!$D$2:$D1000, 'Go Base Stats'!$A$2:$A1000 = $A49) +15)*(FILTER('Go Base Stats'!$E$2:$E1000, 'Go Base Stats'!$A$2:$A1000 = $A49) + 15)^0.5 / 10)"),"1029")</f>
        <v>1029</v>
      </c>
      <c r="I49" s="0" t="str">
        <f aca="false">IFERROR(__xludf.dummyfunction("FLOOR(0.7903* (FILTER('Go Base Stats'!$C$2:$C1000, 'Go Base Stats'!$A$2:$A1000 = $A49)+15))"),"106")</f>
        <v>106</v>
      </c>
      <c r="J49" s="17"/>
      <c r="K49" s="17"/>
      <c r="L49" s="17"/>
      <c r="M49" s="12" t="e">
        <f aca="false">IF(NOT(ISBLANK($R49)), $R49, IF(ROUND($P49, 1) = 0, "", ROUND($P49, 1) ))</f>
        <v>#VALUE!</v>
      </c>
      <c r="N49" s="13" t="e">
        <f aca="false">ABS(M49-D49)/M49</f>
        <v>#VALUE!</v>
      </c>
      <c r="P49" s="14" t="e">
        <f aca="false">IFERROR((U49+V49)/(W49+X49))</f>
        <v>#VALUE!</v>
      </c>
      <c r="Q4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LOWER($B49)))
)"),"")</f>
        <v/>
      </c>
      <c r="R49" s="16"/>
      <c r="U49" s="0" t="str">
        <f aca="false">IFERROR(__xludf.dummyfunction("IFERROR(SUM(FILTER('Form Responses (Power-up data)'!$C$2:$C1000, LOWER('Form Responses (Power-up data)'!$B$2:$B1000) = LOWER($B49))), 0)"),"0")</f>
        <v>0</v>
      </c>
      <c r="V4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LOWER($B49))
),0)"),"14")</f>
        <v>14</v>
      </c>
      <c r="W49" s="0" t="str">
        <f aca="false">IFERROR(__xludf.dummyfunction("COUNT(FILTER('Form Responses (Power-up data)'!$C$2:$C1000, LOWER('Form Responses (Power-up data)'!$B$2:$B1000) = LOWER($B49)))"),"0")</f>
        <v>0</v>
      </c>
      <c r="X4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LOWER($B49)))"),"1")</f>
        <v>1</v>
      </c>
      <c r="Y4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LOWER($B49))), 2)))"),"/")</f>
        <v>/</v>
      </c>
    </row>
    <row r="50" customFormat="false" ht="15.75" hidden="false" customHeight="false" outlineLevel="0" collapsed="false">
      <c r="A50" s="10" t="n">
        <v>49</v>
      </c>
      <c r="B50" s="1" t="s">
        <v>68</v>
      </c>
      <c r="C50" s="0" t="str">
        <f aca="false">IFERROR(__xludf.dummyfunction("ROUND(0.00909003 * (FILTER('Go Base Stats'!$C$2:$C1000, 'Go Base Stats'!$A$2:$A1000 = $A50))^0.5 *(FILTER('Go Base Stats'!$D$2:$D1000, 'Go Base Stats'!$A$2:$A1000 = $A50))*(FILTER('Go Base Stats'!$E$2:$E1000, 'Go Base Stats'!$A$2:$A1000 = $A50))^0.5 / 10, 1)"),"23")</f>
        <v>23</v>
      </c>
      <c r="D50" s="0" t="str">
        <f aca="false">IFERROR(__xludf.dummyfunction("ROUND(0.00909003 * (FILTER('Go Base Stats'!$C$2:$C1000, 'Go Base Stats'!$A$2:$A1000 = $A50)+7.5)^0.5 *(FILTER('Go Base Stats'!$D$2:$D1000, 'Go Base Stats'!$A$2:$A1000 = $A50) + 7.5)*(FILTER('Go Base Stats'!$E$2:$E1000, 'Go Base Stats'!$A$2:$A1000 = $A50) + 7.5)^0.5 / 10, 1)"),"25.2")</f>
        <v>25.2</v>
      </c>
      <c r="E50" s="0" t="str">
        <f aca="false">IFERROR(__xludf.dummyfunction("ROUND(0.00909003 * (FILTER('Go Base Stats'!$C$2:$C1000, 'Go Base Stats'!$A$2:$A1000 = $A50)+15)^0.5 *(FILTER('Go Base Stats'!$D$2:$D1000, 'Go Base Stats'!$A$2:$A1000 = $A50) +15)*(FILTER('Go Base Stats'!$E$2:$E1000, 'Go Base Stats'!$A$2:$A1000 = $A50) + 15)^0.5 / 10, 1)"),"27.5")</f>
        <v>27.5</v>
      </c>
      <c r="F50" s="6" t="str">
        <f aca="false">ROUND(D50/D49, 1)</f>
        <v>1.9</v>
      </c>
      <c r="G50" s="6" t="str">
        <f aca="false">IFERROR(__xludf.dummyfunction("FILTER('Base Stats'!$C$2:$C1000, LOWER('Base Stats'!$B$2:$B1000) = LOWER($B50))"),"70")</f>
        <v>70</v>
      </c>
      <c r="H50" s="0" t="str">
        <f aca="false">IFERROR(__xludf.dummyfunction("FLOOR((0.7903)^2 * (FILTER('Go Base Stats'!$C$2:$C1000, 'Go Base Stats'!$A$2:$A1000 = $A50)+15)^0.5 *(FILTER('Go Base Stats'!$D$2:$D1000, 'Go Base Stats'!$A$2:$A1000 = $A50) +15)*(FILTER('Go Base Stats'!$E$2:$E1000, 'Go Base Stats'!$A$2:$A1000 = $A50) + 15)^0.5 / 10)"),"1890")</f>
        <v>1890</v>
      </c>
      <c r="I50" s="0" t="str">
        <f aca="false">IFERROR(__xludf.dummyfunction("FLOOR(0.7903* (FILTER('Go Base Stats'!$C$2:$C1000, 'Go Base Stats'!$A$2:$A1000 = $A50)+15))"),"122")</f>
        <v>122</v>
      </c>
      <c r="J50" s="17"/>
      <c r="K50" s="17"/>
      <c r="L50" s="17"/>
      <c r="M50" s="12" t="e">
        <f aca="false">IF(NOT(ISBLANK($R50)), $R50, IF(ROUND($P50, 1) = 0, "", ROUND($P50, 1) ))</f>
        <v>#VALUE!</v>
      </c>
      <c r="N50" s="13" t="e">
        <f aca="false">ABS(M50-D50)/M50</f>
        <v>#VALUE!</v>
      </c>
      <c r="P50" s="14" t="e">
        <f aca="false">IFERROR((U50+V50)/(W50+X50))</f>
        <v>#VALUE!</v>
      </c>
      <c r="Q5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LOWER($B50)))
)"),"1.860963465")</f>
        <v>1.860963465</v>
      </c>
      <c r="R50" s="19"/>
      <c r="U50" s="0" t="str">
        <f aca="false">IFERROR(__xludf.dummyfunction("IFERROR(SUM(FILTER('Form Responses (Power-up data)'!$C$2:$C1000, LOWER('Form Responses (Power-up data)'!$B$2:$B1000) = LOWER($B50))), 0)"),"0")</f>
        <v>0</v>
      </c>
      <c r="V5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LOWER($B50))
),0)"),"53")</f>
        <v>53</v>
      </c>
      <c r="W50" s="0" t="str">
        <f aca="false">IFERROR(__xludf.dummyfunction("COUNT(FILTER('Form Responses (Power-up data)'!$C$2:$C1000, LOWER('Form Responses (Power-up data)'!$B$2:$B1000) = LOWER($B50)))"),"0")</f>
        <v>0</v>
      </c>
      <c r="X5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LOWER($B50)))"),"2")</f>
        <v>2</v>
      </c>
      <c r="Y5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LOWER($B50))), 2)))"),"1.86/1.87")</f>
        <v>1.86/1.87</v>
      </c>
    </row>
    <row r="51" customFormat="false" ht="15.75" hidden="false" customHeight="false" outlineLevel="0" collapsed="false">
      <c r="A51" s="10" t="n">
        <v>50</v>
      </c>
      <c r="B51" s="1" t="s">
        <v>69</v>
      </c>
      <c r="C51" s="0" t="str">
        <f aca="false">IFERROR(__xludf.dummyfunction("ROUND(0.00909003 * (FILTER('Go Base Stats'!$C$2:$C1000, 'Go Base Stats'!$A$2:$A1000 = $A51))^0.5 *(FILTER('Go Base Stats'!$D$2:$D1000, 'Go Base Stats'!$A$2:$A1000 = $A51))*(FILTER('Go Base Stats'!$E$2:$E1000, 'Go Base Stats'!$A$2:$A1000 = $A51))^0.5 / 10, 1)"),"4.1")</f>
        <v>4.1</v>
      </c>
      <c r="D51" s="0" t="str">
        <f aca="false">IFERROR(__xludf.dummyfunction("ROUND(0.00909003 * (FILTER('Go Base Stats'!$C$2:$C1000, 'Go Base Stats'!$A$2:$A1000 = $A51)+7.5)^0.5 *(FILTER('Go Base Stats'!$D$2:$D1000, 'Go Base Stats'!$A$2:$A1000 = $A51) + 7.5)*(FILTER('Go Base Stats'!$E$2:$E1000, 'Go Base Stats'!$A$2:$A1000 = $A51) + 7.5)^0.5 / 10, 1)"),"5.3")</f>
        <v>5.3</v>
      </c>
      <c r="E51" s="0" t="str">
        <f aca="false">IFERROR(__xludf.dummyfunction("ROUND(0.00909003 * (FILTER('Go Base Stats'!$C$2:$C1000, 'Go Base Stats'!$A$2:$A1000 = $A51)+15)^0.5 *(FILTER('Go Base Stats'!$D$2:$D1000, 'Go Base Stats'!$A$2:$A1000 = $A51) +15)*(FILTER('Go Base Stats'!$E$2:$E1000, 'Go Base Stats'!$A$2:$A1000 = $A51) + 15)^0.5 / 10, 1)"),"6.6")</f>
        <v>6.6</v>
      </c>
      <c r="F51" s="6"/>
      <c r="G51" s="6" t="str">
        <f aca="false">IFERROR(__xludf.dummyfunction("FILTER('Base Stats'!$C$2:$C1000, LOWER('Base Stats'!$B$2:$B1000) = LOWER($B51))"),"10")</f>
        <v>10</v>
      </c>
      <c r="H51" s="0" t="str">
        <f aca="false">IFERROR(__xludf.dummyfunction("FLOOR((0.7903)^2 * (FILTER('Go Base Stats'!$C$2:$C1000, 'Go Base Stats'!$A$2:$A1000 = $A51)+15)^0.5 *(FILTER('Go Base Stats'!$D$2:$D1000, 'Go Base Stats'!$A$2:$A1000 = $A51) +15)*(FILTER('Go Base Stats'!$E$2:$E1000, 'Go Base Stats'!$A$2:$A1000 = $A51) + 15)^0.5 / 10)"),"456")</f>
        <v>456</v>
      </c>
      <c r="I51" s="0" t="str">
        <f aca="false">IFERROR(__xludf.dummyfunction("FLOOR(0.7903* (FILTER('Go Base Stats'!$C$2:$C1000, 'Go Base Stats'!$A$2:$A1000 = $A51)+15))"),"27")</f>
        <v>27</v>
      </c>
      <c r="J51" s="17"/>
      <c r="K51" s="17"/>
      <c r="L51" s="17"/>
      <c r="M51" s="12" t="e">
        <f aca="false">IF(NOT(ISBLANK($R51)), $R51, IF(ROUND($P51, 1) = 0, "", ROUND($P51, 1) ))</f>
        <v>#VALUE!</v>
      </c>
      <c r="N51" s="13" t="e">
        <f aca="false">ABS(M51-D51)/M51</f>
        <v>#VALUE!</v>
      </c>
      <c r="P51" s="14" t="e">
        <f aca="false">IFERROR((U51+V51)/(W51+X51))</f>
        <v>#VALUE!</v>
      </c>
      <c r="Q5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LOWER($B51)))
)"),"")</f>
        <v/>
      </c>
      <c r="R51" s="20"/>
      <c r="U51" s="0" t="str">
        <f aca="false">IFERROR(__xludf.dummyfunction("IFERROR(SUM(FILTER('Form Responses (Power-up data)'!$C$2:$C1000, LOWER('Form Responses (Power-up data)'!$B$2:$B1000) = LOWER($B51))), 0)"),"0")</f>
        <v>0</v>
      </c>
      <c r="V5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LOWER($B51))
),0)"),"7")</f>
        <v>7</v>
      </c>
      <c r="W51" s="0" t="str">
        <f aca="false">IFERROR(__xludf.dummyfunction("COUNT(FILTER('Form Responses (Power-up data)'!$C$2:$C1000, LOWER('Form Responses (Power-up data)'!$B$2:$B1000) = LOWER($B51)))"),"0")</f>
        <v>0</v>
      </c>
      <c r="X5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LOWER($B51)))"),"1")</f>
        <v>1</v>
      </c>
      <c r="Y5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LOWER($B51))), 2)))"),"/")</f>
        <v>/</v>
      </c>
    </row>
    <row r="52" customFormat="false" ht="15.75" hidden="false" customHeight="false" outlineLevel="0" collapsed="false">
      <c r="A52" s="10" t="n">
        <v>51</v>
      </c>
      <c r="B52" s="1" t="s">
        <v>70</v>
      </c>
      <c r="C52" s="0" t="str">
        <f aca="false">IFERROR(__xludf.dummyfunction("ROUND(0.00909003 * (FILTER('Go Base Stats'!$C$2:$C1000, 'Go Base Stats'!$A$2:$A1000 = $A52))^0.5 *(FILTER('Go Base Stats'!$D$2:$D1000, 'Go Base Stats'!$A$2:$A1000 = $A52))*(FILTER('Go Base Stats'!$E$2:$E1000, 'Go Base Stats'!$A$2:$A1000 = $A52))^0.5 / 10, 1)"),"13.3")</f>
        <v>13.3</v>
      </c>
      <c r="D52" s="0" t="str">
        <f aca="false">IFERROR(__xludf.dummyfunction("ROUND(0.00909003 * (FILTER('Go Base Stats'!$C$2:$C1000, 'Go Base Stats'!$A$2:$A1000 = $A52)+7.5)^0.5 *(FILTER('Go Base Stats'!$D$2:$D1000, 'Go Base Stats'!$A$2:$A1000 = $A52) + 7.5)*(FILTER('Go Base Stats'!$E$2:$E1000, 'Go Base Stats'!$A$2:$A1000 = $A52) + 7.5)^0.5 / 10, 1)"),"15.1")</f>
        <v>15.1</v>
      </c>
      <c r="E52" s="0" t="str">
        <f aca="false">IFERROR(__xludf.dummyfunction("ROUND(0.00909003 * (FILTER('Go Base Stats'!$C$2:$C1000, 'Go Base Stats'!$A$2:$A1000 = $A52)+15)^0.5 *(FILTER('Go Base Stats'!$D$2:$D1000, 'Go Base Stats'!$A$2:$A1000 = $A52) +15)*(FILTER('Go Base Stats'!$E$2:$E1000, 'Go Base Stats'!$A$2:$A1000 = $A52) + 15)^0.5 / 10, 1)"),"17")</f>
        <v>17</v>
      </c>
      <c r="F52" s="6" t="str">
        <f aca="false">ROUND(D52/D51, 1)</f>
        <v>2.8</v>
      </c>
      <c r="G52" s="6" t="str">
        <f aca="false">IFERROR(__xludf.dummyfunction("FILTER('Base Stats'!$C$2:$C1000, LOWER('Base Stats'!$B$2:$B1000) = LOWER($B52))"),"35")</f>
        <v>35</v>
      </c>
      <c r="H52" s="0" t="str">
        <f aca="false">IFERROR(__xludf.dummyfunction("FLOOR((0.7903)^2 * (FILTER('Go Base Stats'!$C$2:$C1000, 'Go Base Stats'!$A$2:$A1000 = $A52)+15)^0.5 *(FILTER('Go Base Stats'!$D$2:$D1000, 'Go Base Stats'!$A$2:$A1000 = $A52) +15)*(FILTER('Go Base Stats'!$E$2:$E1000, 'Go Base Stats'!$A$2:$A1000 = $A52) + 15)^0.5 / 10)"),"1168")</f>
        <v>1168</v>
      </c>
      <c r="I52" s="0" t="str">
        <f aca="false">IFERROR(__xludf.dummyfunction("FLOOR(0.7903* (FILTER('Go Base Stats'!$C$2:$C1000, 'Go Base Stats'!$A$2:$A1000 = $A52)+15))"),"67")</f>
        <v>67</v>
      </c>
      <c r="J52" s="17"/>
      <c r="K52" s="17"/>
      <c r="L52" s="17"/>
      <c r="M52" s="12" t="e">
        <f aca="false">IF(NOT(ISBLANK($R52)), $R52, IF(ROUND($P52, 1) = 0, "", ROUND($P52, 1) ))</f>
        <v>#VALUE!</v>
      </c>
      <c r="N52" s="13" t="e">
        <f aca="false">ABS(M52-D52)/M52</f>
        <v>#VALUE!</v>
      </c>
      <c r="P52" s="14" t="e">
        <f aca="false">IFERROR((U52+V52)/(W52+X52))</f>
        <v>#VALUE!</v>
      </c>
      <c r="Q5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LOWER($B52)))
)"),"2.30048954")</f>
        <v>2.30048954</v>
      </c>
      <c r="R52" s="16"/>
      <c r="U52" s="0" t="str">
        <f aca="false">IFERROR(__xludf.dummyfunction("IFERROR(SUM(FILTER('Form Responses (Power-up data)'!$C$2:$C1000, LOWER('Form Responses (Power-up data)'!$B$2:$B1000) = LOWER($B52))), 0)"),"0")</f>
        <v>0</v>
      </c>
      <c r="V5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LOWER($B52))
),0)"),"31")</f>
        <v>31</v>
      </c>
      <c r="W52" s="0" t="str">
        <f aca="false">IFERROR(__xludf.dummyfunction("COUNT(FILTER('Form Responses (Power-up data)'!$C$2:$C1000, LOWER('Form Responses (Power-up data)'!$B$2:$B1000) = LOWER($B52)))"),"0")</f>
        <v>0</v>
      </c>
      <c r="X5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LOWER($B52)))"),"2")</f>
        <v>2</v>
      </c>
      <c r="Y5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LOWER($B52))), 2)))"),"1.63/2.97")</f>
        <v>1.63/2.97</v>
      </c>
    </row>
    <row r="53" customFormat="false" ht="15.75" hidden="false" customHeight="false" outlineLevel="0" collapsed="false">
      <c r="A53" s="10" t="n">
        <v>52</v>
      </c>
      <c r="B53" s="1" t="s">
        <v>71</v>
      </c>
      <c r="C53" s="0" t="str">
        <f aca="false">IFERROR(__xludf.dummyfunction("ROUND(0.00909003 * (FILTER('Go Base Stats'!$C$2:$C1000, 'Go Base Stats'!$A$2:$A1000 = $A53))^0.5 *(FILTER('Go Base Stats'!$D$2:$D1000, 'Go Base Stats'!$A$2:$A1000 = $A53))*(FILTER('Go Base Stats'!$E$2:$E1000, 'Go Base Stats'!$A$2:$A1000 = $A53))^0.5 / 10, 1)"),"8.2")</f>
        <v>8.2</v>
      </c>
      <c r="D53" s="0" t="str">
        <f aca="false">IFERROR(__xludf.dummyfunction("ROUND(0.00909003 * (FILTER('Go Base Stats'!$C$2:$C1000, 'Go Base Stats'!$A$2:$A1000 = $A53)+7.5)^0.5 *(FILTER('Go Base Stats'!$D$2:$D1000, 'Go Base Stats'!$A$2:$A1000 = $A53) + 7.5)*(FILTER('Go Base Stats'!$E$2:$E1000, 'Go Base Stats'!$A$2:$A1000 = $A53) + 7.5)^0.5 / 10, 1)"),"9.6")</f>
        <v>9.6</v>
      </c>
      <c r="E53" s="0" t="str">
        <f aca="false">IFERROR(__xludf.dummyfunction("ROUND(0.00909003 * (FILTER('Go Base Stats'!$C$2:$C1000, 'Go Base Stats'!$A$2:$A1000 = $A53)+15)^0.5 *(FILTER('Go Base Stats'!$D$2:$D1000, 'Go Base Stats'!$A$2:$A1000 = $A53) +15)*(FILTER('Go Base Stats'!$E$2:$E1000, 'Go Base Stats'!$A$2:$A1000 = $A53) + 15)^0.5 / 10, 1)"),"11")</f>
        <v>11</v>
      </c>
      <c r="F53" s="6"/>
      <c r="G53" s="6" t="str">
        <f aca="false">IFERROR(__xludf.dummyfunction("FILTER('Base Stats'!$C$2:$C1000, LOWER('Base Stats'!$B$2:$B1000) = LOWER($B53))"),"40")</f>
        <v>40</v>
      </c>
      <c r="H53" s="0" t="str">
        <f aca="false">IFERROR(__xludf.dummyfunction("FLOOR((0.7903)^2 * (FILTER('Go Base Stats'!$C$2:$C1000, 'Go Base Stats'!$A$2:$A1000 = $A53)+15)^0.5 *(FILTER('Go Base Stats'!$D$2:$D1000, 'Go Base Stats'!$A$2:$A1000 = $A53) +15)*(FILTER('Go Base Stats'!$E$2:$E1000, 'Go Base Stats'!$A$2:$A1000 = $A53) + 15)^0.5 / 10)"),"756")</f>
        <v>756</v>
      </c>
      <c r="I53" s="0" t="str">
        <f aca="false">IFERROR(__xludf.dummyfunction("FLOOR(0.7903* (FILTER('Go Base Stats'!$C$2:$C1000, 'Go Base Stats'!$A$2:$A1000 = $A53)+15))"),"75")</f>
        <v>75</v>
      </c>
      <c r="J53" s="17"/>
      <c r="K53" s="17"/>
      <c r="L53" s="17"/>
      <c r="M53" s="12" t="n">
        <f aca="false">IF(NOT(ISBLANK($R53)), $R53, IF(ROUND($P53, 1) = 0, "", ROUND($P53, 1) ))</f>
        <v>10.5</v>
      </c>
      <c r="N53" s="13" t="n">
        <f aca="false">ABS(M53-D53)/M53</f>
        <v>0.0857142857142858</v>
      </c>
      <c r="P53" s="14" t="e">
        <f aca="false">IFERROR((U53+V53)/(W53+X53))</f>
        <v>#VALUE!</v>
      </c>
      <c r="Q5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LOWER($B53)))
)"),"")</f>
        <v/>
      </c>
      <c r="R53" s="16" t="n">
        <v>10.5</v>
      </c>
      <c r="U53" s="0" t="str">
        <f aca="false">IFERROR(__xludf.dummyfunction("IFERROR(SUM(FILTER('Form Responses (Power-up data)'!$C$2:$C1000, LOWER('Form Responses (Power-up data)'!$B$2:$B1000) = LOWER($B53))), 0)"),"0")</f>
        <v>0</v>
      </c>
      <c r="V5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LOWER($B53))
),0)"),"0")</f>
        <v>0</v>
      </c>
      <c r="W53" s="0" t="str">
        <f aca="false">IFERROR(__xludf.dummyfunction("COUNT(FILTER('Form Responses (Power-up data)'!$C$2:$C1000, LOWER('Form Responses (Power-up data)'!$B$2:$B1000) = LOWER($B53)))"),"0")</f>
        <v>0</v>
      </c>
      <c r="X5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LOWER($B53)))"),"0")</f>
        <v>0</v>
      </c>
      <c r="Y5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LOWER($B53))), 2)))"),"/")</f>
        <v>/</v>
      </c>
    </row>
    <row r="54" customFormat="false" ht="15.75" hidden="false" customHeight="false" outlineLevel="0" collapsed="false">
      <c r="A54" s="10" t="n">
        <v>53</v>
      </c>
      <c r="B54" s="1" t="s">
        <v>72</v>
      </c>
      <c r="C54" s="0" t="str">
        <f aca="false">IFERROR(__xludf.dummyfunction("ROUND(0.00909003 * (FILTER('Go Base Stats'!$C$2:$C1000, 'Go Base Stats'!$A$2:$A1000 = $A54))^0.5 *(FILTER('Go Base Stats'!$D$2:$D1000, 'Go Base Stats'!$A$2:$A1000 = $A54))*(FILTER('Go Base Stats'!$E$2:$E1000, 'Go Base Stats'!$A$2:$A1000 = $A54))^0.5 / 10, 1)"),"19.5")</f>
        <v>19.5</v>
      </c>
      <c r="D54" s="0" t="str">
        <f aca="false">IFERROR(__xludf.dummyfunction("ROUND(0.00909003 * (FILTER('Go Base Stats'!$C$2:$C1000, 'Go Base Stats'!$A$2:$A1000 = $A54)+7.5)^0.5 *(FILTER('Go Base Stats'!$D$2:$D1000, 'Go Base Stats'!$A$2:$A1000 = $A54) + 7.5)*(FILTER('Go Base Stats'!$E$2:$E1000, 'Go Base Stats'!$A$2:$A1000 = $A54) + 7.5)^0.5 / 10, 1)"),"21.6")</f>
        <v>21.6</v>
      </c>
      <c r="E54" s="0" t="str">
        <f aca="false">IFERROR(__xludf.dummyfunction("ROUND(0.00909003 * (FILTER('Go Base Stats'!$C$2:$C1000, 'Go Base Stats'!$A$2:$A1000 = $A54)+15)^0.5 *(FILTER('Go Base Stats'!$D$2:$D1000, 'Go Base Stats'!$A$2:$A1000 = $A54) +15)*(FILTER('Go Base Stats'!$E$2:$E1000, 'Go Base Stats'!$A$2:$A1000 = $A54) + 15)^0.5 / 10, 1)"),"23.7")</f>
        <v>23.7</v>
      </c>
      <c r="F54" s="6" t="str">
        <f aca="false">ROUND(D54/D53, 1)</f>
        <v>2.3</v>
      </c>
      <c r="G54" s="6" t="str">
        <f aca="false">IFERROR(__xludf.dummyfunction("FILTER('Base Stats'!$C$2:$C1000, LOWER('Base Stats'!$B$2:$B1000) = LOWER($B54))"),"65")</f>
        <v>65</v>
      </c>
      <c r="H54" s="0" t="str">
        <f aca="false">IFERROR(__xludf.dummyfunction("FLOOR((0.7903)^2 * (FILTER('Go Base Stats'!$C$2:$C1000, 'Go Base Stats'!$A$2:$A1000 = $A54)+15)^0.5 *(FILTER('Go Base Stats'!$D$2:$D1000, 'Go Base Stats'!$A$2:$A1000 = $A54) +15)*(FILTER('Go Base Stats'!$E$2:$E1000, 'Go Base Stats'!$A$2:$A1000 = $A54) + 15)^0.5 / 10)"),"1631")</f>
        <v>1631</v>
      </c>
      <c r="I54" s="0" t="str">
        <f aca="false">IFERROR(__xludf.dummyfunction("FLOOR(0.7903* (FILTER('Go Base Stats'!$C$2:$C1000, 'Go Base Stats'!$A$2:$A1000 = $A54)+15))"),"114")</f>
        <v>114</v>
      </c>
      <c r="J54" s="17"/>
      <c r="K54" s="17"/>
      <c r="L54" s="17"/>
      <c r="M54" s="12" t="e">
        <f aca="false">IF(NOT(ISBLANK($R54)), $R54, IF(ROUND($P54, 1) = 0, "", ROUND($P54, 1) ))</f>
        <v>#VALUE!</v>
      </c>
      <c r="N54" s="13" t="e">
        <f aca="false">ABS(M54-D54)/M54</f>
        <v>#VALUE!</v>
      </c>
      <c r="P54" s="14" t="e">
        <f aca="false">IFERROR((U54+V54)/(W54+X54))</f>
        <v>#VALUE!</v>
      </c>
      <c r="Q5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LOWER($B54)))
)"),"")</f>
        <v/>
      </c>
      <c r="R54" s="16"/>
      <c r="U54" s="0" t="str">
        <f aca="false">IFERROR(__xludf.dummyfunction("IFERROR(SUM(FILTER('Form Responses (Power-up data)'!$C$2:$C1000, LOWER('Form Responses (Power-up data)'!$B$2:$B1000) = LOWER($B54))), 0)"),"0")</f>
        <v>0</v>
      </c>
      <c r="V5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LOWER($B54))
),0)"),"23")</f>
        <v>23</v>
      </c>
      <c r="W54" s="0" t="str">
        <f aca="false">IFERROR(__xludf.dummyfunction("COUNT(FILTER('Form Responses (Power-up data)'!$C$2:$C1000, LOWER('Form Responses (Power-up data)'!$B$2:$B1000) = LOWER($B54)))"),"0")</f>
        <v>0</v>
      </c>
      <c r="X5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LOWER($B54)))"),"1")</f>
        <v>1</v>
      </c>
      <c r="Y5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LOWER($B54))), 2)))"),"/")</f>
        <v>/</v>
      </c>
    </row>
    <row r="55" customFormat="false" ht="15.75" hidden="false" customHeight="false" outlineLevel="0" collapsed="false">
      <c r="A55" s="10" t="n">
        <v>54</v>
      </c>
      <c r="B55" s="1" t="s">
        <v>73</v>
      </c>
      <c r="C55" s="0" t="str">
        <f aca="false">IFERROR(__xludf.dummyfunction("ROUND(0.00909003 * (FILTER('Go Base Stats'!$C$2:$C1000, 'Go Base Stats'!$A$2:$A1000 = $A55))^0.5 *(FILTER('Go Base Stats'!$D$2:$D1000, 'Go Base Stats'!$A$2:$A1000 = $A55))*(FILTER('Go Base Stats'!$E$2:$E1000, 'Go Base Stats'!$A$2:$A1000 = $A55))^0.5 / 10, 1)"),"12.7")</f>
        <v>12.7</v>
      </c>
      <c r="D55" s="0" t="str">
        <f aca="false">IFERROR(__xludf.dummyfunction("ROUND(0.00909003 * (FILTER('Go Base Stats'!$C$2:$C1000, 'Go Base Stats'!$A$2:$A1000 = $A55)+7.5)^0.5 *(FILTER('Go Base Stats'!$D$2:$D1000, 'Go Base Stats'!$A$2:$A1000 = $A55) + 7.5)*(FILTER('Go Base Stats'!$E$2:$E1000, 'Go Base Stats'!$A$2:$A1000 = $A55) + 7.5)^0.5 / 10, 1)"),"14.4")</f>
        <v>14.4</v>
      </c>
      <c r="E55" s="0" t="str">
        <f aca="false">IFERROR(__xludf.dummyfunction("ROUND(0.00909003 * (FILTER('Go Base Stats'!$C$2:$C1000, 'Go Base Stats'!$A$2:$A1000 = $A55)+15)^0.5 *(FILTER('Go Base Stats'!$D$2:$D1000, 'Go Base Stats'!$A$2:$A1000 = $A55) +15)*(FILTER('Go Base Stats'!$E$2:$E1000, 'Go Base Stats'!$A$2:$A1000 = $A55) + 15)^0.5 / 10, 1)"),"16.1")</f>
        <v>16.1</v>
      </c>
      <c r="F55" s="6"/>
      <c r="G55" s="6" t="str">
        <f aca="false">IFERROR(__xludf.dummyfunction("FILTER('Base Stats'!$C$2:$C1000, LOWER('Base Stats'!$B$2:$B1000) = LOWER($B55))"),"50")</f>
        <v>50</v>
      </c>
      <c r="H55" s="0" t="str">
        <f aca="false">IFERROR(__xludf.dummyfunction("FLOOR((0.7903)^2 * (FILTER('Go Base Stats'!$C$2:$C1000, 'Go Base Stats'!$A$2:$A1000 = $A55)+15)^0.5 *(FILTER('Go Base Stats'!$D$2:$D1000, 'Go Base Stats'!$A$2:$A1000 = $A55) +15)*(FILTER('Go Base Stats'!$E$2:$E1000, 'Go Base Stats'!$A$2:$A1000 = $A55) + 15)^0.5 / 10)"),"1109")</f>
        <v>1109</v>
      </c>
      <c r="I55" s="0" t="str">
        <f aca="false">IFERROR(__xludf.dummyfunction("FLOOR(0.7903* (FILTER('Go Base Stats'!$C$2:$C1000, 'Go Base Stats'!$A$2:$A1000 = $A55)+15))"),"90")</f>
        <v>90</v>
      </c>
      <c r="J55" s="17"/>
      <c r="K55" s="17"/>
      <c r="L55" s="17"/>
      <c r="M55" s="12" t="n">
        <f aca="false">IF(NOT(ISBLANK($R55)), $R55, IF(ROUND($P55, 1) = 0, "", ROUND($P55, 1) ))</f>
        <v>14</v>
      </c>
      <c r="N55" s="13" t="n">
        <f aca="false">ABS(M55-D55)/M55</f>
        <v>0.0285714285714286</v>
      </c>
      <c r="P55" s="14" t="e">
        <f aca="false">IFERROR((U55+V55)/(W55+X55))</f>
        <v>#VALUE!</v>
      </c>
      <c r="Q5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LOWER($B55)))
)"),"")</f>
        <v/>
      </c>
      <c r="R55" s="16" t="n">
        <v>14</v>
      </c>
      <c r="U55" s="0" t="str">
        <f aca="false">IFERROR(__xludf.dummyfunction("IFERROR(SUM(FILTER('Form Responses (Power-up data)'!$C$2:$C1000, LOWER('Form Responses (Power-up data)'!$B$2:$B1000) = LOWER($B55))), 0)"),"0")</f>
        <v>0</v>
      </c>
      <c r="V5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LOWER($B55))
),0)"),"0")</f>
        <v>0</v>
      </c>
      <c r="W55" s="0" t="str">
        <f aca="false">IFERROR(__xludf.dummyfunction("COUNT(FILTER('Form Responses (Power-up data)'!$C$2:$C1000, LOWER('Form Responses (Power-up data)'!$B$2:$B1000) = LOWER($B55)))"),"0")</f>
        <v>0</v>
      </c>
      <c r="X5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LOWER($B55)))"),"0")</f>
        <v>0</v>
      </c>
      <c r="Y5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LOWER($B55))), 2)))"),"/")</f>
        <v>/</v>
      </c>
    </row>
    <row r="56" customFormat="false" ht="15.75" hidden="false" customHeight="false" outlineLevel="0" collapsed="false">
      <c r="A56" s="10" t="n">
        <v>55</v>
      </c>
      <c r="B56" s="1" t="s">
        <v>74</v>
      </c>
      <c r="C56" s="0" t="str">
        <f aca="false">IFERROR(__xludf.dummyfunction("ROUND(0.00909003 * (FILTER('Go Base Stats'!$C$2:$C1000, 'Go Base Stats'!$A$2:$A1000 = $A56))^0.5 *(FILTER('Go Base Stats'!$D$2:$D1000, 'Go Base Stats'!$A$2:$A1000 = $A56))*(FILTER('Go Base Stats'!$E$2:$E1000, 'Go Base Stats'!$A$2:$A1000 = $A56))^0.5 / 10, 1)"),"29.6")</f>
        <v>29.6</v>
      </c>
      <c r="D56" s="0" t="str">
        <f aca="false">IFERROR(__xludf.dummyfunction("ROUND(0.00909003 * (FILTER('Go Base Stats'!$C$2:$C1000, 'Go Base Stats'!$A$2:$A1000 = $A56)+7.5)^0.5 *(FILTER('Go Base Stats'!$D$2:$D1000, 'Go Base Stats'!$A$2:$A1000 = $A56) + 7.5)*(FILTER('Go Base Stats'!$E$2:$E1000, 'Go Base Stats'!$A$2:$A1000 = $A56) + 7.5)^0.5 / 10, 1)"),"32.1")</f>
        <v>32.1</v>
      </c>
      <c r="E56" s="0" t="str">
        <f aca="false">IFERROR(__xludf.dummyfunction("ROUND(0.00909003 * (FILTER('Go Base Stats'!$C$2:$C1000, 'Go Base Stats'!$A$2:$A1000 = $A56)+15)^0.5 *(FILTER('Go Base Stats'!$D$2:$D1000, 'Go Base Stats'!$A$2:$A1000 = $A56) +15)*(FILTER('Go Base Stats'!$E$2:$E1000, 'Go Base Stats'!$A$2:$A1000 = $A56) + 15)^0.5 / 10, 1)"),"34.7")</f>
        <v>34.7</v>
      </c>
      <c r="F56" s="6" t="str">
        <f aca="false">ROUND(D56/D55, 1)</f>
        <v>2.2</v>
      </c>
      <c r="G56" s="6" t="str">
        <f aca="false">IFERROR(__xludf.dummyfunction("FILTER('Base Stats'!$C$2:$C1000, LOWER('Base Stats'!$B$2:$B1000) = LOWER($B56))"),"80")</f>
        <v>80</v>
      </c>
      <c r="H56" s="0" t="str">
        <f aca="false">IFERROR(__xludf.dummyfunction("FLOOR((0.7903)^2 * (FILTER('Go Base Stats'!$C$2:$C1000, 'Go Base Stats'!$A$2:$A1000 = $A56)+15)^0.5 *(FILTER('Go Base Stats'!$D$2:$D1000, 'Go Base Stats'!$A$2:$A1000 = $A56) +15)*(FILTER('Go Base Stats'!$E$2:$E1000, 'Go Base Stats'!$A$2:$A1000 = $A56) + 15)^0.5 / 10)"),"2386")</f>
        <v>2386</v>
      </c>
      <c r="I56" s="0" t="str">
        <f aca="false">IFERROR(__xludf.dummyfunction("FLOOR(0.7903* (FILTER('Go Base Stats'!$C$2:$C1000, 'Go Base Stats'!$A$2:$A1000 = $A56)+15))"),"138")</f>
        <v>138</v>
      </c>
      <c r="J56" s="17"/>
      <c r="K56" s="17"/>
      <c r="L56" s="17"/>
      <c r="M56" s="12" t="e">
        <f aca="false">IF(NOT(ISBLANK($R56)), $R56, IF(ROUND($P56, 1) = 0, "", ROUND($P56, 1) ))</f>
        <v>#VALUE!</v>
      </c>
      <c r="N56" s="13" t="e">
        <f aca="false">ABS(M56-D56)/M56</f>
        <v>#VALUE!</v>
      </c>
      <c r="P56" s="14" t="e">
        <f aca="false">IFERROR((U56+V56)/(W56+X56))</f>
        <v>#VALUE!</v>
      </c>
      <c r="Q5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LOWER($B56)))
)"),"2.457749727")</f>
        <v>2.457749727</v>
      </c>
      <c r="R56" s="16"/>
      <c r="U56" s="0" t="str">
        <f aca="false">IFERROR(__xludf.dummyfunction("IFERROR(SUM(FILTER('Form Responses (Power-up data)'!$C$2:$C1000, LOWER('Form Responses (Power-up data)'!$B$2:$B1000) = LOWER($B56))), 0)"),"0")</f>
        <v>0</v>
      </c>
      <c r="V5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LOWER($B56))
),0)"),"194")</f>
        <v>194</v>
      </c>
      <c r="W56" s="0" t="str">
        <f aca="false">IFERROR(__xludf.dummyfunction("COUNT(FILTER('Form Responses (Power-up data)'!$C$2:$C1000, LOWER('Form Responses (Power-up data)'!$B$2:$B1000) = LOWER($B56)))"),"0")</f>
        <v>0</v>
      </c>
      <c r="X5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LOWER($B56)))"),"6")</f>
        <v>6</v>
      </c>
      <c r="Y5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LOWER($B56))), 2)))"),"2.25/2.66")</f>
        <v>2.25/2.66</v>
      </c>
    </row>
    <row r="57" customFormat="false" ht="15.75" hidden="false" customHeight="false" outlineLevel="0" collapsed="false">
      <c r="A57" s="10" t="n">
        <v>56</v>
      </c>
      <c r="B57" s="1" t="s">
        <v>75</v>
      </c>
      <c r="C57" s="0" t="str">
        <f aca="false">IFERROR(__xludf.dummyfunction("ROUND(0.00909003 * (FILTER('Go Base Stats'!$C$2:$C1000, 'Go Base Stats'!$A$2:$A1000 = $A57))^0.5 *(FILTER('Go Base Stats'!$D$2:$D1000, 'Go Base Stats'!$A$2:$A1000 = $A57))*(FILTER('Go Base Stats'!$E$2:$E1000, 'Go Base Stats'!$A$2:$A1000 = $A57))^0.5 / 10, 1)"),"9.7")</f>
        <v>9.7</v>
      </c>
      <c r="D57" s="0" t="str">
        <f aca="false">IFERROR(__xludf.dummyfunction("ROUND(0.00909003 * (FILTER('Go Base Stats'!$C$2:$C1000, 'Go Base Stats'!$A$2:$A1000 = $A57)+7.5)^0.5 *(FILTER('Go Base Stats'!$D$2:$D1000, 'Go Base Stats'!$A$2:$A1000 = $A57) + 7.5)*(FILTER('Go Base Stats'!$E$2:$E1000, 'Go Base Stats'!$A$2:$A1000 = $A57) + 7.5)^0.5 / 10, 1)"),"11.2")</f>
        <v>11.2</v>
      </c>
      <c r="E57" s="0" t="str">
        <f aca="false">IFERROR(__xludf.dummyfunction("ROUND(0.00909003 * (FILTER('Go Base Stats'!$C$2:$C1000, 'Go Base Stats'!$A$2:$A1000 = $A57)+15)^0.5 *(FILTER('Go Base Stats'!$D$2:$D1000, 'Go Base Stats'!$A$2:$A1000 = $A57) +15)*(FILTER('Go Base Stats'!$E$2:$E1000, 'Go Base Stats'!$A$2:$A1000 = $A57) + 15)^0.5 / 10, 1)"),"12.8")</f>
        <v>12.8</v>
      </c>
      <c r="F57" s="6"/>
      <c r="G57" s="6" t="str">
        <f aca="false">IFERROR(__xludf.dummyfunction("FILTER('Base Stats'!$C$2:$C1000, LOWER('Base Stats'!$B$2:$B1000) = LOWER($B57))"),"40")</f>
        <v>40</v>
      </c>
      <c r="H57" s="0" t="str">
        <f aca="false">IFERROR(__xludf.dummyfunction("FLOOR((0.7903)^2 * (FILTER('Go Base Stats'!$C$2:$C1000, 'Go Base Stats'!$A$2:$A1000 = $A57)+15)^0.5 *(FILTER('Go Base Stats'!$D$2:$D1000, 'Go Base Stats'!$A$2:$A1000 = $A57) +15)*(FILTER('Go Base Stats'!$E$2:$E1000, 'Go Base Stats'!$A$2:$A1000 = $A57) + 15)^0.5 / 10)"),"878")</f>
        <v>878</v>
      </c>
      <c r="I57" s="0" t="str">
        <f aca="false">IFERROR(__xludf.dummyfunction("FLOOR(0.7903* (FILTER('Go Base Stats'!$C$2:$C1000, 'Go Base Stats'!$A$2:$A1000 = $A57)+15))"),"75")</f>
        <v>75</v>
      </c>
      <c r="J57" s="17"/>
      <c r="K57" s="17"/>
      <c r="L57" s="17"/>
      <c r="M57" s="12" t="e">
        <f aca="false">IF(NOT(ISBLANK($R57)), $R57, IF(ROUND($P57, 1) = 0, "", ROUND($P57, 1) ))</f>
        <v>#VALUE!</v>
      </c>
      <c r="N57" s="13" t="e">
        <f aca="false">ABS(M57-D57)/M57</f>
        <v>#VALUE!</v>
      </c>
      <c r="P57" s="14" t="e">
        <f aca="false">IFERROR((U57+V57)/(W57+X57))</f>
        <v>#VALUE!</v>
      </c>
      <c r="Q5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LOWER($B57)))
)"),"")</f>
        <v/>
      </c>
      <c r="R57" s="16"/>
      <c r="U57" s="0" t="str">
        <f aca="false">IFERROR(__xludf.dummyfunction("IFERROR(SUM(FILTER('Form Responses (Power-up data)'!$C$2:$C1000, LOWER('Form Responses (Power-up data)'!$B$2:$B1000) = LOWER($B57))), 0)"),"0")</f>
        <v>0</v>
      </c>
      <c r="V5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LOWER($B57))
),0)"),"12")</f>
        <v>12</v>
      </c>
      <c r="W57" s="0" t="str">
        <f aca="false">IFERROR(__xludf.dummyfunction("COUNT(FILTER('Form Responses (Power-up data)'!$C$2:$C1000, LOWER('Form Responses (Power-up data)'!$B$2:$B1000) = LOWER($B57)))"),"0")</f>
        <v>0</v>
      </c>
      <c r="X5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LOWER($B57)))"),"1")</f>
        <v>1</v>
      </c>
      <c r="Y5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LOWER($B57))), 2)))"),"/")</f>
        <v>/</v>
      </c>
    </row>
    <row r="58" customFormat="false" ht="15.75" hidden="false" customHeight="false" outlineLevel="0" collapsed="false">
      <c r="A58" s="10" t="n">
        <v>57</v>
      </c>
      <c r="B58" s="1" t="s">
        <v>76</v>
      </c>
      <c r="C58" s="0" t="str">
        <f aca="false">IFERROR(__xludf.dummyfunction("ROUND(0.00909003 * (FILTER('Go Base Stats'!$C$2:$C1000, 'Go Base Stats'!$A$2:$A1000 = $A58))^0.5 *(FILTER('Go Base Stats'!$D$2:$D1000, 'Go Base Stats'!$A$2:$A1000 = $A58))*(FILTER('Go Base Stats'!$E$2:$E1000, 'Go Base Stats'!$A$2:$A1000 = $A58))^0.5 / 10, 1)"),"22.6")</f>
        <v>22.6</v>
      </c>
      <c r="D58" s="0" t="str">
        <f aca="false">IFERROR(__xludf.dummyfunction("ROUND(0.00909003 * (FILTER('Go Base Stats'!$C$2:$C1000, 'Go Base Stats'!$A$2:$A1000 = $A58)+7.5)^0.5 *(FILTER('Go Base Stats'!$D$2:$D1000, 'Go Base Stats'!$A$2:$A1000 = $A58) + 7.5)*(FILTER('Go Base Stats'!$E$2:$E1000, 'Go Base Stats'!$A$2:$A1000 = $A58) + 7.5)^0.5 / 10, 1)"),"24.8")</f>
        <v>24.8</v>
      </c>
      <c r="E58" s="0" t="str">
        <f aca="false">IFERROR(__xludf.dummyfunction("ROUND(0.00909003 * (FILTER('Go Base Stats'!$C$2:$C1000, 'Go Base Stats'!$A$2:$A1000 = $A58)+15)^0.5 *(FILTER('Go Base Stats'!$D$2:$D1000, 'Go Base Stats'!$A$2:$A1000 = $A58) +15)*(FILTER('Go Base Stats'!$E$2:$E1000, 'Go Base Stats'!$A$2:$A1000 = $A58) + 15)^0.5 / 10, 1)"),"27.1")</f>
        <v>27.1</v>
      </c>
      <c r="F58" s="6" t="str">
        <f aca="false">ROUND(D58/D57, 1)</f>
        <v>2.2</v>
      </c>
      <c r="G58" s="6" t="str">
        <f aca="false">IFERROR(__xludf.dummyfunction("FILTER('Base Stats'!$C$2:$C1000, LOWER('Base Stats'!$B$2:$B1000) = LOWER($B58))"),"65")</f>
        <v>65</v>
      </c>
      <c r="H58" s="0" t="str">
        <f aca="false">IFERROR(__xludf.dummyfunction("FLOOR((0.7903)^2 * (FILTER('Go Base Stats'!$C$2:$C1000, 'Go Base Stats'!$A$2:$A1000 = $A58)+15)^0.5 *(FILTER('Go Base Stats'!$D$2:$D1000, 'Go Base Stats'!$A$2:$A1000 = $A58) +15)*(FILTER('Go Base Stats'!$E$2:$E1000, 'Go Base Stats'!$A$2:$A1000 = $A58) + 15)^0.5 / 10)"),"1864")</f>
        <v>1864</v>
      </c>
      <c r="I58" s="0" t="str">
        <f aca="false">IFERROR(__xludf.dummyfunction("FLOOR(0.7903* (FILTER('Go Base Stats'!$C$2:$C1000, 'Go Base Stats'!$A$2:$A1000 = $A58)+15))"),"114")</f>
        <v>114</v>
      </c>
      <c r="J58" s="17"/>
      <c r="K58" s="17"/>
      <c r="L58" s="17"/>
      <c r="M58" s="12" t="e">
        <f aca="false">IF(NOT(ISBLANK($R58)), $R58, IF(ROUND($P58, 1) = 0, "", ROUND($P58, 1) ))</f>
        <v>#VALUE!</v>
      </c>
      <c r="N58" s="13" t="e">
        <f aca="false">ABS(M58-D58)/M58</f>
        <v>#VALUE!</v>
      </c>
      <c r="P58" s="14" t="e">
        <f aca="false">IFERROR((U58+V58)/(W58+X58))</f>
        <v>#VALUE!</v>
      </c>
      <c r="Q5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LOWER($B58)))
)"),"2.167173252")</f>
        <v>2.167173252</v>
      </c>
      <c r="R58" s="16"/>
      <c r="U58" s="0" t="str">
        <f aca="false">IFERROR(__xludf.dummyfunction("IFERROR(SUM(FILTER('Form Responses (Power-up data)'!$C$2:$C1000, LOWER('Form Responses (Power-up data)'!$B$2:$B1000) = LOWER($B58))), 0)"),"0")</f>
        <v>0</v>
      </c>
      <c r="V5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LOWER($B58))
),0)"),"175")</f>
        <v>175</v>
      </c>
      <c r="W58" s="0" t="str">
        <f aca="false">IFERROR(__xludf.dummyfunction("COUNT(FILTER('Form Responses (Power-up data)'!$C$2:$C1000, LOWER('Form Responses (Power-up data)'!$B$2:$B1000) = LOWER($B58)))"),"0")</f>
        <v>0</v>
      </c>
      <c r="X5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LOWER($B58)))"),"7")</f>
        <v>7</v>
      </c>
      <c r="Y5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LOWER($B58))), 2)))"),"2.17/2.17")</f>
        <v>2.17/2.17</v>
      </c>
    </row>
    <row r="59" customFormat="false" ht="15.75" hidden="false" customHeight="false" outlineLevel="0" collapsed="false">
      <c r="A59" s="10" t="n">
        <v>58</v>
      </c>
      <c r="B59" s="1" t="s">
        <v>77</v>
      </c>
      <c r="C59" s="0" t="str">
        <f aca="false">IFERROR(__xludf.dummyfunction("ROUND(0.00909003 * (FILTER('Go Base Stats'!$C$2:$C1000, 'Go Base Stats'!$A$2:$A1000 = $A59))^0.5 *(FILTER('Go Base Stats'!$D$2:$D1000, 'Go Base Stats'!$A$2:$A1000 = $A59))*(FILTER('Go Base Stats'!$E$2:$E1000, 'Go Base Stats'!$A$2:$A1000 = $A59))^0.5 / 10, 1)"),"15.6")</f>
        <v>15.6</v>
      </c>
      <c r="D59" s="0" t="str">
        <f aca="false">IFERROR(__xludf.dummyfunction("ROUND(0.00909003 * (FILTER('Go Base Stats'!$C$2:$C1000, 'Go Base Stats'!$A$2:$A1000 = $A59)+7.5)^0.5 *(FILTER('Go Base Stats'!$D$2:$D1000, 'Go Base Stats'!$A$2:$A1000 = $A59) + 7.5)*(FILTER('Go Base Stats'!$E$2:$E1000, 'Go Base Stats'!$A$2:$A1000 = $A59) + 7.5)^0.5 / 10, 1)"),"17.5")</f>
        <v>17.5</v>
      </c>
      <c r="E59" s="0" t="str">
        <f aca="false">IFERROR(__xludf.dummyfunction("ROUND(0.00909003 * (FILTER('Go Base Stats'!$C$2:$C1000, 'Go Base Stats'!$A$2:$A1000 = $A59)+15)^0.5 *(FILTER('Go Base Stats'!$D$2:$D1000, 'Go Base Stats'!$A$2:$A1000 = $A59) +15)*(FILTER('Go Base Stats'!$E$2:$E1000, 'Go Base Stats'!$A$2:$A1000 = $A59) + 15)^0.5 / 10, 1)"),"19.4")</f>
        <v>19.4</v>
      </c>
      <c r="F59" s="6"/>
      <c r="G59" s="6" t="str">
        <f aca="false">IFERROR(__xludf.dummyfunction("FILTER('Base Stats'!$C$2:$C1000, LOWER('Base Stats'!$B$2:$B1000) = LOWER($B59))"),"55")</f>
        <v>55</v>
      </c>
      <c r="H59" s="0" t="str">
        <f aca="false">IFERROR(__xludf.dummyfunction("FLOOR((0.7903)^2 * (FILTER('Go Base Stats'!$C$2:$C1000, 'Go Base Stats'!$A$2:$A1000 = $A59)+15)^0.5 *(FILTER('Go Base Stats'!$D$2:$D1000, 'Go Base Stats'!$A$2:$A1000 = $A59) +15)*(FILTER('Go Base Stats'!$E$2:$E1000, 'Go Base Stats'!$A$2:$A1000 = $A59) + 15)^0.5 / 10)"),"1335")</f>
        <v>1335</v>
      </c>
      <c r="I59" s="0" t="str">
        <f aca="false">IFERROR(__xludf.dummyfunction("FLOOR(0.7903* (FILTER('Go Base Stats'!$C$2:$C1000, 'Go Base Stats'!$A$2:$A1000 = $A59)+15))"),"98")</f>
        <v>98</v>
      </c>
      <c r="J59" s="17"/>
      <c r="K59" s="17"/>
      <c r="L59" s="17"/>
      <c r="M59" s="12" t="e">
        <f aca="false">IF(NOT(ISBLANK($R59)), $R59, IF(ROUND($P59, 1) = 0, "", ROUND($P59, 1) ))</f>
        <v>#VALUE!</v>
      </c>
      <c r="N59" s="13" t="e">
        <f aca="false">ABS(M59-D59)/M59</f>
        <v>#VALUE!</v>
      </c>
      <c r="P59" s="14" t="e">
        <f aca="false">IFERROR((U59+V59)/(W59+X59))</f>
        <v>#VALUE!</v>
      </c>
      <c r="Q5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LOWER($B59)))
)"),"2.323420074")</f>
        <v>2.323420074</v>
      </c>
      <c r="R59" s="16"/>
      <c r="U59" s="0" t="str">
        <f aca="false">IFERROR(__xludf.dummyfunction("IFERROR(SUM(FILTER('Form Responses (Power-up data)'!$C$2:$C1000, LOWER('Form Responses (Power-up data)'!$B$2:$B1000) = LOWER($B59))), 0)"),"0")</f>
        <v>0</v>
      </c>
      <c r="V5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LOWER($B59))
),0)"),"19")</f>
        <v>19</v>
      </c>
      <c r="W59" s="0" t="str">
        <f aca="false">IFERROR(__xludf.dummyfunction("COUNT(FILTER('Form Responses (Power-up data)'!$C$2:$C1000, LOWER('Form Responses (Power-up data)'!$B$2:$B1000) = LOWER($B59)))"),"0")</f>
        <v>0</v>
      </c>
      <c r="X5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LOWER($B59)))"),"1")</f>
        <v>1</v>
      </c>
      <c r="Y5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LOWER($B59))), 2)))"),"2.32/2.32")</f>
        <v>2.32/2.32</v>
      </c>
    </row>
    <row r="60" customFormat="false" ht="15.75" hidden="false" customHeight="false" outlineLevel="0" collapsed="false">
      <c r="A60" s="10" t="n">
        <v>59</v>
      </c>
      <c r="B60" s="1" t="s">
        <v>78</v>
      </c>
      <c r="C60" s="0" t="str">
        <f aca="false">IFERROR(__xludf.dummyfunction("ROUND(0.00909003 * (FILTER('Go Base Stats'!$C$2:$C1000, 'Go Base Stats'!$A$2:$A1000 = $A60))^0.5 *(FILTER('Go Base Stats'!$D$2:$D1000, 'Go Base Stats'!$A$2:$A1000 = $A60))*(FILTER('Go Base Stats'!$E$2:$E1000, 'Go Base Stats'!$A$2:$A1000 = $A60))^0.5 / 10, 1)"),"37.6")</f>
        <v>37.6</v>
      </c>
      <c r="D60" s="0" t="str">
        <f aca="false">IFERROR(__xludf.dummyfunction("ROUND(0.00909003 * (FILTER('Go Base Stats'!$C$2:$C1000, 'Go Base Stats'!$A$2:$A1000 = $A60)+7.5)^0.5 *(FILTER('Go Base Stats'!$D$2:$D1000, 'Go Base Stats'!$A$2:$A1000 = $A60) + 7.5)*(FILTER('Go Base Stats'!$E$2:$E1000, 'Go Base Stats'!$A$2:$A1000 = $A60) + 7.5)^0.5 / 10, 1)"),"40.5")</f>
        <v>40.5</v>
      </c>
      <c r="E60" s="0" t="str">
        <f aca="false">IFERROR(__xludf.dummyfunction("ROUND(0.00909003 * (FILTER('Go Base Stats'!$C$2:$C1000, 'Go Base Stats'!$A$2:$A1000 = $A60)+15)^0.5 *(FILTER('Go Base Stats'!$D$2:$D1000, 'Go Base Stats'!$A$2:$A1000 = $A60) +15)*(FILTER('Go Base Stats'!$E$2:$E1000, 'Go Base Stats'!$A$2:$A1000 = $A60) + 15)^0.5 / 10, 1)"),"43.4")</f>
        <v>43.4</v>
      </c>
      <c r="F60" s="6" t="str">
        <f aca="false">ROUND(D60/D59, 1)</f>
        <v>2.3</v>
      </c>
      <c r="G60" s="6" t="str">
        <f aca="false">IFERROR(__xludf.dummyfunction("FILTER('Base Stats'!$C$2:$C1000, LOWER('Base Stats'!$B$2:$B1000) = LOWER($B60))"),"90")</f>
        <v>90</v>
      </c>
      <c r="H60" s="0" t="str">
        <f aca="false">IFERROR(__xludf.dummyfunction("FLOOR((0.7903)^2 * (FILTER('Go Base Stats'!$C$2:$C1000, 'Go Base Stats'!$A$2:$A1000 = $A60)+15)^0.5 *(FILTER('Go Base Stats'!$D$2:$D1000, 'Go Base Stats'!$A$2:$A1000 = $A60) +15)*(FILTER('Go Base Stats'!$E$2:$E1000, 'Go Base Stats'!$A$2:$A1000 = $A60) + 15)^0.5 / 10)"),"2983")</f>
        <v>2983</v>
      </c>
      <c r="I60" s="0" t="str">
        <f aca="false">IFERROR(__xludf.dummyfunction("FLOOR(0.7903* (FILTER('Go Base Stats'!$C$2:$C1000, 'Go Base Stats'!$A$2:$A1000 = $A60)+15))"),"154")</f>
        <v>154</v>
      </c>
      <c r="J60" s="17"/>
      <c r="K60" s="17"/>
      <c r="L60" s="17"/>
      <c r="M60" s="12" t="e">
        <f aca="false">IF(NOT(ISBLANK($R60)), $R60, IF(ROUND($P60, 1) = 0, "", ROUND($P60, 1) ))</f>
        <v>#VALUE!</v>
      </c>
      <c r="N60" s="13" t="e">
        <f aca="false">ABS(M60-D60)/M60</f>
        <v>#VALUE!</v>
      </c>
      <c r="P60" s="14" t="e">
        <f aca="false">IFERROR((U60+V60)/(W60+X60))</f>
        <v>#VALUE!</v>
      </c>
      <c r="Q6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LOWER($B60)))
)"),"3.669746936")</f>
        <v>3.669746936</v>
      </c>
      <c r="R60" s="18"/>
      <c r="U60" s="0" t="str">
        <f aca="false">IFERROR(__xludf.dummyfunction("IFERROR(SUM(FILTER('Form Responses (Power-up data)'!$C$2:$C1000, LOWER('Form Responses (Power-up data)'!$B$2:$B1000) = LOWER($B60))), 0)"),"0")</f>
        <v>0</v>
      </c>
      <c r="V6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LOWER($B60))
),0)"),"537")</f>
        <v>537</v>
      </c>
      <c r="W60" s="0" t="str">
        <f aca="false">IFERROR(__xludf.dummyfunction("COUNT(FILTER('Form Responses (Power-up data)'!$C$2:$C1000, LOWER('Form Responses (Power-up data)'!$B$2:$B1000) = LOWER($B60)))"),"0")</f>
        <v>0</v>
      </c>
      <c r="X6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LOWER($B60)))"),"14")</f>
        <v>14</v>
      </c>
      <c r="Y6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LOWER($B60))), 2)))"),"1.47/10")</f>
        <v>1.47/10</v>
      </c>
    </row>
    <row r="61" customFormat="false" ht="15.75" hidden="false" customHeight="false" outlineLevel="0" collapsed="false">
      <c r="A61" s="10" t="n">
        <v>60</v>
      </c>
      <c r="B61" s="1" t="s">
        <v>79</v>
      </c>
      <c r="C61" s="0" t="str">
        <f aca="false">IFERROR(__xludf.dummyfunction("ROUND(0.00909003 * (FILTER('Go Base Stats'!$C$2:$C1000, 'Go Base Stats'!$A$2:$A1000 = $A61))^0.5 *(FILTER('Go Base Stats'!$D$2:$D1000, 'Go Base Stats'!$A$2:$A1000 = $A61))*(FILTER('Go Base Stats'!$E$2:$E1000, 'Go Base Stats'!$A$2:$A1000 = $A61))^0.5 / 10, 1)"),"8.7")</f>
        <v>8.7</v>
      </c>
      <c r="D61" s="0" t="str">
        <f aca="false">IFERROR(__xludf.dummyfunction("ROUND(0.00909003 * (FILTER('Go Base Stats'!$C$2:$C1000, 'Go Base Stats'!$A$2:$A1000 = $A61)+7.5)^0.5 *(FILTER('Go Base Stats'!$D$2:$D1000, 'Go Base Stats'!$A$2:$A1000 = $A61) + 7.5)*(FILTER('Go Base Stats'!$E$2:$E1000, 'Go Base Stats'!$A$2:$A1000 = $A61) + 7.5)^0.5 / 10, 1)"),"10.1")</f>
        <v>10.1</v>
      </c>
      <c r="E61" s="0" t="str">
        <f aca="false">IFERROR(__xludf.dummyfunction("ROUND(0.00909003 * (FILTER('Go Base Stats'!$C$2:$C1000, 'Go Base Stats'!$A$2:$A1000 = $A61)+15)^0.5 *(FILTER('Go Base Stats'!$D$2:$D1000, 'Go Base Stats'!$A$2:$A1000 = $A61) +15)*(FILTER('Go Base Stats'!$E$2:$E1000, 'Go Base Stats'!$A$2:$A1000 = $A61) + 15)^0.5 / 10, 1)"),"11.6")</f>
        <v>11.6</v>
      </c>
      <c r="F61" s="6"/>
      <c r="G61" s="6" t="str">
        <f aca="false">IFERROR(__xludf.dummyfunction("FILTER('Base Stats'!$C$2:$C1000, LOWER('Base Stats'!$B$2:$B1000) = LOWER($B61))"),"40")</f>
        <v>40</v>
      </c>
      <c r="H61" s="0" t="str">
        <f aca="false">IFERROR(__xludf.dummyfunction("FLOOR((0.7903)^2 * (FILTER('Go Base Stats'!$C$2:$C1000, 'Go Base Stats'!$A$2:$A1000 = $A61)+15)^0.5 *(FILTER('Go Base Stats'!$D$2:$D1000, 'Go Base Stats'!$A$2:$A1000 = $A61) +15)*(FILTER('Go Base Stats'!$E$2:$E1000, 'Go Base Stats'!$A$2:$A1000 = $A61) + 15)^0.5 / 10)"),"795")</f>
        <v>795</v>
      </c>
      <c r="I61" s="0" t="str">
        <f aca="false">IFERROR(__xludf.dummyfunction("FLOOR(0.7903* (FILTER('Go Base Stats'!$C$2:$C1000, 'Go Base Stats'!$A$2:$A1000 = $A61)+15))"),"75")</f>
        <v>75</v>
      </c>
      <c r="J61" s="17"/>
      <c r="K61" s="17"/>
      <c r="L61" s="17"/>
      <c r="M61" s="12" t="e">
        <f aca="false">IF(NOT(ISBLANK($R61)), $R61, IF(ROUND($P61, 1) = 0, "", ROUND($P61, 1) ))</f>
        <v>#VALUE!</v>
      </c>
      <c r="N61" s="13" t="e">
        <f aca="false">ABS(M61-D61)/M61</f>
        <v>#VALUE!</v>
      </c>
      <c r="P61" s="14" t="e">
        <f aca="false">IFERROR((U61+V61)/(W61+X61))</f>
        <v>#VALUE!</v>
      </c>
      <c r="Q6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LOWER($B61)))
)"),"")</f>
        <v/>
      </c>
      <c r="R61" s="16"/>
      <c r="U61" s="0" t="str">
        <f aca="false">IFERROR(__xludf.dummyfunction("IFERROR(SUM(FILTER('Form Responses (Power-up data)'!$C$2:$C1000, LOWER('Form Responses (Power-up data)'!$B$2:$B1000) = LOWER($B61))), 0)"),"0")</f>
        <v>0</v>
      </c>
      <c r="V6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LOWER($B61))
),0)"),"10")</f>
        <v>10</v>
      </c>
      <c r="W61" s="0" t="str">
        <f aca="false">IFERROR(__xludf.dummyfunction("COUNT(FILTER('Form Responses (Power-up data)'!$C$2:$C1000, LOWER('Form Responses (Power-up data)'!$B$2:$B1000) = LOWER($B61)))"),"0")</f>
        <v>0</v>
      </c>
      <c r="X6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LOWER($B61)))"),"1")</f>
        <v>1</v>
      </c>
      <c r="Y6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LOWER($B61))), 2)))"),"/")</f>
        <v>/</v>
      </c>
    </row>
    <row r="62" customFormat="false" ht="15.75" hidden="false" customHeight="false" outlineLevel="0" collapsed="false">
      <c r="A62" s="10" t="n">
        <v>61</v>
      </c>
      <c r="B62" s="1" t="s">
        <v>80</v>
      </c>
      <c r="C62" s="0" t="str">
        <f aca="false">IFERROR(__xludf.dummyfunction("ROUND(0.00909003 * (FILTER('Go Base Stats'!$C$2:$C1000, 'Go Base Stats'!$A$2:$A1000 = $A62))^0.5 *(FILTER('Go Base Stats'!$D$2:$D1000, 'Go Base Stats'!$A$2:$A1000 = $A62))*(FILTER('Go Base Stats'!$E$2:$E1000, 'Go Base Stats'!$A$2:$A1000 = $A62))^0.5 / 10, 1)"),"15.7")</f>
        <v>15.7</v>
      </c>
      <c r="D62" s="0" t="str">
        <f aca="false">IFERROR(__xludf.dummyfunction("ROUND(0.00909003 * (FILTER('Go Base Stats'!$C$2:$C1000, 'Go Base Stats'!$A$2:$A1000 = $A62)+7.5)^0.5 *(FILTER('Go Base Stats'!$D$2:$D1000, 'Go Base Stats'!$A$2:$A1000 = $A62) + 7.5)*(FILTER('Go Base Stats'!$E$2:$E1000, 'Go Base Stats'!$A$2:$A1000 = $A62) + 7.5)^0.5 / 10, 1)"),"17.6")</f>
        <v>17.6</v>
      </c>
      <c r="E62" s="0" t="str">
        <f aca="false">IFERROR(__xludf.dummyfunction("ROUND(0.00909003 * (FILTER('Go Base Stats'!$C$2:$C1000, 'Go Base Stats'!$A$2:$A1000 = $A62)+15)^0.5 *(FILTER('Go Base Stats'!$D$2:$D1000, 'Go Base Stats'!$A$2:$A1000 = $A62) +15)*(FILTER('Go Base Stats'!$E$2:$E1000, 'Go Base Stats'!$A$2:$A1000 = $A62) + 15)^0.5 / 10, 1)"),"19.5")</f>
        <v>19.5</v>
      </c>
      <c r="F62" s="6" t="n">
        <f aca="false">ROUND(D62/D61, 1)</f>
        <v>1.7</v>
      </c>
      <c r="G62" s="6" t="str">
        <f aca="false">IFERROR(__xludf.dummyfunction("FILTER('Base Stats'!$C$2:$C1000, LOWER('Base Stats'!$B$2:$B1000) = LOWER($B62))"),"65")</f>
        <v>65</v>
      </c>
      <c r="H62" s="0" t="str">
        <f aca="false">IFERROR(__xludf.dummyfunction("FLOOR((0.7903)^2 * (FILTER('Go Base Stats'!$C$2:$C1000, 'Go Base Stats'!$A$2:$A1000 = $A62)+15)^0.5 *(FILTER('Go Base Stats'!$D$2:$D1000, 'Go Base Stats'!$A$2:$A1000 = $A62) +15)*(FILTER('Go Base Stats'!$E$2:$E1000, 'Go Base Stats'!$A$2:$A1000 = $A62) + 15)^0.5 / 10)"),"1340")</f>
        <v>1340</v>
      </c>
      <c r="I62" s="0" t="str">
        <f aca="false">IFERROR(__xludf.dummyfunction("FLOOR(0.7903* (FILTER('Go Base Stats'!$C$2:$C1000, 'Go Base Stats'!$A$2:$A1000 = $A62)+15))"),"114")</f>
        <v>114</v>
      </c>
      <c r="J62" s="17"/>
      <c r="K62" s="17"/>
      <c r="L62" s="17"/>
      <c r="M62" s="12" t="e">
        <f aca="false">IF(NOT(ISBLANK($R62)), $R62, IF(ROUND($P62, 1) = 0, "", ROUND($P62, 1) ))</f>
        <v>#VALUE!</v>
      </c>
      <c r="N62" s="13" t="e">
        <f aca="false">ABS(M62-D62)/M62</f>
        <v>#VALUE!</v>
      </c>
      <c r="P62" s="14" t="e">
        <f aca="false">IFERROR((U62+V62)/(W62+X62))</f>
        <v>#VALUE!</v>
      </c>
      <c r="Q6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LOWER($B62)))
)"),"1.752173913")</f>
        <v>1.752173913</v>
      </c>
      <c r="R62" s="16"/>
      <c r="U62" s="0" t="str">
        <f aca="false">IFERROR(__xludf.dummyfunction("IFERROR(SUM(FILTER('Form Responses (Power-up data)'!$C$2:$C1000, LOWER('Form Responses (Power-up data)'!$B$2:$B1000) = LOWER($B62))), 0)"),"0")</f>
        <v>0</v>
      </c>
      <c r="V6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LOWER($B62))
),0)"),"16")</f>
        <v>16</v>
      </c>
      <c r="W62" s="0" t="str">
        <f aca="false">IFERROR(__xludf.dummyfunction("COUNT(FILTER('Form Responses (Power-up data)'!$C$2:$C1000, LOWER('Form Responses (Power-up data)'!$B$2:$B1000) = LOWER($B62)))"),"0")</f>
        <v>0</v>
      </c>
      <c r="X6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LOWER($B62)))"),"1")</f>
        <v>1</v>
      </c>
      <c r="Y6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LOWER($B62))), 2)))"),"1.75/1.75")</f>
        <v>1.75/1.75</v>
      </c>
    </row>
    <row r="63" customFormat="false" ht="15.75" hidden="false" customHeight="false" outlineLevel="0" collapsed="false">
      <c r="A63" s="10" t="n">
        <v>62</v>
      </c>
      <c r="B63" s="1" t="s">
        <v>81</v>
      </c>
      <c r="C63" s="0" t="str">
        <f aca="false">IFERROR(__xludf.dummyfunction("ROUND(0.00909003 * (FILTER('Go Base Stats'!$C$2:$C1000, 'Go Base Stats'!$A$2:$A1000 = $A63))^0.5 *(FILTER('Go Base Stats'!$D$2:$D1000, 'Go Base Stats'!$A$2:$A1000 = $A63))*(FILTER('Go Base Stats'!$E$2:$E1000, 'Go Base Stats'!$A$2:$A1000 = $A63))^0.5 / 10, 1)"),"31.2")</f>
        <v>31.2</v>
      </c>
      <c r="D63" s="0" t="str">
        <f aca="false">IFERROR(__xludf.dummyfunction("ROUND(0.00909003 * (FILTER('Go Base Stats'!$C$2:$C1000, 'Go Base Stats'!$A$2:$A1000 = $A63)+7.5)^0.5 *(FILTER('Go Base Stats'!$D$2:$D1000, 'Go Base Stats'!$A$2:$A1000 = $A63) + 7.5)*(FILTER('Go Base Stats'!$E$2:$E1000, 'Go Base Stats'!$A$2:$A1000 = $A63) + 7.5)^0.5 / 10, 1)"),"33.8")</f>
        <v>33.8</v>
      </c>
      <c r="E63" s="0" t="str">
        <f aca="false">IFERROR(__xludf.dummyfunction("ROUND(0.00909003 * (FILTER('Go Base Stats'!$C$2:$C1000, 'Go Base Stats'!$A$2:$A1000 = $A63)+15)^0.5 *(FILTER('Go Base Stats'!$D$2:$D1000, 'Go Base Stats'!$A$2:$A1000 = $A63) +15)*(FILTER('Go Base Stats'!$E$2:$E1000, 'Go Base Stats'!$A$2:$A1000 = $A63) + 15)^0.5 / 10, 1)"),"36.5")</f>
        <v>36.5</v>
      </c>
      <c r="F63" s="6" t="n">
        <f aca="false">ROUND(D63/D62, 1)</f>
        <v>1.9</v>
      </c>
      <c r="G63" s="6" t="str">
        <f aca="false">IFERROR(__xludf.dummyfunction("FILTER('Base Stats'!$C$2:$C1000, LOWER('Base Stats'!$B$2:$B1000) = LOWER($B63))"),"90")</f>
        <v>90</v>
      </c>
      <c r="H63" s="0" t="str">
        <f aca="false">IFERROR(__xludf.dummyfunction("FLOOR((0.7903)^2 * (FILTER('Go Base Stats'!$C$2:$C1000, 'Go Base Stats'!$A$2:$A1000 = $A63)+15)^0.5 *(FILTER('Go Base Stats'!$D$2:$D1000, 'Go Base Stats'!$A$2:$A1000 = $A63) +15)*(FILTER('Go Base Stats'!$E$2:$E1000, 'Go Base Stats'!$A$2:$A1000 = $A63) + 15)^0.5 / 10)"),"2505")</f>
        <v>2505</v>
      </c>
      <c r="I63" s="0" t="str">
        <f aca="false">IFERROR(__xludf.dummyfunction("FLOOR(0.7903* (FILTER('Go Base Stats'!$C$2:$C1000, 'Go Base Stats'!$A$2:$A1000 = $A63)+15))"),"154")</f>
        <v>154</v>
      </c>
      <c r="J63" s="17"/>
      <c r="K63" s="17"/>
      <c r="L63" s="17"/>
      <c r="M63" s="12" t="e">
        <f aca="false">IF(NOT(ISBLANK($R63)), $R63, IF(ROUND($P63, 1) = 0, "", ROUND($P63, 1) ))</f>
        <v>#VALUE!</v>
      </c>
      <c r="N63" s="13" t="e">
        <f aca="false">ABS(M63-D63)/M63</f>
        <v>#VALUE!</v>
      </c>
      <c r="P63" s="14" t="e">
        <f aca="false">IFERROR((U63+V63)/(W63+X63))</f>
        <v>#VALUE!</v>
      </c>
      <c r="Q6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LOWER($B63)))
)"),"")</f>
        <v/>
      </c>
      <c r="R63" s="16"/>
      <c r="U63" s="0" t="str">
        <f aca="false">IFERROR(__xludf.dummyfunction("IFERROR(SUM(FILTER('Form Responses (Power-up data)'!$C$2:$C1000, LOWER('Form Responses (Power-up data)'!$B$2:$B1000) = LOWER($B63))), 0)"),"0")</f>
        <v>0</v>
      </c>
      <c r="V6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LOWER($B63))
),0)"),"68")</f>
        <v>68</v>
      </c>
      <c r="W63" s="0" t="str">
        <f aca="false">IFERROR(__xludf.dummyfunction("COUNT(FILTER('Form Responses (Power-up data)'!$C$2:$C1000, LOWER('Form Responses (Power-up data)'!$B$2:$B1000) = LOWER($B63)))"),"0")</f>
        <v>0</v>
      </c>
      <c r="X6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LOWER($B63)))"),"2")</f>
        <v>2</v>
      </c>
      <c r="Y6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LOWER($B63))), 2)))"),"/")</f>
        <v>/</v>
      </c>
    </row>
    <row r="64" customFormat="false" ht="15.75" hidden="false" customHeight="false" outlineLevel="0" collapsed="false">
      <c r="A64" s="10" t="n">
        <v>63</v>
      </c>
      <c r="B64" s="1" t="s">
        <v>82</v>
      </c>
      <c r="C64" s="0" t="str">
        <f aca="false">IFERROR(__xludf.dummyfunction("ROUND(0.00909003 * (FILTER('Go Base Stats'!$C$2:$C1000, 'Go Base Stats'!$A$2:$A1000 = $A64))^0.5 *(FILTER('Go Base Stats'!$D$2:$D1000, 'Go Base Stats'!$A$2:$A1000 = $A64))*(FILTER('Go Base Stats'!$E$2:$E1000, 'Go Base Stats'!$A$2:$A1000 = $A64))^0.5 / 10, 1)"),"6.2")</f>
        <v>6.2</v>
      </c>
      <c r="D64" s="0" t="str">
        <f aca="false">IFERROR(__xludf.dummyfunction("ROUND(0.00909003 * (FILTER('Go Base Stats'!$C$2:$C1000, 'Go Base Stats'!$A$2:$A1000 = $A64)+7.5)^0.5 *(FILTER('Go Base Stats'!$D$2:$D1000, 'Go Base Stats'!$A$2:$A1000 = $A64) + 7.5)*(FILTER('Go Base Stats'!$E$2:$E1000, 'Go Base Stats'!$A$2:$A1000 = $A64) + 7.5)^0.5 / 10, 1)"),"7.4")</f>
        <v>7.4</v>
      </c>
      <c r="E64" s="0" t="str">
        <f aca="false">IFERROR(__xludf.dummyfunction("ROUND(0.00909003 * (FILTER('Go Base Stats'!$C$2:$C1000, 'Go Base Stats'!$A$2:$A1000 = $A64)+15)^0.5 *(FILTER('Go Base Stats'!$D$2:$D1000, 'Go Base Stats'!$A$2:$A1000 = $A64) +15)*(FILTER('Go Base Stats'!$E$2:$E1000, 'Go Base Stats'!$A$2:$A1000 = $A64) + 15)^0.5 / 10, 1)"),"8.7")</f>
        <v>8.7</v>
      </c>
      <c r="F64" s="6"/>
      <c r="G64" s="6" t="str">
        <f aca="false">IFERROR(__xludf.dummyfunction("FILTER('Base Stats'!$C$2:$C1000, LOWER('Base Stats'!$B$2:$B1000) = LOWER($B64))"),"25")</f>
        <v>25</v>
      </c>
      <c r="H64" s="0" t="str">
        <f aca="false">IFERROR(__xludf.dummyfunction("FLOOR((0.7903)^2 * (FILTER('Go Base Stats'!$C$2:$C1000, 'Go Base Stats'!$A$2:$A1000 = $A64)+15)^0.5 *(FILTER('Go Base Stats'!$D$2:$D1000, 'Go Base Stats'!$A$2:$A1000 = $A64) +15)*(FILTER('Go Base Stats'!$E$2:$E1000, 'Go Base Stats'!$A$2:$A1000 = $A64) + 15)^0.5 / 10)"),"600")</f>
        <v>600</v>
      </c>
      <c r="I64" s="0" t="str">
        <f aca="false">IFERROR(__xludf.dummyfunction("FLOOR(0.7903* (FILTER('Go Base Stats'!$C$2:$C1000, 'Go Base Stats'!$A$2:$A1000 = $A64)+15))"),"51")</f>
        <v>51</v>
      </c>
      <c r="J64" s="17"/>
      <c r="K64" s="17"/>
      <c r="L64" s="17"/>
      <c r="M64" s="12" t="e">
        <f aca="false">IF(NOT(ISBLANK($R64)), $R64, IF(ROUND($P64, 1) = 0, "", ROUND($P64, 1) ))</f>
        <v>#VALUE!</v>
      </c>
      <c r="N64" s="13" t="e">
        <f aca="false">ABS(M64-D64)/M64</f>
        <v>#VALUE!</v>
      </c>
      <c r="P64" s="14" t="e">
        <f aca="false">IFERROR((U64+V64)/(W64+X64))</f>
        <v>#VALUE!</v>
      </c>
      <c r="Q6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LOWER($B64)))
)"),"1.902857143")</f>
        <v>1.902857143</v>
      </c>
      <c r="R64" s="16"/>
      <c r="U64" s="0" t="str">
        <f aca="false">IFERROR(__xludf.dummyfunction("IFERROR(SUM(FILTER('Form Responses (Power-up data)'!$C$2:$C1000, LOWER('Form Responses (Power-up data)'!$B$2:$B1000) = LOWER($B64))), 0)"),"0")</f>
        <v>0</v>
      </c>
      <c r="V6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LOWER($B64))
),0)"),"27")</f>
        <v>27</v>
      </c>
      <c r="W64" s="0" t="str">
        <f aca="false">IFERROR(__xludf.dummyfunction("COUNT(FILTER('Form Responses (Power-up data)'!$C$2:$C1000, LOWER('Form Responses (Power-up data)'!$B$2:$B1000) = LOWER($B64)))"),"0")</f>
        <v>0</v>
      </c>
      <c r="X6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LOWER($B64)))"),"4")</f>
        <v>4</v>
      </c>
      <c r="Y6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LOWER($B64))), 2)))"),"1.9/1.9")</f>
        <v>1.9/1.9</v>
      </c>
    </row>
    <row r="65" customFormat="false" ht="15.75" hidden="false" customHeight="false" outlineLevel="0" collapsed="false">
      <c r="A65" s="10" t="n">
        <v>64</v>
      </c>
      <c r="B65" s="1" t="s">
        <v>83</v>
      </c>
      <c r="C65" s="0" t="str">
        <f aca="false">IFERROR(__xludf.dummyfunction("ROUND(0.00909003 * (FILTER('Go Base Stats'!$C$2:$C1000, 'Go Base Stats'!$A$2:$A1000 = $A65))^0.5 *(FILTER('Go Base Stats'!$D$2:$D1000, 'Go Base Stats'!$A$2:$A1000 = $A65))*(FILTER('Go Base Stats'!$E$2:$E1000, 'Go Base Stats'!$A$2:$A1000 = $A65))^0.5 / 10, 1)"),"12.9")</f>
        <v>12.9</v>
      </c>
      <c r="D65" s="0" t="str">
        <f aca="false">IFERROR(__xludf.dummyfunction("ROUND(0.00909003 * (FILTER('Go Base Stats'!$C$2:$C1000, 'Go Base Stats'!$A$2:$A1000 = $A65)+7.5)^0.5 *(FILTER('Go Base Stats'!$D$2:$D1000, 'Go Base Stats'!$A$2:$A1000 = $A65) + 7.5)*(FILTER('Go Base Stats'!$E$2:$E1000, 'Go Base Stats'!$A$2:$A1000 = $A65) + 7.5)^0.5 / 10, 1)"),"14.6")</f>
        <v>14.6</v>
      </c>
      <c r="E65" s="0" t="str">
        <f aca="false">IFERROR(__xludf.dummyfunction("ROUND(0.00909003 * (FILTER('Go Base Stats'!$C$2:$C1000, 'Go Base Stats'!$A$2:$A1000 = $A65)+15)^0.5 *(FILTER('Go Base Stats'!$D$2:$D1000, 'Go Base Stats'!$A$2:$A1000 = $A65) +15)*(FILTER('Go Base Stats'!$E$2:$E1000, 'Go Base Stats'!$A$2:$A1000 = $A65) + 15)^0.5 / 10, 1)"),"16.5")</f>
        <v>16.5</v>
      </c>
      <c r="F65" s="6" t="n">
        <f aca="false">ROUND(D65/D64, 1)</f>
        <v>2</v>
      </c>
      <c r="G65" s="6" t="str">
        <f aca="false">IFERROR(__xludf.dummyfunction("FILTER('Base Stats'!$C$2:$C1000, LOWER('Base Stats'!$B$2:$B1000) = LOWER($B65))"),"40")</f>
        <v>40</v>
      </c>
      <c r="H65" s="0" t="str">
        <f aca="false">IFERROR(__xludf.dummyfunction("FLOOR((0.7903)^2 * (FILTER('Go Base Stats'!$C$2:$C1000, 'Go Base Stats'!$A$2:$A1000 = $A65)+15)^0.5 *(FILTER('Go Base Stats'!$D$2:$D1000, 'Go Base Stats'!$A$2:$A1000 = $A65) +15)*(FILTER('Go Base Stats'!$E$2:$E1000, 'Go Base Stats'!$A$2:$A1000 = $A65) + 15)^0.5 / 10)"),"1131")</f>
        <v>1131</v>
      </c>
      <c r="I65" s="0" t="str">
        <f aca="false">IFERROR(__xludf.dummyfunction("FLOOR(0.7903* (FILTER('Go Base Stats'!$C$2:$C1000, 'Go Base Stats'!$A$2:$A1000 = $A65)+15))"),"75")</f>
        <v>75</v>
      </c>
      <c r="J65" s="17"/>
      <c r="K65" s="17"/>
      <c r="L65" s="17"/>
      <c r="M65" s="12" t="n">
        <f aca="false">IF(NOT(ISBLANK($R65)), $R65, IF(ROUND($P65, 1) = 0, "", ROUND($P65, 1) ))</f>
        <v>14</v>
      </c>
      <c r="N65" s="13" t="n">
        <f aca="false">ABS(M65-D65)/M65</f>
        <v>0.0428571428571428</v>
      </c>
      <c r="P65" s="14" t="e">
        <f aca="false">IFERROR((U65+V65)/(W65+X65))</f>
        <v>#VALUE!</v>
      </c>
      <c r="Q6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LOWER($B65)))
)"),"")</f>
        <v/>
      </c>
      <c r="R65" s="16" t="n">
        <v>14</v>
      </c>
      <c r="U65" s="0" t="str">
        <f aca="false">IFERROR(__xludf.dummyfunction("IFERROR(SUM(FILTER('Form Responses (Power-up data)'!$C$2:$C1000, LOWER('Form Responses (Power-up data)'!$B$2:$B1000) = LOWER($B65))), 0)"),"0")</f>
        <v>0</v>
      </c>
      <c r="V6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LOWER($B65))
),0)"),"16")</f>
        <v>16</v>
      </c>
      <c r="W65" s="0" t="str">
        <f aca="false">IFERROR(__xludf.dummyfunction("COUNT(FILTER('Form Responses (Power-up data)'!$C$2:$C1000, LOWER('Form Responses (Power-up data)'!$B$2:$B1000) = LOWER($B65)))"),"0")</f>
        <v>0</v>
      </c>
      <c r="X6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LOWER($B65)))"),"1")</f>
        <v>1</v>
      </c>
      <c r="Y6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LOWER($B65))), 2)))"),"/")</f>
        <v>/</v>
      </c>
    </row>
    <row r="66" customFormat="false" ht="15.75" hidden="false" customHeight="false" outlineLevel="0" collapsed="false">
      <c r="A66" s="10" t="n">
        <v>65</v>
      </c>
      <c r="B66" s="1" t="s">
        <v>84</v>
      </c>
      <c r="C66" s="0" t="str">
        <f aca="false">IFERROR(__xludf.dummyfunction("ROUND(0.00909003 * (FILTER('Go Base Stats'!$C$2:$C1000, 'Go Base Stats'!$A$2:$A1000 = $A66))^0.5 *(FILTER('Go Base Stats'!$D$2:$D1000, 'Go Base Stats'!$A$2:$A1000 = $A66))*(FILTER('Go Base Stats'!$E$2:$E1000, 'Go Base Stats'!$A$2:$A1000 = $A66))^0.5 / 10, 1)"),"21.9")</f>
        <v>21.9</v>
      </c>
      <c r="D66" s="0" t="str">
        <f aca="false">IFERROR(__xludf.dummyfunction("ROUND(0.00909003 * (FILTER('Go Base Stats'!$C$2:$C1000, 'Go Base Stats'!$A$2:$A1000 = $A66)+7.5)^0.5 *(FILTER('Go Base Stats'!$D$2:$D1000, 'Go Base Stats'!$A$2:$A1000 = $A66) + 7.5)*(FILTER('Go Base Stats'!$E$2:$E1000, 'Go Base Stats'!$A$2:$A1000 = $A66) + 7.5)^0.5 / 10, 1)"),"24.1")</f>
        <v>24.1</v>
      </c>
      <c r="E66" s="0" t="str">
        <f aca="false">IFERROR(__xludf.dummyfunction("ROUND(0.00909003 * (FILTER('Go Base Stats'!$C$2:$C1000, 'Go Base Stats'!$A$2:$A1000 = $A66)+15)^0.5 *(FILTER('Go Base Stats'!$D$2:$D1000, 'Go Base Stats'!$A$2:$A1000 = $A66) +15)*(FILTER('Go Base Stats'!$E$2:$E1000, 'Go Base Stats'!$A$2:$A1000 = $A66) + 15)^0.5 / 10, 1)"),"26.4")</f>
        <v>26.4</v>
      </c>
      <c r="F66" s="6" t="n">
        <f aca="false">ROUND(D66/D65, 1)</f>
        <v>1.7</v>
      </c>
      <c r="G66" s="6" t="str">
        <f aca="false">IFERROR(__xludf.dummyfunction("FILTER('Base Stats'!$C$2:$C1000, LOWER('Base Stats'!$B$2:$B1000) = LOWER($B66))"),"55")</f>
        <v>55</v>
      </c>
      <c r="H66" s="0" t="str">
        <f aca="false">IFERROR(__xludf.dummyfunction("FLOOR((0.7903)^2 * (FILTER('Go Base Stats'!$C$2:$C1000, 'Go Base Stats'!$A$2:$A1000 = $A66)+15)^0.5 *(FILTER('Go Base Stats'!$D$2:$D1000, 'Go Base Stats'!$A$2:$A1000 = $A66) +15)*(FILTER('Go Base Stats'!$E$2:$E1000, 'Go Base Stats'!$A$2:$A1000 = $A66) + 15)^0.5 / 10)"),"1813")</f>
        <v>1813</v>
      </c>
      <c r="I66" s="0" t="str">
        <f aca="false">IFERROR(__xludf.dummyfunction("FLOOR(0.7903* (FILTER('Go Base Stats'!$C$2:$C1000, 'Go Base Stats'!$A$2:$A1000 = $A66)+15))"),"98")</f>
        <v>98</v>
      </c>
      <c r="J66" s="17"/>
      <c r="K66" s="17"/>
      <c r="L66" s="17"/>
      <c r="M66" s="12" t="e">
        <f aca="false">IF(NOT(ISBLANK($R66)), $R66, IF(ROUND($P66, 1) = 0, "", ROUND($P66, 1) ))</f>
        <v>#VALUE!</v>
      </c>
      <c r="N66" s="13" t="e">
        <f aca="false">ABS(M66-D66)/M66</f>
        <v>#VALUE!</v>
      </c>
      <c r="P66" s="14" t="e">
        <f aca="false">IFERROR((U66+V66)/(W66+X66))</f>
        <v>#VALUE!</v>
      </c>
      <c r="Q6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LOWER($B66)))
)"),"")</f>
        <v/>
      </c>
      <c r="R66" s="16"/>
      <c r="U66" s="0" t="str">
        <f aca="false">IFERROR(__xludf.dummyfunction("IFERROR(SUM(FILTER('Form Responses (Power-up data)'!$C$2:$C1000, LOWER('Form Responses (Power-up data)'!$B$2:$B1000) = LOWER($B66))), 0)"),"0")</f>
        <v>0</v>
      </c>
      <c r="V6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LOWER($B66))
),0)"),"25")</f>
        <v>25</v>
      </c>
      <c r="W66" s="0" t="str">
        <f aca="false">IFERROR(__xludf.dummyfunction("COUNT(FILTER('Form Responses (Power-up data)'!$C$2:$C1000, LOWER('Form Responses (Power-up data)'!$B$2:$B1000) = LOWER($B66)))"),"0")</f>
        <v>0</v>
      </c>
      <c r="X6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LOWER($B66)))"),"1")</f>
        <v>1</v>
      </c>
      <c r="Y6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LOWER($B66))), 2)))"),"/")</f>
        <v>/</v>
      </c>
    </row>
    <row r="67" customFormat="false" ht="15.75" hidden="false" customHeight="false" outlineLevel="0" collapsed="false">
      <c r="A67" s="10" t="n">
        <v>66</v>
      </c>
      <c r="B67" s="1" t="s">
        <v>85</v>
      </c>
      <c r="C67" s="0" t="str">
        <f aca="false">IFERROR(__xludf.dummyfunction("ROUND(0.00909003 * (FILTER('Go Base Stats'!$C$2:$C1000, 'Go Base Stats'!$A$2:$A1000 = $A67))^0.5 *(FILTER('Go Base Stats'!$D$2:$D1000, 'Go Base Stats'!$A$2:$A1000 = $A67))*(FILTER('Go Base Stats'!$E$2:$E1000, 'Go Base Stats'!$A$2:$A1000 = $A67))^0.5 / 10, 1)"),"12.4")</f>
        <v>12.4</v>
      </c>
      <c r="D67" s="0" t="str">
        <f aca="false">IFERROR(__xludf.dummyfunction("ROUND(0.00909003 * (FILTER('Go Base Stats'!$C$2:$C1000, 'Go Base Stats'!$A$2:$A1000 = $A67)+7.5)^0.5 *(FILTER('Go Base Stats'!$D$2:$D1000, 'Go Base Stats'!$A$2:$A1000 = $A67) + 7.5)*(FILTER('Go Base Stats'!$E$2:$E1000, 'Go Base Stats'!$A$2:$A1000 = $A67) + 7.5)^0.5 / 10, 1)"),"14.1")</f>
        <v>14.1</v>
      </c>
      <c r="E67" s="0" t="str">
        <f aca="false">IFERROR(__xludf.dummyfunction("ROUND(0.00909003 * (FILTER('Go Base Stats'!$C$2:$C1000, 'Go Base Stats'!$A$2:$A1000 = $A67)+15)^0.5 *(FILTER('Go Base Stats'!$D$2:$D1000, 'Go Base Stats'!$A$2:$A1000 = $A67) +15)*(FILTER('Go Base Stats'!$E$2:$E1000, 'Go Base Stats'!$A$2:$A1000 = $A67) + 15)^0.5 / 10, 1)"),"15.9")</f>
        <v>15.9</v>
      </c>
      <c r="F67" s="6"/>
      <c r="G67" s="6" t="str">
        <f aca="false">IFERROR(__xludf.dummyfunction("FILTER('Base Stats'!$C$2:$C1000, LOWER('Base Stats'!$B$2:$B1000) = LOWER($B67))"),"70")</f>
        <v>70</v>
      </c>
      <c r="H67" s="0" t="str">
        <f aca="false">IFERROR(__xludf.dummyfunction("FLOOR((0.7903)^2 * (FILTER('Go Base Stats'!$C$2:$C1000, 'Go Base Stats'!$A$2:$A1000 = $A67)+15)^0.5 *(FILTER('Go Base Stats'!$D$2:$D1000, 'Go Base Stats'!$A$2:$A1000 = $A67) +15)*(FILTER('Go Base Stats'!$E$2:$E1000, 'Go Base Stats'!$A$2:$A1000 = $A67) + 15)^0.5 / 10)"),"1089")</f>
        <v>1089</v>
      </c>
      <c r="I67" s="0" t="str">
        <f aca="false">IFERROR(__xludf.dummyfunction("FLOOR(0.7903* (FILTER('Go Base Stats'!$C$2:$C1000, 'Go Base Stats'!$A$2:$A1000 = $A67)+15))"),"122")</f>
        <v>122</v>
      </c>
      <c r="J67" s="17"/>
      <c r="K67" s="17"/>
      <c r="L67" s="17"/>
      <c r="M67" s="12" t="n">
        <f aca="false">IF(NOT(ISBLANK($R67)), $R67, IF(ROUND($P67, 1) = 0, "", ROUND($P67, 1) ))</f>
        <v>14.5</v>
      </c>
      <c r="N67" s="13" t="n">
        <f aca="false">ABS(M67-D67)/M67</f>
        <v>0.0275862068965517</v>
      </c>
      <c r="P67" s="14" t="e">
        <f aca="false">IFERROR((U67+V67)/(W67+X67))</f>
        <v>#VALUE!</v>
      </c>
      <c r="Q6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LOWER($B67)))
)"),"")</f>
        <v/>
      </c>
      <c r="R67" s="16" t="n">
        <v>14.5</v>
      </c>
      <c r="U67" s="0" t="str">
        <f aca="false">IFERROR(__xludf.dummyfunction("IFERROR(SUM(FILTER('Form Responses (Power-up data)'!$C$2:$C1000, LOWER('Form Responses (Power-up data)'!$B$2:$B1000) = LOWER($B67))), 0)"),"0")</f>
        <v>0</v>
      </c>
      <c r="V6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LOWER($B67))
),0)"),"24")</f>
        <v>24</v>
      </c>
      <c r="W67" s="0" t="str">
        <f aca="false">IFERROR(__xludf.dummyfunction("COUNT(FILTER('Form Responses (Power-up data)'!$C$2:$C1000, LOWER('Form Responses (Power-up data)'!$B$2:$B1000) = LOWER($B67)))"),"0")</f>
        <v>0</v>
      </c>
      <c r="X6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LOWER($B67)))"),"1")</f>
        <v>1</v>
      </c>
      <c r="Y6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LOWER($B67))), 2)))"),"/")</f>
        <v>/</v>
      </c>
    </row>
    <row r="68" customFormat="false" ht="15.75" hidden="false" customHeight="false" outlineLevel="0" collapsed="false">
      <c r="A68" s="10" t="n">
        <v>67</v>
      </c>
      <c r="B68" s="1" t="s">
        <v>86</v>
      </c>
      <c r="C68" s="0" t="str">
        <f aca="false">IFERROR(__xludf.dummyfunction("ROUND(0.00909003 * (FILTER('Go Base Stats'!$C$2:$C1000, 'Go Base Stats'!$A$2:$A1000 = $A68))^0.5 *(FILTER('Go Base Stats'!$D$2:$D1000, 'Go Base Stats'!$A$2:$A1000 = $A68))*(FILTER('Go Base Stats'!$E$2:$E1000, 'Go Base Stats'!$A$2:$A1000 = $A68))^0.5 / 10, 1)"),"21.2")</f>
        <v>21.2</v>
      </c>
      <c r="D68" s="0" t="str">
        <f aca="false">IFERROR(__xludf.dummyfunction("ROUND(0.00909003 * (FILTER('Go Base Stats'!$C$2:$C1000, 'Go Base Stats'!$A$2:$A1000 = $A68)+7.5)^0.5 *(FILTER('Go Base Stats'!$D$2:$D1000, 'Go Base Stats'!$A$2:$A1000 = $A68) + 7.5)*(FILTER('Go Base Stats'!$E$2:$E1000, 'Go Base Stats'!$A$2:$A1000 = $A68) + 7.5)^0.5 / 10, 1)"),"23.4")</f>
        <v>23.4</v>
      </c>
      <c r="E68" s="0" t="str">
        <f aca="false">IFERROR(__xludf.dummyfunction("ROUND(0.00909003 * (FILTER('Go Base Stats'!$C$2:$C1000, 'Go Base Stats'!$A$2:$A1000 = $A68)+15)^0.5 *(FILTER('Go Base Stats'!$D$2:$D1000, 'Go Base Stats'!$A$2:$A1000 = $A68) +15)*(FILTER('Go Base Stats'!$E$2:$E1000, 'Go Base Stats'!$A$2:$A1000 = $A68) + 15)^0.5 / 10, 1)"),"25.6")</f>
        <v>25.6</v>
      </c>
      <c r="F68" s="6" t="n">
        <f aca="false">ROUND(D68/D67, 1)</f>
        <v>1.7</v>
      </c>
      <c r="G68" s="6" t="str">
        <f aca="false">IFERROR(__xludf.dummyfunction("FILTER('Base Stats'!$C$2:$C1000, LOWER('Base Stats'!$B$2:$B1000) = LOWER($B68))"),"80")</f>
        <v>80</v>
      </c>
      <c r="H68" s="0" t="str">
        <f aca="false">IFERROR(__xludf.dummyfunction("FLOOR((0.7903)^2 * (FILTER('Go Base Stats'!$C$2:$C1000, 'Go Base Stats'!$A$2:$A1000 = $A68)+15)^0.5 *(FILTER('Go Base Stats'!$D$2:$D1000, 'Go Base Stats'!$A$2:$A1000 = $A68) +15)*(FILTER('Go Base Stats'!$E$2:$E1000, 'Go Base Stats'!$A$2:$A1000 = $A68) + 15)^0.5 / 10)"),"1760")</f>
        <v>1760</v>
      </c>
      <c r="I68" s="0" t="str">
        <f aca="false">IFERROR(__xludf.dummyfunction("FLOOR(0.7903* (FILTER('Go Base Stats'!$C$2:$C1000, 'Go Base Stats'!$A$2:$A1000 = $A68)+15))"),"138")</f>
        <v>138</v>
      </c>
      <c r="J68" s="17"/>
      <c r="K68" s="17"/>
      <c r="L68" s="17"/>
      <c r="M68" s="12" t="n">
        <f aca="false">IF(NOT(ISBLANK($R68)), $R68, IF(ROUND($P68, 1) = 0, "", ROUND($P68, 1) ))</f>
        <v>24</v>
      </c>
      <c r="N68" s="13" t="n">
        <f aca="false">ABS(M68-D68)/M68</f>
        <v>0.0250000000000001</v>
      </c>
      <c r="P68" s="14" t="e">
        <f aca="false">IFERROR((U68+V68)/(W68+X68))</f>
        <v>#VALUE!</v>
      </c>
      <c r="Q6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LOWER($B68)))
)"),"1.648221344")</f>
        <v>1.648221344</v>
      </c>
      <c r="R68" s="16" t="n">
        <v>24</v>
      </c>
      <c r="U68" s="0" t="str">
        <f aca="false">IFERROR(__xludf.dummyfunction("IFERROR(SUM(FILTER('Form Responses (Power-up data)'!$C$2:$C1000, LOWER('Form Responses (Power-up data)'!$B$2:$B1000) = LOWER($B68))), 0)"),"0")</f>
        <v>0</v>
      </c>
      <c r="V6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LOWER($B68))
),0)"),"0")</f>
        <v>0</v>
      </c>
      <c r="W68" s="0" t="str">
        <f aca="false">IFERROR(__xludf.dummyfunction("COUNT(FILTER('Form Responses (Power-up data)'!$C$2:$C1000, LOWER('Form Responses (Power-up data)'!$B$2:$B1000) = LOWER($B68)))"),"0")</f>
        <v>0</v>
      </c>
      <c r="X6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LOWER($B68)))"),"0")</f>
        <v>0</v>
      </c>
      <c r="Y6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LOWER($B68))), 2)))"),"1.65/1.65")</f>
        <v>1.65/1.65</v>
      </c>
    </row>
    <row r="69" customFormat="false" ht="15.75" hidden="false" customHeight="false" outlineLevel="0" collapsed="false">
      <c r="A69" s="10" t="n">
        <v>68</v>
      </c>
      <c r="B69" s="1" t="s">
        <v>87</v>
      </c>
      <c r="C69" s="0" t="str">
        <f aca="false">IFERROR(__xludf.dummyfunction("ROUND(0.00909003 * (FILTER('Go Base Stats'!$C$2:$C1000, 'Go Base Stats'!$A$2:$A1000 = $A69))^0.5 *(FILTER('Go Base Stats'!$D$2:$D1000, 'Go Base Stats'!$A$2:$A1000 = $A69))*(FILTER('Go Base Stats'!$E$2:$E1000, 'Go Base Stats'!$A$2:$A1000 = $A69))^0.5 / 10, 1)"),"32.4")</f>
        <v>32.4</v>
      </c>
      <c r="D69" s="0" t="str">
        <f aca="false">IFERROR(__xludf.dummyfunction("ROUND(0.00909003 * (FILTER('Go Base Stats'!$C$2:$C1000, 'Go Base Stats'!$A$2:$A1000 = $A69)+7.5)^0.5 *(FILTER('Go Base Stats'!$D$2:$D1000, 'Go Base Stats'!$A$2:$A1000 = $A69) + 7.5)*(FILTER('Go Base Stats'!$E$2:$E1000, 'Go Base Stats'!$A$2:$A1000 = $A69) + 7.5)^0.5 / 10, 1)"),"35")</f>
        <v>35</v>
      </c>
      <c r="E69" s="0" t="str">
        <f aca="false">IFERROR(__xludf.dummyfunction("ROUND(0.00909003 * (FILTER('Go Base Stats'!$C$2:$C1000, 'Go Base Stats'!$A$2:$A1000 = $A69)+15)^0.5 *(FILTER('Go Base Stats'!$D$2:$D1000, 'Go Base Stats'!$A$2:$A1000 = $A69) +15)*(FILTER('Go Base Stats'!$E$2:$E1000, 'Go Base Stats'!$A$2:$A1000 = $A69) + 15)^0.5 / 10, 1)"),"37.8")</f>
        <v>37.8</v>
      </c>
      <c r="F69" s="6" t="n">
        <f aca="false">ROUND(D69/D68, 1)</f>
        <v>1.5</v>
      </c>
      <c r="G69" s="6" t="str">
        <f aca="false">IFERROR(__xludf.dummyfunction("FILTER('Base Stats'!$C$2:$C1000, LOWER('Base Stats'!$B$2:$B1000) = LOWER($B69))"),"90")</f>
        <v>90</v>
      </c>
      <c r="H69" s="0" t="str">
        <f aca="false">IFERROR(__xludf.dummyfunction("FLOOR((0.7903)^2 * (FILTER('Go Base Stats'!$C$2:$C1000, 'Go Base Stats'!$A$2:$A1000 = $A69)+15)^0.5 *(FILTER('Go Base Stats'!$D$2:$D1000, 'Go Base Stats'!$A$2:$A1000 = $A69) +15)*(FILTER('Go Base Stats'!$E$2:$E1000, 'Go Base Stats'!$A$2:$A1000 = $A69) + 15)^0.5 / 10)"),"2594")</f>
        <v>2594</v>
      </c>
      <c r="I69" s="0" t="str">
        <f aca="false">IFERROR(__xludf.dummyfunction("FLOOR(0.7903* (FILTER('Go Base Stats'!$C$2:$C1000, 'Go Base Stats'!$A$2:$A1000 = $A69)+15))"),"154")</f>
        <v>154</v>
      </c>
      <c r="J69" s="17"/>
      <c r="K69" s="17"/>
      <c r="L69" s="17"/>
      <c r="M69" s="12" t="e">
        <f aca="false">IF(NOT(ISBLANK($R69)), $R69, IF(ROUND($P69, 1) = 0, "", ROUND($P69, 1) ))</f>
        <v>#VALUE!</v>
      </c>
      <c r="N69" s="13" t="e">
        <f aca="false">ABS(M69-D69)/M69</f>
        <v>#VALUE!</v>
      </c>
      <c r="P69" s="14" t="e">
        <f aca="false">IFERROR((U69+V69)/(W69+X69))</f>
        <v>#VALUE!</v>
      </c>
      <c r="Q6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LOWER($B69)))
)"),"")</f>
        <v/>
      </c>
      <c r="R69" s="16"/>
      <c r="U69" s="0" t="str">
        <f aca="false">IFERROR(__xludf.dummyfunction("IFERROR(SUM(FILTER('Form Responses (Power-up data)'!$C$2:$C1000, LOWER('Form Responses (Power-up data)'!$B$2:$B1000) = LOWER($B69))), 0)"),"0")</f>
        <v>0</v>
      </c>
      <c r="V6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LOWER($B69))
),0)"),"250")</f>
        <v>250</v>
      </c>
      <c r="W69" s="0" t="str">
        <f aca="false">IFERROR(__xludf.dummyfunction("COUNT(FILTER('Form Responses (Power-up data)'!$C$2:$C1000, LOWER('Form Responses (Power-up data)'!$B$2:$B1000) = LOWER($B69)))"),"0")</f>
        <v>0</v>
      </c>
      <c r="X6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LOWER($B69)))"),"7")</f>
        <v>7</v>
      </c>
      <c r="Y6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LOWER($B69))), 2)))"),"/")</f>
        <v>/</v>
      </c>
    </row>
    <row r="70" customFormat="false" ht="15.75" hidden="false" customHeight="false" outlineLevel="0" collapsed="false">
      <c r="A70" s="10" t="n">
        <v>69</v>
      </c>
      <c r="B70" s="1" t="s">
        <v>88</v>
      </c>
      <c r="C70" s="0" t="str">
        <f aca="false">IFERROR(__xludf.dummyfunction("ROUND(0.00909003 * (FILTER('Go Base Stats'!$C$2:$C1000, 'Go Base Stats'!$A$2:$A1000 = $A70))^0.5 *(FILTER('Go Base Stats'!$D$2:$D1000, 'Go Base Stats'!$A$2:$A1000 = $A70))*(FILTER('Go Base Stats'!$E$2:$E1000, 'Go Base Stats'!$A$2:$A1000 = $A70))^0.5 / 10, 1)"),"12.7")</f>
        <v>12.7</v>
      </c>
      <c r="D70" s="0" t="str">
        <f aca="false">IFERROR(__xludf.dummyfunction("ROUND(0.00909003 * (FILTER('Go Base Stats'!$C$2:$C1000, 'Go Base Stats'!$A$2:$A1000 = $A70)+7.5)^0.5 *(FILTER('Go Base Stats'!$D$2:$D1000, 'Go Base Stats'!$A$2:$A1000 = $A70) + 7.5)*(FILTER('Go Base Stats'!$E$2:$E1000, 'Go Base Stats'!$A$2:$A1000 = $A70) + 7.5)^0.5 / 10, 1)"),"14.4")</f>
        <v>14.4</v>
      </c>
      <c r="E70" s="0" t="str">
        <f aca="false">IFERROR(__xludf.dummyfunction("ROUND(0.00909003 * (FILTER('Go Base Stats'!$C$2:$C1000, 'Go Base Stats'!$A$2:$A1000 = $A70)+15)^0.5 *(FILTER('Go Base Stats'!$D$2:$D1000, 'Go Base Stats'!$A$2:$A1000 = $A70) +15)*(FILTER('Go Base Stats'!$E$2:$E1000, 'Go Base Stats'!$A$2:$A1000 = $A70) + 15)^0.5 / 10, 1)"),"16.3")</f>
        <v>16.3</v>
      </c>
      <c r="F70" s="6"/>
      <c r="G70" s="6" t="str">
        <f aca="false">IFERROR(__xludf.dummyfunction("FILTER('Base Stats'!$C$2:$C1000, LOWER('Base Stats'!$B$2:$B1000) = LOWER($B70))"),"50")</f>
        <v>50</v>
      </c>
      <c r="H70" s="0" t="str">
        <f aca="false">IFERROR(__xludf.dummyfunction("FLOOR((0.7903)^2 * (FILTER('Go Base Stats'!$C$2:$C1000, 'Go Base Stats'!$A$2:$A1000 = $A70)+15)^0.5 *(FILTER('Go Base Stats'!$D$2:$D1000, 'Go Base Stats'!$A$2:$A1000 = $A70) +15)*(FILTER('Go Base Stats'!$E$2:$E1000, 'Go Base Stats'!$A$2:$A1000 = $A70) + 15)^0.5 / 10)"),"1117")</f>
        <v>1117</v>
      </c>
      <c r="I70" s="0" t="str">
        <f aca="false">IFERROR(__xludf.dummyfunction("FLOOR(0.7903* (FILTER('Go Base Stats'!$C$2:$C1000, 'Go Base Stats'!$A$2:$A1000 = $A70)+15))"),"90")</f>
        <v>90</v>
      </c>
      <c r="J70" s="17"/>
      <c r="K70" s="17"/>
      <c r="L70" s="17"/>
      <c r="M70" s="12" t="n">
        <f aca="false">IF(NOT(ISBLANK($R70)), $R70, IF(ROUND($P70, 1) = 0, "", ROUND($P70, 1) ))</f>
        <v>13</v>
      </c>
      <c r="N70" s="13" t="n">
        <f aca="false">ABS(M70-D70)/M70</f>
        <v>0.107692307692308</v>
      </c>
      <c r="P70" s="14" t="e">
        <f aca="false">IFERROR((U70+V70)/(W70+X70))</f>
        <v>#VALUE!</v>
      </c>
      <c r="Q7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LOWER($B70)))
)"),"")</f>
        <v/>
      </c>
      <c r="R70" s="16" t="n">
        <v>13</v>
      </c>
      <c r="U70" s="0" t="str">
        <f aca="false">IFERROR(__xludf.dummyfunction("IFERROR(SUM(FILTER('Form Responses (Power-up data)'!$C$2:$C1000, LOWER('Form Responses (Power-up data)'!$B$2:$B1000) = LOWER($B70))), 0)"),"0")</f>
        <v>0</v>
      </c>
      <c r="V7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LOWER($B70))
),0)"),"16")</f>
        <v>16</v>
      </c>
      <c r="W70" s="0" t="str">
        <f aca="false">IFERROR(__xludf.dummyfunction("COUNT(FILTER('Form Responses (Power-up data)'!$C$2:$C1000, LOWER('Form Responses (Power-up data)'!$B$2:$B1000) = LOWER($B70)))"),"0")</f>
        <v>0</v>
      </c>
      <c r="X7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LOWER($B70)))"),"1")</f>
        <v>1</v>
      </c>
      <c r="Y7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LOWER($B70))), 2)))"),"/")</f>
        <v>/</v>
      </c>
    </row>
    <row r="71" customFormat="false" ht="15.75" hidden="false" customHeight="false" outlineLevel="0" collapsed="false">
      <c r="A71" s="10" t="n">
        <v>70</v>
      </c>
      <c r="B71" s="1" t="s">
        <v>89</v>
      </c>
      <c r="C71" s="0" t="str">
        <f aca="false">IFERROR(__xludf.dummyfunction("ROUND(0.00909003 * (FILTER('Go Base Stats'!$C$2:$C1000, 'Go Base Stats'!$A$2:$A1000 = $A71))^0.5 *(FILTER('Go Base Stats'!$D$2:$D1000, 'Go Base Stats'!$A$2:$A1000 = $A71))*(FILTER('Go Base Stats'!$E$2:$E1000, 'Go Base Stats'!$A$2:$A1000 = $A71))^0.5 / 10, 1)"),"20.7")</f>
        <v>20.7</v>
      </c>
      <c r="D71" s="0" t="str">
        <f aca="false">IFERROR(__xludf.dummyfunction("ROUND(0.00909003 * (FILTER('Go Base Stats'!$C$2:$C1000, 'Go Base Stats'!$A$2:$A1000 = $A71)+7.5)^0.5 *(FILTER('Go Base Stats'!$D$2:$D1000, 'Go Base Stats'!$A$2:$A1000 = $A71) + 7.5)*(FILTER('Go Base Stats'!$E$2:$E1000, 'Go Base Stats'!$A$2:$A1000 = $A71) + 7.5)^0.5 / 10, 1)"),"22.8")</f>
        <v>22.8</v>
      </c>
      <c r="E71" s="0" t="str">
        <f aca="false">IFERROR(__xludf.dummyfunction("ROUND(0.00909003 * (FILTER('Go Base Stats'!$C$2:$C1000, 'Go Base Stats'!$A$2:$A1000 = $A71)+15)^0.5 *(FILTER('Go Base Stats'!$D$2:$D1000, 'Go Base Stats'!$A$2:$A1000 = $A71) +15)*(FILTER('Go Base Stats'!$E$2:$E1000, 'Go Base Stats'!$A$2:$A1000 = $A71) + 15)^0.5 / 10, 1)"),"25.1")</f>
        <v>25.1</v>
      </c>
      <c r="F71" s="6" t="n">
        <f aca="false">ROUND(D71/D70, 1)</f>
        <v>1.6</v>
      </c>
      <c r="G71" s="6" t="str">
        <f aca="false">IFERROR(__xludf.dummyfunction("FILTER('Base Stats'!$C$2:$C1000, LOWER('Base Stats'!$B$2:$B1000) = LOWER($B71))"),"65")</f>
        <v>65</v>
      </c>
      <c r="H71" s="0" t="str">
        <f aca="false">IFERROR(__xludf.dummyfunction("FLOOR((0.7903)^2 * (FILTER('Go Base Stats'!$C$2:$C1000, 'Go Base Stats'!$A$2:$A1000 = $A71)+15)^0.5 *(FILTER('Go Base Stats'!$D$2:$D1000, 'Go Base Stats'!$A$2:$A1000 = $A71) +15)*(FILTER('Go Base Stats'!$E$2:$E1000, 'Go Base Stats'!$A$2:$A1000 = $A71) + 15)^0.5 / 10)"),"1723")</f>
        <v>1723</v>
      </c>
      <c r="I71" s="0" t="str">
        <f aca="false">IFERROR(__xludf.dummyfunction("FLOOR(0.7903* (FILTER('Go Base Stats'!$C$2:$C1000, 'Go Base Stats'!$A$2:$A1000 = $A71)+15))"),"114")</f>
        <v>114</v>
      </c>
      <c r="J71" s="17"/>
      <c r="K71" s="17"/>
      <c r="L71" s="17"/>
      <c r="M71" s="12" t="e">
        <f aca="false">IF(NOT(ISBLANK($R71)), $R71, IF(ROUND($P71, 1) = 0, "", ROUND($P71, 1) ))</f>
        <v>#VALUE!</v>
      </c>
      <c r="N71" s="13" t="e">
        <f aca="false">ABS(M71-D71)/M71</f>
        <v>#VALUE!</v>
      </c>
      <c r="P71" s="14" t="e">
        <f aca="false">IFERROR((U71+V71)/(W71+X71))</f>
        <v>#VALUE!</v>
      </c>
      <c r="Q7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LOWER($B71)))
)"),"1.594155844")</f>
        <v>1.594155844</v>
      </c>
      <c r="R71" s="16"/>
      <c r="U71" s="0" t="str">
        <f aca="false">IFERROR(__xludf.dummyfunction("IFERROR(SUM(FILTER('Form Responses (Power-up data)'!$C$2:$C1000, LOWER('Form Responses (Power-up data)'!$B$2:$B1000) = LOWER($B71))), 0)"),"0")</f>
        <v>0</v>
      </c>
      <c r="V7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LOWER($B71))
),0)"),"21")</f>
        <v>21</v>
      </c>
      <c r="W71" s="0" t="str">
        <f aca="false">IFERROR(__xludf.dummyfunction("COUNT(FILTER('Form Responses (Power-up data)'!$C$2:$C1000, LOWER('Form Responses (Power-up data)'!$B$2:$B1000) = LOWER($B71)))"),"0")</f>
        <v>0</v>
      </c>
      <c r="X7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LOWER($B71)))"),"1")</f>
        <v>1</v>
      </c>
      <c r="Y7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LOWER($B71))), 2)))"),"1.59/1.59")</f>
        <v>1.59/1.59</v>
      </c>
    </row>
    <row r="72" customFormat="false" ht="15.75" hidden="false" customHeight="false" outlineLevel="0" collapsed="false">
      <c r="A72" s="10" t="n">
        <v>71</v>
      </c>
      <c r="B72" s="1" t="s">
        <v>90</v>
      </c>
      <c r="C72" s="0" t="str">
        <f aca="false">IFERROR(__xludf.dummyfunction("ROUND(0.00909003 * (FILTER('Go Base Stats'!$C$2:$C1000, 'Go Base Stats'!$A$2:$A1000 = $A72))^0.5 *(FILTER('Go Base Stats'!$D$2:$D1000, 'Go Base Stats'!$A$2:$A1000 = $A72))*(FILTER('Go Base Stats'!$E$2:$E1000, 'Go Base Stats'!$A$2:$A1000 = $A72))^0.5 / 10, 1)"),"31.5")</f>
        <v>31.5</v>
      </c>
      <c r="D72" s="0" t="str">
        <f aca="false">IFERROR(__xludf.dummyfunction("ROUND(0.00909003 * (FILTER('Go Base Stats'!$C$2:$C1000, 'Go Base Stats'!$A$2:$A1000 = $A72)+7.5)^0.5 *(FILTER('Go Base Stats'!$D$2:$D1000, 'Go Base Stats'!$A$2:$A1000 = $A72) + 7.5)*(FILTER('Go Base Stats'!$E$2:$E1000, 'Go Base Stats'!$A$2:$A1000 = $A72) + 7.5)^0.5 / 10, 1)"),"34.1")</f>
        <v>34.1</v>
      </c>
      <c r="E72" s="0" t="str">
        <f aca="false">IFERROR(__xludf.dummyfunction("ROUND(0.00909003 * (FILTER('Go Base Stats'!$C$2:$C1000, 'Go Base Stats'!$A$2:$A1000 = $A72)+15)^0.5 *(FILTER('Go Base Stats'!$D$2:$D1000, 'Go Base Stats'!$A$2:$A1000 = $A72) +15)*(FILTER('Go Base Stats'!$E$2:$E1000, 'Go Base Stats'!$A$2:$A1000 = $A72) + 15)^0.5 / 10, 1)"),"36.8")</f>
        <v>36.8</v>
      </c>
      <c r="F72" s="6" t="n">
        <f aca="false">ROUND(D72/D71, 1)</f>
        <v>1.5</v>
      </c>
      <c r="G72" s="6" t="str">
        <f aca="false">IFERROR(__xludf.dummyfunction("FILTER('Base Stats'!$C$2:$C1000, LOWER('Base Stats'!$B$2:$B1000) = LOWER($B72))"),"80")</f>
        <v>80</v>
      </c>
      <c r="H72" s="0" t="str">
        <f aca="false">IFERROR(__xludf.dummyfunction("FLOOR((0.7903)^2 * (FILTER('Go Base Stats'!$C$2:$C1000, 'Go Base Stats'!$A$2:$A1000 = $A72)+15)^0.5 *(FILTER('Go Base Stats'!$D$2:$D1000, 'Go Base Stats'!$A$2:$A1000 = $A72) +15)*(FILTER('Go Base Stats'!$E$2:$E1000, 'Go Base Stats'!$A$2:$A1000 = $A72) + 15)^0.5 / 10)"),"2530")</f>
        <v>2530</v>
      </c>
      <c r="I72" s="0" t="str">
        <f aca="false">IFERROR(__xludf.dummyfunction("FLOOR(0.7903* (FILTER('Go Base Stats'!$C$2:$C1000, 'Go Base Stats'!$A$2:$A1000 = $A72)+15))"),"138")</f>
        <v>138</v>
      </c>
      <c r="J72" s="17"/>
      <c r="K72" s="17"/>
      <c r="L72" s="17"/>
      <c r="M72" s="12" t="e">
        <f aca="false">IF(NOT(ISBLANK($R72)), $R72, IF(ROUND($P72, 1) = 0, "", ROUND($P72, 1) ))</f>
        <v>#VALUE!</v>
      </c>
      <c r="N72" s="13" t="e">
        <f aca="false">ABS(M72-D72)/M72</f>
        <v>#VALUE!</v>
      </c>
      <c r="P72" s="14" t="e">
        <f aca="false">IFERROR((U72+V72)/(W72+X72))</f>
        <v>#VALUE!</v>
      </c>
      <c r="Q7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LOWER($B72)))
)"),"2.63")</f>
        <v>2.63</v>
      </c>
      <c r="R72" s="16"/>
      <c r="U72" s="0" t="str">
        <f aca="false">IFERROR(__xludf.dummyfunction("IFERROR(SUM(FILTER('Form Responses (Power-up data)'!$C$2:$C1000, LOWER('Form Responses (Power-up data)'!$B$2:$B1000) = LOWER($B72))), 0)"),"0")</f>
        <v>0</v>
      </c>
      <c r="V7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LOWER($B72))
),0)"),"70")</f>
        <v>70</v>
      </c>
      <c r="W72" s="0" t="str">
        <f aca="false">IFERROR(__xludf.dummyfunction("COUNT(FILTER('Form Responses (Power-up data)'!$C$2:$C1000, LOWER('Form Responses (Power-up data)'!$B$2:$B1000) = LOWER($B72)))"),"0")</f>
        <v>0</v>
      </c>
      <c r="X7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LOWER($B72)))"),"2")</f>
        <v>2</v>
      </c>
      <c r="Y7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LOWER($B72))), 2)))"),"2.63/2.63")</f>
        <v>2.63/2.63</v>
      </c>
    </row>
    <row r="73" customFormat="false" ht="15.75" hidden="false" customHeight="false" outlineLevel="0" collapsed="false">
      <c r="A73" s="10" t="n">
        <v>72</v>
      </c>
      <c r="B73" s="1" t="s">
        <v>91</v>
      </c>
      <c r="C73" s="0" t="str">
        <f aca="false">IFERROR(__xludf.dummyfunction("ROUND(0.00909003 * (FILTER('Go Base Stats'!$C$2:$C1000, 'Go Base Stats'!$A$2:$A1000 = $A73))^0.5 *(FILTER('Go Base Stats'!$D$2:$D1000, 'Go Base Stats'!$A$2:$A1000 = $A73))*(FILTER('Go Base Stats'!$E$2:$E1000, 'Go Base Stats'!$A$2:$A1000 = $A73))^0.5 / 10, 1)"),"10.1")</f>
        <v>10.1</v>
      </c>
      <c r="D73" s="0" t="str">
        <f aca="false">IFERROR(__xludf.dummyfunction("ROUND(0.00909003 * (FILTER('Go Base Stats'!$C$2:$C1000, 'Go Base Stats'!$A$2:$A1000 = $A73)+7.5)^0.5 *(FILTER('Go Base Stats'!$D$2:$D1000, 'Go Base Stats'!$A$2:$A1000 = $A73) + 7.5)*(FILTER('Go Base Stats'!$E$2:$E1000, 'Go Base Stats'!$A$2:$A1000 = $A73) + 7.5)^0.5 / 10, 1)"),"11.6")</f>
        <v>11.6</v>
      </c>
      <c r="E73" s="0" t="str">
        <f aca="false">IFERROR(__xludf.dummyfunction("ROUND(0.00909003 * (FILTER('Go Base Stats'!$C$2:$C1000, 'Go Base Stats'!$A$2:$A1000 = $A73)+15)^0.5 *(FILTER('Go Base Stats'!$D$2:$D1000, 'Go Base Stats'!$A$2:$A1000 = $A73) +15)*(FILTER('Go Base Stats'!$E$2:$E1000, 'Go Base Stats'!$A$2:$A1000 = $A73) + 15)^0.5 / 10, 1)"),"13.2")</f>
        <v>13.2</v>
      </c>
      <c r="F73" s="6"/>
      <c r="G73" s="6" t="str">
        <f aca="false">IFERROR(__xludf.dummyfunction("FILTER('Base Stats'!$C$2:$C1000, LOWER('Base Stats'!$B$2:$B1000) = LOWER($B73))"),"40")</f>
        <v>40</v>
      </c>
      <c r="H73" s="0" t="str">
        <f aca="false">IFERROR(__xludf.dummyfunction("FLOOR((0.7903)^2 * (FILTER('Go Base Stats'!$C$2:$C1000, 'Go Base Stats'!$A$2:$A1000 = $A73)+15)^0.5 *(FILTER('Go Base Stats'!$D$2:$D1000, 'Go Base Stats'!$A$2:$A1000 = $A73) +15)*(FILTER('Go Base Stats'!$E$2:$E1000, 'Go Base Stats'!$A$2:$A1000 = $A73) + 15)^0.5 / 10)"),"905")</f>
        <v>905</v>
      </c>
      <c r="I73" s="0" t="str">
        <f aca="false">IFERROR(__xludf.dummyfunction("FLOOR(0.7903* (FILTER('Go Base Stats'!$C$2:$C1000, 'Go Base Stats'!$A$2:$A1000 = $A73)+15))"),"75")</f>
        <v>75</v>
      </c>
      <c r="J73" s="17"/>
      <c r="K73" s="17"/>
      <c r="L73" s="17"/>
      <c r="M73" s="12" t="n">
        <f aca="false">IF(NOT(ISBLANK($R73)), $R73, IF(ROUND($P73, 1) = 0, "", ROUND($P73, 1) ))</f>
        <v>12</v>
      </c>
      <c r="N73" s="13" t="n">
        <f aca="false">ABS(M73-D73)/M73</f>
        <v>0.0333333333333334</v>
      </c>
      <c r="P73" s="14" t="e">
        <f aca="false">IFERROR((U73+V73)/(W73+X73))</f>
        <v>#VALUE!</v>
      </c>
      <c r="Q7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LOWER($B73)))
)"),"2.022727273")</f>
        <v>2.022727273</v>
      </c>
      <c r="R73" s="16" t="n">
        <v>12</v>
      </c>
      <c r="U73" s="0" t="str">
        <f aca="false">IFERROR(__xludf.dummyfunction("IFERROR(SUM(FILTER('Form Responses (Power-up data)'!$C$2:$C1000, LOWER('Form Responses (Power-up data)'!$B$2:$B1000) = LOWER($B73))), 0)"),"0")</f>
        <v>0</v>
      </c>
      <c r="V7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LOWER($B73))
),0)"),"0")</f>
        <v>0</v>
      </c>
      <c r="W73" s="0" t="str">
        <f aca="false">IFERROR(__xludf.dummyfunction("COUNT(FILTER('Form Responses (Power-up data)'!$C$2:$C1000, LOWER('Form Responses (Power-up data)'!$B$2:$B1000) = LOWER($B73)))"),"0")</f>
        <v>0</v>
      </c>
      <c r="X7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LOWER($B73)))"),"0")</f>
        <v>0</v>
      </c>
      <c r="Y7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LOWER($B73))), 2)))"),"2.02/2.02")</f>
        <v>2.02/2.02</v>
      </c>
    </row>
    <row r="74" customFormat="false" ht="15.75" hidden="false" customHeight="false" outlineLevel="0" collapsed="false">
      <c r="A74" s="10" t="n">
        <v>73</v>
      </c>
      <c r="B74" s="1" t="s">
        <v>92</v>
      </c>
      <c r="C74" s="0" t="str">
        <f aca="false">IFERROR(__xludf.dummyfunction("ROUND(0.00909003 * (FILTER('Go Base Stats'!$C$2:$C1000, 'Go Base Stats'!$A$2:$A1000 = $A74))^0.5 *(FILTER('Go Base Stats'!$D$2:$D1000, 'Go Base Stats'!$A$2:$A1000 = $A74))*(FILTER('Go Base Stats'!$E$2:$E1000, 'Go Base Stats'!$A$2:$A1000 = $A74))^0.5 / 10, 1)"),"27.4")</f>
        <v>27.4</v>
      </c>
      <c r="D74" s="0" t="str">
        <f aca="false">IFERROR(__xludf.dummyfunction("ROUND(0.00909003 * (FILTER('Go Base Stats'!$C$2:$C1000, 'Go Base Stats'!$A$2:$A1000 = $A74)+7.5)^0.5 *(FILTER('Go Base Stats'!$D$2:$D1000, 'Go Base Stats'!$A$2:$A1000 = $A74) + 7.5)*(FILTER('Go Base Stats'!$E$2:$E1000, 'Go Base Stats'!$A$2:$A1000 = $A74) + 7.5)^0.5 / 10, 1)"),"29.8")</f>
        <v>29.8</v>
      </c>
      <c r="E74" s="0" t="str">
        <f aca="false">IFERROR(__xludf.dummyfunction("ROUND(0.00909003 * (FILTER('Go Base Stats'!$C$2:$C1000, 'Go Base Stats'!$A$2:$A1000 = $A74)+15)^0.5 *(FILTER('Go Base Stats'!$D$2:$D1000, 'Go Base Stats'!$A$2:$A1000 = $A74) +15)*(FILTER('Go Base Stats'!$E$2:$E1000, 'Go Base Stats'!$A$2:$A1000 = $A74) + 15)^0.5 / 10, 1)"),"32.3")</f>
        <v>32.3</v>
      </c>
      <c r="F74" s="6" t="str">
        <f aca="false">ROUND(D74/D73, 1)</f>
        <v>2.6</v>
      </c>
      <c r="G74" s="6" t="str">
        <f aca="false">IFERROR(__xludf.dummyfunction("FILTER('Base Stats'!$C$2:$C1000, LOWER('Base Stats'!$B$2:$B1000) = LOWER($B74))"),"80")</f>
        <v>80</v>
      </c>
      <c r="H74" s="0" t="str">
        <f aca="false">IFERROR(__xludf.dummyfunction("FLOOR((0.7903)^2 * (FILTER('Go Base Stats'!$C$2:$C1000, 'Go Base Stats'!$A$2:$A1000 = $A74)+15)^0.5 *(FILTER('Go Base Stats'!$D$2:$D1000, 'Go Base Stats'!$A$2:$A1000 = $A74) +15)*(FILTER('Go Base Stats'!$E$2:$E1000, 'Go Base Stats'!$A$2:$A1000 = $A74) + 15)^0.5 / 10)"),"2220")</f>
        <v>2220</v>
      </c>
      <c r="I74" s="0" t="str">
        <f aca="false">IFERROR(__xludf.dummyfunction("FLOOR(0.7903* (FILTER('Go Base Stats'!$C$2:$C1000, 'Go Base Stats'!$A$2:$A1000 = $A74)+15))"),"138")</f>
        <v>138</v>
      </c>
      <c r="J74" s="17"/>
      <c r="K74" s="17"/>
      <c r="L74" s="17"/>
      <c r="M74" s="12" t="e">
        <f aca="false">IF(NOT(ISBLANK($R74)), $R74, IF(ROUND($P74, 1) = 0, "", ROUND($P74, 1) ))</f>
        <v>#VALUE!</v>
      </c>
      <c r="N74" s="13" t="e">
        <f aca="false">ABS(M74-D74)/M74</f>
        <v>#VALUE!</v>
      </c>
      <c r="P74" s="14" t="e">
        <f aca="false">IFERROR((U74+V74)/(W74+X74))</f>
        <v>#VALUE!</v>
      </c>
      <c r="Q7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LOWER($B74)))
)"),"")</f>
        <v/>
      </c>
      <c r="R74" s="16"/>
      <c r="U74" s="0" t="str">
        <f aca="false">IFERROR(__xludf.dummyfunction("IFERROR(SUM(FILTER('Form Responses (Power-up data)'!$C$2:$C1000, LOWER('Form Responses (Power-up data)'!$B$2:$B1000) = LOWER($B74))), 0)"),"0")</f>
        <v>0</v>
      </c>
      <c r="V7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LOWER($B74))
),0)"),"181")</f>
        <v>181</v>
      </c>
      <c r="W74" s="0" t="str">
        <f aca="false">IFERROR(__xludf.dummyfunction("COUNT(FILTER('Form Responses (Power-up data)'!$C$2:$C1000, LOWER('Form Responses (Power-up data)'!$B$2:$B1000) = LOWER($B74)))"),"0")</f>
        <v>0</v>
      </c>
      <c r="X7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LOWER($B74)))"),"6")</f>
        <v>6</v>
      </c>
      <c r="Y7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LOWER($B74))), 2)))"),"/")</f>
        <v>/</v>
      </c>
    </row>
    <row r="75" customFormat="false" ht="15.75" hidden="false" customHeight="false" outlineLevel="0" collapsed="false">
      <c r="A75" s="10" t="n">
        <v>74</v>
      </c>
      <c r="B75" s="1" t="s">
        <v>93</v>
      </c>
      <c r="C75" s="0" t="str">
        <f aca="false">IFERROR(__xludf.dummyfunction("ROUND(0.00909003 * (FILTER('Go Base Stats'!$C$2:$C1000, 'Go Base Stats'!$A$2:$A1000 = $A75))^0.5 *(FILTER('Go Base Stats'!$D$2:$D1000, 'Go Base Stats'!$A$2:$A1000 = $A75))*(FILTER('Go Base Stats'!$E$2:$E1000, 'Go Base Stats'!$A$2:$A1000 = $A75))^0.5 / 10, 1)"),"9.4")</f>
        <v>9.4</v>
      </c>
      <c r="D75" s="0" t="str">
        <f aca="false">IFERROR(__xludf.dummyfunction("ROUND(0.00909003 * (FILTER('Go Base Stats'!$C$2:$C1000, 'Go Base Stats'!$A$2:$A1000 = $A75)+7.5)^0.5 *(FILTER('Go Base Stats'!$D$2:$D1000, 'Go Base Stats'!$A$2:$A1000 = $A75) + 7.5)*(FILTER('Go Base Stats'!$E$2:$E1000, 'Go Base Stats'!$A$2:$A1000 = $A75) + 7.5)^0.5 / 10, 1)"),"10.8")</f>
        <v>10.8</v>
      </c>
      <c r="E75" s="0" t="str">
        <f aca="false">IFERROR(__xludf.dummyfunction("ROUND(0.00909003 * (FILTER('Go Base Stats'!$C$2:$C1000, 'Go Base Stats'!$A$2:$A1000 = $A75)+15)^0.5 *(FILTER('Go Base Stats'!$D$2:$D1000, 'Go Base Stats'!$A$2:$A1000 = $A75) +15)*(FILTER('Go Base Stats'!$E$2:$E1000, 'Go Base Stats'!$A$2:$A1000 = $A75) + 15)^0.5 / 10, 1)"),"12.4")</f>
        <v>12.4</v>
      </c>
      <c r="F75" s="6"/>
      <c r="G75" s="6" t="str">
        <f aca="false">IFERROR(__xludf.dummyfunction("FILTER('Base Stats'!$C$2:$C1000, LOWER('Base Stats'!$B$2:$B1000) = LOWER($B75))"),"40")</f>
        <v>40</v>
      </c>
      <c r="H75" s="0" t="str">
        <f aca="false">IFERROR(__xludf.dummyfunction("FLOOR((0.7903)^2 * (FILTER('Go Base Stats'!$C$2:$C1000, 'Go Base Stats'!$A$2:$A1000 = $A75)+15)^0.5 *(FILTER('Go Base Stats'!$D$2:$D1000, 'Go Base Stats'!$A$2:$A1000 = $A75) +15)*(FILTER('Go Base Stats'!$E$2:$E1000, 'Go Base Stats'!$A$2:$A1000 = $A75) + 15)^0.5 / 10)"),"849")</f>
        <v>849</v>
      </c>
      <c r="I75" s="0" t="str">
        <f aca="false">IFERROR(__xludf.dummyfunction("FLOOR(0.7903* (FILTER('Go Base Stats'!$C$2:$C1000, 'Go Base Stats'!$A$2:$A1000 = $A75)+15))"),"75")</f>
        <v>75</v>
      </c>
      <c r="J75" s="17"/>
      <c r="K75" s="17"/>
      <c r="L75" s="17"/>
      <c r="M75" s="12" t="e">
        <f aca="false">IF(NOT(ISBLANK($R75)), $R75, IF(ROUND($P75, 1) = 0, "", ROUND($P75, 1) ))</f>
        <v>#VALUE!</v>
      </c>
      <c r="N75" s="13" t="e">
        <f aca="false">ABS(M75-D75)/M75</f>
        <v>#VALUE!</v>
      </c>
      <c r="P75" s="14" t="e">
        <f aca="false">IFERROR((U75+V75)/(W75+X75))</f>
        <v>#VALUE!</v>
      </c>
      <c r="Q7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LOWER($B75)))
)"),"")</f>
        <v/>
      </c>
      <c r="R75" s="16"/>
      <c r="U75" s="0" t="str">
        <f aca="false">IFERROR(__xludf.dummyfunction("IFERROR(SUM(FILTER('Form Responses (Power-up data)'!$C$2:$C1000, LOWER('Form Responses (Power-up data)'!$B$2:$B1000) = LOWER($B75))), 0)"),"0")</f>
        <v>0</v>
      </c>
      <c r="V7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LOWER($B75))
),0)"),"11")</f>
        <v>11</v>
      </c>
      <c r="W75" s="0" t="str">
        <f aca="false">IFERROR(__xludf.dummyfunction("COUNT(FILTER('Form Responses (Power-up data)'!$C$2:$C1000, LOWER('Form Responses (Power-up data)'!$B$2:$B1000) = LOWER($B75)))"),"0")</f>
        <v>0</v>
      </c>
      <c r="X7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LOWER($B75)))"),"1")</f>
        <v>1</v>
      </c>
      <c r="Y7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LOWER($B75))), 2)))"),"/")</f>
        <v>/</v>
      </c>
    </row>
    <row r="76" customFormat="false" ht="15.75" hidden="false" customHeight="false" outlineLevel="0" collapsed="false">
      <c r="A76" s="10" t="n">
        <v>75</v>
      </c>
      <c r="B76" s="1" t="s">
        <v>94</v>
      </c>
      <c r="C76" s="0" t="str">
        <f aca="false">IFERROR(__xludf.dummyfunction("ROUND(0.00909003 * (FILTER('Go Base Stats'!$C$2:$C1000, 'Go Base Stats'!$A$2:$A1000 = $A76))^0.5 *(FILTER('Go Base Stats'!$D$2:$D1000, 'Go Base Stats'!$A$2:$A1000 = $A76))*(FILTER('Go Base Stats'!$E$2:$E1000, 'Go Base Stats'!$A$2:$A1000 = $A76))^0.5 / 10, 1)"),"16.9")</f>
        <v>16.9</v>
      </c>
      <c r="D76" s="0" t="str">
        <f aca="false">IFERROR(__xludf.dummyfunction("ROUND(0.00909003 * (FILTER('Go Base Stats'!$C$2:$C1000, 'Go Base Stats'!$A$2:$A1000 = $A76)+7.5)^0.5 *(FILTER('Go Base Stats'!$D$2:$D1000, 'Go Base Stats'!$A$2:$A1000 = $A76) + 7.5)*(FILTER('Go Base Stats'!$E$2:$E1000, 'Go Base Stats'!$A$2:$A1000 = $A76) + 7.5)^0.5 / 10, 1)"),"18.8")</f>
        <v>18.8</v>
      </c>
      <c r="E76" s="0" t="str">
        <f aca="false">IFERROR(__xludf.dummyfunction("ROUND(0.00909003 * (FILTER('Go Base Stats'!$C$2:$C1000, 'Go Base Stats'!$A$2:$A1000 = $A76)+15)^0.5 *(FILTER('Go Base Stats'!$D$2:$D1000, 'Go Base Stats'!$A$2:$A1000 = $A76) +15)*(FILTER('Go Base Stats'!$E$2:$E1000, 'Go Base Stats'!$A$2:$A1000 = $A76) + 15)^0.5 / 10, 1)"),"20.9")</f>
        <v>20.9</v>
      </c>
      <c r="F76" s="6" t="n">
        <f aca="false">ROUND(D76/D75, 1)</f>
        <v>1.7</v>
      </c>
      <c r="G76" s="6" t="str">
        <f aca="false">IFERROR(__xludf.dummyfunction("FILTER('Base Stats'!$C$2:$C1000, LOWER('Base Stats'!$B$2:$B1000) = LOWER($B76))"),"55")</f>
        <v>55</v>
      </c>
      <c r="H76" s="0" t="str">
        <f aca="false">IFERROR(__xludf.dummyfunction("FLOOR((0.7903)^2 * (FILTER('Go Base Stats'!$C$2:$C1000, 'Go Base Stats'!$A$2:$A1000 = $A76)+15)^0.5 *(FILTER('Go Base Stats'!$D$2:$D1000, 'Go Base Stats'!$A$2:$A1000 = $A76) +15)*(FILTER('Go Base Stats'!$E$2:$E1000, 'Go Base Stats'!$A$2:$A1000 = $A76) + 15)^0.5 / 10)"),"1433")</f>
        <v>1433</v>
      </c>
      <c r="I76" s="0" t="str">
        <f aca="false">IFERROR(__xludf.dummyfunction("FLOOR(0.7903* (FILTER('Go Base Stats'!$C$2:$C1000, 'Go Base Stats'!$A$2:$A1000 = $A76)+15))"),"98")</f>
        <v>98</v>
      </c>
      <c r="J76" s="17"/>
      <c r="K76" s="17"/>
      <c r="L76" s="17"/>
      <c r="M76" s="12" t="n">
        <f aca="false">IF(NOT(ISBLANK($R76)), $R76, IF(ROUND($P76, 1) = 0, "", ROUND($P76, 1) ))</f>
        <v>19</v>
      </c>
      <c r="N76" s="13" t="n">
        <f aca="false">ABS(M76-D76)/M76</f>
        <v>0.0105263157894736</v>
      </c>
      <c r="P76" s="14" t="e">
        <f aca="false">IFERROR((U76+V76)/(W76+X76))</f>
        <v>#VALUE!</v>
      </c>
      <c r="Q7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LOWER($B76)))
)"),"1.728323699")</f>
        <v>1.728323699</v>
      </c>
      <c r="R76" s="16" t="n">
        <v>19</v>
      </c>
      <c r="U76" s="0" t="str">
        <f aca="false">IFERROR(__xludf.dummyfunction("IFERROR(SUM(FILTER('Form Responses (Power-up data)'!$C$2:$C1000, LOWER('Form Responses (Power-up data)'!$B$2:$B1000) = LOWER($B76))), 0)"),"0")</f>
        <v>0</v>
      </c>
      <c r="V7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LOWER($B76))
),0)"),"28")</f>
        <v>28</v>
      </c>
      <c r="W76" s="0" t="str">
        <f aca="false">IFERROR(__xludf.dummyfunction("COUNT(FILTER('Form Responses (Power-up data)'!$C$2:$C1000, LOWER('Form Responses (Power-up data)'!$B$2:$B1000) = LOWER($B76)))"),"0")</f>
        <v>0</v>
      </c>
      <c r="X7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LOWER($B76)))"),"1")</f>
        <v>1</v>
      </c>
      <c r="Y7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LOWER($B76))), 2)))"),"1.73/1.73")</f>
        <v>1.73/1.73</v>
      </c>
    </row>
    <row r="77" customFormat="false" ht="15.75" hidden="false" customHeight="false" outlineLevel="0" collapsed="false">
      <c r="A77" s="10" t="n">
        <v>76</v>
      </c>
      <c r="B77" s="1" t="s">
        <v>95</v>
      </c>
      <c r="C77" s="0" t="str">
        <f aca="false">IFERROR(__xludf.dummyfunction("ROUND(0.00909003 * (FILTER('Go Base Stats'!$C$2:$C1000, 'Go Base Stats'!$A$2:$A1000 = $A77))^0.5 *(FILTER('Go Base Stats'!$D$2:$D1000, 'Go Base Stats'!$A$2:$A1000 = $A77))*(FILTER('Go Base Stats'!$E$2:$E1000, 'Go Base Stats'!$A$2:$A1000 = $A77))^0.5 / 10, 1)"),"28.5")</f>
        <v>28.5</v>
      </c>
      <c r="D77" s="0" t="str">
        <f aca="false">IFERROR(__xludf.dummyfunction("ROUND(0.00909003 * (FILTER('Go Base Stats'!$C$2:$C1000, 'Go Base Stats'!$A$2:$A1000 = $A77)+7.5)^0.5 *(FILTER('Go Base Stats'!$D$2:$D1000, 'Go Base Stats'!$A$2:$A1000 = $A77) + 7.5)*(FILTER('Go Base Stats'!$E$2:$E1000, 'Go Base Stats'!$A$2:$A1000 = $A77) + 7.5)^0.5 / 10, 1)"),"30.9")</f>
        <v>30.9</v>
      </c>
      <c r="E77" s="0" t="str">
        <f aca="false">IFERROR(__xludf.dummyfunction("ROUND(0.00909003 * (FILTER('Go Base Stats'!$C$2:$C1000, 'Go Base Stats'!$A$2:$A1000 = $A77)+15)^0.5 *(FILTER('Go Base Stats'!$D$2:$D1000, 'Go Base Stats'!$A$2:$A1000 = $A77) +15)*(FILTER('Go Base Stats'!$E$2:$E1000, 'Go Base Stats'!$A$2:$A1000 = $A77) + 15)^0.5 / 10, 1)"),"33.5")</f>
        <v>33.5</v>
      </c>
      <c r="F77" s="6" t="n">
        <f aca="false">ROUND(D77/D76, 1)</f>
        <v>1.6</v>
      </c>
      <c r="G77" s="6" t="str">
        <f aca="false">IFERROR(__xludf.dummyfunction("FILTER('Base Stats'!$C$2:$C1000, LOWER('Base Stats'!$B$2:$B1000) = LOWER($B77))"),"80")</f>
        <v>80</v>
      </c>
      <c r="H77" s="0" t="str">
        <f aca="false">IFERROR(__xludf.dummyfunction("FLOOR((0.7903)^2 * (FILTER('Go Base Stats'!$C$2:$C1000, 'Go Base Stats'!$A$2:$A1000 = $A77)+15)^0.5 *(FILTER('Go Base Stats'!$D$2:$D1000, 'Go Base Stats'!$A$2:$A1000 = $A77) +15)*(FILTER('Go Base Stats'!$E$2:$E1000, 'Go Base Stats'!$A$2:$A1000 = $A77) + 15)^0.5 / 10)"),"2303")</f>
        <v>2303</v>
      </c>
      <c r="I77" s="0" t="str">
        <f aca="false">IFERROR(__xludf.dummyfunction("FLOOR(0.7903* (FILTER('Go Base Stats'!$C$2:$C1000, 'Go Base Stats'!$A$2:$A1000 = $A77)+15))"),"138")</f>
        <v>138</v>
      </c>
      <c r="J77" s="17"/>
      <c r="K77" s="17"/>
      <c r="L77" s="17"/>
      <c r="M77" s="12" t="e">
        <f aca="false">IF(NOT(ISBLANK($R77)), $R77, IF(ROUND($P77, 1) = 0, "", ROUND($P77, 1) ))</f>
        <v>#VALUE!</v>
      </c>
      <c r="N77" s="13" t="e">
        <f aca="false">ABS(M77-D77)/M77</f>
        <v>#VALUE!</v>
      </c>
      <c r="P77" s="14" t="e">
        <f aca="false">IFERROR((U77+V77)/(W77+X77))</f>
        <v>#VALUE!</v>
      </c>
      <c r="Q7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LOWER($B77)))
)"),"")</f>
        <v/>
      </c>
      <c r="R77" s="16"/>
      <c r="U77" s="0" t="str">
        <f aca="false">IFERROR(__xludf.dummyfunction("IFERROR(SUM(FILTER('Form Responses (Power-up data)'!$C$2:$C1000, LOWER('Form Responses (Power-up data)'!$B$2:$B1000) = LOWER($B77))), 0)"),"0")</f>
        <v>0</v>
      </c>
      <c r="V7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LOWER($B77))
),0)"),"31")</f>
        <v>31</v>
      </c>
      <c r="W77" s="0" t="str">
        <f aca="false">IFERROR(__xludf.dummyfunction("COUNT(FILTER('Form Responses (Power-up data)'!$C$2:$C1000, LOWER('Form Responses (Power-up data)'!$B$2:$B1000) = LOWER($B77)))"),"0")</f>
        <v>0</v>
      </c>
      <c r="X7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LOWER($B77)))"),"1")</f>
        <v>1</v>
      </c>
      <c r="Y7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LOWER($B77))), 2)))"),"/")</f>
        <v>/</v>
      </c>
    </row>
    <row r="78" customFormat="false" ht="15.75" hidden="false" customHeight="false" outlineLevel="0" collapsed="false">
      <c r="A78" s="10" t="n">
        <v>77</v>
      </c>
      <c r="B78" s="1" t="s">
        <v>96</v>
      </c>
      <c r="C78" s="0" t="str">
        <f aca="false">IFERROR(__xludf.dummyfunction("ROUND(0.00909003 * (FILTER('Go Base Stats'!$C$2:$C1000, 'Go Base Stats'!$A$2:$A1000 = $A78))^0.5 *(FILTER('Go Base Stats'!$D$2:$D1000, 'Go Base Stats'!$A$2:$A1000 = $A78))*(FILTER('Go Base Stats'!$E$2:$E1000, 'Go Base Stats'!$A$2:$A1000 = $A78))^0.5 / 10, 1)"),"17.9")</f>
        <v>17.9</v>
      </c>
      <c r="D78" s="0" t="str">
        <f aca="false">IFERROR(__xludf.dummyfunction("ROUND(0.00909003 * (FILTER('Go Base Stats'!$C$2:$C1000, 'Go Base Stats'!$A$2:$A1000 = $A78)+7.5)^0.5 *(FILTER('Go Base Stats'!$D$2:$D1000, 'Go Base Stats'!$A$2:$A1000 = $A78) + 7.5)*(FILTER('Go Base Stats'!$E$2:$E1000, 'Go Base Stats'!$A$2:$A1000 = $A78) + 7.5)^0.5 / 10, 1)"),"20")</f>
        <v>20</v>
      </c>
      <c r="E78" s="0" t="str">
        <f aca="false">IFERROR(__xludf.dummyfunction("ROUND(0.00909003 * (FILTER('Go Base Stats'!$C$2:$C1000, 'Go Base Stats'!$A$2:$A1000 = $A78)+15)^0.5 *(FILTER('Go Base Stats'!$D$2:$D1000, 'Go Base Stats'!$A$2:$A1000 = $A78) +15)*(FILTER('Go Base Stats'!$E$2:$E1000, 'Go Base Stats'!$A$2:$A1000 = $A78) + 15)^0.5 / 10, 1)"),"22.1")</f>
        <v>22.1</v>
      </c>
      <c r="F78" s="6"/>
      <c r="G78" s="6" t="str">
        <f aca="false">IFERROR(__xludf.dummyfunction("FILTER('Base Stats'!$C$2:$C1000, LOWER('Base Stats'!$B$2:$B1000) = LOWER($B78))"),"50")</f>
        <v>50</v>
      </c>
      <c r="H78" s="0" t="str">
        <f aca="false">IFERROR(__xludf.dummyfunction("FLOOR((0.7903)^2 * (FILTER('Go Base Stats'!$C$2:$C1000, 'Go Base Stats'!$A$2:$A1000 = $A78)+15)^0.5 *(FILTER('Go Base Stats'!$D$2:$D1000, 'Go Base Stats'!$A$2:$A1000 = $A78) +15)*(FILTER('Go Base Stats'!$E$2:$E1000, 'Go Base Stats'!$A$2:$A1000 = $A78) + 15)^0.5 / 10)"),"1516")</f>
        <v>1516</v>
      </c>
      <c r="I78" s="0" t="str">
        <f aca="false">IFERROR(__xludf.dummyfunction("FLOOR(0.7903* (FILTER('Go Base Stats'!$C$2:$C1000, 'Go Base Stats'!$A$2:$A1000 = $A78)+15))"),"90")</f>
        <v>90</v>
      </c>
      <c r="J78" s="17"/>
      <c r="K78" s="17"/>
      <c r="L78" s="17"/>
      <c r="M78" s="12" t="e">
        <f aca="false">IF(NOT(ISBLANK($R78)), $R78, IF(ROUND($P78, 1) = 0, "", ROUND($P78, 1) ))</f>
        <v>#VALUE!</v>
      </c>
      <c r="N78" s="13" t="e">
        <f aca="false">ABS(M78-D78)/M78</f>
        <v>#VALUE!</v>
      </c>
      <c r="P78" s="14" t="e">
        <f aca="false">IFERROR((U78+V78)/(W78+X78))</f>
        <v>#VALUE!</v>
      </c>
      <c r="Q7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LOWER($B78)))
)"),"")</f>
        <v/>
      </c>
      <c r="R78" s="16"/>
      <c r="U78" s="0" t="str">
        <f aca="false">IFERROR(__xludf.dummyfunction("IFERROR(SUM(FILTER('Form Responses (Power-up data)'!$C$2:$C1000, LOWER('Form Responses (Power-up data)'!$B$2:$B1000) = LOWER($B78))), 0)"),"0")</f>
        <v>0</v>
      </c>
      <c r="V7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LOWER($B78))
),0)"),"104")</f>
        <v>104</v>
      </c>
      <c r="W78" s="0" t="str">
        <f aca="false">IFERROR(__xludf.dummyfunction("COUNT(FILTER('Form Responses (Power-up data)'!$C$2:$C1000, LOWER('Form Responses (Power-up data)'!$B$2:$B1000) = LOWER($B78)))"),"0")</f>
        <v>0</v>
      </c>
      <c r="X7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LOWER($B78)))"),"5")</f>
        <v>5</v>
      </c>
      <c r="Y7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LOWER($B78))), 2)))"),"/")</f>
        <v>/</v>
      </c>
    </row>
    <row r="79" customFormat="false" ht="15.75" hidden="false" customHeight="false" outlineLevel="0" collapsed="false">
      <c r="A79" s="10" t="n">
        <v>78</v>
      </c>
      <c r="B79" s="1" t="s">
        <v>97</v>
      </c>
      <c r="C79" s="0" t="str">
        <f aca="false">IFERROR(__xludf.dummyfunction("ROUND(0.00909003 * (FILTER('Go Base Stats'!$C$2:$C1000, 'Go Base Stats'!$A$2:$A1000 = $A79))^0.5 *(FILTER('Go Base Stats'!$D$2:$D1000, 'Go Base Stats'!$A$2:$A1000 = $A79))*(FILTER('Go Base Stats'!$E$2:$E1000, 'Go Base Stats'!$A$2:$A1000 = $A79))^0.5 / 10, 1)"),"27")</f>
        <v>27</v>
      </c>
      <c r="D79" s="0" t="str">
        <f aca="false">IFERROR(__xludf.dummyfunction("ROUND(0.00909003 * (FILTER('Go Base Stats'!$C$2:$C1000, 'Go Base Stats'!$A$2:$A1000 = $A79)+7.5)^0.5 *(FILTER('Go Base Stats'!$D$2:$D1000, 'Go Base Stats'!$A$2:$A1000 = $A79) + 7.5)*(FILTER('Go Base Stats'!$E$2:$E1000, 'Go Base Stats'!$A$2:$A1000 = $A79) + 7.5)^0.5 / 10, 1)"),"29.5")</f>
        <v>29.5</v>
      </c>
      <c r="E79" s="0" t="str">
        <f aca="false">IFERROR(__xludf.dummyfunction("ROUND(0.00909003 * (FILTER('Go Base Stats'!$C$2:$C1000, 'Go Base Stats'!$A$2:$A1000 = $A79)+15)^0.5 *(FILTER('Go Base Stats'!$D$2:$D1000, 'Go Base Stats'!$A$2:$A1000 = $A79) +15)*(FILTER('Go Base Stats'!$E$2:$E1000, 'Go Base Stats'!$A$2:$A1000 = $A79) + 15)^0.5 / 10, 1)"),"32")</f>
        <v>32</v>
      </c>
      <c r="F79" s="6" t="str">
        <f aca="false">ROUND(D79/D78, 1)</f>
        <v>1.5</v>
      </c>
      <c r="G79" s="6" t="str">
        <f aca="false">IFERROR(__xludf.dummyfunction("FILTER('Base Stats'!$C$2:$C1000, LOWER('Base Stats'!$B$2:$B1000) = LOWER($B79))"),"65")</f>
        <v>65</v>
      </c>
      <c r="H79" s="0" t="str">
        <f aca="false">IFERROR(__xludf.dummyfunction("FLOOR((0.7903)^2 * (FILTER('Go Base Stats'!$C$2:$C1000, 'Go Base Stats'!$A$2:$A1000 = $A79)+15)^0.5 *(FILTER('Go Base Stats'!$D$2:$D1000, 'Go Base Stats'!$A$2:$A1000 = $A79) +15)*(FILTER('Go Base Stats'!$E$2:$E1000, 'Go Base Stats'!$A$2:$A1000 = $A79) + 15)^0.5 / 10)"),"2199")</f>
        <v>2199</v>
      </c>
      <c r="I79" s="0" t="str">
        <f aca="false">IFERROR(__xludf.dummyfunction("FLOOR(0.7903* (FILTER('Go Base Stats'!$C$2:$C1000, 'Go Base Stats'!$A$2:$A1000 = $A79)+15))"),"114")</f>
        <v>114</v>
      </c>
      <c r="J79" s="17"/>
      <c r="K79" s="17"/>
      <c r="L79" s="17"/>
      <c r="M79" s="12" t="e">
        <f aca="false">IF(NOT(ISBLANK($R79)), $R79, IF(ROUND($P79, 1) = 0, "", ROUND($P79, 1) ))</f>
        <v>#VALUE!</v>
      </c>
      <c r="N79" s="13" t="e">
        <f aca="false">ABS(M79-D79)/M79</f>
        <v>#VALUE!</v>
      </c>
      <c r="P79" s="14" t="e">
        <f aca="false">IFERROR((U79+V79)/(W79+X79))</f>
        <v>#VALUE!</v>
      </c>
      <c r="Q7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LOWER($B79)))
)"),"1.467105263")</f>
        <v>1.467105263</v>
      </c>
      <c r="R79" s="16"/>
      <c r="U79" s="0" t="str">
        <f aca="false">IFERROR(__xludf.dummyfunction("IFERROR(SUM(FILTER('Form Responses (Power-up data)'!$C$2:$C1000, LOWER('Form Responses (Power-up data)'!$B$2:$B1000) = LOWER($B79))), 0)"),"0")</f>
        <v>0</v>
      </c>
      <c r="V7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LOWER($B79))
),0)"),"61")</f>
        <v>61</v>
      </c>
      <c r="W79" s="0" t="str">
        <f aca="false">IFERROR(__xludf.dummyfunction("COUNT(FILTER('Form Responses (Power-up data)'!$C$2:$C1000, LOWER('Form Responses (Power-up data)'!$B$2:$B1000) = LOWER($B79)))"),"0")</f>
        <v>0</v>
      </c>
      <c r="X7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LOWER($B79)))"),"2")</f>
        <v>2</v>
      </c>
      <c r="Y7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LOWER($B79))), 2)))"),"1.47/1.47")</f>
        <v>1.47/1.47</v>
      </c>
    </row>
    <row r="80" customFormat="false" ht="15.75" hidden="false" customHeight="false" outlineLevel="0" collapsed="false">
      <c r="A80" s="10" t="n">
        <v>79</v>
      </c>
      <c r="B80" s="1" t="s">
        <v>98</v>
      </c>
      <c r="C80" s="0" t="str">
        <f aca="false">IFERROR(__xludf.dummyfunction("ROUND(0.00909003 * (FILTER('Go Base Stats'!$C$2:$C1000, 'Go Base Stats'!$A$2:$A1000 = $A80))^0.5 *(FILTER('Go Base Stats'!$D$2:$D1000, 'Go Base Stats'!$A$2:$A1000 = $A80))*(FILTER('Go Base Stats'!$E$2:$E1000, 'Go Base Stats'!$A$2:$A1000 = $A80))^0.5 / 10, 1)"),"14.1")</f>
        <v>14.1</v>
      </c>
      <c r="D80" s="0" t="str">
        <f aca="false">IFERROR(__xludf.dummyfunction("ROUND(0.00909003 * (FILTER('Go Base Stats'!$C$2:$C1000, 'Go Base Stats'!$A$2:$A1000 = $A80)+7.5)^0.5 *(FILTER('Go Base Stats'!$D$2:$D1000, 'Go Base Stats'!$A$2:$A1000 = $A80) + 7.5)*(FILTER('Go Base Stats'!$E$2:$E1000, 'Go Base Stats'!$A$2:$A1000 = $A80) + 7.5)^0.5 / 10, 1)"),"15.9")</f>
        <v>15.9</v>
      </c>
      <c r="E80" s="0" t="str">
        <f aca="false">IFERROR(__xludf.dummyfunction("ROUND(0.00909003 * (FILTER('Go Base Stats'!$C$2:$C1000, 'Go Base Stats'!$A$2:$A1000 = $A80)+15)^0.5 *(FILTER('Go Base Stats'!$D$2:$D1000, 'Go Base Stats'!$A$2:$A1000 = $A80) +15)*(FILTER('Go Base Stats'!$E$2:$E1000, 'Go Base Stats'!$A$2:$A1000 = $A80) + 15)^0.5 / 10, 1)"),"17.7")</f>
        <v>17.7</v>
      </c>
      <c r="F80" s="6"/>
      <c r="G80" s="6" t="str">
        <f aca="false">IFERROR(__xludf.dummyfunction("FILTER('Base Stats'!$C$2:$C1000, LOWER('Base Stats'!$B$2:$B1000) = LOWER($B80))"),"90")</f>
        <v>90</v>
      </c>
      <c r="H80" s="0" t="str">
        <f aca="false">IFERROR(__xludf.dummyfunction("FLOOR((0.7903)^2 * (FILTER('Go Base Stats'!$C$2:$C1000, 'Go Base Stats'!$A$2:$A1000 = $A80)+15)^0.5 *(FILTER('Go Base Stats'!$D$2:$D1000, 'Go Base Stats'!$A$2:$A1000 = $A80) +15)*(FILTER('Go Base Stats'!$E$2:$E1000, 'Go Base Stats'!$A$2:$A1000 = $A80) + 15)^0.5 / 10)"),"1218")</f>
        <v>1218</v>
      </c>
      <c r="I80" s="0" t="str">
        <f aca="false">IFERROR(__xludf.dummyfunction("FLOOR(0.7903* (FILTER('Go Base Stats'!$C$2:$C1000, 'Go Base Stats'!$A$2:$A1000 = $A80)+15))"),"154")</f>
        <v>154</v>
      </c>
      <c r="J80" s="17"/>
      <c r="K80" s="17"/>
      <c r="L80" s="17"/>
      <c r="M80" s="12" t="n">
        <f aca="false">IF(NOT(ISBLANK($R80)), $R80, IF(ROUND($P80, 1) = 0, "", ROUND($P80, 1) ))</f>
        <v>16</v>
      </c>
      <c r="N80" s="13" t="n">
        <f aca="false">ABS(M80-D80)/M80</f>
        <v>0.00624999999999998</v>
      </c>
      <c r="P80" s="14" t="e">
        <f aca="false">IFERROR((U80+V80)/(W80+X80))</f>
        <v>#VALUE!</v>
      </c>
      <c r="Q8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LOWER($B80)))
)"),"")</f>
        <v/>
      </c>
      <c r="R80" s="16" t="n">
        <v>16</v>
      </c>
      <c r="U80" s="0" t="str">
        <f aca="false">IFERROR(__xludf.dummyfunction("IFERROR(SUM(FILTER('Form Responses (Power-up data)'!$C$2:$C1000, LOWER('Form Responses (Power-up data)'!$B$2:$B1000) = LOWER($B80))), 0)"),"0")</f>
        <v>0</v>
      </c>
      <c r="V8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LOWER($B80))
),0)"),"0")</f>
        <v>0</v>
      </c>
      <c r="W80" s="0" t="str">
        <f aca="false">IFERROR(__xludf.dummyfunction("COUNT(FILTER('Form Responses (Power-up data)'!$C$2:$C1000, LOWER('Form Responses (Power-up data)'!$B$2:$B1000) = LOWER($B80)))"),"0")</f>
        <v>0</v>
      </c>
      <c r="X8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LOWER($B80)))"),"0")</f>
        <v>0</v>
      </c>
      <c r="Y8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LOWER($B80))), 2)))"),"/")</f>
        <v>/</v>
      </c>
    </row>
    <row r="81" customFormat="false" ht="15.75" hidden="false" customHeight="false" outlineLevel="0" collapsed="false">
      <c r="A81" s="10" t="n">
        <v>80</v>
      </c>
      <c r="B81" s="1" t="s">
        <v>99</v>
      </c>
      <c r="C81" s="0" t="str">
        <f aca="false">IFERROR(__xludf.dummyfunction("ROUND(0.00909003 * (FILTER('Go Base Stats'!$C$2:$C1000, 'Go Base Stats'!$A$2:$A1000 = $A81))^0.5 *(FILTER('Go Base Stats'!$D$2:$D1000, 'Go Base Stats'!$A$2:$A1000 = $A81))*(FILTER('Go Base Stats'!$E$2:$E1000, 'Go Base Stats'!$A$2:$A1000 = $A81))^0.5 / 10, 1)"),"32.4")</f>
        <v>32.4</v>
      </c>
      <c r="D81" s="0" t="str">
        <f aca="false">IFERROR(__xludf.dummyfunction("ROUND(0.00909003 * (FILTER('Go Base Stats'!$C$2:$C1000, 'Go Base Stats'!$A$2:$A1000 = $A81)+7.5)^0.5 *(FILTER('Go Base Stats'!$D$2:$D1000, 'Go Base Stats'!$A$2:$A1000 = $A81) + 7.5)*(FILTER('Go Base Stats'!$E$2:$E1000, 'Go Base Stats'!$A$2:$A1000 = $A81) + 7.5)^0.5 / 10, 1)"),"35.1")</f>
        <v>35.1</v>
      </c>
      <c r="E81" s="0" t="str">
        <f aca="false">IFERROR(__xludf.dummyfunction("ROUND(0.00909003 * (FILTER('Go Base Stats'!$C$2:$C1000, 'Go Base Stats'!$A$2:$A1000 = $A81)+15)^0.5 *(FILTER('Go Base Stats'!$D$2:$D1000, 'Go Base Stats'!$A$2:$A1000 = $A81) +15)*(FILTER('Go Base Stats'!$E$2:$E1000, 'Go Base Stats'!$A$2:$A1000 = $A81) + 15)^0.5 / 10, 1)"),"37.8")</f>
        <v>37.8</v>
      </c>
      <c r="F81" s="6" t="str">
        <f aca="false">ROUND(D81/D80, 1)</f>
        <v>2.2</v>
      </c>
      <c r="G81" s="6" t="str">
        <f aca="false">IFERROR(__xludf.dummyfunction("FILTER('Base Stats'!$C$2:$C1000, LOWER('Base Stats'!$B$2:$B1000) = LOWER($B81))"),"95")</f>
        <v>95</v>
      </c>
      <c r="H81" s="0" t="str">
        <f aca="false">IFERROR(__xludf.dummyfunction("FLOOR((0.7903)^2 * (FILTER('Go Base Stats'!$C$2:$C1000, 'Go Base Stats'!$A$2:$A1000 = $A81)+15)^0.5 *(FILTER('Go Base Stats'!$D$2:$D1000, 'Go Base Stats'!$A$2:$A1000 = $A81) +15)*(FILTER('Go Base Stats'!$E$2:$E1000, 'Go Base Stats'!$A$2:$A1000 = $A81) + 15)^0.5 / 10)"),"2597")</f>
        <v>2597</v>
      </c>
      <c r="I81" s="0" t="str">
        <f aca="false">IFERROR(__xludf.dummyfunction("FLOOR(0.7903* (FILTER('Go Base Stats'!$C$2:$C1000, 'Go Base Stats'!$A$2:$A1000 = $A81)+15))"),"162")</f>
        <v>162</v>
      </c>
      <c r="J81" s="17"/>
      <c r="K81" s="17"/>
      <c r="L81" s="17"/>
      <c r="M81" s="12" t="e">
        <f aca="false">IF(NOT(ISBLANK($R81)), $R81, IF(ROUND($P81, 1) = 0, "", ROUND($P81, 1) ))</f>
        <v>#VALUE!</v>
      </c>
      <c r="N81" s="13" t="e">
        <f aca="false">ABS(M81-D81)/M81</f>
        <v>#VALUE!</v>
      </c>
      <c r="P81" s="14" t="e">
        <f aca="false">IFERROR((U81+V81)/(W81+X81))</f>
        <v>#VALUE!</v>
      </c>
      <c r="Q8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LOWER($B81)))
)"),"")</f>
        <v/>
      </c>
      <c r="R81" s="16"/>
      <c r="U81" s="0" t="str">
        <f aca="false">IFERROR(__xludf.dummyfunction("IFERROR(SUM(FILTER('Form Responses (Power-up data)'!$C$2:$C1000, LOWER('Form Responses (Power-up data)'!$B$2:$B1000) = LOWER($B81))), 0)"),"0")</f>
        <v>0</v>
      </c>
      <c r="V8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LOWER($B81))
),0)"),"211")</f>
        <v>211</v>
      </c>
      <c r="W81" s="0" t="str">
        <f aca="false">IFERROR(__xludf.dummyfunction("COUNT(FILTER('Form Responses (Power-up data)'!$C$2:$C1000, LOWER('Form Responses (Power-up data)'!$B$2:$B1000) = LOWER($B81)))"),"0")</f>
        <v>0</v>
      </c>
      <c r="X8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LOWER($B81)))"),"6")</f>
        <v>6</v>
      </c>
      <c r="Y8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LOWER($B81))), 2)))"),"/")</f>
        <v>/</v>
      </c>
    </row>
    <row r="82" customFormat="false" ht="15.75" hidden="false" customHeight="false" outlineLevel="0" collapsed="false">
      <c r="A82" s="10" t="n">
        <v>81</v>
      </c>
      <c r="B82" s="1" t="s">
        <v>100</v>
      </c>
      <c r="C82" s="0" t="str">
        <f aca="false">IFERROR(__xludf.dummyfunction("ROUND(0.00909003 * (FILTER('Go Base Stats'!$C$2:$C1000, 'Go Base Stats'!$A$2:$A1000 = $A82))^0.5 *(FILTER('Go Base Stats'!$D$2:$D1000, 'Go Base Stats'!$A$2:$A1000 = $A82))*(FILTER('Go Base Stats'!$E$2:$E1000, 'Go Base Stats'!$A$2:$A1000 = $A82))^0.5 / 10, 1)"),"9.7")</f>
        <v>9.7</v>
      </c>
      <c r="D82" s="0" t="str">
        <f aca="false">IFERROR(__xludf.dummyfunction("ROUND(0.00909003 * (FILTER('Go Base Stats'!$C$2:$C1000, 'Go Base Stats'!$A$2:$A1000 = $A82)+7.5)^0.5 *(FILTER('Go Base Stats'!$D$2:$D1000, 'Go Base Stats'!$A$2:$A1000 = $A82) + 7.5)*(FILTER('Go Base Stats'!$E$2:$E1000, 'Go Base Stats'!$A$2:$A1000 = $A82) + 7.5)^0.5 / 10, 1)"),"11.3")</f>
        <v>11.3</v>
      </c>
      <c r="E82" s="0" t="str">
        <f aca="false">IFERROR(__xludf.dummyfunction("ROUND(0.00909003 * (FILTER('Go Base Stats'!$C$2:$C1000, 'Go Base Stats'!$A$2:$A1000 = $A82)+15)^0.5 *(FILTER('Go Base Stats'!$D$2:$D1000, 'Go Base Stats'!$A$2:$A1000 = $A82) +15)*(FILTER('Go Base Stats'!$E$2:$E1000, 'Go Base Stats'!$A$2:$A1000 = $A82) + 15)^0.5 / 10, 1)"),"13")</f>
        <v>13</v>
      </c>
      <c r="F82" s="6"/>
      <c r="G82" s="6" t="str">
        <f aca="false">IFERROR(__xludf.dummyfunction("FILTER('Base Stats'!$C$2:$C1000, LOWER('Base Stats'!$B$2:$B1000) = LOWER($B82))"),"25")</f>
        <v>25</v>
      </c>
      <c r="H82" s="0" t="str">
        <f aca="false">IFERROR(__xludf.dummyfunction("FLOOR((0.7903)^2 * (FILTER('Go Base Stats'!$C$2:$C1000, 'Go Base Stats'!$A$2:$A1000 = $A82)+15)^0.5 *(FILTER('Go Base Stats'!$D$2:$D1000, 'Go Base Stats'!$A$2:$A1000 = $A82) +15)*(FILTER('Go Base Stats'!$E$2:$E1000, 'Go Base Stats'!$A$2:$A1000 = $A82) + 15)^0.5 / 10)"),"890")</f>
        <v>890</v>
      </c>
      <c r="I82" s="0" t="str">
        <f aca="false">IFERROR(__xludf.dummyfunction("FLOOR(0.7903* (FILTER('Go Base Stats'!$C$2:$C1000, 'Go Base Stats'!$A$2:$A1000 = $A82)+15))"),"51")</f>
        <v>51</v>
      </c>
      <c r="J82" s="17"/>
      <c r="K82" s="17"/>
      <c r="L82" s="17"/>
      <c r="M82" s="12" t="e">
        <f aca="false">IF(NOT(ISBLANK($R82)), $R82, IF(ROUND($P82, 1) = 0, "", ROUND($P82, 1) ))</f>
        <v>#VALUE!</v>
      </c>
      <c r="N82" s="13" t="e">
        <f aca="false">ABS(M82-D82)/M82</f>
        <v>#VALUE!</v>
      </c>
      <c r="P82" s="14" t="e">
        <f aca="false">IFERROR((U82+V82)/(W82+X82))</f>
        <v>#VALUE!</v>
      </c>
      <c r="Q8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LOWER($B82)))
)"),"")</f>
        <v/>
      </c>
      <c r="R82" s="16"/>
      <c r="U82" s="0" t="str">
        <f aca="false">IFERROR(__xludf.dummyfunction("IFERROR(SUM(FILTER('Form Responses (Power-up data)'!$C$2:$C1000, LOWER('Form Responses (Power-up data)'!$B$2:$B1000) = LOWER($B82))), 0)"),"0")</f>
        <v>0</v>
      </c>
      <c r="V8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LOWER($B82))
),0)"),"12")</f>
        <v>12</v>
      </c>
      <c r="W82" s="0" t="str">
        <f aca="false">IFERROR(__xludf.dummyfunction("COUNT(FILTER('Form Responses (Power-up data)'!$C$2:$C1000, LOWER('Form Responses (Power-up data)'!$B$2:$B1000) = LOWER($B82)))"),"0")</f>
        <v>0</v>
      </c>
      <c r="X8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LOWER($B82)))"),"1")</f>
        <v>1</v>
      </c>
      <c r="Y8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LOWER($B82))), 2)))"),"/")</f>
        <v>/</v>
      </c>
    </row>
    <row r="83" customFormat="false" ht="15.75" hidden="false" customHeight="false" outlineLevel="0" collapsed="false">
      <c r="A83" s="10" t="n">
        <v>82</v>
      </c>
      <c r="B83" s="1" t="s">
        <v>101</v>
      </c>
      <c r="C83" s="0" t="str">
        <f aca="false">IFERROR(__xludf.dummyfunction("ROUND(0.00909003 * (FILTER('Go Base Stats'!$C$2:$C1000, 'Go Base Stats'!$A$2:$A1000 = $A83))^0.5 *(FILTER('Go Base Stats'!$D$2:$D1000, 'Go Base Stats'!$A$2:$A1000 = $A83))*(FILTER('Go Base Stats'!$E$2:$E1000, 'Go Base Stats'!$A$2:$A1000 = $A83))^0.5 / 10, 1)"),"22.7")</f>
        <v>22.7</v>
      </c>
      <c r="D83" s="0" t="str">
        <f aca="false">IFERROR(__xludf.dummyfunction("ROUND(0.00909003 * (FILTER('Go Base Stats'!$C$2:$C1000, 'Go Base Stats'!$A$2:$A1000 = $A83)+7.5)^0.5 *(FILTER('Go Base Stats'!$D$2:$D1000, 'Go Base Stats'!$A$2:$A1000 = $A83) + 7.5)*(FILTER('Go Base Stats'!$E$2:$E1000, 'Go Base Stats'!$A$2:$A1000 = $A83) + 7.5)^0.5 / 10, 1)"),"25")</f>
        <v>25</v>
      </c>
      <c r="E83" s="0" t="str">
        <f aca="false">IFERROR(__xludf.dummyfunction("ROUND(0.00909003 * (FILTER('Go Base Stats'!$C$2:$C1000, 'Go Base Stats'!$A$2:$A1000 = $A83)+15)^0.5 *(FILTER('Go Base Stats'!$D$2:$D1000, 'Go Base Stats'!$A$2:$A1000 = $A83) +15)*(FILTER('Go Base Stats'!$E$2:$E1000, 'Go Base Stats'!$A$2:$A1000 = $A83) + 15)^0.5 / 10, 1)"),"27.4")</f>
        <v>27.4</v>
      </c>
      <c r="F83" s="6" t="str">
        <f aca="false">ROUND(D83/D82, 1)</f>
        <v>2.2</v>
      </c>
      <c r="G83" s="6" t="str">
        <f aca="false">IFERROR(__xludf.dummyfunction("FILTER('Base Stats'!$C$2:$C1000, LOWER('Base Stats'!$B$2:$B1000) = LOWER($B83))"),"50")</f>
        <v>50</v>
      </c>
      <c r="H83" s="0" t="str">
        <f aca="false">IFERROR(__xludf.dummyfunction("FLOOR((0.7903)^2 * (FILTER('Go Base Stats'!$C$2:$C1000, 'Go Base Stats'!$A$2:$A1000 = $A83)+15)^0.5 *(FILTER('Go Base Stats'!$D$2:$D1000, 'Go Base Stats'!$A$2:$A1000 = $A83) +15)*(FILTER('Go Base Stats'!$E$2:$E1000, 'Go Base Stats'!$A$2:$A1000 = $A83) + 15)^0.5 / 10)"),"1879")</f>
        <v>1879</v>
      </c>
      <c r="I83" s="0" t="str">
        <f aca="false">IFERROR(__xludf.dummyfunction("FLOOR(0.7903* (FILTER('Go Base Stats'!$C$2:$C1000, 'Go Base Stats'!$A$2:$A1000 = $A83)+15))"),"90")</f>
        <v>90</v>
      </c>
      <c r="J83" s="17"/>
      <c r="K83" s="17"/>
      <c r="L83" s="17"/>
      <c r="M83" s="12" t="e">
        <f aca="false">IF(NOT(ISBLANK($R83)), $R83, IF(ROUND($P83, 1) = 0, "", ROUND($P83, 1) ))</f>
        <v>#VALUE!</v>
      </c>
      <c r="N83" s="13" t="e">
        <f aca="false">ABS(M83-D83)/M83</f>
        <v>#VALUE!</v>
      </c>
      <c r="P83" s="14" t="e">
        <f aca="false">IFERROR((U83+V83)/(W83+X83))</f>
        <v>#VALUE!</v>
      </c>
      <c r="Q8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LOWER($B83)))
)"),"")</f>
        <v/>
      </c>
      <c r="R83" s="16"/>
      <c r="U83" s="0" t="str">
        <f aca="false">IFERROR(__xludf.dummyfunction("IFERROR(SUM(FILTER('Form Responses (Power-up data)'!$C$2:$C1000, LOWER('Form Responses (Power-up data)'!$B$2:$B1000) = LOWER($B83))), 0)"),"0")</f>
        <v>0</v>
      </c>
      <c r="V8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LOWER($B83))
),0)"),"50")</f>
        <v>50</v>
      </c>
      <c r="W83" s="0" t="str">
        <f aca="false">IFERROR(__xludf.dummyfunction("COUNT(FILTER('Form Responses (Power-up data)'!$C$2:$C1000, LOWER('Form Responses (Power-up data)'!$B$2:$B1000) = LOWER($B83)))"),"0")</f>
        <v>0</v>
      </c>
      <c r="X8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LOWER($B83)))"),"2")</f>
        <v>2</v>
      </c>
      <c r="Y8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LOWER($B83))), 2)))"),"/")</f>
        <v>/</v>
      </c>
    </row>
    <row r="84" customFormat="false" ht="15.75" hidden="false" customHeight="false" outlineLevel="0" collapsed="false">
      <c r="A84" s="10" t="n">
        <v>83</v>
      </c>
      <c r="B84" s="1" t="s">
        <v>102</v>
      </c>
      <c r="C84" s="0" t="str">
        <f aca="false">IFERROR(__xludf.dummyfunction("ROUND(0.00909003 * (FILTER('Go Base Stats'!$C$2:$C1000, 'Go Base Stats'!$A$2:$A1000 = $A84))^0.5 *(FILTER('Go Base Stats'!$D$2:$D1000, 'Go Base Stats'!$A$2:$A1000 = $A84))*(FILTER('Go Base Stats'!$E$2:$E1000, 'Go Base Stats'!$A$2:$A1000 = $A84))^0.5 / 10, 1)"),"14.7")</f>
        <v>14.7</v>
      </c>
      <c r="D84" s="0" t="str">
        <f aca="false">IFERROR(__xludf.dummyfunction("ROUND(0.00909003 * (FILTER('Go Base Stats'!$C$2:$C1000, 'Go Base Stats'!$A$2:$A1000 = $A84)+7.5)^0.5 *(FILTER('Go Base Stats'!$D$2:$D1000, 'Go Base Stats'!$A$2:$A1000 = $A84) + 7.5)*(FILTER('Go Base Stats'!$E$2:$E1000, 'Go Base Stats'!$A$2:$A1000 = $A84) + 7.5)^0.5 / 10, 1)"),"16.5")</f>
        <v>16.5</v>
      </c>
      <c r="E84" s="0" t="str">
        <f aca="false">IFERROR(__xludf.dummyfunction("ROUND(0.00909003 * (FILTER('Go Base Stats'!$C$2:$C1000, 'Go Base Stats'!$A$2:$A1000 = $A84)+15)^0.5 *(FILTER('Go Base Stats'!$D$2:$D1000, 'Go Base Stats'!$A$2:$A1000 = $A84) +15)*(FILTER('Go Base Stats'!$E$2:$E1000, 'Go Base Stats'!$A$2:$A1000 = $A84) + 15)^0.5 / 10, 1)"),"18.4")</f>
        <v>18.4</v>
      </c>
      <c r="F84" s="6"/>
      <c r="G84" s="6" t="str">
        <f aca="false">IFERROR(__xludf.dummyfunction("FILTER('Base Stats'!$C$2:$C1000, LOWER('Base Stats'!$B$2:$B1000) = LOWER($B84))"),"52")</f>
        <v>52</v>
      </c>
      <c r="H84" s="0" t="str">
        <f aca="false">IFERROR(__xludf.dummyfunction("FLOOR((0.7903)^2 * (FILTER('Go Base Stats'!$C$2:$C1000, 'Go Base Stats'!$A$2:$A1000 = $A84)+15)^0.5 *(FILTER('Go Base Stats'!$D$2:$D1000, 'Go Base Stats'!$A$2:$A1000 = $A84) +15)*(FILTER('Go Base Stats'!$E$2:$E1000, 'Go Base Stats'!$A$2:$A1000 = $A84) + 15)^0.5 / 10)"),"1263")</f>
        <v>1263</v>
      </c>
      <c r="I84" s="0" t="str">
        <f aca="false">IFERROR(__xludf.dummyfunction("FLOOR(0.7903* (FILTER('Go Base Stats'!$C$2:$C1000, 'Go Base Stats'!$A$2:$A1000 = $A84)+15))"),"94")</f>
        <v>94</v>
      </c>
      <c r="J84" s="17"/>
      <c r="K84" s="17"/>
      <c r="L84" s="17"/>
      <c r="M84" s="12" t="e">
        <f aca="false">IF(NOT(ISBLANK($R84)), $R84, IF(ROUND($P84, 1) = 0, "", ROUND($P84, 1) ))</f>
        <v>#VALUE!</v>
      </c>
      <c r="N84" s="13" t="e">
        <f aca="false">ABS(M84-D84)/M84</f>
        <v>#VALUE!</v>
      </c>
      <c r="P84" s="14" t="e">
        <f aca="false">IFERROR((U84+V84)/(W84+X84))</f>
        <v>#VALUE!</v>
      </c>
      <c r="Q8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LOWER($B84)))
)"),"")</f>
        <v/>
      </c>
      <c r="R84" s="16"/>
      <c r="U84" s="0" t="str">
        <f aca="false">IFERROR(__xludf.dummyfunction("IFERROR(SUM(FILTER('Form Responses (Power-up data)'!$C$2:$C1000, LOWER('Form Responses (Power-up data)'!$B$2:$B1000) = LOWER($B84))), 0)"),"0")</f>
        <v>0</v>
      </c>
      <c r="V8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LOWER($B84))
),0)"),"0")</f>
        <v>0</v>
      </c>
      <c r="W84" s="0" t="str">
        <f aca="false">IFERROR(__xludf.dummyfunction("COUNT(FILTER('Form Responses (Power-up data)'!$C$2:$C1000, LOWER('Form Responses (Power-up data)'!$B$2:$B1000) = LOWER($B84)))"),"0")</f>
        <v>0</v>
      </c>
      <c r="X8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LOWER($B84)))"),"0")</f>
        <v>0</v>
      </c>
      <c r="Y8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LOWER($B84))), 2)))"),"/")</f>
        <v>/</v>
      </c>
    </row>
    <row r="85" customFormat="false" ht="15.75" hidden="false" customHeight="false" outlineLevel="0" collapsed="false">
      <c r="A85" s="10" t="n">
        <v>84</v>
      </c>
      <c r="B85" s="1" t="s">
        <v>103</v>
      </c>
      <c r="C85" s="0" t="str">
        <f aca="false">IFERROR(__xludf.dummyfunction("ROUND(0.00909003 * (FILTER('Go Base Stats'!$C$2:$C1000, 'Go Base Stats'!$A$2:$A1000 = $A85))^0.5 *(FILTER('Go Base Stats'!$D$2:$D1000, 'Go Base Stats'!$A$2:$A1000 = $A85))*(FILTER('Go Base Stats'!$E$2:$E1000, 'Go Base Stats'!$A$2:$A1000 = $A85))^0.5 / 10, 1)"),"9.4")</f>
        <v>9.4</v>
      </c>
      <c r="D85" s="0" t="str">
        <f aca="false">IFERROR(__xludf.dummyfunction("ROUND(0.00909003 * (FILTER('Go Base Stats'!$C$2:$C1000, 'Go Base Stats'!$A$2:$A1000 = $A85)+7.5)^0.5 *(FILTER('Go Base Stats'!$D$2:$D1000, 'Go Base Stats'!$A$2:$A1000 = $A85) + 7.5)*(FILTER('Go Base Stats'!$E$2:$E1000, 'Go Base Stats'!$A$2:$A1000 = $A85) + 7.5)^0.5 / 10, 1)"),"10.9")</f>
        <v>10.9</v>
      </c>
      <c r="E85" s="0" t="str">
        <f aca="false">IFERROR(__xludf.dummyfunction("ROUND(0.00909003 * (FILTER('Go Base Stats'!$C$2:$C1000, 'Go Base Stats'!$A$2:$A1000 = $A85)+15)^0.5 *(FILTER('Go Base Stats'!$D$2:$D1000, 'Go Base Stats'!$A$2:$A1000 = $A85) +15)*(FILTER('Go Base Stats'!$E$2:$E1000, 'Go Base Stats'!$A$2:$A1000 = $A85) + 15)^0.5 / 10, 1)"),"12.4")</f>
        <v>12.4</v>
      </c>
      <c r="F85" s="6"/>
      <c r="G85" s="6" t="str">
        <f aca="false">IFERROR(__xludf.dummyfunction("FILTER('Base Stats'!$C$2:$C1000, LOWER('Base Stats'!$B$2:$B1000) = LOWER($B85))"),"35")</f>
        <v>35</v>
      </c>
      <c r="H85" s="0" t="str">
        <f aca="false">IFERROR(__xludf.dummyfunction("FLOOR((0.7903)^2 * (FILTER('Go Base Stats'!$C$2:$C1000, 'Go Base Stats'!$A$2:$A1000 = $A85)+15)^0.5 *(FILTER('Go Base Stats'!$D$2:$D1000, 'Go Base Stats'!$A$2:$A1000 = $A85) +15)*(FILTER('Go Base Stats'!$E$2:$E1000, 'Go Base Stats'!$A$2:$A1000 = $A85) + 15)^0.5 / 10)"),"855")</f>
        <v>855</v>
      </c>
      <c r="I85" s="0" t="str">
        <f aca="false">IFERROR(__xludf.dummyfunction("FLOOR(0.7903* (FILTER('Go Base Stats'!$C$2:$C1000, 'Go Base Stats'!$A$2:$A1000 = $A85)+15))"),"67")</f>
        <v>67</v>
      </c>
      <c r="J85" s="17"/>
      <c r="K85" s="17"/>
      <c r="L85" s="17"/>
      <c r="M85" s="12" t="n">
        <f aca="false">IF(NOT(ISBLANK($R85)), $R85, IF(ROUND($P85, 1) = 0, "", ROUND($P85, 1) ))</f>
        <v>12</v>
      </c>
      <c r="N85" s="13" t="n">
        <f aca="false">ABS(M85-D85)/M85</f>
        <v>0.0916666666666666</v>
      </c>
      <c r="P85" s="14" t="e">
        <f aca="false">IFERROR((U85+V85)/(W85+X85))</f>
        <v>#VALUE!</v>
      </c>
      <c r="Q8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LOWER($B85)))
)"),"")</f>
        <v/>
      </c>
      <c r="R85" s="16" t="n">
        <v>12</v>
      </c>
      <c r="U85" s="0" t="str">
        <f aca="false">IFERROR(__xludf.dummyfunction("IFERROR(SUM(FILTER('Form Responses (Power-up data)'!$C$2:$C1000, LOWER('Form Responses (Power-up data)'!$B$2:$B1000) = LOWER($B85))), 0)"),"0")</f>
        <v>0</v>
      </c>
      <c r="V8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LOWER($B85))
),0)"),"31")</f>
        <v>31</v>
      </c>
      <c r="W85" s="0" t="str">
        <f aca="false">IFERROR(__xludf.dummyfunction("COUNT(FILTER('Form Responses (Power-up data)'!$C$2:$C1000, LOWER('Form Responses (Power-up data)'!$B$2:$B1000) = LOWER($B85)))"),"0")</f>
        <v>0</v>
      </c>
      <c r="X8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LOWER($B85)))"),"3")</f>
        <v>3</v>
      </c>
      <c r="Y8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LOWER($B85))), 2)))"),"/")</f>
        <v>/</v>
      </c>
    </row>
    <row r="86" customFormat="false" ht="15.75" hidden="false" customHeight="false" outlineLevel="0" collapsed="false">
      <c r="A86" s="10" t="n">
        <v>85</v>
      </c>
      <c r="B86" s="1" t="s">
        <v>104</v>
      </c>
      <c r="C86" s="0" t="str">
        <f aca="false">IFERROR(__xludf.dummyfunction("ROUND(0.00909003 * (FILTER('Go Base Stats'!$C$2:$C1000, 'Go Base Stats'!$A$2:$A1000 = $A86))^0.5 *(FILTER('Go Base Stats'!$D$2:$D1000, 'Go Base Stats'!$A$2:$A1000 = $A86))*(FILTER('Go Base Stats'!$E$2:$E1000, 'Go Base Stats'!$A$2:$A1000 = $A86))^0.5 / 10, 1)"),"22.2")</f>
        <v>22.2</v>
      </c>
      <c r="D86" s="0" t="str">
        <f aca="false">IFERROR(__xludf.dummyfunction("ROUND(0.00909003 * (FILTER('Go Base Stats'!$C$2:$C1000, 'Go Base Stats'!$A$2:$A1000 = $A86)+7.5)^0.5 *(FILTER('Go Base Stats'!$D$2:$D1000, 'Go Base Stats'!$A$2:$A1000 = $A86) + 7.5)*(FILTER('Go Base Stats'!$E$2:$E1000, 'Go Base Stats'!$A$2:$A1000 = $A86) + 7.5)^0.5 / 10, 1)"),"24.4")</f>
        <v>24.4</v>
      </c>
      <c r="E86" s="0" t="str">
        <f aca="false">IFERROR(__xludf.dummyfunction("ROUND(0.00909003 * (FILTER('Go Base Stats'!$C$2:$C1000, 'Go Base Stats'!$A$2:$A1000 = $A86)+15)^0.5 *(FILTER('Go Base Stats'!$D$2:$D1000, 'Go Base Stats'!$A$2:$A1000 = $A86) +15)*(FILTER('Go Base Stats'!$E$2:$E1000, 'Go Base Stats'!$A$2:$A1000 = $A86) + 15)^0.5 / 10, 1)"),"26.7")</f>
        <v>26.7</v>
      </c>
      <c r="F86" s="6" t="str">
        <f aca="false">ROUND(D86/D85, 1)</f>
        <v>2.2</v>
      </c>
      <c r="G86" s="6" t="str">
        <f aca="false">IFERROR(__xludf.dummyfunction("FILTER('Base Stats'!$C$2:$C1000, LOWER('Base Stats'!$B$2:$B1000) = LOWER($B86))"),"60")</f>
        <v>60</v>
      </c>
      <c r="H86" s="0" t="str">
        <f aca="false">IFERROR(__xludf.dummyfunction("FLOOR((0.7903)^2 * (FILTER('Go Base Stats'!$C$2:$C1000, 'Go Base Stats'!$A$2:$A1000 = $A86)+15)^0.5 *(FILTER('Go Base Stats'!$D$2:$D1000, 'Go Base Stats'!$A$2:$A1000 = $A86) +15)*(FILTER('Go Base Stats'!$E$2:$E1000, 'Go Base Stats'!$A$2:$A1000 = $A86) + 15)^0.5 / 10)"),"1836")</f>
        <v>1836</v>
      </c>
      <c r="I86" s="0" t="str">
        <f aca="false">IFERROR(__xludf.dummyfunction("FLOOR(0.7903* (FILTER('Go Base Stats'!$C$2:$C1000, 'Go Base Stats'!$A$2:$A1000 = $A86)+15))"),"106")</f>
        <v>106</v>
      </c>
      <c r="J86" s="17"/>
      <c r="K86" s="17"/>
      <c r="L86" s="17"/>
      <c r="M86" s="12" t="n">
        <f aca="false">IF(NOT(ISBLANK($R86)), $R86, IF(ROUND($P86, 1) = 0, "", ROUND($P86, 1) ))</f>
        <v>24</v>
      </c>
      <c r="N86" s="13" t="n">
        <f aca="false">ABS(M86-D86)/M86</f>
        <v>0.0166666666666666</v>
      </c>
      <c r="P86" s="14" t="e">
        <f aca="false">IFERROR((U86+V86)/(W86+X86))</f>
        <v>#VALUE!</v>
      </c>
      <c r="Q8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LOWER($B86)))
)"),"1.938557792")</f>
        <v>1.938557792</v>
      </c>
      <c r="R86" s="16" t="n">
        <v>24</v>
      </c>
      <c r="U86" s="0" t="str">
        <f aca="false">IFERROR(__xludf.dummyfunction("IFERROR(SUM(FILTER('Form Responses (Power-up data)'!$C$2:$C1000, LOWER('Form Responses (Power-up data)'!$B$2:$B1000) = LOWER($B86))), 0)"),"0")</f>
        <v>0</v>
      </c>
      <c r="V8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LOWER($B86))
),0)"),"199")</f>
        <v>199</v>
      </c>
      <c r="W86" s="0" t="str">
        <f aca="false">IFERROR(__xludf.dummyfunction("COUNT(FILTER('Form Responses (Power-up data)'!$C$2:$C1000, LOWER('Form Responses (Power-up data)'!$B$2:$B1000) = LOWER($B86)))"),"0")</f>
        <v>0</v>
      </c>
      <c r="X8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LOWER($B86)))"),"8")</f>
        <v>8</v>
      </c>
      <c r="Y8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LOWER($B86))), 2)))"),"1.67/2.2")</f>
        <v>1.67/2.2</v>
      </c>
    </row>
    <row r="87" customFormat="false" ht="15.75" hidden="false" customHeight="false" outlineLevel="0" collapsed="false">
      <c r="A87" s="10" t="n">
        <v>86</v>
      </c>
      <c r="B87" s="1" t="s">
        <v>105</v>
      </c>
      <c r="C87" s="0" t="str">
        <f aca="false">IFERROR(__xludf.dummyfunction("ROUND(0.00909003 * (FILTER('Go Base Stats'!$C$2:$C1000, 'Go Base Stats'!$A$2:$A1000 = $A87))^0.5 *(FILTER('Go Base Stats'!$D$2:$D1000, 'Go Base Stats'!$A$2:$A1000 = $A87))*(FILTER('Go Base Stats'!$E$2:$E1000, 'Go Base Stats'!$A$2:$A1000 = $A87))^0.5 / 10, 1)"),"12.7")</f>
        <v>12.7</v>
      </c>
      <c r="D87" s="0" t="str">
        <f aca="false">IFERROR(__xludf.dummyfunction("ROUND(0.00909003 * (FILTER('Go Base Stats'!$C$2:$C1000, 'Go Base Stats'!$A$2:$A1000 = $A87)+7.5)^0.5 *(FILTER('Go Base Stats'!$D$2:$D1000, 'Go Base Stats'!$A$2:$A1000 = $A87) + 7.5)*(FILTER('Go Base Stats'!$E$2:$E1000, 'Go Base Stats'!$A$2:$A1000 = $A87) + 7.5)^0.5 / 10, 1)"),"14.3")</f>
        <v>14.3</v>
      </c>
      <c r="E87" s="0" t="str">
        <f aca="false">IFERROR(__xludf.dummyfunction("ROUND(0.00909003 * (FILTER('Go Base Stats'!$C$2:$C1000, 'Go Base Stats'!$A$2:$A1000 = $A87)+15)^0.5 *(FILTER('Go Base Stats'!$D$2:$D1000, 'Go Base Stats'!$A$2:$A1000 = $A87) +15)*(FILTER('Go Base Stats'!$E$2:$E1000, 'Go Base Stats'!$A$2:$A1000 = $A87) + 15)^0.5 / 10, 1)"),"16.1")</f>
        <v>16.1</v>
      </c>
      <c r="F87" s="6"/>
      <c r="G87" s="6" t="str">
        <f aca="false">IFERROR(__xludf.dummyfunction("FILTER('Base Stats'!$C$2:$C1000, LOWER('Base Stats'!$B$2:$B1000) = LOWER($B87))"),"65")</f>
        <v>65</v>
      </c>
      <c r="H87" s="0" t="str">
        <f aca="false">IFERROR(__xludf.dummyfunction("FLOOR((0.7903)^2 * (FILTER('Go Base Stats'!$C$2:$C1000, 'Go Base Stats'!$A$2:$A1000 = $A87)+15)^0.5 *(FILTER('Go Base Stats'!$D$2:$D1000, 'Go Base Stats'!$A$2:$A1000 = $A87) +15)*(FILTER('Go Base Stats'!$E$2:$E1000, 'Go Base Stats'!$A$2:$A1000 = $A87) + 15)^0.5 / 10)"),"1107")</f>
        <v>1107</v>
      </c>
      <c r="I87" s="0" t="str">
        <f aca="false">IFERROR(__xludf.dummyfunction("FLOOR(0.7903* (FILTER('Go Base Stats'!$C$2:$C1000, 'Go Base Stats'!$A$2:$A1000 = $A87)+15))"),"114")</f>
        <v>114</v>
      </c>
      <c r="J87" s="17"/>
      <c r="K87" s="17"/>
      <c r="L87" s="17"/>
      <c r="M87" s="12" t="e">
        <f aca="false">IF(NOT(ISBLANK($R87)), $R87, IF(ROUND($P87, 1) = 0, "", ROUND($P87, 1) ))</f>
        <v>#VALUE!</v>
      </c>
      <c r="N87" s="13" t="e">
        <f aca="false">ABS(M87-D87)/M87</f>
        <v>#VALUE!</v>
      </c>
      <c r="P87" s="14" t="e">
        <f aca="false">IFERROR((U87+V87)/(W87+X87))</f>
        <v>#VALUE!</v>
      </c>
      <c r="Q8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LOWER($B87)))
)"),"")</f>
        <v/>
      </c>
      <c r="R87" s="16"/>
      <c r="U87" s="0" t="str">
        <f aca="false">IFERROR(__xludf.dummyfunction("IFERROR(SUM(FILTER('Form Responses (Power-up data)'!$C$2:$C1000, LOWER('Form Responses (Power-up data)'!$B$2:$B1000) = LOWER($B87))), 0)"),"0")</f>
        <v>0</v>
      </c>
      <c r="V8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LOWER($B87))
),0)"),"48")</f>
        <v>48</v>
      </c>
      <c r="W87" s="0" t="str">
        <f aca="false">IFERROR(__xludf.dummyfunction("COUNT(FILTER('Form Responses (Power-up data)'!$C$2:$C1000, LOWER('Form Responses (Power-up data)'!$B$2:$B1000) = LOWER($B87)))"),"0")</f>
        <v>0</v>
      </c>
      <c r="X8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LOWER($B87)))"),"3")</f>
        <v>3</v>
      </c>
      <c r="Y8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LOWER($B87))), 2)))"),"/")</f>
        <v>/</v>
      </c>
    </row>
    <row r="88" customFormat="false" ht="15.75" hidden="false" customHeight="false" outlineLevel="0" collapsed="false">
      <c r="A88" s="10" t="n">
        <v>87</v>
      </c>
      <c r="B88" s="1" t="s">
        <v>106</v>
      </c>
      <c r="C88" s="0" t="str">
        <f aca="false">IFERROR(__xludf.dummyfunction("ROUND(0.00909003 * (FILTER('Go Base Stats'!$C$2:$C1000, 'Go Base Stats'!$A$2:$A1000 = $A88))^0.5 *(FILTER('Go Base Stats'!$D$2:$D1000, 'Go Base Stats'!$A$2:$A1000 = $A88))*(FILTER('Go Base Stats'!$E$2:$E1000, 'Go Base Stats'!$A$2:$A1000 = $A88))^0.5 / 10, 1)"),"26.4")</f>
        <v>26.4</v>
      </c>
      <c r="D88" s="0" t="str">
        <f aca="false">IFERROR(__xludf.dummyfunction("ROUND(0.00909003 * (FILTER('Go Base Stats'!$C$2:$C1000, 'Go Base Stats'!$A$2:$A1000 = $A88)+7.5)^0.5 *(FILTER('Go Base Stats'!$D$2:$D1000, 'Go Base Stats'!$A$2:$A1000 = $A88) + 7.5)*(FILTER('Go Base Stats'!$E$2:$E1000, 'Go Base Stats'!$A$2:$A1000 = $A88) + 7.5)^0.5 / 10, 1)"),"28.7")</f>
        <v>28.7</v>
      </c>
      <c r="E88" s="0" t="str">
        <f aca="false">IFERROR(__xludf.dummyfunction("ROUND(0.00909003 * (FILTER('Go Base Stats'!$C$2:$C1000, 'Go Base Stats'!$A$2:$A1000 = $A88)+15)^0.5 *(FILTER('Go Base Stats'!$D$2:$D1000, 'Go Base Stats'!$A$2:$A1000 = $A88) +15)*(FILTER('Go Base Stats'!$E$2:$E1000, 'Go Base Stats'!$A$2:$A1000 = $A88) + 15)^0.5 / 10, 1)"),"31.2")</f>
        <v>31.2</v>
      </c>
      <c r="F88" s="6" t="str">
        <f aca="false">ROUND(D88/D87, 1)</f>
        <v>2</v>
      </c>
      <c r="G88" s="6" t="str">
        <f aca="false">IFERROR(__xludf.dummyfunction("FILTER('Base Stats'!$C$2:$C1000, LOWER('Base Stats'!$B$2:$B1000) = LOWER($B88))"),"90")</f>
        <v>90</v>
      </c>
      <c r="H88" s="0" t="str">
        <f aca="false">IFERROR(__xludf.dummyfunction("FLOOR((0.7903)^2 * (FILTER('Go Base Stats'!$C$2:$C1000, 'Go Base Stats'!$A$2:$A1000 = $A88)+15)^0.5 *(FILTER('Go Base Stats'!$D$2:$D1000, 'Go Base Stats'!$A$2:$A1000 = $A88) +15)*(FILTER('Go Base Stats'!$E$2:$E1000, 'Go Base Stats'!$A$2:$A1000 = $A88) + 15)^0.5 / 10)"),"2145")</f>
        <v>2145</v>
      </c>
      <c r="I88" s="0" t="str">
        <f aca="false">IFERROR(__xludf.dummyfunction("FLOOR(0.7903* (FILTER('Go Base Stats'!$C$2:$C1000, 'Go Base Stats'!$A$2:$A1000 = $A88)+15))"),"154")</f>
        <v>154</v>
      </c>
      <c r="J88" s="17"/>
      <c r="K88" s="17"/>
      <c r="L88" s="17"/>
      <c r="M88" s="12" t="e">
        <f aca="false">IF(NOT(ISBLANK($R88)), $R88, IF(ROUND($P88, 1) = 0, "", ROUND($P88, 1) ))</f>
        <v>#VALUE!</v>
      </c>
      <c r="N88" s="13" t="e">
        <f aca="false">ABS(M88-D88)/M88</f>
        <v>#VALUE!</v>
      </c>
      <c r="P88" s="14" t="e">
        <f aca="false">IFERROR((U88+V88)/(W88+X88))</f>
        <v>#VALUE!</v>
      </c>
      <c r="Q8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LOWER($B88)))
)"),"")</f>
        <v/>
      </c>
      <c r="R88" s="16"/>
      <c r="U88" s="0" t="str">
        <f aca="false">IFERROR(__xludf.dummyfunction("IFERROR(SUM(FILTER('Form Responses (Power-up data)'!$C$2:$C1000, LOWER('Form Responses (Power-up data)'!$B$2:$B1000) = LOWER($B88))), 0)"),"0")</f>
        <v>0</v>
      </c>
      <c r="V8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LOWER($B88))
),0)"),"31")</f>
        <v>31</v>
      </c>
      <c r="W88" s="0" t="str">
        <f aca="false">IFERROR(__xludf.dummyfunction("COUNT(FILTER('Form Responses (Power-up data)'!$C$2:$C1000, LOWER('Form Responses (Power-up data)'!$B$2:$B1000) = LOWER($B88)))"),"0")</f>
        <v>0</v>
      </c>
      <c r="X8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LOWER($B88)))"),"1")</f>
        <v>1</v>
      </c>
      <c r="Y8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LOWER($B88))), 2)))"),"/")</f>
        <v>/</v>
      </c>
    </row>
    <row r="89" customFormat="false" ht="15.75" hidden="false" customHeight="false" outlineLevel="0" collapsed="false">
      <c r="A89" s="10" t="n">
        <v>88</v>
      </c>
      <c r="B89" s="1" t="s">
        <v>107</v>
      </c>
      <c r="C89" s="0" t="str">
        <f aca="false">IFERROR(__xludf.dummyfunction("ROUND(0.00909003 * (FILTER('Go Base Stats'!$C$2:$C1000, 'Go Base Stats'!$A$2:$A1000 = $A89))^0.5 *(FILTER('Go Base Stats'!$D$2:$D1000, 'Go Base Stats'!$A$2:$A1000 = $A89))*(FILTER('Go Base Stats'!$E$2:$E1000, 'Go Base Stats'!$A$2:$A1000 = $A89))^0.5 / 10, 1)"),"15")</f>
        <v>15</v>
      </c>
      <c r="D89" s="0" t="str">
        <f aca="false">IFERROR(__xludf.dummyfunction("ROUND(0.00909003 * (FILTER('Go Base Stats'!$C$2:$C1000, 'Go Base Stats'!$A$2:$A1000 = $A89)+7.5)^0.5 *(FILTER('Go Base Stats'!$D$2:$D1000, 'Go Base Stats'!$A$2:$A1000 = $A89) + 7.5)*(FILTER('Go Base Stats'!$E$2:$E1000, 'Go Base Stats'!$A$2:$A1000 = $A89) + 7.5)^0.5 / 10, 1)"),"16.8")</f>
        <v>16.8</v>
      </c>
      <c r="E89" s="0" t="str">
        <f aca="false">IFERROR(__xludf.dummyfunction("ROUND(0.00909003 * (FILTER('Go Base Stats'!$C$2:$C1000, 'Go Base Stats'!$A$2:$A1000 = $A89)+15)^0.5 *(FILTER('Go Base Stats'!$D$2:$D1000, 'Go Base Stats'!$A$2:$A1000 = $A89) +15)*(FILTER('Go Base Stats'!$E$2:$E1000, 'Go Base Stats'!$A$2:$A1000 = $A89) + 15)^0.5 / 10, 1)"),"18.7")</f>
        <v>18.7</v>
      </c>
      <c r="F89" s="6"/>
      <c r="G89" s="6" t="str">
        <f aca="false">IFERROR(__xludf.dummyfunction("FILTER('Base Stats'!$C$2:$C1000, LOWER('Base Stats'!$B$2:$B1000) = LOWER($B89))"),"80")</f>
        <v>80</v>
      </c>
      <c r="H89" s="0" t="str">
        <f aca="false">IFERROR(__xludf.dummyfunction("FLOOR((0.7903)^2 * (FILTER('Go Base Stats'!$C$2:$C1000, 'Go Base Stats'!$A$2:$A1000 = $A89)+15)^0.5 *(FILTER('Go Base Stats'!$D$2:$D1000, 'Go Base Stats'!$A$2:$A1000 = $A89) +15)*(FILTER('Go Base Stats'!$E$2:$E1000, 'Go Base Stats'!$A$2:$A1000 = $A89) + 15)^0.5 / 10)"),"1284")</f>
        <v>1284</v>
      </c>
      <c r="I89" s="0" t="str">
        <f aca="false">IFERROR(__xludf.dummyfunction("FLOOR(0.7903* (FILTER('Go Base Stats'!$C$2:$C1000, 'Go Base Stats'!$A$2:$A1000 = $A89)+15))"),"138")</f>
        <v>138</v>
      </c>
      <c r="J89" s="17"/>
      <c r="K89" s="17"/>
      <c r="L89" s="17"/>
      <c r="M89" s="12" t="n">
        <f aca="false">IF(NOT(ISBLANK($R89)), $R89, IF(ROUND($P89, 1) = 0, "", ROUND($P89, 1) ))</f>
        <v>17</v>
      </c>
      <c r="N89" s="13" t="n">
        <f aca="false">ABS(M89-D89)/M89</f>
        <v>0.0117647058823529</v>
      </c>
      <c r="P89" s="14" t="e">
        <f aca="false">IFERROR((U89+V89)/(W89+X89))</f>
        <v>#VALUE!</v>
      </c>
      <c r="Q8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LOWER($B89)))
)"),"")</f>
        <v/>
      </c>
      <c r="R89" s="16" t="n">
        <v>17</v>
      </c>
      <c r="U89" s="0" t="str">
        <f aca="false">IFERROR(__xludf.dummyfunction("IFERROR(SUM(FILTER('Form Responses (Power-up data)'!$C$2:$C1000, LOWER('Form Responses (Power-up data)'!$B$2:$B1000) = LOWER($B89))), 0)"),"0")</f>
        <v>0</v>
      </c>
      <c r="V8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LOWER($B89))
),0)"),"0")</f>
        <v>0</v>
      </c>
      <c r="W89" s="0" t="str">
        <f aca="false">IFERROR(__xludf.dummyfunction("COUNT(FILTER('Form Responses (Power-up data)'!$C$2:$C1000, LOWER('Form Responses (Power-up data)'!$B$2:$B1000) = LOWER($B89)))"),"0")</f>
        <v>0</v>
      </c>
      <c r="X8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LOWER($B89)))"),"0")</f>
        <v>0</v>
      </c>
      <c r="Y8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LOWER($B89))), 2)))"),"/")</f>
        <v>/</v>
      </c>
    </row>
    <row r="90" customFormat="false" ht="15.75" hidden="false" customHeight="false" outlineLevel="0" collapsed="false">
      <c r="A90" s="10" t="n">
        <v>89</v>
      </c>
      <c r="B90" s="1" t="s">
        <v>108</v>
      </c>
      <c r="C90" s="0" t="str">
        <f aca="false">IFERROR(__xludf.dummyfunction("ROUND(0.00909003 * (FILTER('Go Base Stats'!$C$2:$C1000, 'Go Base Stats'!$A$2:$A1000 = $A90))^0.5 *(FILTER('Go Base Stats'!$D$2:$D1000, 'Go Base Stats'!$A$2:$A1000 = $A90))*(FILTER('Go Base Stats'!$E$2:$E1000, 'Go Base Stats'!$A$2:$A1000 = $A90))^0.5 / 10, 1)"),"32.5")</f>
        <v>32.5</v>
      </c>
      <c r="D90" s="0" t="str">
        <f aca="false">IFERROR(__xludf.dummyfunction("ROUND(0.00909003 * (FILTER('Go Base Stats'!$C$2:$C1000, 'Go Base Stats'!$A$2:$A1000 = $A90)+7.5)^0.5 *(FILTER('Go Base Stats'!$D$2:$D1000, 'Go Base Stats'!$A$2:$A1000 = $A90) + 7.5)*(FILTER('Go Base Stats'!$E$2:$E1000, 'Go Base Stats'!$A$2:$A1000 = $A90) + 7.5)^0.5 / 10, 1)"),"35.1")</f>
        <v>35.1</v>
      </c>
      <c r="E90" s="0" t="str">
        <f aca="false">IFERROR(__xludf.dummyfunction("ROUND(0.00909003 * (FILTER('Go Base Stats'!$C$2:$C1000, 'Go Base Stats'!$A$2:$A1000 = $A90)+15)^0.5 *(FILTER('Go Base Stats'!$D$2:$D1000, 'Go Base Stats'!$A$2:$A1000 = $A90) +15)*(FILTER('Go Base Stats'!$E$2:$E1000, 'Go Base Stats'!$A$2:$A1000 = $A90) + 15)^0.5 / 10, 1)"),"37.9")</f>
        <v>37.9</v>
      </c>
      <c r="F90" s="6" t="str">
        <f aca="false">ROUND(D90/D89, 1)</f>
        <v>2.1</v>
      </c>
      <c r="G90" s="6" t="str">
        <f aca="false">IFERROR(__xludf.dummyfunction("FILTER('Base Stats'!$C$2:$C1000, LOWER('Base Stats'!$B$2:$B1000) = LOWER($B90))"),"105")</f>
        <v>105</v>
      </c>
      <c r="H90" s="0" t="str">
        <f aca="false">IFERROR(__xludf.dummyfunction("FLOOR((0.7903)^2 * (FILTER('Go Base Stats'!$C$2:$C1000, 'Go Base Stats'!$A$2:$A1000 = $A90)+15)^0.5 *(FILTER('Go Base Stats'!$D$2:$D1000, 'Go Base Stats'!$A$2:$A1000 = $A90) +15)*(FILTER('Go Base Stats'!$E$2:$E1000, 'Go Base Stats'!$A$2:$A1000 = $A90) + 15)^0.5 / 10)"),"2602")</f>
        <v>2602</v>
      </c>
      <c r="I90" s="0" t="str">
        <f aca="false">IFERROR(__xludf.dummyfunction("FLOOR(0.7903* (FILTER('Go Base Stats'!$C$2:$C1000, 'Go Base Stats'!$A$2:$A1000 = $A90)+15))"),"177")</f>
        <v>177</v>
      </c>
      <c r="J90" s="17"/>
      <c r="K90" s="17"/>
      <c r="L90" s="17"/>
      <c r="M90" s="12" t="e">
        <f aca="false">IF(NOT(ISBLANK($R90)), $R90, IF(ROUND($P90, 1) = 0, "", ROUND($P90, 1) ))</f>
        <v>#VALUE!</v>
      </c>
      <c r="N90" s="13" t="e">
        <f aca="false">ABS(M90-D90)/M90</f>
        <v>#VALUE!</v>
      </c>
      <c r="P90" s="14" t="e">
        <f aca="false">IFERROR((U90+V90)/(W90+X90))</f>
        <v>#VALUE!</v>
      </c>
      <c r="Q9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LOWER($B90)))
)"),"")</f>
        <v/>
      </c>
      <c r="R90" s="16"/>
      <c r="U90" s="0" t="str">
        <f aca="false">IFERROR(__xludf.dummyfunction("IFERROR(SUM(FILTER('Form Responses (Power-up data)'!$C$2:$C1000, LOWER('Form Responses (Power-up data)'!$B$2:$B1000) = LOWER($B90))), 0)"),"0")</f>
        <v>0</v>
      </c>
      <c r="V9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LOWER($B90))
),0)"),"38")</f>
        <v>38</v>
      </c>
      <c r="W90" s="0" t="str">
        <f aca="false">IFERROR(__xludf.dummyfunction("COUNT(FILTER('Form Responses (Power-up data)'!$C$2:$C1000, LOWER('Form Responses (Power-up data)'!$B$2:$B1000) = LOWER($B90)))"),"0")</f>
        <v>0</v>
      </c>
      <c r="X9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LOWER($B90)))"),"1")</f>
        <v>1</v>
      </c>
      <c r="Y9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LOWER($B90))), 2)))"),"/")</f>
        <v>/</v>
      </c>
    </row>
    <row r="91" customFormat="false" ht="15.75" hidden="false" customHeight="false" outlineLevel="0" collapsed="false">
      <c r="A91" s="10" t="n">
        <v>90</v>
      </c>
      <c r="B91" s="1" t="s">
        <v>109</v>
      </c>
      <c r="C91" s="0" t="str">
        <f aca="false">IFERROR(__xludf.dummyfunction("ROUND(0.00909003 * (FILTER('Go Base Stats'!$C$2:$C1000, 'Go Base Stats'!$A$2:$A1000 = $A91))^0.5 *(FILTER('Go Base Stats'!$D$2:$D1000, 'Go Base Stats'!$A$2:$A1000 = $A91))*(FILTER('Go Base Stats'!$E$2:$E1000, 'Go Base Stats'!$A$2:$A1000 = $A91))^0.5 / 10, 1)"),"8.9")</f>
        <v>8.9</v>
      </c>
      <c r="D91" s="0" t="str">
        <f aca="false">IFERROR(__xludf.dummyfunction("ROUND(0.00909003 * (FILTER('Go Base Stats'!$C$2:$C1000, 'Go Base Stats'!$A$2:$A1000 = $A91)+7.5)^0.5 *(FILTER('Go Base Stats'!$D$2:$D1000, 'Go Base Stats'!$A$2:$A1000 = $A91) + 7.5)*(FILTER('Go Base Stats'!$E$2:$E1000, 'Go Base Stats'!$A$2:$A1000 = $A91) + 7.5)^0.5 / 10, 1)"),"10.4")</f>
        <v>10.4</v>
      </c>
      <c r="E91" s="0" t="str">
        <f aca="false">IFERROR(__xludf.dummyfunction("ROUND(0.00909003 * (FILTER('Go Base Stats'!$C$2:$C1000, 'Go Base Stats'!$A$2:$A1000 = $A91)+15)^0.5 *(FILTER('Go Base Stats'!$D$2:$D1000, 'Go Base Stats'!$A$2:$A1000 = $A91) +15)*(FILTER('Go Base Stats'!$E$2:$E1000, 'Go Base Stats'!$A$2:$A1000 = $A91) + 15)^0.5 / 10, 1)"),"12")</f>
        <v>12</v>
      </c>
      <c r="F91" s="6"/>
      <c r="G91" s="6" t="str">
        <f aca="false">IFERROR(__xludf.dummyfunction("FILTER('Base Stats'!$C$2:$C1000, LOWER('Base Stats'!$B$2:$B1000) = LOWER($B91))"),"30")</f>
        <v>30</v>
      </c>
      <c r="H91" s="0" t="str">
        <f aca="false">IFERROR(__xludf.dummyfunction("FLOOR((0.7903)^2 * (FILTER('Go Base Stats'!$C$2:$C1000, 'Go Base Stats'!$A$2:$A1000 = $A91)+15)^0.5 *(FILTER('Go Base Stats'!$D$2:$D1000, 'Go Base Stats'!$A$2:$A1000 = $A91) +15)*(FILTER('Go Base Stats'!$E$2:$E1000, 'Go Base Stats'!$A$2:$A1000 = $A91) + 15)^0.5 / 10)"),"822")</f>
        <v>822</v>
      </c>
      <c r="I91" s="0" t="str">
        <f aca="false">IFERROR(__xludf.dummyfunction("FLOOR(0.7903* (FILTER('Go Base Stats'!$C$2:$C1000, 'Go Base Stats'!$A$2:$A1000 = $A91)+15))"),"59")</f>
        <v>59</v>
      </c>
      <c r="J91" s="17"/>
      <c r="K91" s="17"/>
      <c r="L91" s="17"/>
      <c r="M91" s="12" t="n">
        <f aca="false">IF(NOT(ISBLANK($R91)), $R91, IF(ROUND($P91, 1) = 0, "", ROUND($P91, 1) ))</f>
        <v>10</v>
      </c>
      <c r="N91" s="13" t="n">
        <f aca="false">ABS(M91-D91)/M91</f>
        <v>0.04</v>
      </c>
      <c r="P91" s="14" t="e">
        <f aca="false">IFERROR((U91+V91)/(W91+X91))</f>
        <v>#VALUE!</v>
      </c>
      <c r="Q9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LOWER($B91)))
)"),"")</f>
        <v/>
      </c>
      <c r="R91" s="16" t="n">
        <v>10</v>
      </c>
      <c r="U91" s="0" t="str">
        <f aca="false">IFERROR(__xludf.dummyfunction("IFERROR(SUM(FILTER('Form Responses (Power-up data)'!$C$2:$C1000, LOWER('Form Responses (Power-up data)'!$B$2:$B1000) = LOWER($B91))), 0)"),"0")</f>
        <v>0</v>
      </c>
      <c r="V9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LOWER($B91))
),0)"),"0")</f>
        <v>0</v>
      </c>
      <c r="W91" s="0" t="str">
        <f aca="false">IFERROR(__xludf.dummyfunction("COUNT(FILTER('Form Responses (Power-up data)'!$C$2:$C1000, LOWER('Form Responses (Power-up data)'!$B$2:$B1000) = LOWER($B91)))"),"0")</f>
        <v>0</v>
      </c>
      <c r="X9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LOWER($B91)))"),"0")</f>
        <v>0</v>
      </c>
      <c r="Y9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LOWER($B91))), 2)))"),"/")</f>
        <v>/</v>
      </c>
    </row>
    <row r="92" customFormat="false" ht="15.75" hidden="false" customHeight="false" outlineLevel="0" collapsed="false">
      <c r="A92" s="10" t="n">
        <v>91</v>
      </c>
      <c r="B92" s="1" t="s">
        <v>110</v>
      </c>
      <c r="C92" s="0" t="str">
        <f aca="false">IFERROR(__xludf.dummyfunction("ROUND(0.00909003 * (FILTER('Go Base Stats'!$C$2:$C1000, 'Go Base Stats'!$A$2:$A1000 = $A92))^0.5 *(FILTER('Go Base Stats'!$D$2:$D1000, 'Go Base Stats'!$A$2:$A1000 = $A92))*(FILTER('Go Base Stats'!$E$2:$E1000, 'Go Base Stats'!$A$2:$A1000 = $A92))^0.5 / 10, 1)"),"24.9")</f>
        <v>24.9</v>
      </c>
      <c r="D92" s="0" t="str">
        <f aca="false">IFERROR(__xludf.dummyfunction("ROUND(0.00909003 * (FILTER('Go Base Stats'!$C$2:$C1000, 'Go Base Stats'!$A$2:$A1000 = $A92)+7.5)^0.5 *(FILTER('Go Base Stats'!$D$2:$D1000, 'Go Base Stats'!$A$2:$A1000 = $A92) + 7.5)*(FILTER('Go Base Stats'!$E$2:$E1000, 'Go Base Stats'!$A$2:$A1000 = $A92) + 7.5)^0.5 / 10, 1)"),"27.4")</f>
        <v>27.4</v>
      </c>
      <c r="E92" s="0" t="str">
        <f aca="false">IFERROR(__xludf.dummyfunction("ROUND(0.00909003 * (FILTER('Go Base Stats'!$C$2:$C1000, 'Go Base Stats'!$A$2:$A1000 = $A92)+15)^0.5 *(FILTER('Go Base Stats'!$D$2:$D1000, 'Go Base Stats'!$A$2:$A1000 = $A92) +15)*(FILTER('Go Base Stats'!$E$2:$E1000, 'Go Base Stats'!$A$2:$A1000 = $A92) + 15)^0.5 / 10, 1)"),"29.9")</f>
        <v>29.9</v>
      </c>
      <c r="F92" s="6" t="str">
        <f aca="false">ROUND(D92/D91, 1)</f>
        <v>2.6</v>
      </c>
      <c r="G92" s="6" t="str">
        <f aca="false">IFERROR(__xludf.dummyfunction("FILTER('Base Stats'!$C$2:$C1000, LOWER('Base Stats'!$B$2:$B1000) = LOWER($B92))"),"50")</f>
        <v>50</v>
      </c>
      <c r="H92" s="0" t="str">
        <f aca="false">IFERROR(__xludf.dummyfunction("FLOOR((0.7903)^2 * (FILTER('Go Base Stats'!$C$2:$C1000, 'Go Base Stats'!$A$2:$A1000 = $A92)+15)^0.5 *(FILTER('Go Base Stats'!$D$2:$D1000, 'Go Base Stats'!$A$2:$A1000 = $A92) +15)*(FILTER('Go Base Stats'!$E$2:$E1000, 'Go Base Stats'!$A$2:$A1000 = $A92) + 15)^0.5 / 10)"),"2052")</f>
        <v>2052</v>
      </c>
      <c r="I92" s="0" t="str">
        <f aca="false">IFERROR(__xludf.dummyfunction("FLOOR(0.7903* (FILTER('Go Base Stats'!$C$2:$C1000, 'Go Base Stats'!$A$2:$A1000 = $A92)+15))"),"90")</f>
        <v>90</v>
      </c>
      <c r="J92" s="17"/>
      <c r="K92" s="17"/>
      <c r="L92" s="17"/>
      <c r="M92" s="12" t="e">
        <f aca="false">IF(NOT(ISBLANK($R92)), $R92, IF(ROUND($P92, 1) = 0, "", ROUND($P92, 1) ))</f>
        <v>#VALUE!</v>
      </c>
      <c r="N92" s="13" t="e">
        <f aca="false">ABS(M92-D92)/M92</f>
        <v>#VALUE!</v>
      </c>
      <c r="P92" s="14" t="e">
        <f aca="false">IFERROR((U92+V92)/(W92+X92))</f>
        <v>#VALUE!</v>
      </c>
      <c r="Q9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LOWER($B92)))
)"),"")</f>
        <v/>
      </c>
      <c r="R92" s="16"/>
      <c r="U92" s="0" t="str">
        <f aca="false">IFERROR(__xludf.dummyfunction("IFERROR(SUM(FILTER('Form Responses (Power-up data)'!$C$2:$C1000, LOWER('Form Responses (Power-up data)'!$B$2:$B1000) = LOWER($B92))), 0)"),"0")</f>
        <v>0</v>
      </c>
      <c r="V9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LOWER($B92))
),0)"),"26")</f>
        <v>26</v>
      </c>
      <c r="W92" s="0" t="str">
        <f aca="false">IFERROR(__xludf.dummyfunction("COUNT(FILTER('Form Responses (Power-up data)'!$C$2:$C1000, LOWER('Form Responses (Power-up data)'!$B$2:$B1000) = LOWER($B92)))"),"0")</f>
        <v>0</v>
      </c>
      <c r="X9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LOWER($B92)))"),"1")</f>
        <v>1</v>
      </c>
      <c r="Y9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LOWER($B92))), 2)))"),"/")</f>
        <v>/</v>
      </c>
    </row>
    <row r="93" customFormat="false" ht="15.75" hidden="false" customHeight="false" outlineLevel="0" collapsed="false">
      <c r="A93" s="10" t="n">
        <v>92</v>
      </c>
      <c r="B93" s="1" t="s">
        <v>111</v>
      </c>
      <c r="C93" s="0" t="str">
        <f aca="false">IFERROR(__xludf.dummyfunction("ROUND(0.00909003 * (FILTER('Go Base Stats'!$C$2:$C1000, 'Go Base Stats'!$A$2:$A1000 = $A93))^0.5 *(FILTER('Go Base Stats'!$D$2:$D1000, 'Go Base Stats'!$A$2:$A1000 = $A93))*(FILTER('Go Base Stats'!$E$2:$E1000, 'Go Base Stats'!$A$2:$A1000 = $A93))^0.5 / 10, 1)"),"8.7")</f>
        <v>8.7</v>
      </c>
      <c r="D93" s="0" t="str">
        <f aca="false">IFERROR(__xludf.dummyfunction("ROUND(0.00909003 * (FILTER('Go Base Stats'!$C$2:$C1000, 'Go Base Stats'!$A$2:$A1000 = $A93)+7.5)^0.5 *(FILTER('Go Base Stats'!$D$2:$D1000, 'Go Base Stats'!$A$2:$A1000 = $A93) + 7.5)*(FILTER('Go Base Stats'!$E$2:$E1000, 'Go Base Stats'!$A$2:$A1000 = $A93) + 7.5)^0.5 / 10, 1)"),"10.1")</f>
        <v>10.1</v>
      </c>
      <c r="E93" s="0" t="str">
        <f aca="false">IFERROR(__xludf.dummyfunction("ROUND(0.00909003 * (FILTER('Go Base Stats'!$C$2:$C1000, 'Go Base Stats'!$A$2:$A1000 = $A93)+15)^0.5 *(FILTER('Go Base Stats'!$D$2:$D1000, 'Go Base Stats'!$A$2:$A1000 = $A93) +15)*(FILTER('Go Base Stats'!$E$2:$E1000, 'Go Base Stats'!$A$2:$A1000 = $A93) + 15)^0.5 / 10, 1)"),"11.7")</f>
        <v>11.7</v>
      </c>
      <c r="F93" s="6"/>
      <c r="G93" s="6" t="str">
        <f aca="false">IFERROR(__xludf.dummyfunction("FILTER('Base Stats'!$C$2:$C1000, LOWER('Base Stats'!$B$2:$B1000) = LOWER($B93))"),"30")</f>
        <v>30</v>
      </c>
      <c r="H93" s="0" t="str">
        <f aca="false">IFERROR(__xludf.dummyfunction("FLOOR((0.7903)^2 * (FILTER('Go Base Stats'!$C$2:$C1000, 'Go Base Stats'!$A$2:$A1000 = $A93)+15)^0.5 *(FILTER('Go Base Stats'!$D$2:$D1000, 'Go Base Stats'!$A$2:$A1000 = $A93) +15)*(FILTER('Go Base Stats'!$E$2:$E1000, 'Go Base Stats'!$A$2:$A1000 = $A93) + 15)^0.5 / 10)"),"804")</f>
        <v>804</v>
      </c>
      <c r="I93" s="0" t="str">
        <f aca="false">IFERROR(__xludf.dummyfunction("FLOOR(0.7903* (FILTER('Go Base Stats'!$C$2:$C1000, 'Go Base Stats'!$A$2:$A1000 = $A93)+15))"),"59")</f>
        <v>59</v>
      </c>
      <c r="J93" s="17"/>
      <c r="K93" s="17"/>
      <c r="L93" s="17"/>
      <c r="M93" s="12" t="e">
        <f aca="false">IF(NOT(ISBLANK($R93)), $R93, IF(ROUND($P93, 1) = 0, "", ROUND($P93, 1) ))</f>
        <v>#VALUE!</v>
      </c>
      <c r="N93" s="13" t="e">
        <f aca="false">ABS(M93-D93)/M93</f>
        <v>#VALUE!</v>
      </c>
      <c r="P93" s="14" t="e">
        <f aca="false">IFERROR((U93+V93)/(W93+X93))</f>
        <v>#VALUE!</v>
      </c>
      <c r="Q9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LOWER($B93)))
)"),"")</f>
        <v/>
      </c>
      <c r="R93" s="16"/>
      <c r="U93" s="0" t="str">
        <f aca="false">IFERROR(__xludf.dummyfunction("IFERROR(SUM(FILTER('Form Responses (Power-up data)'!$C$2:$C1000, LOWER('Form Responses (Power-up data)'!$B$2:$B1000) = LOWER($B93))), 0)"),"0")</f>
        <v>0</v>
      </c>
      <c r="V9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LOWER($B93))
),0)"),"34")</f>
        <v>34</v>
      </c>
      <c r="W93" s="0" t="str">
        <f aca="false">IFERROR(__xludf.dummyfunction("COUNT(FILTER('Form Responses (Power-up data)'!$C$2:$C1000, LOWER('Form Responses (Power-up data)'!$B$2:$B1000) = LOWER($B93)))"),"0")</f>
        <v>0</v>
      </c>
      <c r="X9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LOWER($B93)))"),"3")</f>
        <v>3</v>
      </c>
      <c r="Y9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LOWER($B93))), 2)))"),"/")</f>
        <v>/</v>
      </c>
    </row>
    <row r="94" customFormat="false" ht="15.75" hidden="false" customHeight="false" outlineLevel="0" collapsed="false">
      <c r="A94" s="10" t="n">
        <v>93</v>
      </c>
      <c r="B94" s="1" t="s">
        <v>112</v>
      </c>
      <c r="C94" s="0" t="str">
        <f aca="false">IFERROR(__xludf.dummyfunction("ROUND(0.00909003 * (FILTER('Go Base Stats'!$C$2:$C1000, 'Go Base Stats'!$A$2:$A1000 = $A94))^0.5 *(FILTER('Go Base Stats'!$D$2:$D1000, 'Go Base Stats'!$A$2:$A1000 = $A94))*(FILTER('Go Base Stats'!$E$2:$E1000, 'Go Base Stats'!$A$2:$A1000 = $A94))^0.5 / 10, 1)"),"16.1")</f>
        <v>16.1</v>
      </c>
      <c r="D94" s="0" t="str">
        <f aca="false">IFERROR(__xludf.dummyfunction("ROUND(0.00909003 * (FILTER('Go Base Stats'!$C$2:$C1000, 'Go Base Stats'!$A$2:$A1000 = $A94)+7.5)^0.5 *(FILTER('Go Base Stats'!$D$2:$D1000, 'Go Base Stats'!$A$2:$A1000 = $A94) + 7.5)*(FILTER('Go Base Stats'!$E$2:$E1000, 'Go Base Stats'!$A$2:$A1000 = $A94) + 7.5)^0.5 / 10, 1)"),"18")</f>
        <v>18</v>
      </c>
      <c r="E94" s="0" t="str">
        <f aca="false">IFERROR(__xludf.dummyfunction("ROUND(0.00909003 * (FILTER('Go Base Stats'!$C$2:$C1000, 'Go Base Stats'!$A$2:$A1000 = $A94)+15)^0.5 *(FILTER('Go Base Stats'!$D$2:$D1000, 'Go Base Stats'!$A$2:$A1000 = $A94) +15)*(FILTER('Go Base Stats'!$E$2:$E1000, 'Go Base Stats'!$A$2:$A1000 = $A94) + 15)^0.5 / 10, 1)"),"20.1")</f>
        <v>20.1</v>
      </c>
      <c r="F94" s="6" t="n">
        <f aca="false">ROUND(D94/D93, 1)</f>
        <v>1.8</v>
      </c>
      <c r="G94" s="6" t="str">
        <f aca="false">IFERROR(__xludf.dummyfunction("FILTER('Base Stats'!$C$2:$C1000, LOWER('Base Stats'!$B$2:$B1000) = LOWER($B94))"),"45")</f>
        <v>45</v>
      </c>
      <c r="H94" s="0" t="str">
        <f aca="false">IFERROR(__xludf.dummyfunction("FLOOR((0.7903)^2 * (FILTER('Go Base Stats'!$C$2:$C1000, 'Go Base Stats'!$A$2:$A1000 = $A94)+15)^0.5 *(FILTER('Go Base Stats'!$D$2:$D1000, 'Go Base Stats'!$A$2:$A1000 = $A94) +15)*(FILTER('Go Base Stats'!$E$2:$E1000, 'Go Base Stats'!$A$2:$A1000 = $A94) + 15)^0.5 / 10)"),"1380")</f>
        <v>1380</v>
      </c>
      <c r="I94" s="0" t="str">
        <f aca="false">IFERROR(__xludf.dummyfunction("FLOOR(0.7903* (FILTER('Go Base Stats'!$C$2:$C1000, 'Go Base Stats'!$A$2:$A1000 = $A94)+15))"),"82")</f>
        <v>82</v>
      </c>
      <c r="J94" s="17"/>
      <c r="K94" s="17"/>
      <c r="L94" s="17"/>
      <c r="M94" s="12" t="e">
        <f aca="false">IF(NOT(ISBLANK($R94)), $R94, IF(ROUND($P94, 1) = 0, "", ROUND($P94, 1) ))</f>
        <v>#VALUE!</v>
      </c>
      <c r="N94" s="13" t="e">
        <f aca="false">ABS(M94-D94)/M94</f>
        <v>#VALUE!</v>
      </c>
      <c r="P94" s="14" t="e">
        <f aca="false">IFERROR((U94+V94)/(W94+X94))</f>
        <v>#VALUE!</v>
      </c>
      <c r="Q9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LOWER($B94)))
)"),"1.75")</f>
        <v>1.75</v>
      </c>
      <c r="R94" s="18"/>
      <c r="U94" s="0" t="str">
        <f aca="false">IFERROR(__xludf.dummyfunction("IFERROR(SUM(FILTER('Form Responses (Power-up data)'!$C$2:$C1000, LOWER('Form Responses (Power-up data)'!$B$2:$B1000) = LOWER($B94))), 0)"),"0")</f>
        <v>0</v>
      </c>
      <c r="V9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LOWER($B94))
),0)"),"18")</f>
        <v>18</v>
      </c>
      <c r="W94" s="0" t="str">
        <f aca="false">IFERROR(__xludf.dummyfunction("COUNT(FILTER('Form Responses (Power-up data)'!$C$2:$C1000, LOWER('Form Responses (Power-up data)'!$B$2:$B1000) = LOWER($B94)))"),"0")</f>
        <v>0</v>
      </c>
      <c r="X9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LOWER($B94)))"),"1")</f>
        <v>1</v>
      </c>
      <c r="Y9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LOWER($B94))), 2)))"),"1.75/1.75")</f>
        <v>1.75/1.75</v>
      </c>
    </row>
    <row r="95" customFormat="false" ht="15.75" hidden="false" customHeight="false" outlineLevel="0" collapsed="false">
      <c r="A95" s="10" t="n">
        <v>94</v>
      </c>
      <c r="B95" s="1" t="s">
        <v>113</v>
      </c>
      <c r="C95" s="0" t="str">
        <f aca="false">IFERROR(__xludf.dummyfunction("ROUND(0.00909003 * (FILTER('Go Base Stats'!$C$2:$C1000, 'Go Base Stats'!$A$2:$A1000 = $A95))^0.5 *(FILTER('Go Base Stats'!$D$2:$D1000, 'Go Base Stats'!$A$2:$A1000 = $A95))*(FILTER('Go Base Stats'!$E$2:$E1000, 'Go Base Stats'!$A$2:$A1000 = $A95))^0.5 / 10, 1)"),"25.4")</f>
        <v>25.4</v>
      </c>
      <c r="D95" s="0" t="str">
        <f aca="false">IFERROR(__xludf.dummyfunction("ROUND(0.00909003 * (FILTER('Go Base Stats'!$C$2:$C1000, 'Go Base Stats'!$A$2:$A1000 = $A95)+7.5)^0.5 *(FILTER('Go Base Stats'!$D$2:$D1000, 'Go Base Stats'!$A$2:$A1000 = $A95) + 7.5)*(FILTER('Go Base Stats'!$E$2:$E1000, 'Go Base Stats'!$A$2:$A1000 = $A95) + 7.5)^0.5 / 10, 1)"),"27.8")</f>
        <v>27.8</v>
      </c>
      <c r="E95" s="0" t="str">
        <f aca="false">IFERROR(__xludf.dummyfunction("ROUND(0.00909003 * (FILTER('Go Base Stats'!$C$2:$C1000, 'Go Base Stats'!$A$2:$A1000 = $A95)+15)^0.5 *(FILTER('Go Base Stats'!$D$2:$D1000, 'Go Base Stats'!$A$2:$A1000 = $A95) +15)*(FILTER('Go Base Stats'!$E$2:$E1000, 'Go Base Stats'!$A$2:$A1000 = $A95) + 15)^0.5 / 10, 1)"),"30.2")</f>
        <v>30.2</v>
      </c>
      <c r="F95" s="6" t="n">
        <f aca="false">ROUND(D95/D94, 1)</f>
        <v>1.5</v>
      </c>
      <c r="G95" s="6" t="str">
        <f aca="false">IFERROR(__xludf.dummyfunction("FILTER('Base Stats'!$C$2:$C1000, LOWER('Base Stats'!$B$2:$B1000) = LOWER($B95))"),"60")</f>
        <v>60</v>
      </c>
      <c r="H95" s="0" t="str">
        <f aca="false">IFERROR(__xludf.dummyfunction("FLOOR((0.7903)^2 * (FILTER('Go Base Stats'!$C$2:$C1000, 'Go Base Stats'!$A$2:$A1000 = $A95)+15)^0.5 *(FILTER('Go Base Stats'!$D$2:$D1000, 'Go Base Stats'!$A$2:$A1000 = $A95) +15)*(FILTER('Go Base Stats'!$E$2:$E1000, 'Go Base Stats'!$A$2:$A1000 = $A95) + 15)^0.5 / 10)"),"2078")</f>
        <v>2078</v>
      </c>
      <c r="I95" s="0" t="str">
        <f aca="false">IFERROR(__xludf.dummyfunction("FLOOR(0.7903* (FILTER('Go Base Stats'!$C$2:$C1000, 'Go Base Stats'!$A$2:$A1000 = $A95)+15))"),"106")</f>
        <v>106</v>
      </c>
      <c r="J95" s="17"/>
      <c r="K95" s="17"/>
      <c r="L95" s="17"/>
      <c r="M95" s="12" t="e">
        <f aca="false">IF(NOT(ISBLANK($R95)), $R95, IF(ROUND($P95, 1) = 0, "", ROUND($P95, 1) ))</f>
        <v>#VALUE!</v>
      </c>
      <c r="N95" s="13" t="e">
        <f aca="false">ABS(M95-D95)/M95</f>
        <v>#VALUE!</v>
      </c>
      <c r="P95" s="14" t="e">
        <f aca="false">IFERROR((U95+V95)/(W95+X95))</f>
        <v>#VALUE!</v>
      </c>
      <c r="Q9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LOWER($B95)))
)"),"")</f>
        <v/>
      </c>
      <c r="R95" s="16"/>
      <c r="U95" s="0" t="str">
        <f aca="false">IFERROR(__xludf.dummyfunction("IFERROR(SUM(FILTER('Form Responses (Power-up data)'!$C$2:$C1000, LOWER('Form Responses (Power-up data)'!$B$2:$B1000) = LOWER($B95))), 0)"),"0")</f>
        <v>0</v>
      </c>
      <c r="V9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LOWER($B95))
),0)"),"117")</f>
        <v>117</v>
      </c>
      <c r="W95" s="0" t="str">
        <f aca="false">IFERROR(__xludf.dummyfunction("COUNT(FILTER('Form Responses (Power-up data)'!$C$2:$C1000, LOWER('Form Responses (Power-up data)'!$B$2:$B1000) = LOWER($B95)))"),"0")</f>
        <v>0</v>
      </c>
      <c r="X9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LOWER($B95)))"),"4")</f>
        <v>4</v>
      </c>
      <c r="Y9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LOWER($B95))), 2)))"),"/")</f>
        <v>/</v>
      </c>
    </row>
    <row r="96" customFormat="false" ht="15.75" hidden="false" customHeight="false" outlineLevel="0" collapsed="false">
      <c r="A96" s="10" t="n">
        <v>95</v>
      </c>
      <c r="B96" s="1" t="s">
        <v>114</v>
      </c>
      <c r="C96" s="0" t="str">
        <f aca="false">IFERROR(__xludf.dummyfunction("ROUND(0.00909003 * (FILTER('Go Base Stats'!$C$2:$C1000, 'Go Base Stats'!$A$2:$A1000 = $A96))^0.5 *(FILTER('Go Base Stats'!$D$2:$D1000, 'Go Base Stats'!$A$2:$A1000 = $A96))*(FILTER('Go Base Stats'!$E$2:$E1000, 'Go Base Stats'!$A$2:$A1000 = $A96))^0.5 / 10, 1)"),"9.3")</f>
        <v>9.3</v>
      </c>
      <c r="D96" s="0" t="str">
        <f aca="false">IFERROR(__xludf.dummyfunction("ROUND(0.00909003 * (FILTER('Go Base Stats'!$C$2:$C1000, 'Go Base Stats'!$A$2:$A1000 = $A96)+7.5)^0.5 *(FILTER('Go Base Stats'!$D$2:$D1000, 'Go Base Stats'!$A$2:$A1000 = $A96) + 7.5)*(FILTER('Go Base Stats'!$E$2:$E1000, 'Go Base Stats'!$A$2:$A1000 = $A96) + 7.5)^0.5 / 10, 1)"),"10.9")</f>
        <v>10.9</v>
      </c>
      <c r="E96" s="0" t="str">
        <f aca="false">IFERROR(__xludf.dummyfunction("ROUND(0.00909003 * (FILTER('Go Base Stats'!$C$2:$C1000, 'Go Base Stats'!$A$2:$A1000 = $A96)+15)^0.5 *(FILTER('Go Base Stats'!$D$2:$D1000, 'Go Base Stats'!$A$2:$A1000 = $A96) +15)*(FILTER('Go Base Stats'!$E$2:$E1000, 'Go Base Stats'!$A$2:$A1000 = $A96) + 15)^0.5 / 10, 1)"),"12.5")</f>
        <v>12.5</v>
      </c>
      <c r="F96" s="6"/>
      <c r="G96" s="6" t="str">
        <f aca="false">IFERROR(__xludf.dummyfunction("FILTER('Base Stats'!$C$2:$C1000, LOWER('Base Stats'!$B$2:$B1000) = LOWER($B96))"),"35")</f>
        <v>35</v>
      </c>
      <c r="H96" s="0" t="str">
        <f aca="false">IFERROR(__xludf.dummyfunction("FLOOR((0.7903)^2 * (FILTER('Go Base Stats'!$C$2:$C1000, 'Go Base Stats'!$A$2:$A1000 = $A96)+15)^0.5 *(FILTER('Go Base Stats'!$D$2:$D1000, 'Go Base Stats'!$A$2:$A1000 = $A96) +15)*(FILTER('Go Base Stats'!$E$2:$E1000, 'Go Base Stats'!$A$2:$A1000 = $A96) + 15)^0.5 / 10)"),"857")</f>
        <v>857</v>
      </c>
      <c r="I96" s="0" t="str">
        <f aca="false">IFERROR(__xludf.dummyfunction("FLOOR(0.7903* (FILTER('Go Base Stats'!$C$2:$C1000, 'Go Base Stats'!$A$2:$A1000 = $A96)+15))"),"67")</f>
        <v>67</v>
      </c>
      <c r="J96" s="17"/>
      <c r="K96" s="17"/>
      <c r="L96" s="17"/>
      <c r="M96" s="12" t="e">
        <f aca="false">IF(NOT(ISBLANK($R96)), $R96, IF(ROUND($P96, 1) = 0, "", ROUND($P96, 1) ))</f>
        <v>#VALUE!</v>
      </c>
      <c r="N96" s="13" t="e">
        <f aca="false">ABS(M96-D96)/M96</f>
        <v>#VALUE!</v>
      </c>
      <c r="P96" s="14" t="e">
        <f aca="false">IFERROR((U96+V96)/(W96+X96))</f>
        <v>#VALUE!</v>
      </c>
      <c r="Q9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LOWER($B96)))
)"),"")</f>
        <v/>
      </c>
      <c r="R96" s="16"/>
      <c r="U96" s="0" t="str">
        <f aca="false">IFERROR(__xludf.dummyfunction("IFERROR(SUM(FILTER('Form Responses (Power-up data)'!$C$2:$C1000, LOWER('Form Responses (Power-up data)'!$B$2:$B1000) = LOWER($B96))), 0)"),"0")</f>
        <v>0</v>
      </c>
      <c r="V9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LOWER($B96))
),0)"),"23")</f>
        <v>23</v>
      </c>
      <c r="W96" s="0" t="str">
        <f aca="false">IFERROR(__xludf.dummyfunction("COUNT(FILTER('Form Responses (Power-up data)'!$C$2:$C1000, LOWER('Form Responses (Power-up data)'!$B$2:$B1000) = LOWER($B96)))"),"0")</f>
        <v>0</v>
      </c>
      <c r="X9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LOWER($B96)))"),"2")</f>
        <v>2</v>
      </c>
      <c r="Y9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LOWER($B96))), 2)))"),"/")</f>
        <v>/</v>
      </c>
    </row>
    <row r="97" customFormat="false" ht="15.75" hidden="false" customHeight="false" outlineLevel="0" collapsed="false">
      <c r="A97" s="10" t="n">
        <v>96</v>
      </c>
      <c r="B97" s="1" t="s">
        <v>115</v>
      </c>
      <c r="C97" s="0" t="str">
        <f aca="false">IFERROR(__xludf.dummyfunction("ROUND(0.00909003 * (FILTER('Go Base Stats'!$C$2:$C1000, 'Go Base Stats'!$A$2:$A1000 = $A97))^0.5 *(FILTER('Go Base Stats'!$D$2:$D1000, 'Go Base Stats'!$A$2:$A1000 = $A97))*(FILTER('Go Base Stats'!$E$2:$E1000, 'Go Base Stats'!$A$2:$A1000 = $A97))^0.5 / 10, 1)"),"12.3")</f>
        <v>12.3</v>
      </c>
      <c r="D97" s="0" t="str">
        <f aca="false">IFERROR(__xludf.dummyfunction("ROUND(0.00909003 * (FILTER('Go Base Stats'!$C$2:$C1000, 'Go Base Stats'!$A$2:$A1000 = $A97)+7.5)^0.5 *(FILTER('Go Base Stats'!$D$2:$D1000, 'Go Base Stats'!$A$2:$A1000 = $A97) + 7.5)*(FILTER('Go Base Stats'!$E$2:$E1000, 'Go Base Stats'!$A$2:$A1000 = $A97) + 7.5)^0.5 / 10, 1)"),"13.9")</f>
        <v>13.9</v>
      </c>
      <c r="E97" s="0" t="str">
        <f aca="false">IFERROR(__xludf.dummyfunction("ROUND(0.00909003 * (FILTER('Go Base Stats'!$C$2:$C1000, 'Go Base Stats'!$A$2:$A1000 = $A97)+15)^0.5 *(FILTER('Go Base Stats'!$D$2:$D1000, 'Go Base Stats'!$A$2:$A1000 = $A97) +15)*(FILTER('Go Base Stats'!$E$2:$E1000, 'Go Base Stats'!$A$2:$A1000 = $A97) + 15)^0.5 / 10, 1)"),"15.6")</f>
        <v>15.6</v>
      </c>
      <c r="F97" s="6"/>
      <c r="G97" s="6" t="str">
        <f aca="false">IFERROR(__xludf.dummyfunction("FILTER('Base Stats'!$C$2:$C1000, LOWER('Base Stats'!$B$2:$B1000) = LOWER($B97))"),"60")</f>
        <v>60</v>
      </c>
      <c r="H97" s="0" t="str">
        <f aca="false">IFERROR(__xludf.dummyfunction("FLOOR((0.7903)^2 * (FILTER('Go Base Stats'!$C$2:$C1000, 'Go Base Stats'!$A$2:$A1000 = $A97)+15)^0.5 *(FILTER('Go Base Stats'!$D$2:$D1000, 'Go Base Stats'!$A$2:$A1000 = $A97) +15)*(FILTER('Go Base Stats'!$E$2:$E1000, 'Go Base Stats'!$A$2:$A1000 = $A97) + 15)^0.5 / 10)"),"1075")</f>
        <v>1075</v>
      </c>
      <c r="I97" s="0" t="str">
        <f aca="false">IFERROR(__xludf.dummyfunction("FLOOR(0.7903* (FILTER('Go Base Stats'!$C$2:$C1000, 'Go Base Stats'!$A$2:$A1000 = $A97)+15))"),"106")</f>
        <v>106</v>
      </c>
      <c r="J97" s="17"/>
      <c r="K97" s="17"/>
      <c r="L97" s="17"/>
      <c r="M97" s="12" t="e">
        <f aca="false">IF(NOT(ISBLANK($R97)), $R97, IF(ROUND($P97, 1) = 0, "", ROUND($P97, 1) ))</f>
        <v>#VALUE!</v>
      </c>
      <c r="N97" s="13" t="e">
        <f aca="false">ABS(M97-D97)/M97</f>
        <v>#VALUE!</v>
      </c>
      <c r="P97" s="14" t="e">
        <f aca="false">IFERROR((U97+V97)/(W97+X97))</f>
        <v>#VALUE!</v>
      </c>
      <c r="Q9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LOWER($B97)))
)"),"2.046822742")</f>
        <v>2.046822742</v>
      </c>
      <c r="R97" s="18"/>
      <c r="U97" s="0" t="str">
        <f aca="false">IFERROR(__xludf.dummyfunction("IFERROR(SUM(FILTER('Form Responses (Power-up data)'!$C$2:$C1000, LOWER('Form Responses (Power-up data)'!$B$2:$B1000) = LOWER($B97))), 0)"),"0")</f>
        <v>0</v>
      </c>
      <c r="V9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LOWER($B97))
),0)"),"29")</f>
        <v>29</v>
      </c>
      <c r="W97" s="0" t="str">
        <f aca="false">IFERROR(__xludf.dummyfunction("COUNT(FILTER('Form Responses (Power-up data)'!$C$2:$C1000, LOWER('Form Responses (Power-up data)'!$B$2:$B1000) = LOWER($B97)))"),"0")</f>
        <v>0</v>
      </c>
      <c r="X9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LOWER($B97)))"),"2")</f>
        <v>2</v>
      </c>
      <c r="Y9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LOWER($B97))), 2)))"),"2.05/2.05")</f>
        <v>2.05/2.05</v>
      </c>
    </row>
    <row r="98" customFormat="false" ht="15.75" hidden="false" customHeight="false" outlineLevel="0" collapsed="false">
      <c r="A98" s="10" t="n">
        <v>97</v>
      </c>
      <c r="B98" s="1" t="s">
        <v>116</v>
      </c>
      <c r="C98" s="0" t="str">
        <f aca="false">IFERROR(__xludf.dummyfunction("ROUND(0.00909003 * (FILTER('Go Base Stats'!$C$2:$C1000, 'Go Base Stats'!$A$2:$A1000 = $A98))^0.5 *(FILTER('Go Base Stats'!$D$2:$D1000, 'Go Base Stats'!$A$2:$A1000 = $A98))*(FILTER('Go Base Stats'!$E$2:$E1000, 'Go Base Stats'!$A$2:$A1000 = $A98))^0.5 / 10, 1)"),"26.9")</f>
        <v>26.9</v>
      </c>
      <c r="D98" s="0" t="str">
        <f aca="false">IFERROR(__xludf.dummyfunction("ROUND(0.00909003 * (FILTER('Go Base Stats'!$C$2:$C1000, 'Go Base Stats'!$A$2:$A1000 = $A98)+7.5)^0.5 *(FILTER('Go Base Stats'!$D$2:$D1000, 'Go Base Stats'!$A$2:$A1000 = $A98) + 7.5)*(FILTER('Go Base Stats'!$E$2:$E1000, 'Go Base Stats'!$A$2:$A1000 = $A98) + 7.5)^0.5 / 10, 1)"),"29.3")</f>
        <v>29.3</v>
      </c>
      <c r="E98" s="0" t="str">
        <f aca="false">IFERROR(__xludf.dummyfunction("ROUND(0.00909003 * (FILTER('Go Base Stats'!$C$2:$C1000, 'Go Base Stats'!$A$2:$A1000 = $A98)+15)^0.5 *(FILTER('Go Base Stats'!$D$2:$D1000, 'Go Base Stats'!$A$2:$A1000 = $A98) +15)*(FILTER('Go Base Stats'!$E$2:$E1000, 'Go Base Stats'!$A$2:$A1000 = $A98) + 15)^0.5 / 10, 1)"),"31.8")</f>
        <v>31.8</v>
      </c>
      <c r="F98" s="6" t="str">
        <f aca="false">ROUND(D98/D97, 1)</f>
        <v>2.1</v>
      </c>
      <c r="G98" s="6" t="str">
        <f aca="false">IFERROR(__xludf.dummyfunction("FILTER('Base Stats'!$C$2:$C1000, LOWER('Base Stats'!$B$2:$B1000) = LOWER($B98))"),"85")</f>
        <v>85</v>
      </c>
      <c r="H98" s="0" t="str">
        <f aca="false">IFERROR(__xludf.dummyfunction("FLOOR((0.7903)^2 * (FILTER('Go Base Stats'!$C$2:$C1000, 'Go Base Stats'!$A$2:$A1000 = $A98)+15)^0.5 *(FILTER('Go Base Stats'!$D$2:$D1000, 'Go Base Stats'!$A$2:$A1000 = $A98) +15)*(FILTER('Go Base Stats'!$E$2:$E1000, 'Go Base Stats'!$A$2:$A1000 = $A98) + 15)^0.5 / 10)"),"2184")</f>
        <v>2184</v>
      </c>
      <c r="I98" s="0" t="str">
        <f aca="false">IFERROR(__xludf.dummyfunction("FLOOR(0.7903* (FILTER('Go Base Stats'!$C$2:$C1000, 'Go Base Stats'!$A$2:$A1000 = $A98)+15))"),"146")</f>
        <v>146</v>
      </c>
      <c r="J98" s="17"/>
      <c r="K98" s="17"/>
      <c r="L98" s="17"/>
      <c r="M98" s="12" t="e">
        <f aca="false">IF(NOT(ISBLANK($R98)), $R98, IF(ROUND($P98, 1) = 0, "", ROUND($P98, 1) ))</f>
        <v>#VALUE!</v>
      </c>
      <c r="N98" s="13" t="e">
        <f aca="false">ABS(M98-D98)/M98</f>
        <v>#VALUE!</v>
      </c>
      <c r="P98" s="14" t="e">
        <f aca="false">IFERROR((U98+V98)/(W98+X98))</f>
        <v>#VALUE!</v>
      </c>
      <c r="Q9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LOWER($B98)))
)"),"1.933740341")</f>
        <v>1.933740341</v>
      </c>
      <c r="R98" s="16"/>
      <c r="U98" s="0" t="str">
        <f aca="false">IFERROR(__xludf.dummyfunction("IFERROR(SUM(FILTER('Form Responses (Power-up data)'!$C$2:$C1000, LOWER('Form Responses (Power-up data)'!$B$2:$B1000) = LOWER($B98))), 0)"),"0")</f>
        <v>0</v>
      </c>
      <c r="V9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LOWER($B98))
),0)"),"420")</f>
        <v>420</v>
      </c>
      <c r="W98" s="0" t="str">
        <f aca="false">IFERROR(__xludf.dummyfunction("COUNT(FILTER('Form Responses (Power-up data)'!$C$2:$C1000, LOWER('Form Responses (Power-up data)'!$B$2:$B1000) = LOWER($B98)))"),"0")</f>
        <v>0</v>
      </c>
      <c r="X9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LOWER($B98)))"),"14")</f>
        <v>14</v>
      </c>
      <c r="Y9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LOWER($B98))), 2)))"),"1.03/2.1")</f>
        <v>1.03/2.1</v>
      </c>
    </row>
    <row r="99" customFormat="false" ht="15.75" hidden="false" customHeight="false" outlineLevel="0" collapsed="false">
      <c r="A99" s="10" t="n">
        <v>98</v>
      </c>
      <c r="B99" s="1" t="s">
        <v>117</v>
      </c>
      <c r="C99" s="0" t="str">
        <f aca="false">IFERROR(__xludf.dummyfunction("ROUND(0.00909003 * (FILTER('Go Base Stats'!$C$2:$C1000, 'Go Base Stats'!$A$2:$A1000 = $A99))^0.5 *(FILTER('Go Base Stats'!$D$2:$D1000, 'Go Base Stats'!$A$2:$A1000 = $A99))*(FILTER('Go Base Stats'!$E$2:$E1000, 'Go Base Stats'!$A$2:$A1000 = $A99))^0.5 / 10, 1)"),"8.6")</f>
        <v>8.6</v>
      </c>
      <c r="D99" s="0" t="str">
        <f aca="false">IFERROR(__xludf.dummyfunction("ROUND(0.00909003 * (FILTER('Go Base Stats'!$C$2:$C1000, 'Go Base Stats'!$A$2:$A1000 = $A99)+7.5)^0.5 *(FILTER('Go Base Stats'!$D$2:$D1000, 'Go Base Stats'!$A$2:$A1000 = $A99) + 7.5)*(FILTER('Go Base Stats'!$E$2:$E1000, 'Go Base Stats'!$A$2:$A1000 = $A99) + 7.5)^0.5 / 10, 1)"),"10")</f>
        <v>10</v>
      </c>
      <c r="E99" s="0" t="str">
        <f aca="false">IFERROR(__xludf.dummyfunction("ROUND(0.00909003 * (FILTER('Go Base Stats'!$C$2:$C1000, 'Go Base Stats'!$A$2:$A1000 = $A99)+15)^0.5 *(FILTER('Go Base Stats'!$D$2:$D1000, 'Go Base Stats'!$A$2:$A1000 = $A99) +15)*(FILTER('Go Base Stats'!$E$2:$E1000, 'Go Base Stats'!$A$2:$A1000 = $A99) + 15)^0.5 / 10, 1)"),"11.5")</f>
        <v>11.5</v>
      </c>
      <c r="F99" s="6"/>
      <c r="G99" s="6" t="str">
        <f aca="false">IFERROR(__xludf.dummyfunction("FILTER('Base Stats'!$C$2:$C1000, LOWER('Base Stats'!$B$2:$B1000) = LOWER($B99))"),"30")</f>
        <v>30</v>
      </c>
      <c r="H99" s="0" t="str">
        <f aca="false">IFERROR(__xludf.dummyfunction("FLOOR((0.7903)^2 * (FILTER('Go Base Stats'!$C$2:$C1000, 'Go Base Stats'!$A$2:$A1000 = $A99)+15)^0.5 *(FILTER('Go Base Stats'!$D$2:$D1000, 'Go Base Stats'!$A$2:$A1000 = $A99) +15)*(FILTER('Go Base Stats'!$E$2:$E1000, 'Go Base Stats'!$A$2:$A1000 = $A99) + 15)^0.5 / 10)"),"792")</f>
        <v>792</v>
      </c>
      <c r="I99" s="0" t="str">
        <f aca="false">IFERROR(__xludf.dummyfunction("FLOOR(0.7903* (FILTER('Go Base Stats'!$C$2:$C1000, 'Go Base Stats'!$A$2:$A1000 = $A99)+15))"),"59")</f>
        <v>59</v>
      </c>
      <c r="J99" s="17"/>
      <c r="K99" s="17"/>
      <c r="L99" s="17"/>
      <c r="M99" s="12" t="n">
        <f aca="false">IF(NOT(ISBLANK($R99)), $R99, IF(ROUND($P99, 1) = 0, "", ROUND($P99, 1) ))</f>
        <v>10.5</v>
      </c>
      <c r="N99" s="13" t="n">
        <f aca="false">ABS(M99-D99)/M99</f>
        <v>0.0476190476190476</v>
      </c>
      <c r="P99" s="14" t="e">
        <f aca="false">IFERROR((U99+V99)/(W99+X99))</f>
        <v>#VALUE!</v>
      </c>
      <c r="Q9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LOWER($B99)))
)"),"")</f>
        <v/>
      </c>
      <c r="R99" s="18" t="n">
        <v>10.5</v>
      </c>
      <c r="U99" s="0" t="str">
        <f aca="false">IFERROR(__xludf.dummyfunction("IFERROR(SUM(FILTER('Form Responses (Power-up data)'!$C$2:$C1000, LOWER('Form Responses (Power-up data)'!$B$2:$B1000) = LOWER($B99))), 0)"),"0")</f>
        <v>0</v>
      </c>
      <c r="V9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LOWER($B99))
),0)"),"0")</f>
        <v>0</v>
      </c>
      <c r="W99" s="0" t="str">
        <f aca="false">IFERROR(__xludf.dummyfunction("COUNT(FILTER('Form Responses (Power-up data)'!$C$2:$C1000, LOWER('Form Responses (Power-up data)'!$B$2:$B1000) = LOWER($B99)))"),"0")</f>
        <v>0</v>
      </c>
      <c r="X9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LOWER($B99)))"),"0")</f>
        <v>0</v>
      </c>
      <c r="Y9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LOWER($B99))), 2)))"),"/")</f>
        <v>/</v>
      </c>
    </row>
    <row r="100" customFormat="false" ht="15.75" hidden="false" customHeight="false" outlineLevel="0" collapsed="false">
      <c r="A100" s="10" t="n">
        <v>99</v>
      </c>
      <c r="B100" s="1" t="s">
        <v>118</v>
      </c>
      <c r="C100" s="0" t="str">
        <f aca="false">IFERROR(__xludf.dummyfunction("ROUND(0.00909003 * (FILTER('Go Base Stats'!$C$2:$C1000, 'Go Base Stats'!$A$2:$A1000 = $A100))^0.5 *(FILTER('Go Base Stats'!$D$2:$D1000, 'Go Base Stats'!$A$2:$A1000 = $A100))*(FILTER('Go Base Stats'!$E$2:$E1000, 'Go Base Stats'!$A$2:$A1000 = $A100))^0.5 / 10, 1)"),"22")</f>
        <v>22</v>
      </c>
      <c r="D100" s="0" t="str">
        <f aca="false">IFERROR(__xludf.dummyfunction("ROUND(0.00909003 * (FILTER('Go Base Stats'!$C$2:$C1000, 'Go Base Stats'!$A$2:$A1000 = $A100)+7.5)^0.5 *(FILTER('Go Base Stats'!$D$2:$D1000, 'Go Base Stats'!$A$2:$A1000 = $A100) + 7.5)*(FILTER('Go Base Stats'!$E$2:$E1000, 'Go Base Stats'!$A$2:$A1000 = $A100) + 7.5)^0.5 / 10, 1)"),"24.2")</f>
        <v>24.2</v>
      </c>
      <c r="E100" s="0" t="str">
        <f aca="false">IFERROR(__xludf.dummyfunction("ROUND(0.00909003 * (FILTER('Go Base Stats'!$C$2:$C1000, 'Go Base Stats'!$A$2:$A1000 = $A100)+15)^0.5 *(FILTER('Go Base Stats'!$D$2:$D1000, 'Go Base Stats'!$A$2:$A1000 = $A100) +15)*(FILTER('Go Base Stats'!$E$2:$E1000, 'Go Base Stats'!$A$2:$A1000 = $A100) + 15)^0.5 / 10, 1)"),"26.5")</f>
        <v>26.5</v>
      </c>
      <c r="F100" s="6" t="str">
        <f aca="false">ROUND(D100/D99, 1)</f>
        <v>2.4</v>
      </c>
      <c r="G100" s="6" t="str">
        <f aca="false">IFERROR(__xludf.dummyfunction("FILTER('Base Stats'!$C$2:$C1000, LOWER('Base Stats'!$B$2:$B1000) = LOWER($B100))"),"55")</f>
        <v>55</v>
      </c>
      <c r="H100" s="0" t="str">
        <f aca="false">IFERROR(__xludf.dummyfunction("FLOOR((0.7903)^2 * (FILTER('Go Base Stats'!$C$2:$C1000, 'Go Base Stats'!$A$2:$A1000 = $A100)+15)^0.5 *(FILTER('Go Base Stats'!$D$2:$D1000, 'Go Base Stats'!$A$2:$A1000 = $A100) +15)*(FILTER('Go Base Stats'!$E$2:$E1000, 'Go Base Stats'!$A$2:$A1000 = $A100) + 15)^0.5 / 10)"),"1823")</f>
        <v>1823</v>
      </c>
      <c r="I100" s="0" t="str">
        <f aca="false">IFERROR(__xludf.dummyfunction("FLOOR(0.7903* (FILTER('Go Base Stats'!$C$2:$C1000, 'Go Base Stats'!$A$2:$A1000 = $A100)+15))"),"98")</f>
        <v>98</v>
      </c>
      <c r="J100" s="17"/>
      <c r="K100" s="17"/>
      <c r="L100" s="17"/>
      <c r="M100" s="12" t="e">
        <f aca="false">IF(NOT(ISBLANK($R100)), $R100, IF(ROUND($P100, 1) = 0, "", ROUND($P100, 1) ))</f>
        <v>#VALUE!</v>
      </c>
      <c r="N100" s="13" t="e">
        <f aca="false">ABS(M100-D100)/M100</f>
        <v>#VALUE!</v>
      </c>
      <c r="P100" s="14" t="e">
        <f aca="false">IFERROR((U100+V100)/(W100+X100))</f>
        <v>#VALUE!</v>
      </c>
      <c r="Q10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LOWER($B100)))
)"),"2.387931034")</f>
        <v>2.387931034</v>
      </c>
      <c r="R100" s="16"/>
      <c r="U100" s="0" t="str">
        <f aca="false">IFERROR(__xludf.dummyfunction("IFERROR(SUM(FILTER('Form Responses (Power-up data)'!$C$2:$C1000, LOWER('Form Responses (Power-up data)'!$B$2:$B1000) = LOWER($B100))), 0)"),"0")</f>
        <v>0</v>
      </c>
      <c r="V10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LOWER($B100))
),0)"),"101")</f>
        <v>101</v>
      </c>
      <c r="W100" s="0" t="str">
        <f aca="false">IFERROR(__xludf.dummyfunction("COUNT(FILTER('Form Responses (Power-up data)'!$C$2:$C1000, LOWER('Form Responses (Power-up data)'!$B$2:$B1000) = LOWER($B100)))"),"0")</f>
        <v>0</v>
      </c>
      <c r="X10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LOWER($B100)))"),"4")</f>
        <v>4</v>
      </c>
      <c r="Y10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LOWER($B100))), 2)))"),"2.39/2.39")</f>
        <v>2.39/2.39</v>
      </c>
    </row>
    <row r="101" customFormat="false" ht="15.75" hidden="false" customHeight="false" outlineLevel="0" collapsed="false">
      <c r="A101" s="10" t="n">
        <v>100</v>
      </c>
      <c r="B101" s="1" t="s">
        <v>119</v>
      </c>
      <c r="C101" s="0" t="str">
        <f aca="false">IFERROR(__xludf.dummyfunction("ROUND(0.00909003 * (FILTER('Go Base Stats'!$C$2:$C1000, 'Go Base Stats'!$A$2:$A1000 = $A101))^0.5 *(FILTER('Go Base Stats'!$D$2:$D1000, 'Go Base Stats'!$A$2:$A1000 = $A101))*(FILTER('Go Base Stats'!$E$2:$E1000, 'Go Base Stats'!$A$2:$A1000 = $A101))^0.5 / 10, 1)"),"9.2")</f>
        <v>9.2</v>
      </c>
      <c r="D101" s="0" t="str">
        <f aca="false">IFERROR(__xludf.dummyfunction("ROUND(0.00909003 * (FILTER('Go Base Stats'!$C$2:$C1000, 'Go Base Stats'!$A$2:$A1000 = $A101)+7.5)^0.5 *(FILTER('Go Base Stats'!$D$2:$D1000, 'Go Base Stats'!$A$2:$A1000 = $A101) + 7.5)*(FILTER('Go Base Stats'!$E$2:$E1000, 'Go Base Stats'!$A$2:$A1000 = $A101) + 7.5)^0.5 / 10, 1)"),"10.7")</f>
        <v>10.7</v>
      </c>
      <c r="E101" s="0" t="str">
        <f aca="false">IFERROR(__xludf.dummyfunction("ROUND(0.00909003 * (FILTER('Go Base Stats'!$C$2:$C1000, 'Go Base Stats'!$A$2:$A1000 = $A101)+15)^0.5 *(FILTER('Go Base Stats'!$D$2:$D1000, 'Go Base Stats'!$A$2:$A1000 = $A101) +15)*(FILTER('Go Base Stats'!$E$2:$E1000, 'Go Base Stats'!$A$2:$A1000 = $A101) + 15)^0.5 / 10, 1)"),"12.2")</f>
        <v>12.2</v>
      </c>
      <c r="F101" s="6"/>
      <c r="G101" s="6" t="str">
        <f aca="false">IFERROR(__xludf.dummyfunction("FILTER('Base Stats'!$C$2:$C1000, LOWER('Base Stats'!$B$2:$B1000) = LOWER($B101))"),"40")</f>
        <v>40</v>
      </c>
      <c r="H101" s="0" t="str">
        <f aca="false">IFERROR(__xludf.dummyfunction("FLOOR((0.7903)^2 * (FILTER('Go Base Stats'!$C$2:$C1000, 'Go Base Stats'!$A$2:$A1000 = $A101)+15)^0.5 *(FILTER('Go Base Stats'!$D$2:$D1000, 'Go Base Stats'!$A$2:$A1000 = $A101) +15)*(FILTER('Go Base Stats'!$E$2:$E1000, 'Go Base Stats'!$A$2:$A1000 = $A101) + 15)^0.5 / 10)"),"839")</f>
        <v>839</v>
      </c>
      <c r="I101" s="0" t="str">
        <f aca="false">IFERROR(__xludf.dummyfunction("FLOOR(0.7903* (FILTER('Go Base Stats'!$C$2:$C1000, 'Go Base Stats'!$A$2:$A1000 = $A101)+15))"),"75")</f>
        <v>75</v>
      </c>
      <c r="J101" s="17"/>
      <c r="K101" s="17"/>
      <c r="L101" s="17"/>
      <c r="M101" s="12" t="n">
        <f aca="false">IF(NOT(ISBLANK($R101)), $R101, IF(ROUND($P101, 1) = 0, "", ROUND($P101, 1) ))</f>
        <v>10</v>
      </c>
      <c r="N101" s="13" t="n">
        <f aca="false">ABS(M101-D101)/M101</f>
        <v>0.0699999999999999</v>
      </c>
      <c r="P101" s="14" t="e">
        <f aca="false">IFERROR((U101+V101)/(W101+X101))</f>
        <v>#VALUE!</v>
      </c>
      <c r="Q10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LOWER($B101)))
)"),"")</f>
        <v/>
      </c>
      <c r="R101" s="16" t="n">
        <v>10</v>
      </c>
      <c r="U101" s="0" t="str">
        <f aca="false">IFERROR(__xludf.dummyfunction("IFERROR(SUM(FILTER('Form Responses (Power-up data)'!$C$2:$C1000, LOWER('Form Responses (Power-up data)'!$B$2:$B1000) = LOWER($B101))), 0)"),"0")</f>
        <v>0</v>
      </c>
      <c r="V10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LOWER($B101))
),0)"),"0")</f>
        <v>0</v>
      </c>
      <c r="W101" s="0" t="str">
        <f aca="false">IFERROR(__xludf.dummyfunction("COUNT(FILTER('Form Responses (Power-up data)'!$C$2:$C1000, LOWER('Form Responses (Power-up data)'!$B$2:$B1000) = LOWER($B101)))"),"0")</f>
        <v>0</v>
      </c>
      <c r="X10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LOWER($B101)))"),"0")</f>
        <v>0</v>
      </c>
      <c r="Y10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LOWER($B101))), 2)))"),"/")</f>
        <v>/</v>
      </c>
    </row>
    <row r="102" customFormat="false" ht="15.75" hidden="false" customHeight="false" outlineLevel="0" collapsed="false">
      <c r="A102" s="10" t="n">
        <v>101</v>
      </c>
      <c r="B102" s="1" t="s">
        <v>120</v>
      </c>
      <c r="C102" s="0" t="str">
        <f aca="false">IFERROR(__xludf.dummyfunction("ROUND(0.00909003 * (FILTER('Go Base Stats'!$C$2:$C1000, 'Go Base Stats'!$A$2:$A1000 = $A102))^0.5 *(FILTER('Go Base Stats'!$D$2:$D1000, 'Go Base Stats'!$A$2:$A1000 = $A102))*(FILTER('Go Base Stats'!$E$2:$E1000, 'Go Base Stats'!$A$2:$A1000 = $A102))^0.5 / 10, 1)"),"19.7")</f>
        <v>19.7</v>
      </c>
      <c r="D102" s="0" t="str">
        <f aca="false">IFERROR(__xludf.dummyfunction("ROUND(0.00909003 * (FILTER('Go Base Stats'!$C$2:$C1000, 'Go Base Stats'!$A$2:$A1000 = $A102)+7.5)^0.5 *(FILTER('Go Base Stats'!$D$2:$D1000, 'Go Base Stats'!$A$2:$A1000 = $A102) + 7.5)*(FILTER('Go Base Stats'!$E$2:$E1000, 'Go Base Stats'!$A$2:$A1000 = $A102) + 7.5)^0.5 / 10, 1)"),"21.8")</f>
        <v>21.8</v>
      </c>
      <c r="E102" s="0" t="str">
        <f aca="false">IFERROR(__xludf.dummyfunction("ROUND(0.00909003 * (FILTER('Go Base Stats'!$C$2:$C1000, 'Go Base Stats'!$A$2:$A1000 = $A102)+15)^0.5 *(FILTER('Go Base Stats'!$D$2:$D1000, 'Go Base Stats'!$A$2:$A1000 = $A102) +15)*(FILTER('Go Base Stats'!$E$2:$E1000, 'Go Base Stats'!$A$2:$A1000 = $A102) + 15)^0.5 / 10, 1)"),"24")</f>
        <v>24</v>
      </c>
      <c r="F102" s="6" t="str">
        <f aca="false">ROUND(D102/D101, 1)</f>
        <v>2</v>
      </c>
      <c r="G102" s="6" t="str">
        <f aca="false">IFERROR(__xludf.dummyfunction("FILTER('Base Stats'!$C$2:$C1000, LOWER('Base Stats'!$B$2:$B1000) = LOWER($B102))"),"60")</f>
        <v>60</v>
      </c>
      <c r="H102" s="0" t="str">
        <f aca="false">IFERROR(__xludf.dummyfunction("FLOOR((0.7903)^2 * (FILTER('Go Base Stats'!$C$2:$C1000, 'Go Base Stats'!$A$2:$A1000 = $A102)+15)^0.5 *(FILTER('Go Base Stats'!$D$2:$D1000, 'Go Base Stats'!$A$2:$A1000 = $A102) +15)*(FILTER('Go Base Stats'!$E$2:$E1000, 'Go Base Stats'!$A$2:$A1000 = $A102) + 15)^0.5 / 10)"),"1646")</f>
        <v>1646</v>
      </c>
      <c r="I102" s="0" t="str">
        <f aca="false">IFERROR(__xludf.dummyfunction("FLOOR(0.7903* (FILTER('Go Base Stats'!$C$2:$C1000, 'Go Base Stats'!$A$2:$A1000 = $A102)+15))"),"106")</f>
        <v>106</v>
      </c>
      <c r="J102" s="17"/>
      <c r="K102" s="17"/>
      <c r="L102" s="17"/>
      <c r="M102" s="12" t="e">
        <f aca="false">IF(NOT(ISBLANK($R102)), $R102, IF(ROUND($P102, 1) = 0, "", ROUND($P102, 1) ))</f>
        <v>#VALUE!</v>
      </c>
      <c r="N102" s="13" t="e">
        <f aca="false">ABS(M102-D102)/M102</f>
        <v>#VALUE!</v>
      </c>
      <c r="P102" s="14" t="e">
        <f aca="false">IFERROR((U102+V102)/(W102+X102))</f>
        <v>#VALUE!</v>
      </c>
      <c r="Q10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LOWER($B102)))
)"),"2.052863436")</f>
        <v>2.052863436</v>
      </c>
      <c r="R102" s="16"/>
      <c r="U102" s="0" t="str">
        <f aca="false">IFERROR(__xludf.dummyfunction("IFERROR(SUM(FILTER('Form Responses (Power-up data)'!$C$2:$C1000, LOWER('Form Responses (Power-up data)'!$B$2:$B1000) = LOWER($B102))), 0)"),"0")</f>
        <v>0</v>
      </c>
      <c r="V10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LOWER($B102))
),0)"),"45")</f>
        <v>45</v>
      </c>
      <c r="W102" s="0" t="str">
        <f aca="false">IFERROR(__xludf.dummyfunction("COUNT(FILTER('Form Responses (Power-up data)'!$C$2:$C1000, LOWER('Form Responses (Power-up data)'!$B$2:$B1000) = LOWER($B102)))"),"0")</f>
        <v>0</v>
      </c>
      <c r="X10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LOWER($B102)))"),"2")</f>
        <v>2</v>
      </c>
      <c r="Y10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LOWER($B102))), 2)))"),"2.05/2.05")</f>
        <v>2.05/2.05</v>
      </c>
    </row>
    <row r="103" customFormat="false" ht="15.75" hidden="false" customHeight="false" outlineLevel="0" collapsed="false">
      <c r="A103" s="10" t="n">
        <v>102</v>
      </c>
      <c r="B103" s="1" t="s">
        <v>121</v>
      </c>
      <c r="C103" s="0" t="str">
        <f aca="false">IFERROR(__xludf.dummyfunction("ROUND(0.00909003 * (FILTER('Go Base Stats'!$C$2:$C1000, 'Go Base Stats'!$A$2:$A1000 = $A103))^0.5 *(FILTER('Go Base Stats'!$D$2:$D1000, 'Go Base Stats'!$A$2:$A1000 = $A103))*(FILTER('Go Base Stats'!$E$2:$E1000, 'Go Base Stats'!$A$2:$A1000 = $A103))^0.5 / 10, 1)"),"12.6")</f>
        <v>12.6</v>
      </c>
      <c r="D103" s="0" t="str">
        <f aca="false">IFERROR(__xludf.dummyfunction("ROUND(0.00909003 * (FILTER('Go Base Stats'!$C$2:$C1000, 'Go Base Stats'!$A$2:$A1000 = $A103)+7.5)^0.5 *(FILTER('Go Base Stats'!$D$2:$D1000, 'Go Base Stats'!$A$2:$A1000 = $A103) + 7.5)*(FILTER('Go Base Stats'!$E$2:$E1000, 'Go Base Stats'!$A$2:$A1000 = $A103) + 7.5)^0.5 / 10, 1)"),"14.2")</f>
        <v>14.2</v>
      </c>
      <c r="E103" s="0" t="str">
        <f aca="false">IFERROR(__xludf.dummyfunction("ROUND(0.00909003 * (FILTER('Go Base Stats'!$C$2:$C1000, 'Go Base Stats'!$A$2:$A1000 = $A103)+15)^0.5 *(FILTER('Go Base Stats'!$D$2:$D1000, 'Go Base Stats'!$A$2:$A1000 = $A103) +15)*(FILTER('Go Base Stats'!$E$2:$E1000, 'Go Base Stats'!$A$2:$A1000 = $A103) + 15)^0.5 / 10, 1)"),"16")</f>
        <v>16</v>
      </c>
      <c r="F103" s="6"/>
      <c r="G103" s="6" t="str">
        <f aca="false">IFERROR(__xludf.dummyfunction("FILTER('Base Stats'!$C$2:$C1000, LOWER('Base Stats'!$B$2:$B1000) = LOWER($B103))"),"60")</f>
        <v>60</v>
      </c>
      <c r="H103" s="0" t="str">
        <f aca="false">IFERROR(__xludf.dummyfunction("FLOOR((0.7903)^2 * (FILTER('Go Base Stats'!$C$2:$C1000, 'Go Base Stats'!$A$2:$A1000 = $A103)+15)^0.5 *(FILTER('Go Base Stats'!$D$2:$D1000, 'Go Base Stats'!$A$2:$A1000 = $A103) +15)*(FILTER('Go Base Stats'!$E$2:$E1000, 'Go Base Stats'!$A$2:$A1000 = $A103) + 15)^0.5 / 10)"),"1099")</f>
        <v>1099</v>
      </c>
      <c r="I103" s="0" t="str">
        <f aca="false">IFERROR(__xludf.dummyfunction("FLOOR(0.7903* (FILTER('Go Base Stats'!$C$2:$C1000, 'Go Base Stats'!$A$2:$A1000 = $A103)+15))"),"106")</f>
        <v>106</v>
      </c>
      <c r="J103" s="17"/>
      <c r="K103" s="17"/>
      <c r="L103" s="17"/>
      <c r="M103" s="12" t="e">
        <f aca="false">IF(NOT(ISBLANK($R103)), $R103, IF(ROUND($P103, 1) = 0, "", ROUND($P103, 1) ))</f>
        <v>#VALUE!</v>
      </c>
      <c r="N103" s="13" t="e">
        <f aca="false">ABS(M103-D103)/M103</f>
        <v>#VALUE!</v>
      </c>
      <c r="P103" s="14" t="e">
        <f aca="false">IFERROR((U103+V103)/(W103+X103))</f>
        <v>#VALUE!</v>
      </c>
      <c r="Q10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LOWER($B103)))
)"),"")</f>
        <v/>
      </c>
      <c r="R103" s="16"/>
      <c r="U103" s="0" t="str">
        <f aca="false">IFERROR(__xludf.dummyfunction("IFERROR(SUM(FILTER('Form Responses (Power-up data)'!$C$2:$C1000, LOWER('Form Responses (Power-up data)'!$B$2:$B1000) = LOWER($B103))), 0)"),"0")</f>
        <v>0</v>
      </c>
      <c r="V10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LOWER($B103))
),0)"),"18")</f>
        <v>18</v>
      </c>
      <c r="W103" s="0" t="str">
        <f aca="false">IFERROR(__xludf.dummyfunction("COUNT(FILTER('Form Responses (Power-up data)'!$C$2:$C1000, LOWER('Form Responses (Power-up data)'!$B$2:$B1000) = LOWER($B103)))"),"0")</f>
        <v>0</v>
      </c>
      <c r="X10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LOWER($B103)))"),"1")</f>
        <v>1</v>
      </c>
      <c r="Y10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LOWER($B103))), 2)))"),"/")</f>
        <v>/</v>
      </c>
    </row>
    <row r="104" customFormat="false" ht="15.75" hidden="false" customHeight="false" outlineLevel="0" collapsed="false">
      <c r="A104" s="10" t="n">
        <v>103</v>
      </c>
      <c r="B104" s="1" t="s">
        <v>122</v>
      </c>
      <c r="C104" s="0" t="str">
        <f aca="false">IFERROR(__xludf.dummyfunction("ROUND(0.00909003 * (FILTER('Go Base Stats'!$C$2:$C1000, 'Go Base Stats'!$A$2:$A1000 = $A104))^0.5 *(FILTER('Go Base Stats'!$D$2:$D1000, 'Go Base Stats'!$A$2:$A1000 = $A104))*(FILTER('Go Base Stats'!$E$2:$E1000, 'Go Base Stats'!$A$2:$A1000 = $A104))^0.5 / 10, 1)"),"37.2")</f>
        <v>37.2</v>
      </c>
      <c r="D104" s="0" t="str">
        <f aca="false">IFERROR(__xludf.dummyfunction("ROUND(0.00909003 * (FILTER('Go Base Stats'!$C$2:$C1000, 'Go Base Stats'!$A$2:$A1000 = $A104)+7.5)^0.5 *(FILTER('Go Base Stats'!$D$2:$D1000, 'Go Base Stats'!$A$2:$A1000 = $A104) + 7.5)*(FILTER('Go Base Stats'!$E$2:$E1000, 'Go Base Stats'!$A$2:$A1000 = $A104) + 7.5)^0.5 / 10, 1)"),"40.1")</f>
        <v>40.1</v>
      </c>
      <c r="E104" s="0" t="str">
        <f aca="false">IFERROR(__xludf.dummyfunction("ROUND(0.00909003 * (FILTER('Go Base Stats'!$C$2:$C1000, 'Go Base Stats'!$A$2:$A1000 = $A104)+15)^0.5 *(FILTER('Go Base Stats'!$D$2:$D1000, 'Go Base Stats'!$A$2:$A1000 = $A104) +15)*(FILTER('Go Base Stats'!$E$2:$E1000, 'Go Base Stats'!$A$2:$A1000 = $A104) + 15)^0.5 / 10, 1)"),"43")</f>
        <v>43</v>
      </c>
      <c r="F104" s="6" t="str">
        <f aca="false">ROUND(D104/D103, 1)</f>
        <v>2.8</v>
      </c>
      <c r="G104" s="6" t="str">
        <f aca="false">IFERROR(__xludf.dummyfunction("FILTER('Base Stats'!$C$2:$C1000, LOWER('Base Stats'!$B$2:$B1000) = LOWER($B104))"),"95")</f>
        <v>95</v>
      </c>
      <c r="H104" s="0" t="str">
        <f aca="false">IFERROR(__xludf.dummyfunction("FLOOR((0.7903)^2 * (FILTER('Go Base Stats'!$C$2:$C1000, 'Go Base Stats'!$A$2:$A1000 = $A104)+15)^0.5 *(FILTER('Go Base Stats'!$D$2:$D1000, 'Go Base Stats'!$A$2:$A1000 = $A104) +15)*(FILTER('Go Base Stats'!$E$2:$E1000, 'Go Base Stats'!$A$2:$A1000 = $A104) + 15)^0.5 / 10)"),"2955")</f>
        <v>2955</v>
      </c>
      <c r="I104" s="0" t="str">
        <f aca="false">IFERROR(__xludf.dummyfunction("FLOOR(0.7903* (FILTER('Go Base Stats'!$C$2:$C1000, 'Go Base Stats'!$A$2:$A1000 = $A104)+15))"),"162")</f>
        <v>162</v>
      </c>
      <c r="J104" s="17"/>
      <c r="K104" s="17"/>
      <c r="L104" s="17"/>
      <c r="M104" s="12" t="e">
        <f aca="false">IF(NOT(ISBLANK($R104)), $R104, IF(ROUND($P104, 1) = 0, "", ROUND($P104, 1) ))</f>
        <v>#VALUE!</v>
      </c>
      <c r="N104" s="13" t="e">
        <f aca="false">ABS(M104-D104)/M104</f>
        <v>#VALUE!</v>
      </c>
      <c r="P104" s="14" t="e">
        <f aca="false">IFERROR((U104+V104)/(W104+X104))</f>
        <v>#VALUE!</v>
      </c>
      <c r="Q10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LOWER($B104)))
)"),"2.718214747")</f>
        <v>2.718214747</v>
      </c>
      <c r="R104" s="16"/>
      <c r="U104" s="0" t="str">
        <f aca="false">IFERROR(__xludf.dummyfunction("IFERROR(SUM(FILTER('Form Responses (Power-up data)'!$C$2:$C1000, LOWER('Form Responses (Power-up data)'!$B$2:$B1000) = LOWER($B104))), 0)"),"0")</f>
        <v>0</v>
      </c>
      <c r="V10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LOWER($B104))
),0)"),"243")</f>
        <v>243</v>
      </c>
      <c r="W104" s="0" t="str">
        <f aca="false">IFERROR(__xludf.dummyfunction("COUNT(FILTER('Form Responses (Power-up data)'!$C$2:$C1000, LOWER('Form Responses (Power-up data)'!$B$2:$B1000) = LOWER($B104)))"),"0")</f>
        <v>0</v>
      </c>
      <c r="X10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LOWER($B104)))"),"6")</f>
        <v>6</v>
      </c>
      <c r="Y10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LOWER($B104))), 2)))"),"2.69/2.75")</f>
        <v>2.69/2.75</v>
      </c>
    </row>
    <row r="105" customFormat="false" ht="15.75" hidden="false" customHeight="false" outlineLevel="0" collapsed="false">
      <c r="A105" s="10" t="n">
        <v>104</v>
      </c>
      <c r="B105" s="1" t="s">
        <v>123</v>
      </c>
      <c r="C105" s="0" t="str">
        <f aca="false">IFERROR(__xludf.dummyfunction("ROUND(0.00909003 * (FILTER('Go Base Stats'!$C$2:$C1000, 'Go Base Stats'!$A$2:$A1000 = $A105))^0.5 *(FILTER('Go Base Stats'!$D$2:$D1000, 'Go Base Stats'!$A$2:$A1000 = $A105))*(FILTER('Go Base Stats'!$E$2:$E1000, 'Go Base Stats'!$A$2:$A1000 = $A105))^0.5 / 10, 1)"),"11.4")</f>
        <v>11.4</v>
      </c>
      <c r="D105" s="0" t="str">
        <f aca="false">IFERROR(__xludf.dummyfunction("ROUND(0.00909003 * (FILTER('Go Base Stats'!$C$2:$C1000, 'Go Base Stats'!$A$2:$A1000 = $A105)+7.5)^0.5 *(FILTER('Go Base Stats'!$D$2:$D1000, 'Go Base Stats'!$A$2:$A1000 = $A105) + 7.5)*(FILTER('Go Base Stats'!$E$2:$E1000, 'Go Base Stats'!$A$2:$A1000 = $A105) + 7.5)^0.5 / 10, 1)"),"13")</f>
        <v>13</v>
      </c>
      <c r="E105" s="0" t="str">
        <f aca="false">IFERROR(__xludf.dummyfunction("ROUND(0.00909003 * (FILTER('Go Base Stats'!$C$2:$C1000, 'Go Base Stats'!$A$2:$A1000 = $A105)+15)^0.5 *(FILTER('Go Base Stats'!$D$2:$D1000, 'Go Base Stats'!$A$2:$A1000 = $A105) +15)*(FILTER('Go Base Stats'!$E$2:$E1000, 'Go Base Stats'!$A$2:$A1000 = $A105) + 15)^0.5 / 10, 1)"),"14.7")</f>
        <v>14.7</v>
      </c>
      <c r="F105" s="6"/>
      <c r="G105" s="6" t="str">
        <f aca="false">IFERROR(__xludf.dummyfunction("FILTER('Base Stats'!$C$2:$C1000, LOWER('Base Stats'!$B$2:$B1000) = LOWER($B105))"),"50")</f>
        <v>50</v>
      </c>
      <c r="H105" s="0" t="str">
        <f aca="false">IFERROR(__xludf.dummyfunction("FLOOR((0.7903)^2 * (FILTER('Go Base Stats'!$C$2:$C1000, 'Go Base Stats'!$A$2:$A1000 = $A105)+15)^0.5 *(FILTER('Go Base Stats'!$D$2:$D1000, 'Go Base Stats'!$A$2:$A1000 = $A105) +15)*(FILTER('Go Base Stats'!$E$2:$E1000, 'Go Base Stats'!$A$2:$A1000 = $A105) + 15)^0.5 / 10)"),"1006")</f>
        <v>1006</v>
      </c>
      <c r="I105" s="0" t="str">
        <f aca="false">IFERROR(__xludf.dummyfunction("FLOOR(0.7903* (FILTER('Go Base Stats'!$C$2:$C1000, 'Go Base Stats'!$A$2:$A1000 = $A105)+15))"),"90")</f>
        <v>90</v>
      </c>
      <c r="J105" s="17"/>
      <c r="K105" s="17"/>
      <c r="L105" s="17"/>
      <c r="M105" s="12" t="e">
        <f aca="false">IF(NOT(ISBLANK($R105)), $R105, IF(ROUND($P105, 1) = 0, "", ROUND($P105, 1) ))</f>
        <v>#VALUE!</v>
      </c>
      <c r="N105" s="13" t="e">
        <f aca="false">ABS(M105-D105)/M105</f>
        <v>#VALUE!</v>
      </c>
      <c r="P105" s="14" t="e">
        <f aca="false">IFERROR((U105+V105)/(W105+X105))</f>
        <v>#VALUE!</v>
      </c>
      <c r="Q10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LOWER($B105)))
)"),"")</f>
        <v/>
      </c>
      <c r="R105" s="16"/>
      <c r="U105" s="0" t="str">
        <f aca="false">IFERROR(__xludf.dummyfunction("IFERROR(SUM(FILTER('Form Responses (Power-up data)'!$C$2:$C1000, LOWER('Form Responses (Power-up data)'!$B$2:$B1000) = LOWER($B105))), 0)"),"0")</f>
        <v>0</v>
      </c>
      <c r="V10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LOWER($B105))
),0)"),"13")</f>
        <v>13</v>
      </c>
      <c r="W105" s="0" t="str">
        <f aca="false">IFERROR(__xludf.dummyfunction("COUNT(FILTER('Form Responses (Power-up data)'!$C$2:$C1000, LOWER('Form Responses (Power-up data)'!$B$2:$B1000) = LOWER($B105)))"),"0")</f>
        <v>0</v>
      </c>
      <c r="X10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LOWER($B105)))"),"1")</f>
        <v>1</v>
      </c>
      <c r="Y10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LOWER($B105))), 2)))"),"/")</f>
        <v>/</v>
      </c>
    </row>
    <row r="106" customFormat="false" ht="15.75" hidden="false" customHeight="false" outlineLevel="0" collapsed="false">
      <c r="A106" s="10" t="n">
        <v>105</v>
      </c>
      <c r="B106" s="1" t="s">
        <v>124</v>
      </c>
      <c r="C106" s="0" t="str">
        <f aca="false">IFERROR(__xludf.dummyfunction("ROUND(0.00909003 * (FILTER('Go Base Stats'!$C$2:$C1000, 'Go Base Stats'!$A$2:$A1000 = $A106))^0.5 *(FILTER('Go Base Stats'!$D$2:$D1000, 'Go Base Stats'!$A$2:$A1000 = $A106))*(FILTER('Go Base Stats'!$E$2:$E1000, 'Go Base Stats'!$A$2:$A1000 = $A106))^0.5 / 10, 1)"),"19.8")</f>
        <v>19.8</v>
      </c>
      <c r="D106" s="0" t="str">
        <f aca="false">IFERROR(__xludf.dummyfunction("ROUND(0.00909003 * (FILTER('Go Base Stats'!$C$2:$C1000, 'Go Base Stats'!$A$2:$A1000 = $A106)+7.5)^0.5 *(FILTER('Go Base Stats'!$D$2:$D1000, 'Go Base Stats'!$A$2:$A1000 = $A106) + 7.5)*(FILTER('Go Base Stats'!$E$2:$E1000, 'Go Base Stats'!$A$2:$A1000 = $A106) + 7.5)^0.5 / 10, 1)"),"21.9")</f>
        <v>21.9</v>
      </c>
      <c r="E106" s="0" t="str">
        <f aca="false">IFERROR(__xludf.dummyfunction("ROUND(0.00909003 * (FILTER('Go Base Stats'!$C$2:$C1000, 'Go Base Stats'!$A$2:$A1000 = $A106)+15)^0.5 *(FILTER('Go Base Stats'!$D$2:$D1000, 'Go Base Stats'!$A$2:$A1000 = $A106) +15)*(FILTER('Go Base Stats'!$E$2:$E1000, 'Go Base Stats'!$A$2:$A1000 = $A106) + 15)^0.5 / 10, 1)"),"24.1")</f>
        <v>24.1</v>
      </c>
      <c r="F106" s="6" t="str">
        <f aca="false">ROUND(D106/D105, 1)</f>
        <v>1.7</v>
      </c>
      <c r="G106" s="6" t="str">
        <f aca="false">IFERROR(__xludf.dummyfunction("FILTER('Base Stats'!$C$2:$C1000, LOWER('Base Stats'!$B$2:$B1000) = LOWER($B106))"),"60")</f>
        <v>60</v>
      </c>
      <c r="H106" s="0" t="str">
        <f aca="false">IFERROR(__xludf.dummyfunction("FLOOR((0.7903)^2 * (FILTER('Go Base Stats'!$C$2:$C1000, 'Go Base Stats'!$A$2:$A1000 = $A106)+15)^0.5 *(FILTER('Go Base Stats'!$D$2:$D1000, 'Go Base Stats'!$A$2:$A1000 = $A106) +15)*(FILTER('Go Base Stats'!$E$2:$E1000, 'Go Base Stats'!$A$2:$A1000 = $A106) + 15)^0.5 / 10)"),"1656")</f>
        <v>1656</v>
      </c>
      <c r="I106" s="0" t="str">
        <f aca="false">IFERROR(__xludf.dummyfunction("FLOOR(0.7903* (FILTER('Go Base Stats'!$C$2:$C1000, 'Go Base Stats'!$A$2:$A1000 = $A106)+15))"),"106")</f>
        <v>106</v>
      </c>
      <c r="J106" s="17"/>
      <c r="K106" s="17"/>
      <c r="L106" s="17"/>
      <c r="M106" s="12" t="e">
        <f aca="false">IF(NOT(ISBLANK($R106)), $R106, IF(ROUND($P106, 1) = 0, "", ROUND($P106, 1) ))</f>
        <v>#VALUE!</v>
      </c>
      <c r="N106" s="13" t="e">
        <f aca="false">ABS(M106-D106)/M106</f>
        <v>#VALUE!</v>
      </c>
      <c r="P106" s="14" t="e">
        <f aca="false">IFERROR((U106+V106)/(W106+X106))</f>
        <v>#VALUE!</v>
      </c>
      <c r="Q10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LOWER($B106)))
)"),"1.673267327")</f>
        <v>1.673267327</v>
      </c>
      <c r="R106" s="16"/>
      <c r="U106" s="0" t="str">
        <f aca="false">IFERROR(__xludf.dummyfunction("IFERROR(SUM(FILTER('Form Responses (Power-up data)'!$C$2:$C1000, LOWER('Form Responses (Power-up data)'!$B$2:$B1000) = LOWER($B106))), 0)"),"0")</f>
        <v>0</v>
      </c>
      <c r="V10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LOWER($B106))
),0)"),"45")</f>
        <v>45</v>
      </c>
      <c r="W106" s="0" t="str">
        <f aca="false">IFERROR(__xludf.dummyfunction("COUNT(FILTER('Form Responses (Power-up data)'!$C$2:$C1000, LOWER('Form Responses (Power-up data)'!$B$2:$B1000) = LOWER($B106)))"),"0")</f>
        <v>0</v>
      </c>
      <c r="X10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LOWER($B106)))"),"2")</f>
        <v>2</v>
      </c>
      <c r="Y10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LOWER($B106))), 2)))"),"1.67/1.67")</f>
        <v>1.67/1.67</v>
      </c>
    </row>
    <row r="107" customFormat="false" ht="15.75" hidden="false" customHeight="false" outlineLevel="0" collapsed="false">
      <c r="A107" s="10" t="n">
        <v>106</v>
      </c>
      <c r="B107" s="1" t="s">
        <v>125</v>
      </c>
      <c r="C107" s="0" t="str">
        <f aca="false">IFERROR(__xludf.dummyfunction("ROUND(0.00909003 * (FILTER('Go Base Stats'!$C$2:$C1000, 'Go Base Stats'!$A$2:$A1000 = $A107))^0.5 *(FILTER('Go Base Stats'!$D$2:$D1000, 'Go Base Stats'!$A$2:$A1000 = $A107))*(FILTER('Go Base Stats'!$E$2:$E1000, 'Go Base Stats'!$A$2:$A1000 = $A107))^0.5 / 10, 1)"),"17.6")</f>
        <v>17.6</v>
      </c>
      <c r="D107" s="0" t="str">
        <f aca="false">IFERROR(__xludf.dummyfunction("ROUND(0.00909003 * (FILTER('Go Base Stats'!$C$2:$C1000, 'Go Base Stats'!$A$2:$A1000 = $A107)+7.5)^0.5 *(FILTER('Go Base Stats'!$D$2:$D1000, 'Go Base Stats'!$A$2:$A1000 = $A107) + 7.5)*(FILTER('Go Base Stats'!$E$2:$E1000, 'Go Base Stats'!$A$2:$A1000 = $A107) + 7.5)^0.5 / 10, 1)"),"19.6")</f>
        <v>19.6</v>
      </c>
      <c r="E107" s="0" t="str">
        <f aca="false">IFERROR(__xludf.dummyfunction("ROUND(0.00909003 * (FILTER('Go Base Stats'!$C$2:$C1000, 'Go Base Stats'!$A$2:$A1000 = $A107)+15)^0.5 *(FILTER('Go Base Stats'!$D$2:$D1000, 'Go Base Stats'!$A$2:$A1000 = $A107) +15)*(FILTER('Go Base Stats'!$E$2:$E1000, 'Go Base Stats'!$A$2:$A1000 = $A107) + 15)^0.5 / 10, 1)"),"21.7")</f>
        <v>21.7</v>
      </c>
      <c r="F107" s="6"/>
      <c r="G107" s="6" t="str">
        <f aca="false">IFERROR(__xludf.dummyfunction("FILTER('Base Stats'!$C$2:$C1000, LOWER('Base Stats'!$B$2:$B1000) = LOWER($B107))"),"50")</f>
        <v>50</v>
      </c>
      <c r="H107" s="0" t="str">
        <f aca="false">IFERROR(__xludf.dummyfunction("FLOOR((0.7903)^2 * (FILTER('Go Base Stats'!$C$2:$C1000, 'Go Base Stats'!$A$2:$A1000 = $A107)+15)^0.5 *(FILTER('Go Base Stats'!$D$2:$D1000, 'Go Base Stats'!$A$2:$A1000 = $A107) +15)*(FILTER('Go Base Stats'!$E$2:$E1000, 'Go Base Stats'!$A$2:$A1000 = $A107) + 15)^0.5 / 10)"),"1492")</f>
        <v>1492</v>
      </c>
      <c r="I107" s="0" t="str">
        <f aca="false">IFERROR(__xludf.dummyfunction("FLOOR(0.7903* (FILTER('Go Base Stats'!$C$2:$C1000, 'Go Base Stats'!$A$2:$A1000 = $A107)+15))"),"90")</f>
        <v>90</v>
      </c>
      <c r="J107" s="17"/>
      <c r="K107" s="17"/>
      <c r="L107" s="17"/>
      <c r="M107" s="12" t="e">
        <f aca="false">IF(NOT(ISBLANK($R107)), $R107, IF(ROUND($P107, 1) = 0, "", ROUND($P107, 1) ))</f>
        <v>#VALUE!</v>
      </c>
      <c r="N107" s="13" t="e">
        <f aca="false">ABS(M107-D107)/M107</f>
        <v>#VALUE!</v>
      </c>
      <c r="P107" s="14" t="e">
        <f aca="false">IFERROR((U107+V107)/(W107+X107))</f>
        <v>#VALUE!</v>
      </c>
      <c r="Q10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LOWER($B107)))
)"),"")</f>
        <v/>
      </c>
      <c r="R107" s="16"/>
      <c r="U107" s="0" t="str">
        <f aca="false">IFERROR(__xludf.dummyfunction("IFERROR(SUM(FILTER('Form Responses (Power-up data)'!$C$2:$C1000, LOWER('Form Responses (Power-up data)'!$B$2:$B1000) = LOWER($B107))), 0)"),"21")</f>
        <v>21</v>
      </c>
      <c r="V10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LOWER($B107))
),0)"),"0")</f>
        <v>0</v>
      </c>
      <c r="W107" s="0" t="str">
        <f aca="false">IFERROR(__xludf.dummyfunction("COUNT(FILTER('Form Responses (Power-up data)'!$C$2:$C1000, LOWER('Form Responses (Power-up data)'!$B$2:$B1000) = LOWER($B107)))"),"1")</f>
        <v>1</v>
      </c>
      <c r="X10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LOWER($B107)))"),"0")</f>
        <v>0</v>
      </c>
      <c r="Y10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LOWER($B107))), 2)))"),"/")</f>
        <v>/</v>
      </c>
    </row>
    <row r="108" customFormat="false" ht="15.75" hidden="false" customHeight="false" outlineLevel="0" collapsed="false">
      <c r="A108" s="10" t="n">
        <v>107</v>
      </c>
      <c r="B108" s="1" t="s">
        <v>126</v>
      </c>
      <c r="C108" s="0" t="str">
        <f aca="false">IFERROR(__xludf.dummyfunction("ROUND(0.00909003 * (FILTER('Go Base Stats'!$C$2:$C1000, 'Go Base Stats'!$A$2:$A1000 = $A108))^0.5 *(FILTER('Go Base Stats'!$D$2:$D1000, 'Go Base Stats'!$A$2:$A1000 = $A108))*(FILTER('Go Base Stats'!$E$2:$E1000, 'Go Base Stats'!$A$2:$A1000 = $A108))^0.5 / 10, 1)"),"17.9")</f>
        <v>17.9</v>
      </c>
      <c r="D108" s="0" t="str">
        <f aca="false">IFERROR(__xludf.dummyfunction("ROUND(0.00909003 * (FILTER('Go Base Stats'!$C$2:$C1000, 'Go Base Stats'!$A$2:$A1000 = $A108)+7.5)^0.5 *(FILTER('Go Base Stats'!$D$2:$D1000, 'Go Base Stats'!$A$2:$A1000 = $A108) + 7.5)*(FILTER('Go Base Stats'!$E$2:$E1000, 'Go Base Stats'!$A$2:$A1000 = $A108) + 7.5)^0.5 / 10, 1)"),"19.9")</f>
        <v>19.9</v>
      </c>
      <c r="E108" s="0" t="str">
        <f aca="false">IFERROR(__xludf.dummyfunction("ROUND(0.00909003 * (FILTER('Go Base Stats'!$C$2:$C1000, 'Go Base Stats'!$A$2:$A1000 = $A108)+15)^0.5 *(FILTER('Go Base Stats'!$D$2:$D1000, 'Go Base Stats'!$A$2:$A1000 = $A108) +15)*(FILTER('Go Base Stats'!$E$2:$E1000, 'Go Base Stats'!$A$2:$A1000 = $A108) + 15)^0.5 / 10, 1)"),"22.1")</f>
        <v>22.1</v>
      </c>
      <c r="F108" s="6"/>
      <c r="G108" s="6" t="str">
        <f aca="false">IFERROR(__xludf.dummyfunction("FILTER('Base Stats'!$C$2:$C1000, LOWER('Base Stats'!$B$2:$B1000) = LOWER($B108))"),"50")</f>
        <v>50</v>
      </c>
      <c r="H108" s="0" t="str">
        <f aca="false">IFERROR(__xludf.dummyfunction("FLOOR((0.7903)^2 * (FILTER('Go Base Stats'!$C$2:$C1000, 'Go Base Stats'!$A$2:$A1000 = $A108)+15)^0.5 *(FILTER('Go Base Stats'!$D$2:$D1000, 'Go Base Stats'!$A$2:$A1000 = $A108) +15)*(FILTER('Go Base Stats'!$E$2:$E1000, 'Go Base Stats'!$A$2:$A1000 = $A108) + 15)^0.5 / 10)"),"1516")</f>
        <v>1516</v>
      </c>
      <c r="I108" s="0" t="str">
        <f aca="false">IFERROR(__xludf.dummyfunction("FLOOR(0.7903* (FILTER('Go Base Stats'!$C$2:$C1000, 'Go Base Stats'!$A$2:$A1000 = $A108)+15))"),"90")</f>
        <v>90</v>
      </c>
      <c r="J108" s="17"/>
      <c r="K108" s="17"/>
      <c r="L108" s="17"/>
      <c r="M108" s="12" t="e">
        <f aca="false">IF(NOT(ISBLANK($R108)), $R108, IF(ROUND($P108, 1) = 0, "", ROUND($P108, 1) ))</f>
        <v>#VALUE!</v>
      </c>
      <c r="N108" s="13" t="e">
        <f aca="false">ABS(M108-D108)/M108</f>
        <v>#VALUE!</v>
      </c>
      <c r="P108" s="14" t="e">
        <f aca="false">IFERROR((U108+V108)/(W108+X108))</f>
        <v>#VALUE!</v>
      </c>
      <c r="Q10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LOWER($B108)))
)"),"")</f>
        <v/>
      </c>
      <c r="R108" s="16"/>
      <c r="U108" s="0" t="str">
        <f aca="false">IFERROR(__xludf.dummyfunction("IFERROR(SUM(FILTER('Form Responses (Power-up data)'!$C$2:$C1000, LOWER('Form Responses (Power-up data)'!$B$2:$B1000) = LOWER($B108))), 0)"),"0")</f>
        <v>0</v>
      </c>
      <c r="V10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LOWER($B108))
),0)"),"21")</f>
        <v>21</v>
      </c>
      <c r="W108" s="0" t="str">
        <f aca="false">IFERROR(__xludf.dummyfunction("COUNT(FILTER('Form Responses (Power-up data)'!$C$2:$C1000, LOWER('Form Responses (Power-up data)'!$B$2:$B1000) = LOWER($B108)))"),"0")</f>
        <v>0</v>
      </c>
      <c r="X10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LOWER($B108)))"),"1")</f>
        <v>1</v>
      </c>
      <c r="Y10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LOWER($B108))), 2)))"),"/")</f>
        <v>/</v>
      </c>
    </row>
    <row r="109" customFormat="false" ht="15.75" hidden="false" customHeight="false" outlineLevel="0" collapsed="false">
      <c r="A109" s="10" t="n">
        <v>108</v>
      </c>
      <c r="B109" s="1" t="s">
        <v>127</v>
      </c>
      <c r="C109" s="0" t="str">
        <f aca="false">IFERROR(__xludf.dummyfunction("ROUND(0.00909003 * (FILTER('Go Base Stats'!$C$2:$C1000, 'Go Base Stats'!$A$2:$A1000 = $A109))^0.5 *(FILTER('Go Base Stats'!$D$2:$D1000, 'Go Base Stats'!$A$2:$A1000 = $A109))*(FILTER('Go Base Stats'!$E$2:$E1000, 'Go Base Stats'!$A$2:$A1000 = $A109))^0.5 / 10, 1)"),"19.4")</f>
        <v>19.4</v>
      </c>
      <c r="D109" s="0" t="str">
        <f aca="false">IFERROR(__xludf.dummyfunction("ROUND(0.00909003 * (FILTER('Go Base Stats'!$C$2:$C1000, 'Go Base Stats'!$A$2:$A1000 = $A109)+7.5)^0.5 *(FILTER('Go Base Stats'!$D$2:$D1000, 'Go Base Stats'!$A$2:$A1000 = $A109) + 7.5)*(FILTER('Go Base Stats'!$E$2:$E1000, 'Go Base Stats'!$A$2:$A1000 = $A109) + 7.5)^0.5 / 10, 1)"),"21.5")</f>
        <v>21.5</v>
      </c>
      <c r="E109" s="0" t="str">
        <f aca="false">IFERROR(__xludf.dummyfunction("ROUND(0.00909003 * (FILTER('Go Base Stats'!$C$2:$C1000, 'Go Base Stats'!$A$2:$A1000 = $A109)+15)^0.5 *(FILTER('Go Base Stats'!$D$2:$D1000, 'Go Base Stats'!$A$2:$A1000 = $A109) +15)*(FILTER('Go Base Stats'!$E$2:$E1000, 'Go Base Stats'!$A$2:$A1000 = $A109) + 15)^0.5 / 10, 1)"),"23.7")</f>
        <v>23.7</v>
      </c>
      <c r="F109" s="6"/>
      <c r="G109" s="6" t="str">
        <f aca="false">IFERROR(__xludf.dummyfunction("FILTER('Base Stats'!$C$2:$C1000, LOWER('Base Stats'!$B$2:$B1000) = LOWER($B109))"),"90")</f>
        <v>90</v>
      </c>
      <c r="H109" s="0" t="str">
        <f aca="false">IFERROR(__xludf.dummyfunction("FLOOR((0.7903)^2 * (FILTER('Go Base Stats'!$C$2:$C1000, 'Go Base Stats'!$A$2:$A1000 = $A109)+15)^0.5 *(FILTER('Go Base Stats'!$D$2:$D1000, 'Go Base Stats'!$A$2:$A1000 = $A109) +15)*(FILTER('Go Base Stats'!$E$2:$E1000, 'Go Base Stats'!$A$2:$A1000 = $A109) + 15)^0.5 / 10)"),"1626")</f>
        <v>1626</v>
      </c>
      <c r="I109" s="0" t="str">
        <f aca="false">IFERROR(__xludf.dummyfunction("FLOOR(0.7903* (FILTER('Go Base Stats'!$C$2:$C1000, 'Go Base Stats'!$A$2:$A1000 = $A109)+15))"),"154")</f>
        <v>154</v>
      </c>
      <c r="J109" s="17"/>
      <c r="K109" s="17"/>
      <c r="L109" s="17"/>
      <c r="M109" s="12" t="e">
        <f aca="false">IF(NOT(ISBLANK($R109)), $R109, IF(ROUND($P109, 1) = 0, "", ROUND($P109, 1) ))</f>
        <v>#VALUE!</v>
      </c>
      <c r="N109" s="13" t="e">
        <f aca="false">ABS(M109-D109)/M109</f>
        <v>#VALUE!</v>
      </c>
      <c r="P109" s="14" t="e">
        <f aca="false">IFERROR((U109+V109)/(W109+X109))</f>
        <v>#VALUE!</v>
      </c>
      <c r="Q10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LOWER($B109)))
)"),"")</f>
        <v/>
      </c>
      <c r="R109" s="16"/>
      <c r="U109" s="0" t="str">
        <f aca="false">IFERROR(__xludf.dummyfunction("IFERROR(SUM(FILTER('Form Responses (Power-up data)'!$C$2:$C1000, LOWER('Form Responses (Power-up data)'!$B$2:$B1000) = LOWER($B109))), 0)"),"0")</f>
        <v>0</v>
      </c>
      <c r="V10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LOWER($B109))
),0)"),"44")</f>
        <v>44</v>
      </c>
      <c r="W109" s="0" t="str">
        <f aca="false">IFERROR(__xludf.dummyfunction("COUNT(FILTER('Form Responses (Power-up data)'!$C$2:$C1000, LOWER('Form Responses (Power-up data)'!$B$2:$B1000) = LOWER($B109)))"),"0")</f>
        <v>0</v>
      </c>
      <c r="X10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LOWER($B109)))"),"2")</f>
        <v>2</v>
      </c>
      <c r="Y10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LOWER($B109))), 2)))"),"/")</f>
        <v>/</v>
      </c>
    </row>
    <row r="110" customFormat="false" ht="15.75" hidden="false" customHeight="false" outlineLevel="0" collapsed="false">
      <c r="A110" s="10" t="n">
        <v>109</v>
      </c>
      <c r="B110" s="1" t="s">
        <v>128</v>
      </c>
      <c r="C110" s="0" t="str">
        <f aca="false">IFERROR(__xludf.dummyfunction("ROUND(0.00909003 * (FILTER('Go Base Stats'!$C$2:$C1000, 'Go Base Stats'!$A$2:$A1000 = $A110))^0.5 *(FILTER('Go Base Stats'!$D$2:$D1000, 'Go Base Stats'!$A$2:$A1000 = $A110))*(FILTER('Go Base Stats'!$E$2:$E1000, 'Go Base Stats'!$A$2:$A1000 = $A110))^0.5 / 10, 1)"),"13.2")</f>
        <v>13.2</v>
      </c>
      <c r="D110" s="0" t="str">
        <f aca="false">IFERROR(__xludf.dummyfunction("ROUND(0.00909003 * (FILTER('Go Base Stats'!$C$2:$C1000, 'Go Base Stats'!$A$2:$A1000 = $A110)+7.5)^0.5 *(FILTER('Go Base Stats'!$D$2:$D1000, 'Go Base Stats'!$A$2:$A1000 = $A110) + 7.5)*(FILTER('Go Base Stats'!$E$2:$E1000, 'Go Base Stats'!$A$2:$A1000 = $A110) + 7.5)^0.5 / 10, 1)"),"14.9")</f>
        <v>14.9</v>
      </c>
      <c r="E110" s="0" t="str">
        <f aca="false">IFERROR(__xludf.dummyfunction("ROUND(0.00909003 * (FILTER('Go Base Stats'!$C$2:$C1000, 'Go Base Stats'!$A$2:$A1000 = $A110)+15)^0.5 *(FILTER('Go Base Stats'!$D$2:$D1000, 'Go Base Stats'!$A$2:$A1000 = $A110) +15)*(FILTER('Go Base Stats'!$E$2:$E1000, 'Go Base Stats'!$A$2:$A1000 = $A110) + 15)^0.5 / 10, 1)"),"16.8")</f>
        <v>16.8</v>
      </c>
      <c r="F110" s="6"/>
      <c r="G110" s="6" t="str">
        <f aca="false">IFERROR(__xludf.dummyfunction("FILTER('Base Stats'!$C$2:$C1000, LOWER('Base Stats'!$B$2:$B1000) = LOWER($B110))"),"40")</f>
        <v>40</v>
      </c>
      <c r="H110" s="0" t="str">
        <f aca="false">IFERROR(__xludf.dummyfunction("FLOOR((0.7903)^2 * (FILTER('Go Base Stats'!$C$2:$C1000, 'Go Base Stats'!$A$2:$A1000 = $A110)+15)^0.5 *(FILTER('Go Base Stats'!$D$2:$D1000, 'Go Base Stats'!$A$2:$A1000 = $A110) +15)*(FILTER('Go Base Stats'!$E$2:$E1000, 'Go Base Stats'!$A$2:$A1000 = $A110) + 15)^0.5 / 10)"),"1151")</f>
        <v>1151</v>
      </c>
      <c r="I110" s="0" t="str">
        <f aca="false">IFERROR(__xludf.dummyfunction("FLOOR(0.7903* (FILTER('Go Base Stats'!$C$2:$C1000, 'Go Base Stats'!$A$2:$A1000 = $A110)+15))"),"75")</f>
        <v>75</v>
      </c>
      <c r="J110" s="17"/>
      <c r="K110" s="17"/>
      <c r="L110" s="17"/>
      <c r="M110" s="12" t="e">
        <f aca="false">IF(NOT(ISBLANK($R110)), $R110, IF(ROUND($P110, 1) = 0, "", ROUND($P110, 1) ))</f>
        <v>#VALUE!</v>
      </c>
      <c r="N110" s="13" t="e">
        <f aca="false">ABS(M110-D110)/M110</f>
        <v>#VALUE!</v>
      </c>
      <c r="P110" s="14" t="e">
        <f aca="false">IFERROR((U110+V110)/(W110+X110))</f>
        <v>#VALUE!</v>
      </c>
      <c r="Q11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LOWER($B110)))
)"),"")</f>
        <v/>
      </c>
      <c r="R110" s="16"/>
      <c r="U110" s="0" t="str">
        <f aca="false">IFERROR(__xludf.dummyfunction("IFERROR(SUM(FILTER('Form Responses (Power-up data)'!$C$2:$C1000, LOWER('Form Responses (Power-up data)'!$B$2:$B1000) = LOWER($B110))), 0)"),"0")</f>
        <v>0</v>
      </c>
      <c r="V11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LOWER($B110))
),0)"),"16")</f>
        <v>16</v>
      </c>
      <c r="W110" s="0" t="str">
        <f aca="false">IFERROR(__xludf.dummyfunction("COUNT(FILTER('Form Responses (Power-up data)'!$C$2:$C1000, LOWER('Form Responses (Power-up data)'!$B$2:$B1000) = LOWER($B110)))"),"0")</f>
        <v>0</v>
      </c>
      <c r="X11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LOWER($B110)))"),"1")</f>
        <v>1</v>
      </c>
      <c r="Y11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LOWER($B110))), 2)))"),"/")</f>
        <v>/</v>
      </c>
    </row>
    <row r="111" customFormat="false" ht="15.75" hidden="false" customHeight="false" outlineLevel="0" collapsed="false">
      <c r="A111" s="10" t="n">
        <v>110</v>
      </c>
      <c r="B111" s="1" t="s">
        <v>129</v>
      </c>
      <c r="C111" s="0" t="str">
        <f aca="false">IFERROR(__xludf.dummyfunction("ROUND(0.00909003 * (FILTER('Go Base Stats'!$C$2:$C1000, 'Go Base Stats'!$A$2:$A1000 = $A111))^0.5 *(FILTER('Go Base Stats'!$D$2:$D1000, 'Go Base Stats'!$A$2:$A1000 = $A111))*(FILTER('Go Base Stats'!$E$2:$E1000, 'Go Base Stats'!$A$2:$A1000 = $A111))^0.5 / 10, 1)"),"27.7")</f>
        <v>27.7</v>
      </c>
      <c r="D111" s="0" t="str">
        <f aca="false">IFERROR(__xludf.dummyfunction("ROUND(0.00909003 * (FILTER('Go Base Stats'!$C$2:$C1000, 'Go Base Stats'!$A$2:$A1000 = $A111)+7.5)^0.5 *(FILTER('Go Base Stats'!$D$2:$D1000, 'Go Base Stats'!$A$2:$A1000 = $A111) + 7.5)*(FILTER('Go Base Stats'!$E$2:$E1000, 'Go Base Stats'!$A$2:$A1000 = $A111) + 7.5)^0.5 / 10, 1)"),"30.2")</f>
        <v>30.2</v>
      </c>
      <c r="E111" s="0" t="str">
        <f aca="false">IFERROR(__xludf.dummyfunction("ROUND(0.00909003 * (FILTER('Go Base Stats'!$C$2:$C1000, 'Go Base Stats'!$A$2:$A1000 = $A111)+15)^0.5 *(FILTER('Go Base Stats'!$D$2:$D1000, 'Go Base Stats'!$A$2:$A1000 = $A111) +15)*(FILTER('Go Base Stats'!$E$2:$E1000, 'Go Base Stats'!$A$2:$A1000 = $A111) + 15)^0.5 / 10, 1)"),"32.7")</f>
        <v>32.7</v>
      </c>
      <c r="F111" s="6" t="str">
        <f aca="false">ROUND(D111/D110, 1)</f>
        <v>2</v>
      </c>
      <c r="G111" s="6" t="str">
        <f aca="false">IFERROR(__xludf.dummyfunction("FILTER('Base Stats'!$C$2:$C1000, LOWER('Base Stats'!$B$2:$B1000) = LOWER($B111))"),"65")</f>
        <v>65</v>
      </c>
      <c r="H111" s="0" t="str">
        <f aca="false">IFERROR(__xludf.dummyfunction("FLOOR((0.7903)^2 * (FILTER('Go Base Stats'!$C$2:$C1000, 'Go Base Stats'!$A$2:$A1000 = $A111)+15)^0.5 *(FILTER('Go Base Stats'!$D$2:$D1000, 'Go Base Stats'!$A$2:$A1000 = $A111) +15)*(FILTER('Go Base Stats'!$E$2:$E1000, 'Go Base Stats'!$A$2:$A1000 = $A111) + 15)^0.5 / 10)"),"2250")</f>
        <v>2250</v>
      </c>
      <c r="I111" s="0" t="str">
        <f aca="false">IFERROR(__xludf.dummyfunction("FLOOR(0.7903* (FILTER('Go Base Stats'!$C$2:$C1000, 'Go Base Stats'!$A$2:$A1000 = $A111)+15))"),"114")</f>
        <v>114</v>
      </c>
      <c r="J111" s="17"/>
      <c r="K111" s="17"/>
      <c r="L111" s="17"/>
      <c r="M111" s="12" t="e">
        <f aca="false">IF(NOT(ISBLANK($R111)), $R111, IF(ROUND($P111, 1) = 0, "", ROUND($P111, 1) ))</f>
        <v>#VALUE!</v>
      </c>
      <c r="N111" s="13" t="e">
        <f aca="false">ABS(M111-D111)/M111</f>
        <v>#VALUE!</v>
      </c>
      <c r="P111" s="14" t="e">
        <f aca="false">IFERROR((U111+V111)/(W111+X111))</f>
        <v>#VALUE!</v>
      </c>
      <c r="Q11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LOWER($B111)))
)"),"")</f>
        <v/>
      </c>
      <c r="R111" s="16"/>
      <c r="U111" s="0" t="str">
        <f aca="false">IFERROR(__xludf.dummyfunction("IFERROR(SUM(FILTER('Form Responses (Power-up data)'!$C$2:$C1000, LOWER('Form Responses (Power-up data)'!$B$2:$B1000) = LOWER($B111))), 0)"),"0")</f>
        <v>0</v>
      </c>
      <c r="V11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LOWER($B111))
),0)"),"131")</f>
        <v>131</v>
      </c>
      <c r="W111" s="0" t="str">
        <f aca="false">IFERROR(__xludf.dummyfunction("COUNT(FILTER('Form Responses (Power-up data)'!$C$2:$C1000, LOWER('Form Responses (Power-up data)'!$B$2:$B1000) = LOWER($B111)))"),"0")</f>
        <v>0</v>
      </c>
      <c r="X11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LOWER($B111)))"),"4")</f>
        <v>4</v>
      </c>
      <c r="Y11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LOWER($B111))), 2)))"),"/")</f>
        <v>/</v>
      </c>
    </row>
    <row r="112" customFormat="false" ht="15.75" hidden="false" customHeight="false" outlineLevel="0" collapsed="false">
      <c r="A112" s="10" t="n">
        <v>111</v>
      </c>
      <c r="B112" s="1" t="s">
        <v>130</v>
      </c>
      <c r="C112" s="0" t="str">
        <f aca="false">IFERROR(__xludf.dummyfunction("ROUND(0.00909003 * (FILTER('Go Base Stats'!$C$2:$C1000, 'Go Base Stats'!$A$2:$A1000 = $A112))^0.5 *(FILTER('Go Base Stats'!$D$2:$D1000, 'Go Base Stats'!$A$2:$A1000 = $A112))*(FILTER('Go Base Stats'!$E$2:$E1000, 'Go Base Stats'!$A$2:$A1000 = $A112))^0.5 / 10, 1)"),"13.6")</f>
        <v>13.6</v>
      </c>
      <c r="D112" s="0" t="str">
        <f aca="false">IFERROR(__xludf.dummyfunction("ROUND(0.00909003 * (FILTER('Go Base Stats'!$C$2:$C1000, 'Go Base Stats'!$A$2:$A1000 = $A112)+7.5)^0.5 *(FILTER('Go Base Stats'!$D$2:$D1000, 'Go Base Stats'!$A$2:$A1000 = $A112) + 7.5)*(FILTER('Go Base Stats'!$E$2:$E1000, 'Go Base Stats'!$A$2:$A1000 = $A112) + 7.5)^0.5 / 10, 1)"),"15.4")</f>
        <v>15.4</v>
      </c>
      <c r="E112" s="0" t="str">
        <f aca="false">IFERROR(__xludf.dummyfunction("ROUND(0.00909003 * (FILTER('Go Base Stats'!$C$2:$C1000, 'Go Base Stats'!$A$2:$A1000 = $A112)+15)^0.5 *(FILTER('Go Base Stats'!$D$2:$D1000, 'Go Base Stats'!$A$2:$A1000 = $A112) +15)*(FILTER('Go Base Stats'!$E$2:$E1000, 'Go Base Stats'!$A$2:$A1000 = $A112) + 15)^0.5 / 10, 1)"),"17.2")</f>
        <v>17.2</v>
      </c>
      <c r="F112" s="6"/>
      <c r="G112" s="6" t="str">
        <f aca="false">IFERROR(__xludf.dummyfunction("FILTER('Base Stats'!$C$2:$C1000, LOWER('Base Stats'!$B$2:$B1000) = LOWER($B112))"),"80")</f>
        <v>80</v>
      </c>
      <c r="H112" s="0" t="str">
        <f aca="false">IFERROR(__xludf.dummyfunction("FLOOR((0.7903)^2 * (FILTER('Go Base Stats'!$C$2:$C1000, 'Go Base Stats'!$A$2:$A1000 = $A112)+15)^0.5 *(FILTER('Go Base Stats'!$D$2:$D1000, 'Go Base Stats'!$A$2:$A1000 = $A112) +15)*(FILTER('Go Base Stats'!$E$2:$E1000, 'Go Base Stats'!$A$2:$A1000 = $A112) + 15)^0.5 / 10)"),"1182")</f>
        <v>1182</v>
      </c>
      <c r="I112" s="0" t="str">
        <f aca="false">IFERROR(__xludf.dummyfunction("FLOOR(0.7903* (FILTER('Go Base Stats'!$C$2:$C1000, 'Go Base Stats'!$A$2:$A1000 = $A112)+15))"),"138")</f>
        <v>138</v>
      </c>
      <c r="J112" s="17"/>
      <c r="K112" s="17"/>
      <c r="L112" s="17"/>
      <c r="M112" s="12" t="e">
        <f aca="false">IF(NOT(ISBLANK($R112)), $R112, IF(ROUND($P112, 1) = 0, "", ROUND($P112, 1) ))</f>
        <v>#VALUE!</v>
      </c>
      <c r="N112" s="13" t="e">
        <f aca="false">ABS(M112-D112)/M112</f>
        <v>#VALUE!</v>
      </c>
      <c r="P112" s="14" t="e">
        <f aca="false">IFERROR((U112+V112)/(W112+X112))</f>
        <v>#VALUE!</v>
      </c>
      <c r="Q11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LOWER($B112)))
)"),"")</f>
        <v/>
      </c>
      <c r="R112" s="16"/>
      <c r="U112" s="0" t="str">
        <f aca="false">IFERROR(__xludf.dummyfunction("IFERROR(SUM(FILTER('Form Responses (Power-up data)'!$C$2:$C1000, LOWER('Form Responses (Power-up data)'!$B$2:$B1000) = LOWER($B112))), 0)"),"0")</f>
        <v>0</v>
      </c>
      <c r="V11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LOWER($B112))
),0)"),"64")</f>
        <v>64</v>
      </c>
      <c r="W112" s="0" t="str">
        <f aca="false">IFERROR(__xludf.dummyfunction("COUNT(FILTER('Form Responses (Power-up data)'!$C$2:$C1000, LOWER('Form Responses (Power-up data)'!$B$2:$B1000) = LOWER($B112)))"),"0")</f>
        <v>0</v>
      </c>
      <c r="X11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LOWER($B112)))"),"4")</f>
        <v>4</v>
      </c>
      <c r="Y11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LOWER($B112))), 2)))"),"/")</f>
        <v>/</v>
      </c>
    </row>
    <row r="113" customFormat="false" ht="15.75" hidden="false" customHeight="false" outlineLevel="0" collapsed="false">
      <c r="A113" s="10" t="n">
        <v>112</v>
      </c>
      <c r="B113" s="1" t="s">
        <v>131</v>
      </c>
      <c r="C113" s="0" t="str">
        <f aca="false">IFERROR(__xludf.dummyfunction("ROUND(0.00909003 * (FILTER('Go Base Stats'!$C$2:$C1000, 'Go Base Stats'!$A$2:$A1000 = $A113))^0.5 *(FILTER('Go Base Stats'!$D$2:$D1000, 'Go Base Stats'!$A$2:$A1000 = $A113))*(FILTER('Go Base Stats'!$E$2:$E1000, 'Go Base Stats'!$A$2:$A1000 = $A113))^0.5 / 10, 1)"),"27.7")</f>
        <v>27.7</v>
      </c>
      <c r="D113" s="0" t="str">
        <f aca="false">IFERROR(__xludf.dummyfunction("ROUND(0.00909003 * (FILTER('Go Base Stats'!$C$2:$C1000, 'Go Base Stats'!$A$2:$A1000 = $A113)+7.5)^0.5 *(FILTER('Go Base Stats'!$D$2:$D1000, 'Go Base Stats'!$A$2:$A1000 = $A113) + 7.5)*(FILTER('Go Base Stats'!$E$2:$E1000, 'Go Base Stats'!$A$2:$A1000 = $A113) + 7.5)^0.5 / 10, 1)"),"30.1")</f>
        <v>30.1</v>
      </c>
      <c r="E113" s="0" t="str">
        <f aca="false">IFERROR(__xludf.dummyfunction("ROUND(0.00909003 * (FILTER('Go Base Stats'!$C$2:$C1000, 'Go Base Stats'!$A$2:$A1000 = $A113)+15)^0.5 *(FILTER('Go Base Stats'!$D$2:$D1000, 'Go Base Stats'!$A$2:$A1000 = $A113) +15)*(FILTER('Go Base Stats'!$E$2:$E1000, 'Go Base Stats'!$A$2:$A1000 = $A113) + 15)^0.5 / 10, 1)"),"32.6")</f>
        <v>32.6</v>
      </c>
      <c r="F113" s="6" t="str">
        <f aca="false">ROUND(D113/D112, 1)</f>
        <v>2</v>
      </c>
      <c r="G113" s="6" t="str">
        <f aca="false">IFERROR(__xludf.dummyfunction("FILTER('Base Stats'!$C$2:$C1000, LOWER('Base Stats'!$B$2:$B1000) = LOWER($B113))"),"105")</f>
        <v>105</v>
      </c>
      <c r="H113" s="0" t="str">
        <f aca="false">IFERROR(__xludf.dummyfunction("FLOOR((0.7903)^2 * (FILTER('Go Base Stats'!$C$2:$C1000, 'Go Base Stats'!$A$2:$A1000 = $A113)+15)^0.5 *(FILTER('Go Base Stats'!$D$2:$D1000, 'Go Base Stats'!$A$2:$A1000 = $A113) +15)*(FILTER('Go Base Stats'!$E$2:$E1000, 'Go Base Stats'!$A$2:$A1000 = $A113) + 15)^0.5 / 10)"),"2243")</f>
        <v>2243</v>
      </c>
      <c r="I113" s="0" t="str">
        <f aca="false">IFERROR(__xludf.dummyfunction("FLOOR(0.7903* (FILTER('Go Base Stats'!$C$2:$C1000, 'Go Base Stats'!$A$2:$A1000 = $A113)+15))"),"177")</f>
        <v>177</v>
      </c>
      <c r="J113" s="17"/>
      <c r="K113" s="17"/>
      <c r="L113" s="17"/>
      <c r="M113" s="12" t="n">
        <f aca="false">IF(NOT(ISBLANK($R113)), $R113, IF(ROUND($P113, 1) = 0, "", ROUND($P113, 1) ))</f>
        <v>29</v>
      </c>
      <c r="N113" s="13" t="n">
        <f aca="false">ABS(M113-D113)/M113</f>
        <v>0.0379310344827587</v>
      </c>
      <c r="P113" s="14" t="e">
        <f aca="false">IFERROR((U113+V113)/(W113+X113))</f>
        <v>#VALUE!</v>
      </c>
      <c r="Q11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LOWER($B113)))
)"),"1.920233463")</f>
        <v>1.920233463</v>
      </c>
      <c r="R113" s="16" t="n">
        <v>29</v>
      </c>
      <c r="U113" s="0" t="str">
        <f aca="false">IFERROR(__xludf.dummyfunction("IFERROR(SUM(FILTER('Form Responses (Power-up data)'!$C$2:$C1000, LOWER('Form Responses (Power-up data)'!$B$2:$B1000) = LOWER($B113))), 0)"),"0")</f>
        <v>0</v>
      </c>
      <c r="V11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LOWER($B113))
),0)"),"229")</f>
        <v>229</v>
      </c>
      <c r="W113" s="0" t="str">
        <f aca="false">IFERROR(__xludf.dummyfunction("COUNT(FILTER('Form Responses (Power-up data)'!$C$2:$C1000, LOWER('Form Responses (Power-up data)'!$B$2:$B1000) = LOWER($B113)))"),"0")</f>
        <v>0</v>
      </c>
      <c r="X11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LOWER($B113)))"),"7")</f>
        <v>7</v>
      </c>
      <c r="Y11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LOWER($B113))), 2)))"),"1.92/1.92")</f>
        <v>1.92/1.92</v>
      </c>
    </row>
    <row r="114" customFormat="false" ht="15.75" hidden="false" customHeight="false" outlineLevel="0" collapsed="false">
      <c r="A114" s="10" t="n">
        <v>113</v>
      </c>
      <c r="B114" s="1" t="s">
        <v>132</v>
      </c>
      <c r="C114" s="0" t="str">
        <f aca="false">IFERROR(__xludf.dummyfunction("ROUND(0.00909003 * (FILTER('Go Base Stats'!$C$2:$C1000, 'Go Base Stats'!$A$2:$A1000 = $A114))^0.5 *(FILTER('Go Base Stats'!$D$2:$D1000, 'Go Base Stats'!$A$2:$A1000 = $A114))*(FILTER('Go Base Stats'!$E$2:$E1000, 'Go Base Stats'!$A$2:$A1000 = $A114))^0.5 / 10, 1)"),"6.3")</f>
        <v>6.3</v>
      </c>
      <c r="D114" s="0" t="str">
        <f aca="false">IFERROR(__xludf.dummyfunction("ROUND(0.00909003 * (FILTER('Go Base Stats'!$C$2:$C1000, 'Go Base Stats'!$A$2:$A1000 = $A114)+7.5)^0.5 *(FILTER('Go Base Stats'!$D$2:$D1000, 'Go Base Stats'!$A$2:$A1000 = $A114) + 7.5)*(FILTER('Go Base Stats'!$E$2:$E1000, 'Go Base Stats'!$A$2:$A1000 = $A114) + 7.5)^0.5 / 10, 1)"),"8")</f>
        <v>8</v>
      </c>
      <c r="E114" s="0" t="str">
        <f aca="false">IFERROR(__xludf.dummyfunction("ROUND(0.00909003 * (FILTER('Go Base Stats'!$C$2:$C1000, 'Go Base Stats'!$A$2:$A1000 = $A114)+15)^0.5 *(FILTER('Go Base Stats'!$D$2:$D1000, 'Go Base Stats'!$A$2:$A1000 = $A114) +15)*(FILTER('Go Base Stats'!$E$2:$E1000, 'Go Base Stats'!$A$2:$A1000 = $A114) + 15)^0.5 / 10, 1)"),"9.8")</f>
        <v>9.8</v>
      </c>
      <c r="F114" s="6"/>
      <c r="G114" s="6" t="str">
        <f aca="false">IFERROR(__xludf.dummyfunction("FILTER('Base Stats'!$C$2:$C1000, LOWER('Base Stats'!$B$2:$B1000) = LOWER($B114))"),"250")</f>
        <v>250</v>
      </c>
      <c r="H114" s="0" t="str">
        <f aca="false">IFERROR(__xludf.dummyfunction("FLOOR((0.7903)^2 * (FILTER('Go Base Stats'!$C$2:$C1000, 'Go Base Stats'!$A$2:$A1000 = $A114)+15)^0.5 *(FILTER('Go Base Stats'!$D$2:$D1000, 'Go Base Stats'!$A$2:$A1000 = $A114) +15)*(FILTER('Go Base Stats'!$E$2:$E1000, 'Go Base Stats'!$A$2:$A1000 = $A114) + 15)^0.5 / 10)"),"675")</f>
        <v>675</v>
      </c>
      <c r="I114" s="0" t="str">
        <f aca="false">IFERROR(__xludf.dummyfunction("FLOOR(0.7903* (FILTER('Go Base Stats'!$C$2:$C1000, 'Go Base Stats'!$A$2:$A1000 = $A114)+15))"),"407")</f>
        <v>407</v>
      </c>
      <c r="J114" s="17"/>
      <c r="K114" s="17"/>
      <c r="L114" s="17"/>
      <c r="M114" s="12" t="e">
        <f aca="false">IF(NOT(ISBLANK($R114)), $R114, IF(ROUND($P114, 1) = 0, "", ROUND($P114, 1) ))</f>
        <v>#VALUE!</v>
      </c>
      <c r="N114" s="13" t="e">
        <f aca="false">ABS(M114-D114)/M114</f>
        <v>#VALUE!</v>
      </c>
      <c r="P114" s="14" t="e">
        <f aca="false">IFERROR((U114+V114)/(W114+X114))</f>
        <v>#VALUE!</v>
      </c>
      <c r="Q11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LOWER($B114)))
)"),"")</f>
        <v/>
      </c>
      <c r="R114" s="16"/>
      <c r="U114" s="0" t="str">
        <f aca="false">IFERROR(__xludf.dummyfunction("IFERROR(SUM(FILTER('Form Responses (Power-up data)'!$C$2:$C1000, LOWER('Form Responses (Power-up data)'!$B$2:$B1000) = LOWER($B114))), 0)"),"0")</f>
        <v>0</v>
      </c>
      <c r="V11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LOWER($B114))
),0)"),"19")</f>
        <v>19</v>
      </c>
      <c r="W114" s="0" t="str">
        <f aca="false">IFERROR(__xludf.dummyfunction("COUNT(FILTER('Form Responses (Power-up data)'!$C$2:$C1000, LOWER('Form Responses (Power-up data)'!$B$2:$B1000) = LOWER($B114)))"),"0")</f>
        <v>0</v>
      </c>
      <c r="X11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LOWER($B114)))"),"2")</f>
        <v>2</v>
      </c>
      <c r="Y11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LOWER($B114))), 2)))"),"/")</f>
        <v>/</v>
      </c>
    </row>
    <row r="115" customFormat="false" ht="15.75" hidden="false" customHeight="false" outlineLevel="0" collapsed="false">
      <c r="A115" s="10" t="n">
        <v>114</v>
      </c>
      <c r="B115" s="1" t="s">
        <v>133</v>
      </c>
      <c r="C115" s="0" t="str">
        <f aca="false">IFERROR(__xludf.dummyfunction("ROUND(0.00909003 * (FILTER('Go Base Stats'!$C$2:$C1000, 'Go Base Stats'!$A$2:$A1000 = $A115))^0.5 *(FILTER('Go Base Stats'!$D$2:$D1000, 'Go Base Stats'!$A$2:$A1000 = $A115))*(FILTER('Go Base Stats'!$E$2:$E1000, 'Go Base Stats'!$A$2:$A1000 = $A115))^0.5 / 10, 1)"),"21")</f>
        <v>21</v>
      </c>
      <c r="D115" s="0" t="str">
        <f aca="false">IFERROR(__xludf.dummyfunction("ROUND(0.00909003 * (FILTER('Go Base Stats'!$C$2:$C1000, 'Go Base Stats'!$A$2:$A1000 = $A115)+7.5)^0.5 *(FILTER('Go Base Stats'!$D$2:$D1000, 'Go Base Stats'!$A$2:$A1000 = $A115) + 7.5)*(FILTER('Go Base Stats'!$E$2:$E1000, 'Go Base Stats'!$A$2:$A1000 = $A115) + 7.5)^0.5 / 10, 1)"),"23.1")</f>
        <v>23.1</v>
      </c>
      <c r="E115" s="0" t="str">
        <f aca="false">IFERROR(__xludf.dummyfunction("ROUND(0.00909003 * (FILTER('Go Base Stats'!$C$2:$C1000, 'Go Base Stats'!$A$2:$A1000 = $A115)+15)^0.5 *(FILTER('Go Base Stats'!$D$2:$D1000, 'Go Base Stats'!$A$2:$A1000 = $A115) +15)*(FILTER('Go Base Stats'!$E$2:$E1000, 'Go Base Stats'!$A$2:$A1000 = $A115) + 15)^0.5 / 10, 1)"),"25.3")</f>
        <v>25.3</v>
      </c>
      <c r="F115" s="6"/>
      <c r="G115" s="6" t="str">
        <f aca="false">IFERROR(__xludf.dummyfunction("FILTER('Base Stats'!$C$2:$C1000, LOWER('Base Stats'!$B$2:$B1000) = LOWER($B115))"),"65")</f>
        <v>65</v>
      </c>
      <c r="H115" s="0" t="str">
        <f aca="false">IFERROR(__xludf.dummyfunction("FLOOR((0.7903)^2 * (FILTER('Go Base Stats'!$C$2:$C1000, 'Go Base Stats'!$A$2:$A1000 = $A115)+15)^0.5 *(FILTER('Go Base Stats'!$D$2:$D1000, 'Go Base Stats'!$A$2:$A1000 = $A115) +15)*(FILTER('Go Base Stats'!$E$2:$E1000, 'Go Base Stats'!$A$2:$A1000 = $A115) + 15)^0.5 / 10)"),"1739")</f>
        <v>1739</v>
      </c>
      <c r="I115" s="0" t="str">
        <f aca="false">IFERROR(__xludf.dummyfunction("FLOOR(0.7903* (FILTER('Go Base Stats'!$C$2:$C1000, 'Go Base Stats'!$A$2:$A1000 = $A115)+15))"),"114")</f>
        <v>114</v>
      </c>
      <c r="J115" s="17"/>
      <c r="K115" s="17"/>
      <c r="L115" s="17"/>
      <c r="M115" s="12" t="e">
        <f aca="false">IF(NOT(ISBLANK($R115)), $R115, IF(ROUND($P115, 1) = 0, "", ROUND($P115, 1) ))</f>
        <v>#VALUE!</v>
      </c>
      <c r="N115" s="13" t="e">
        <f aca="false">ABS(M115-D115)/M115</f>
        <v>#VALUE!</v>
      </c>
      <c r="P115" s="14" t="e">
        <f aca="false">IFERROR((U115+V115)/(W115+X115))</f>
        <v>#VALUE!</v>
      </c>
      <c r="Q11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LOWER($B115)))
)"),"")</f>
        <v/>
      </c>
      <c r="R115" s="16"/>
      <c r="U115" s="0" t="str">
        <f aca="false">IFERROR(__xludf.dummyfunction("IFERROR(SUM(FILTER('Form Responses (Power-up data)'!$C$2:$C1000, LOWER('Form Responses (Power-up data)'!$B$2:$B1000) = LOWER($B115))), 0)"),"51")</f>
        <v>51</v>
      </c>
      <c r="V11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LOWER($B115))
),0)"),"148")</f>
        <v>148</v>
      </c>
      <c r="W115" s="0" t="str">
        <f aca="false">IFERROR(__xludf.dummyfunction("COUNT(FILTER('Form Responses (Power-up data)'!$C$2:$C1000, LOWER('Form Responses (Power-up data)'!$B$2:$B1000) = LOWER($B115)))"),"2")</f>
        <v>2</v>
      </c>
      <c r="X11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LOWER($B115)))"),"6")</f>
        <v>6</v>
      </c>
      <c r="Y11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LOWER($B115))), 2)))"),"/")</f>
        <v>/</v>
      </c>
    </row>
    <row r="116" customFormat="false" ht="15.75" hidden="false" customHeight="false" outlineLevel="0" collapsed="false">
      <c r="A116" s="10" t="n">
        <v>115</v>
      </c>
      <c r="B116" s="1" t="s">
        <v>134</v>
      </c>
      <c r="C116" s="0" t="str">
        <f aca="false">IFERROR(__xludf.dummyfunction("ROUND(0.00909003 * (FILTER('Go Base Stats'!$C$2:$C1000, 'Go Base Stats'!$A$2:$A1000 = $A116))^0.5 *(FILTER('Go Base Stats'!$D$2:$D1000, 'Go Base Stats'!$A$2:$A1000 = $A116))*(FILTER('Go Base Stats'!$E$2:$E1000, 'Go Base Stats'!$A$2:$A1000 = $A116))^0.5 / 10, 1)"),"25")</f>
        <v>25</v>
      </c>
      <c r="D116" s="0" t="str">
        <f aca="false">IFERROR(__xludf.dummyfunction("ROUND(0.00909003 * (FILTER('Go Base Stats'!$C$2:$C1000, 'Go Base Stats'!$A$2:$A1000 = $A116)+7.5)^0.5 *(FILTER('Go Base Stats'!$D$2:$D1000, 'Go Base Stats'!$A$2:$A1000 = $A116) + 7.5)*(FILTER('Go Base Stats'!$E$2:$E1000, 'Go Base Stats'!$A$2:$A1000 = $A116) + 7.5)^0.5 / 10, 1)"),"27.3")</f>
        <v>27.3</v>
      </c>
      <c r="E116" s="0" t="str">
        <f aca="false">IFERROR(__xludf.dummyfunction("ROUND(0.00909003 * (FILTER('Go Base Stats'!$C$2:$C1000, 'Go Base Stats'!$A$2:$A1000 = $A116)+15)^0.5 *(FILTER('Go Base Stats'!$D$2:$D1000, 'Go Base Stats'!$A$2:$A1000 = $A116) +15)*(FILTER('Go Base Stats'!$E$2:$E1000, 'Go Base Stats'!$A$2:$A1000 = $A116) + 15)^0.5 / 10, 1)"),"29.7")</f>
        <v>29.7</v>
      </c>
      <c r="F116" s="6"/>
      <c r="G116" s="6" t="str">
        <f aca="false">IFERROR(__xludf.dummyfunction("FILTER('Base Stats'!$C$2:$C1000, LOWER('Base Stats'!$B$2:$B1000) = LOWER($B116))"),"105")</f>
        <v>105</v>
      </c>
      <c r="H116" s="0" t="str">
        <f aca="false">IFERROR(__xludf.dummyfunction("FLOOR((0.7903)^2 * (FILTER('Go Base Stats'!$C$2:$C1000, 'Go Base Stats'!$A$2:$A1000 = $A116)+15)^0.5 *(FILTER('Go Base Stats'!$D$2:$D1000, 'Go Base Stats'!$A$2:$A1000 = $A116) +15)*(FILTER('Go Base Stats'!$E$2:$E1000, 'Go Base Stats'!$A$2:$A1000 = $A116) + 15)^0.5 / 10)"),"2043")</f>
        <v>2043</v>
      </c>
      <c r="I116" s="0" t="str">
        <f aca="false">IFERROR(__xludf.dummyfunction("FLOOR(0.7903* (FILTER('Go Base Stats'!$C$2:$C1000, 'Go Base Stats'!$A$2:$A1000 = $A116)+15))"),"177")</f>
        <v>177</v>
      </c>
      <c r="J116" s="17"/>
      <c r="K116" s="17"/>
      <c r="L116" s="17"/>
      <c r="M116" s="12" t="e">
        <f aca="false">IF(NOT(ISBLANK($R116)), $R116, IF(ROUND($P116, 1) = 0, "", ROUND($P116, 1) ))</f>
        <v>#VALUE!</v>
      </c>
      <c r="N116" s="13" t="e">
        <f aca="false">ABS(M116-D116)/M116</f>
        <v>#VALUE!</v>
      </c>
      <c r="P116" s="14" t="e">
        <f aca="false">IFERROR((U116+V116)/(W116+X116))</f>
        <v>#VALUE!</v>
      </c>
      <c r="Q11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LOWER($B116)))
)"),"")</f>
        <v/>
      </c>
      <c r="R116" s="16"/>
      <c r="U116" s="0" t="str">
        <f aca="false">IFERROR(__xludf.dummyfunction("IFERROR(SUM(FILTER('Form Responses (Power-up data)'!$C$2:$C1000, LOWER('Form Responses (Power-up data)'!$B$2:$B1000) = LOWER($B116))), 0)"),"0")</f>
        <v>0</v>
      </c>
      <c r="V11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LOWER($B116))
),0)"),"29")</f>
        <v>29</v>
      </c>
      <c r="W116" s="0" t="str">
        <f aca="false">IFERROR(__xludf.dummyfunction("COUNT(FILTER('Form Responses (Power-up data)'!$C$2:$C1000, LOWER('Form Responses (Power-up data)'!$B$2:$B1000) = LOWER($B116)))"),"0")</f>
        <v>0</v>
      </c>
      <c r="X11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LOWER($B116)))"),"1")</f>
        <v>1</v>
      </c>
      <c r="Y11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LOWER($B116))), 2)))"),"/")</f>
        <v>/</v>
      </c>
    </row>
    <row r="117" customFormat="false" ht="15.75" hidden="false" customHeight="false" outlineLevel="0" collapsed="false">
      <c r="A117" s="10" t="n">
        <v>116</v>
      </c>
      <c r="B117" s="1" t="s">
        <v>135</v>
      </c>
      <c r="C117" s="0" t="str">
        <f aca="false">IFERROR(__xludf.dummyfunction("ROUND(0.00909003 * (FILTER('Go Base Stats'!$C$2:$C1000, 'Go Base Stats'!$A$2:$A1000 = $A117))^0.5 *(FILTER('Go Base Stats'!$D$2:$D1000, 'Go Base Stats'!$A$2:$A1000 = $A117))*(FILTER('Go Base Stats'!$E$2:$E1000, 'Go Base Stats'!$A$2:$A1000 = $A117))^0.5 / 10, 1)"),"8.6")</f>
        <v>8.6</v>
      </c>
      <c r="D117" s="0" t="str">
        <f aca="false">IFERROR(__xludf.dummyfunction("ROUND(0.00909003 * (FILTER('Go Base Stats'!$C$2:$C1000, 'Go Base Stats'!$A$2:$A1000 = $A117)+7.5)^0.5 *(FILTER('Go Base Stats'!$D$2:$D1000, 'Go Base Stats'!$A$2:$A1000 = $A117) + 7.5)*(FILTER('Go Base Stats'!$E$2:$E1000, 'Go Base Stats'!$A$2:$A1000 = $A117) + 7.5)^0.5 / 10, 1)"),"10")</f>
        <v>10</v>
      </c>
      <c r="E117" s="0" t="str">
        <f aca="false">IFERROR(__xludf.dummyfunction("ROUND(0.00909003 * (FILTER('Go Base Stats'!$C$2:$C1000, 'Go Base Stats'!$A$2:$A1000 = $A117)+15)^0.5 *(FILTER('Go Base Stats'!$D$2:$D1000, 'Go Base Stats'!$A$2:$A1000 = $A117) +15)*(FILTER('Go Base Stats'!$E$2:$E1000, 'Go Base Stats'!$A$2:$A1000 = $A117) + 15)^0.5 / 10, 1)"),"11.6")</f>
        <v>11.6</v>
      </c>
      <c r="F117" s="6"/>
      <c r="G117" s="6" t="str">
        <f aca="false">IFERROR(__xludf.dummyfunction("FILTER('Base Stats'!$C$2:$C1000, LOWER('Base Stats'!$B$2:$B1000) = LOWER($B117))"),"30")</f>
        <v>30</v>
      </c>
      <c r="H117" s="0" t="str">
        <f aca="false">IFERROR(__xludf.dummyfunction("FLOOR((0.7903)^2 * (FILTER('Go Base Stats'!$C$2:$C1000, 'Go Base Stats'!$A$2:$A1000 = $A117)+15)^0.5 *(FILTER('Go Base Stats'!$D$2:$D1000, 'Go Base Stats'!$A$2:$A1000 = $A117) +15)*(FILTER('Go Base Stats'!$E$2:$E1000, 'Go Base Stats'!$A$2:$A1000 = $A117) + 15)^0.5 / 10)"),"794")</f>
        <v>794</v>
      </c>
      <c r="I117" s="0" t="str">
        <f aca="false">IFERROR(__xludf.dummyfunction("FLOOR(0.7903* (FILTER('Go Base Stats'!$C$2:$C1000, 'Go Base Stats'!$A$2:$A1000 = $A117)+15))"),"59")</f>
        <v>59</v>
      </c>
      <c r="J117" s="17"/>
      <c r="K117" s="17"/>
      <c r="L117" s="17"/>
      <c r="M117" s="12" t="e">
        <f aca="false">IF(NOT(ISBLANK($R117)), $R117, IF(ROUND($P117, 1) = 0, "", ROUND($P117, 1) ))</f>
        <v>#VALUE!</v>
      </c>
      <c r="N117" s="13" t="e">
        <f aca="false">ABS(M117-D117)/M117</f>
        <v>#VALUE!</v>
      </c>
      <c r="P117" s="14" t="e">
        <f aca="false">IFERROR((U117+V117)/(W117+X117))</f>
        <v>#VALUE!</v>
      </c>
      <c r="Q11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LOWER($B117)))
)"),"")</f>
        <v/>
      </c>
      <c r="R117" s="16"/>
      <c r="U117" s="0" t="str">
        <f aca="false">IFERROR(__xludf.dummyfunction("IFERROR(SUM(FILTER('Form Responses (Power-up data)'!$C$2:$C1000, LOWER('Form Responses (Power-up data)'!$B$2:$B1000) = LOWER($B117))), 0)"),"0")</f>
        <v>0</v>
      </c>
      <c r="V11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LOWER($B117))
),0)"),"23")</f>
        <v>23</v>
      </c>
      <c r="W117" s="0" t="str">
        <f aca="false">IFERROR(__xludf.dummyfunction("COUNT(FILTER('Form Responses (Power-up data)'!$C$2:$C1000, LOWER('Form Responses (Power-up data)'!$B$2:$B1000) = LOWER($B117)))"),"0")</f>
        <v>0</v>
      </c>
      <c r="X11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LOWER($B117)))"),"2")</f>
        <v>2</v>
      </c>
      <c r="Y11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LOWER($B117))), 2)))"),"/")</f>
        <v>/</v>
      </c>
    </row>
    <row r="118" customFormat="false" ht="15.75" hidden="false" customHeight="false" outlineLevel="0" collapsed="false">
      <c r="A118" s="10" t="n">
        <v>117</v>
      </c>
      <c r="B118" s="1" t="s">
        <v>136</v>
      </c>
      <c r="C118" s="0" t="str">
        <f aca="false">IFERROR(__xludf.dummyfunction("ROUND(0.00909003 * (FILTER('Go Base Stats'!$C$2:$C1000, 'Go Base Stats'!$A$2:$A1000 = $A118))^0.5 *(FILTER('Go Base Stats'!$D$2:$D1000, 'Go Base Stats'!$A$2:$A1000 = $A118))*(FILTER('Go Base Stats'!$E$2:$E1000, 'Go Base Stats'!$A$2:$A1000 = $A118))^0.5 / 10, 1)"),"20.6")</f>
        <v>20.6</v>
      </c>
      <c r="D118" s="0" t="str">
        <f aca="false">IFERROR(__xludf.dummyfunction("ROUND(0.00909003 * (FILTER('Go Base Stats'!$C$2:$C1000, 'Go Base Stats'!$A$2:$A1000 = $A118)+7.5)^0.5 *(FILTER('Go Base Stats'!$D$2:$D1000, 'Go Base Stats'!$A$2:$A1000 = $A118) + 7.5)*(FILTER('Go Base Stats'!$E$2:$E1000, 'Go Base Stats'!$A$2:$A1000 = $A118) + 7.5)^0.5 / 10, 1)"),"22.7")</f>
        <v>22.7</v>
      </c>
      <c r="E118" s="0" t="str">
        <f aca="false">IFERROR(__xludf.dummyfunction("ROUND(0.00909003 * (FILTER('Go Base Stats'!$C$2:$C1000, 'Go Base Stats'!$A$2:$A1000 = $A118)+15)^0.5 *(FILTER('Go Base Stats'!$D$2:$D1000, 'Go Base Stats'!$A$2:$A1000 = $A118) +15)*(FILTER('Go Base Stats'!$E$2:$E1000, 'Go Base Stats'!$A$2:$A1000 = $A118) + 15)^0.5 / 10, 1)"),"24.9")</f>
        <v>24.9</v>
      </c>
      <c r="F118" s="6" t="str">
        <f aca="false">ROUND(D118/D117, 1)</f>
        <v>2.3</v>
      </c>
      <c r="G118" s="6" t="str">
        <f aca="false">IFERROR(__xludf.dummyfunction("FILTER('Base Stats'!$C$2:$C1000, LOWER('Base Stats'!$B$2:$B1000) = LOWER($B118))"),"55")</f>
        <v>55</v>
      </c>
      <c r="H118" s="0" t="str">
        <f aca="false">IFERROR(__xludf.dummyfunction("FLOOR((0.7903)^2 * (FILTER('Go Base Stats'!$C$2:$C1000, 'Go Base Stats'!$A$2:$A1000 = $A118)+15)^0.5 *(FILTER('Go Base Stats'!$D$2:$D1000, 'Go Base Stats'!$A$2:$A1000 = $A118) +15)*(FILTER('Go Base Stats'!$E$2:$E1000, 'Go Base Stats'!$A$2:$A1000 = $A118) + 15)^0.5 / 10)"),"1713")</f>
        <v>1713</v>
      </c>
      <c r="I118" s="0" t="str">
        <f aca="false">IFERROR(__xludf.dummyfunction("FLOOR(0.7903* (FILTER('Go Base Stats'!$C$2:$C1000, 'Go Base Stats'!$A$2:$A1000 = $A118)+15))"),"98")</f>
        <v>98</v>
      </c>
      <c r="J118" s="17"/>
      <c r="K118" s="17"/>
      <c r="L118" s="17"/>
      <c r="M118" s="12" t="e">
        <f aca="false">IF(NOT(ISBLANK($R118)), $R118, IF(ROUND($P118, 1) = 0, "", ROUND($P118, 1) ))</f>
        <v>#VALUE!</v>
      </c>
      <c r="N118" s="13" t="e">
        <f aca="false">ABS(M118-D118)/M118</f>
        <v>#VALUE!</v>
      </c>
      <c r="P118" s="14" t="e">
        <f aca="false">IFERROR((U118+V118)/(W118+X118))</f>
        <v>#VALUE!</v>
      </c>
      <c r="Q11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LOWER($B118)))
)"),"")</f>
        <v/>
      </c>
      <c r="R118" s="16"/>
      <c r="U118" s="0" t="str">
        <f aca="false">IFERROR(__xludf.dummyfunction("IFERROR(SUM(FILTER('Form Responses (Power-up data)'!$C$2:$C1000, LOWER('Form Responses (Power-up data)'!$B$2:$B1000) = LOWER($B118))), 0)"),"0")</f>
        <v>0</v>
      </c>
      <c r="V11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LOWER($B118))
),0)"),"47")</f>
        <v>47</v>
      </c>
      <c r="W118" s="0" t="str">
        <f aca="false">IFERROR(__xludf.dummyfunction("COUNT(FILTER('Form Responses (Power-up data)'!$C$2:$C1000, LOWER('Form Responses (Power-up data)'!$B$2:$B1000) = LOWER($B118)))"),"0")</f>
        <v>0</v>
      </c>
      <c r="X11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LOWER($B118)))"),"2")</f>
        <v>2</v>
      </c>
      <c r="Y11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LOWER($B118))), 2)))"),"/")</f>
        <v>/</v>
      </c>
    </row>
    <row r="119" customFormat="false" ht="15.75" hidden="false" customHeight="false" outlineLevel="0" collapsed="false">
      <c r="A119" s="10" t="n">
        <v>118</v>
      </c>
      <c r="B119" s="1" t="s">
        <v>137</v>
      </c>
      <c r="C119" s="0" t="str">
        <f aca="false">IFERROR(__xludf.dummyfunction("ROUND(0.00909003 * (FILTER('Go Base Stats'!$C$2:$C1000, 'Go Base Stats'!$A$2:$A1000 = $A119))^0.5 *(FILTER('Go Base Stats'!$D$2:$D1000, 'Go Base Stats'!$A$2:$A1000 = $A119))*(FILTER('Go Base Stats'!$E$2:$E1000, 'Go Base Stats'!$A$2:$A1000 = $A119))^0.5 / 10, 1)"),"10.8")</f>
        <v>10.8</v>
      </c>
      <c r="D119" s="0" t="str">
        <f aca="false">IFERROR(__xludf.dummyfunction("ROUND(0.00909003 * (FILTER('Go Base Stats'!$C$2:$C1000, 'Go Base Stats'!$A$2:$A1000 = $A119)+7.5)^0.5 *(FILTER('Go Base Stats'!$D$2:$D1000, 'Go Base Stats'!$A$2:$A1000 = $A119) + 7.5)*(FILTER('Go Base Stats'!$E$2:$E1000, 'Go Base Stats'!$A$2:$A1000 = $A119) + 7.5)^0.5 / 10, 1)"),"12.4")</f>
        <v>12.4</v>
      </c>
      <c r="E119" s="0" t="str">
        <f aca="false">IFERROR(__xludf.dummyfunction("ROUND(0.00909003 * (FILTER('Go Base Stats'!$C$2:$C1000, 'Go Base Stats'!$A$2:$A1000 = $A119)+15)^0.5 *(FILTER('Go Base Stats'!$D$2:$D1000, 'Go Base Stats'!$A$2:$A1000 = $A119) +15)*(FILTER('Go Base Stats'!$E$2:$E1000, 'Go Base Stats'!$A$2:$A1000 = $A119) + 15)^0.5 / 10, 1)"),"14")</f>
        <v>14</v>
      </c>
      <c r="F119" s="6"/>
      <c r="G119" s="6" t="str">
        <f aca="false">IFERROR(__xludf.dummyfunction("FILTER('Base Stats'!$C$2:$C1000, LOWER('Base Stats'!$B$2:$B1000) = LOWER($B119))"),"45")</f>
        <v>45</v>
      </c>
      <c r="H119" s="0" t="str">
        <f aca="false">IFERROR(__xludf.dummyfunction("FLOOR((0.7903)^2 * (FILTER('Go Base Stats'!$C$2:$C1000, 'Go Base Stats'!$A$2:$A1000 = $A119)+15)^0.5 *(FILTER('Go Base Stats'!$D$2:$D1000, 'Go Base Stats'!$A$2:$A1000 = $A119) +15)*(FILTER('Go Base Stats'!$E$2:$E1000, 'Go Base Stats'!$A$2:$A1000 = $A119) + 15)^0.5 / 10)"),"965")</f>
        <v>965</v>
      </c>
      <c r="I119" s="0" t="str">
        <f aca="false">IFERROR(__xludf.dummyfunction("FLOOR(0.7903* (FILTER('Go Base Stats'!$C$2:$C1000, 'Go Base Stats'!$A$2:$A1000 = $A119)+15))"),"82")</f>
        <v>82</v>
      </c>
      <c r="J119" s="17"/>
      <c r="K119" s="17"/>
      <c r="L119" s="17"/>
      <c r="M119" s="12" t="n">
        <f aca="false">IF(NOT(ISBLANK($R119)), $R119, IF(ROUND($P119, 1) = 0, "", ROUND($P119, 1) ))</f>
        <v>13.5</v>
      </c>
      <c r="N119" s="13" t="n">
        <f aca="false">ABS(M119-D119)/M119</f>
        <v>0.0814814814814815</v>
      </c>
      <c r="P119" s="14" t="e">
        <f aca="false">IFERROR((U119+V119)/(W119+X119))</f>
        <v>#VALUE!</v>
      </c>
      <c r="Q11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LOWER($B119)))
)"),"")</f>
        <v/>
      </c>
      <c r="R119" s="16" t="n">
        <v>13.5</v>
      </c>
      <c r="U119" s="0" t="str">
        <f aca="false">IFERROR(__xludf.dummyfunction("IFERROR(SUM(FILTER('Form Responses (Power-up data)'!$C$2:$C1000, LOWER('Form Responses (Power-up data)'!$B$2:$B1000) = LOWER($B119))), 0)"),"0")</f>
        <v>0</v>
      </c>
      <c r="V11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LOWER($B119))
),0)"),"0")</f>
        <v>0</v>
      </c>
      <c r="W119" s="0" t="str">
        <f aca="false">IFERROR(__xludf.dummyfunction("COUNT(FILTER('Form Responses (Power-up data)'!$C$2:$C1000, LOWER('Form Responses (Power-up data)'!$B$2:$B1000) = LOWER($B119)))"),"0")</f>
        <v>0</v>
      </c>
      <c r="X11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LOWER($B119)))"),"0")</f>
        <v>0</v>
      </c>
      <c r="Y11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LOWER($B119))), 2)))"),"/")</f>
        <v>/</v>
      </c>
    </row>
    <row r="120" customFormat="false" ht="15.75" hidden="false" customHeight="false" outlineLevel="0" collapsed="false">
      <c r="A120" s="10" t="n">
        <v>119</v>
      </c>
      <c r="B120" s="1" t="s">
        <v>138</v>
      </c>
      <c r="C120" s="0" t="str">
        <f aca="false">IFERROR(__xludf.dummyfunction("ROUND(0.00909003 * (FILTER('Go Base Stats'!$C$2:$C1000, 'Go Base Stats'!$A$2:$A1000 = $A120))^0.5 *(FILTER('Go Base Stats'!$D$2:$D1000, 'Go Base Stats'!$A$2:$A1000 = $A120))*(FILTER('Go Base Stats'!$E$2:$E1000, 'Go Base Stats'!$A$2:$A1000 = $A120))^0.5 / 10, 1)"),"25")</f>
        <v>25</v>
      </c>
      <c r="D120" s="0" t="str">
        <f aca="false">IFERROR(__xludf.dummyfunction("ROUND(0.00909003 * (FILTER('Go Base Stats'!$C$2:$C1000, 'Go Base Stats'!$A$2:$A1000 = $A120)+7.5)^0.5 *(FILTER('Go Base Stats'!$D$2:$D1000, 'Go Base Stats'!$A$2:$A1000 = $A120) + 7.5)*(FILTER('Go Base Stats'!$E$2:$E1000, 'Go Base Stats'!$A$2:$A1000 = $A120) + 7.5)^0.5 / 10, 1)"),"27.3")</f>
        <v>27.3</v>
      </c>
      <c r="E120" s="0" t="str">
        <f aca="false">IFERROR(__xludf.dummyfunction("ROUND(0.00909003 * (FILTER('Go Base Stats'!$C$2:$C1000, 'Go Base Stats'!$A$2:$A1000 = $A120)+15)^0.5 *(FILTER('Go Base Stats'!$D$2:$D1000, 'Go Base Stats'!$A$2:$A1000 = $A120) +15)*(FILTER('Go Base Stats'!$E$2:$E1000, 'Go Base Stats'!$A$2:$A1000 = $A120) + 15)^0.5 / 10, 1)"),"29.7")</f>
        <v>29.7</v>
      </c>
      <c r="F120" s="6" t="str">
        <f aca="false">ROUND(D120/D119, 1)</f>
        <v>2.2</v>
      </c>
      <c r="G120" s="6" t="str">
        <f aca="false">IFERROR(__xludf.dummyfunction("FILTER('Base Stats'!$C$2:$C1000, LOWER('Base Stats'!$B$2:$B1000) = LOWER($B120))"),"80")</f>
        <v>80</v>
      </c>
      <c r="H120" s="0" t="str">
        <f aca="false">IFERROR(__xludf.dummyfunction("FLOOR((0.7903)^2 * (FILTER('Go Base Stats'!$C$2:$C1000, 'Go Base Stats'!$A$2:$A1000 = $A120)+15)^0.5 *(FILTER('Go Base Stats'!$D$2:$D1000, 'Go Base Stats'!$A$2:$A1000 = $A120) +15)*(FILTER('Go Base Stats'!$E$2:$E1000, 'Go Base Stats'!$A$2:$A1000 = $A120) + 15)^0.5 / 10)"),"2043")</f>
        <v>2043</v>
      </c>
      <c r="I120" s="0" t="str">
        <f aca="false">IFERROR(__xludf.dummyfunction("FLOOR(0.7903* (FILTER('Go Base Stats'!$C$2:$C1000, 'Go Base Stats'!$A$2:$A1000 = $A120)+15))"),"138")</f>
        <v>138</v>
      </c>
      <c r="J120" s="17"/>
      <c r="K120" s="17"/>
      <c r="L120" s="17"/>
      <c r="M120" s="12" t="e">
        <f aca="false">IF(NOT(ISBLANK($R120)), $R120, IF(ROUND($P120, 1) = 0, "", ROUND($P120, 1) ))</f>
        <v>#VALUE!</v>
      </c>
      <c r="N120" s="13" t="e">
        <f aca="false">ABS(M120-D120)/M120</f>
        <v>#VALUE!</v>
      </c>
      <c r="P120" s="14" t="e">
        <f aca="false">IFERROR((U120+V120)/(W120+X120))</f>
        <v>#VALUE!</v>
      </c>
      <c r="Q12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LOWER($B120)))
)"),"2.16112532")</f>
        <v>2.16112532</v>
      </c>
      <c r="R120" s="16"/>
      <c r="U120" s="0" t="str">
        <f aca="false">IFERROR(__xludf.dummyfunction("IFERROR(SUM(FILTER('Form Responses (Power-up data)'!$C$2:$C1000, LOWER('Form Responses (Power-up data)'!$B$2:$B1000) = LOWER($B120))), 0)"),"0")</f>
        <v>0</v>
      </c>
      <c r="V12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LOWER($B120))
),0)"),"29")</f>
        <v>29</v>
      </c>
      <c r="W120" s="0" t="str">
        <f aca="false">IFERROR(__xludf.dummyfunction("COUNT(FILTER('Form Responses (Power-up data)'!$C$2:$C1000, LOWER('Form Responses (Power-up data)'!$B$2:$B1000) = LOWER($B120)))"),"0")</f>
        <v>0</v>
      </c>
      <c r="X12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LOWER($B120)))"),"1")</f>
        <v>1</v>
      </c>
      <c r="Y12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LOWER($B120))), 2)))"),"2.16/2.16")</f>
        <v>2.16/2.16</v>
      </c>
    </row>
    <row r="121" customFormat="false" ht="15.75" hidden="false" customHeight="false" outlineLevel="0" collapsed="false">
      <c r="A121" s="10" t="n">
        <v>120</v>
      </c>
      <c r="B121" s="1" t="s">
        <v>139</v>
      </c>
      <c r="C121" s="0" t="str">
        <f aca="false">IFERROR(__xludf.dummyfunction("ROUND(0.00909003 * (FILTER('Go Base Stats'!$C$2:$C1000, 'Go Base Stats'!$A$2:$A1000 = $A121))^0.5 *(FILTER('Go Base Stats'!$D$2:$D1000, 'Go Base Stats'!$A$2:$A1000 = $A121))*(FILTER('Go Base Stats'!$E$2:$E1000, 'Go Base Stats'!$A$2:$A1000 = $A121))^0.5 / 10, 1)"),"10.4")</f>
        <v>10.4</v>
      </c>
      <c r="D121" s="0" t="str">
        <f aca="false">IFERROR(__xludf.dummyfunction("ROUND(0.00909003 * (FILTER('Go Base Stats'!$C$2:$C1000, 'Go Base Stats'!$A$2:$A1000 = $A121)+7.5)^0.5 *(FILTER('Go Base Stats'!$D$2:$D1000, 'Go Base Stats'!$A$2:$A1000 = $A121) + 7.5)*(FILTER('Go Base Stats'!$E$2:$E1000, 'Go Base Stats'!$A$2:$A1000 = $A121) + 7.5)^0.5 / 10, 1)"),"12")</f>
        <v>12</v>
      </c>
      <c r="E121" s="0" t="str">
        <f aca="false">IFERROR(__xludf.dummyfunction("ROUND(0.00909003 * (FILTER('Go Base Stats'!$C$2:$C1000, 'Go Base Stats'!$A$2:$A1000 = $A121)+15)^0.5 *(FILTER('Go Base Stats'!$D$2:$D1000, 'Go Base Stats'!$A$2:$A1000 = $A121) +15)*(FILTER('Go Base Stats'!$E$2:$E1000, 'Go Base Stats'!$A$2:$A1000 = $A121) + 15)^0.5 / 10, 1)"),"13.6")</f>
        <v>13.6</v>
      </c>
      <c r="F121" s="6"/>
      <c r="G121" s="6" t="str">
        <f aca="false">IFERROR(__xludf.dummyfunction("FILTER('Base Stats'!$C$2:$C1000, LOWER('Base Stats'!$B$2:$B1000) = LOWER($B121))"),"30")</f>
        <v>30</v>
      </c>
      <c r="H121" s="0" t="str">
        <f aca="false">IFERROR(__xludf.dummyfunction("FLOOR((0.7903)^2 * (FILTER('Go Base Stats'!$C$2:$C1000, 'Go Base Stats'!$A$2:$A1000 = $A121)+15)^0.5 *(FILTER('Go Base Stats'!$D$2:$D1000, 'Go Base Stats'!$A$2:$A1000 = $A121) +15)*(FILTER('Go Base Stats'!$E$2:$E1000, 'Go Base Stats'!$A$2:$A1000 = $A121) + 15)^0.5 / 10)"),"937")</f>
        <v>937</v>
      </c>
      <c r="I121" s="0" t="str">
        <f aca="false">IFERROR(__xludf.dummyfunction("FLOOR(0.7903* (FILTER('Go Base Stats'!$C$2:$C1000, 'Go Base Stats'!$A$2:$A1000 = $A121)+15))"),"59")</f>
        <v>59</v>
      </c>
      <c r="J121" s="17"/>
      <c r="K121" s="17"/>
      <c r="L121" s="17"/>
      <c r="M121" s="12" t="e">
        <f aca="false">IF(NOT(ISBLANK($R121)), $R121, IF(ROUND($P121, 1) = 0, "", ROUND($P121, 1) ))</f>
        <v>#VALUE!</v>
      </c>
      <c r="N121" s="13" t="e">
        <f aca="false">ABS(M121-D121)/M121</f>
        <v>#VALUE!</v>
      </c>
      <c r="P121" s="14" t="e">
        <f aca="false">IFERROR((U121+V121)/(W121+X121))</f>
        <v>#VALUE!</v>
      </c>
      <c r="Q12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LOWER($B121)))
)"),"")</f>
        <v/>
      </c>
      <c r="R121" s="16"/>
      <c r="U121" s="0" t="str">
        <f aca="false">IFERROR(__xludf.dummyfunction("IFERROR(SUM(FILTER('Form Responses (Power-up data)'!$C$2:$C1000, LOWER('Form Responses (Power-up data)'!$B$2:$B1000) = LOWER($B121))), 0)"),"0")</f>
        <v>0</v>
      </c>
      <c r="V12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LOWER($B121))
),0)"),"12")</f>
        <v>12</v>
      </c>
      <c r="W121" s="0" t="str">
        <f aca="false">IFERROR(__xludf.dummyfunction("COUNT(FILTER('Form Responses (Power-up data)'!$C$2:$C1000, LOWER('Form Responses (Power-up data)'!$B$2:$B1000) = LOWER($B121)))"),"0")</f>
        <v>0</v>
      </c>
      <c r="X12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LOWER($B121)))"),"1")</f>
        <v>1</v>
      </c>
      <c r="Y12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LOWER($B121))), 2)))"),"/")</f>
        <v>/</v>
      </c>
    </row>
    <row r="122" customFormat="false" ht="15.75" hidden="false" customHeight="false" outlineLevel="0" collapsed="false">
      <c r="A122" s="10" t="n">
        <v>121</v>
      </c>
      <c r="B122" s="1" t="s">
        <v>140</v>
      </c>
      <c r="C122" s="0" t="str">
        <f aca="false">IFERROR(__xludf.dummyfunction("ROUND(0.00909003 * (FILTER('Go Base Stats'!$C$2:$C1000, 'Go Base Stats'!$A$2:$A1000 = $A122))^0.5 *(FILTER('Go Base Stats'!$D$2:$D1000, 'Go Base Stats'!$A$2:$A1000 = $A122))*(FILTER('Go Base Stats'!$E$2:$E1000, 'Go Base Stats'!$A$2:$A1000 = $A122))^0.5 / 10, 1)"),"26.8")</f>
        <v>26.8</v>
      </c>
      <c r="D122" s="0" t="str">
        <f aca="false">IFERROR(__xludf.dummyfunction("ROUND(0.00909003 * (FILTER('Go Base Stats'!$C$2:$C1000, 'Go Base Stats'!$A$2:$A1000 = $A122)+7.5)^0.5 *(FILTER('Go Base Stats'!$D$2:$D1000, 'Go Base Stats'!$A$2:$A1000 = $A122) + 7.5)*(FILTER('Go Base Stats'!$E$2:$E1000, 'Go Base Stats'!$A$2:$A1000 = $A122) + 7.5)^0.5 / 10, 1)"),"29.2")</f>
        <v>29.2</v>
      </c>
      <c r="E122" s="0" t="str">
        <f aca="false">IFERROR(__xludf.dummyfunction("ROUND(0.00909003 * (FILTER('Go Base Stats'!$C$2:$C1000, 'Go Base Stats'!$A$2:$A1000 = $A122)+15)^0.5 *(FILTER('Go Base Stats'!$D$2:$D1000, 'Go Base Stats'!$A$2:$A1000 = $A122) +15)*(FILTER('Go Base Stats'!$E$2:$E1000, 'Go Base Stats'!$A$2:$A1000 = $A122) + 15)^0.5 / 10, 1)"),"31.8")</f>
        <v>31.8</v>
      </c>
      <c r="F122" s="6" t="str">
        <f aca="false">ROUND(D122/D121, 1)</f>
        <v>2.4</v>
      </c>
      <c r="G122" s="6" t="str">
        <f aca="false">IFERROR(__xludf.dummyfunction("FILTER('Base Stats'!$C$2:$C1000, LOWER('Base Stats'!$B$2:$B1000) = LOWER($B122))"),"60")</f>
        <v>60</v>
      </c>
      <c r="H122" s="0" t="str">
        <f aca="false">IFERROR(__xludf.dummyfunction("FLOOR((0.7903)^2 * (FILTER('Go Base Stats'!$C$2:$C1000, 'Go Base Stats'!$A$2:$A1000 = $A122)+15)^0.5 *(FILTER('Go Base Stats'!$D$2:$D1000, 'Go Base Stats'!$A$2:$A1000 = $A122) +15)*(FILTER('Go Base Stats'!$E$2:$E1000, 'Go Base Stats'!$A$2:$A1000 = $A122) + 15)^0.5 / 10)"),"2182")</f>
        <v>2182</v>
      </c>
      <c r="I122" s="0" t="str">
        <f aca="false">IFERROR(__xludf.dummyfunction("FLOOR(0.7903* (FILTER('Go Base Stats'!$C$2:$C1000, 'Go Base Stats'!$A$2:$A1000 = $A122)+15))"),"106")</f>
        <v>106</v>
      </c>
      <c r="J122" s="17"/>
      <c r="K122" s="17"/>
      <c r="L122" s="17"/>
      <c r="M122" s="12" t="e">
        <f aca="false">IF(NOT(ISBLANK($R122)), $R122, IF(ROUND($P122, 1) = 0, "", ROUND($P122, 1) ))</f>
        <v>#VALUE!</v>
      </c>
      <c r="N122" s="13" t="e">
        <f aca="false">ABS(M122-D122)/M122</f>
        <v>#VALUE!</v>
      </c>
      <c r="P122" s="14" t="e">
        <f aca="false">IFERROR((U122+V122)/(W122+X122))</f>
        <v>#VALUE!</v>
      </c>
      <c r="Q12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LOWER($B122)))
)"),"")</f>
        <v/>
      </c>
      <c r="R122" s="16"/>
      <c r="U122" s="0" t="str">
        <f aca="false">IFERROR(__xludf.dummyfunction("IFERROR(SUM(FILTER('Form Responses (Power-up data)'!$C$2:$C1000, LOWER('Form Responses (Power-up data)'!$B$2:$B1000) = LOWER($B122))), 0)"),"0")</f>
        <v>0</v>
      </c>
      <c r="V12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LOWER($B122))
),0)"),"30")</f>
        <v>30</v>
      </c>
      <c r="W122" s="0" t="str">
        <f aca="false">IFERROR(__xludf.dummyfunction("COUNT(FILTER('Form Responses (Power-up data)'!$C$2:$C1000, LOWER('Form Responses (Power-up data)'!$B$2:$B1000) = LOWER($B122)))"),"0")</f>
        <v>0</v>
      </c>
      <c r="X12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LOWER($B122)))"),"1")</f>
        <v>1</v>
      </c>
      <c r="Y12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LOWER($B122))), 2)))"),"/")</f>
        <v>/</v>
      </c>
    </row>
    <row r="123" customFormat="false" ht="15.75" hidden="false" customHeight="false" outlineLevel="0" collapsed="false">
      <c r="A123" s="10" t="n">
        <v>122</v>
      </c>
      <c r="B123" s="1" t="s">
        <v>141</v>
      </c>
      <c r="C123" s="0" t="str">
        <f aca="false">IFERROR(__xludf.dummyfunction("ROUND(0.00909003 * (FILTER('Go Base Stats'!$C$2:$C1000, 'Go Base Stats'!$A$2:$A1000 = $A123))^0.5 *(FILTER('Go Base Stats'!$D$2:$D1000, 'Go Base Stats'!$A$2:$A1000 = $A123))*(FILTER('Go Base Stats'!$E$2:$E1000, 'Go Base Stats'!$A$2:$A1000 = $A123))^0.5 / 10, 1)"),"17.5")</f>
        <v>17.5</v>
      </c>
      <c r="D123" s="0" t="str">
        <f aca="false">IFERROR(__xludf.dummyfunction("ROUND(0.00909003 * (FILTER('Go Base Stats'!$C$2:$C1000, 'Go Base Stats'!$A$2:$A1000 = $A123)+7.5)^0.5 *(FILTER('Go Base Stats'!$D$2:$D1000, 'Go Base Stats'!$A$2:$A1000 = $A123) + 7.5)*(FILTER('Go Base Stats'!$E$2:$E1000, 'Go Base Stats'!$A$2:$A1000 = $A123) + 7.5)^0.5 / 10, 1)"),"19.6")</f>
        <v>19.6</v>
      </c>
      <c r="E123" s="0" t="str">
        <f aca="false">IFERROR(__xludf.dummyfunction("ROUND(0.00909003 * (FILTER('Go Base Stats'!$C$2:$C1000, 'Go Base Stats'!$A$2:$A1000 = $A123)+15)^0.5 *(FILTER('Go Base Stats'!$D$2:$D1000, 'Go Base Stats'!$A$2:$A1000 = $A123) +15)*(FILTER('Go Base Stats'!$E$2:$E1000, 'Go Base Stats'!$A$2:$A1000 = $A123) + 15)^0.5 / 10, 1)"),"21.7")</f>
        <v>21.7</v>
      </c>
      <c r="F123" s="6"/>
      <c r="G123" s="6" t="str">
        <f aca="false">IFERROR(__xludf.dummyfunction("FILTER('Base Stats'!$C$2:$C1000, LOWER('Base Stats'!$B$2:$B1000) = LOWER($B123))"),"40")</f>
        <v>40</v>
      </c>
      <c r="H123" s="0" t="str">
        <f aca="false">IFERROR(__xludf.dummyfunction("FLOOR((0.7903)^2 * (FILTER('Go Base Stats'!$C$2:$C1000, 'Go Base Stats'!$A$2:$A1000 = $A123)+15)^0.5 *(FILTER('Go Base Stats'!$D$2:$D1000, 'Go Base Stats'!$A$2:$A1000 = $A123) +15)*(FILTER('Go Base Stats'!$E$2:$E1000, 'Go Base Stats'!$A$2:$A1000 = $A123) + 15)^0.5 / 10)"),"1494")</f>
        <v>1494</v>
      </c>
      <c r="I123" s="0" t="str">
        <f aca="false">IFERROR(__xludf.dummyfunction("FLOOR(0.7903* (FILTER('Go Base Stats'!$C$2:$C1000, 'Go Base Stats'!$A$2:$A1000 = $A123)+15))"),"75")</f>
        <v>75</v>
      </c>
      <c r="J123" s="17"/>
      <c r="K123" s="17"/>
      <c r="L123" s="17"/>
      <c r="M123" s="12" t="n">
        <f aca="false">IF(NOT(ISBLANK($R123)), $R123, IF(ROUND($P123, 1) = 0, "", ROUND($P123, 1) ))</f>
        <v>21</v>
      </c>
      <c r="N123" s="13" t="n">
        <f aca="false">ABS(M123-D123)/M123</f>
        <v>0.0666666666666666</v>
      </c>
      <c r="P123" s="14" t="e">
        <f aca="false">IFERROR((U123+V123)/(W123+X123))</f>
        <v>#VALUE!</v>
      </c>
      <c r="Q12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LOWER($B123)))
)"),"")</f>
        <v/>
      </c>
      <c r="R123" s="16" t="n">
        <v>21</v>
      </c>
      <c r="U123" s="0" t="str">
        <f aca="false">IFERROR(__xludf.dummyfunction("IFERROR(SUM(FILTER('Form Responses (Power-up data)'!$C$2:$C1000, LOWER('Form Responses (Power-up data)'!$B$2:$B1000) = LOWER($B123))), 0)"),"0")</f>
        <v>0</v>
      </c>
      <c r="V12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LOWER($B123))
),0)"),"0")</f>
        <v>0</v>
      </c>
      <c r="W123" s="0" t="str">
        <f aca="false">IFERROR(__xludf.dummyfunction("COUNT(FILTER('Form Responses (Power-up data)'!$C$2:$C1000, LOWER('Form Responses (Power-up data)'!$B$2:$B1000) = LOWER($B123)))"),"0")</f>
        <v>0</v>
      </c>
      <c r="X12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LOWER($B123)))"),"0")</f>
        <v>0</v>
      </c>
      <c r="Y12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LOWER($B123))), 2)))"),"/")</f>
        <v>/</v>
      </c>
    </row>
    <row r="124" customFormat="false" ht="15.75" hidden="false" customHeight="false" outlineLevel="0" collapsed="false">
      <c r="A124" s="10" t="n">
        <v>123</v>
      </c>
      <c r="B124" s="1" t="s">
        <v>142</v>
      </c>
      <c r="C124" s="0" t="str">
        <f aca="false">IFERROR(__xludf.dummyfunction("ROUND(0.00909003 * (FILTER('Go Base Stats'!$C$2:$C1000, 'Go Base Stats'!$A$2:$A1000 = $A124))^0.5 *(FILTER('Go Base Stats'!$D$2:$D1000, 'Go Base Stats'!$A$2:$A1000 = $A124))*(FILTER('Go Base Stats'!$E$2:$E1000, 'Go Base Stats'!$A$2:$A1000 = $A124))^0.5 / 10, 1)"),"25.4")</f>
        <v>25.4</v>
      </c>
      <c r="D124" s="0" t="str">
        <f aca="false">IFERROR(__xludf.dummyfunction("ROUND(0.00909003 * (FILTER('Go Base Stats'!$C$2:$C1000, 'Go Base Stats'!$A$2:$A1000 = $A124)+7.5)^0.5 *(FILTER('Go Base Stats'!$D$2:$D1000, 'Go Base Stats'!$A$2:$A1000 = $A124) + 7.5)*(FILTER('Go Base Stats'!$E$2:$E1000, 'Go Base Stats'!$A$2:$A1000 = $A124) + 7.5)^0.5 / 10, 1)"),"27.7")</f>
        <v>27.7</v>
      </c>
      <c r="E124" s="0" t="str">
        <f aca="false">IFERROR(__xludf.dummyfunction("ROUND(0.00909003 * (FILTER('Go Base Stats'!$C$2:$C1000, 'Go Base Stats'!$A$2:$A1000 = $A124)+15)^0.5 *(FILTER('Go Base Stats'!$D$2:$D1000, 'Go Base Stats'!$A$2:$A1000 = $A124) +15)*(FILTER('Go Base Stats'!$E$2:$E1000, 'Go Base Stats'!$A$2:$A1000 = $A124) + 15)^0.5 / 10, 1)"),"30.2")</f>
        <v>30.2</v>
      </c>
      <c r="F124" s="6"/>
      <c r="G124" s="6" t="str">
        <f aca="false">IFERROR(__xludf.dummyfunction("FILTER('Base Stats'!$C$2:$C1000, LOWER('Base Stats'!$B$2:$B1000) = LOWER($B124))"),"70")</f>
        <v>70</v>
      </c>
      <c r="H124" s="0" t="str">
        <f aca="false">IFERROR(__xludf.dummyfunction("FLOOR((0.7903)^2 * (FILTER('Go Base Stats'!$C$2:$C1000, 'Go Base Stats'!$A$2:$A1000 = $A124)+15)^0.5 *(FILTER('Go Base Stats'!$D$2:$D1000, 'Go Base Stats'!$A$2:$A1000 = $A124) +15)*(FILTER('Go Base Stats'!$E$2:$E1000, 'Go Base Stats'!$A$2:$A1000 = $A124) + 15)^0.5 / 10)"),"2073")</f>
        <v>2073</v>
      </c>
      <c r="I124" s="0" t="str">
        <f aca="false">IFERROR(__xludf.dummyfunction("FLOOR(0.7903* (FILTER('Go Base Stats'!$C$2:$C1000, 'Go Base Stats'!$A$2:$A1000 = $A124)+15))"),"122")</f>
        <v>122</v>
      </c>
      <c r="J124" s="17"/>
      <c r="K124" s="17"/>
      <c r="L124" s="17"/>
      <c r="M124" s="12" t="e">
        <f aca="false">IF(NOT(ISBLANK($R124)), $R124, IF(ROUND($P124, 1) = 0, "", ROUND($P124, 1) ))</f>
        <v>#VALUE!</v>
      </c>
      <c r="N124" s="13" t="e">
        <f aca="false">ABS(M124-D124)/M124</f>
        <v>#VALUE!</v>
      </c>
      <c r="P124" s="14" t="e">
        <f aca="false">IFERROR((U124+V124)/(W124+X124))</f>
        <v>#VALUE!</v>
      </c>
      <c r="Q12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LOWER($B124)))
)"),"")</f>
        <v/>
      </c>
      <c r="R124" s="16"/>
      <c r="U124" s="0" t="str">
        <f aca="false">IFERROR(__xludf.dummyfunction("IFERROR(SUM(FILTER('Form Responses (Power-up data)'!$C$2:$C1000, LOWER('Form Responses (Power-up data)'!$B$2:$B1000) = LOWER($B124))), 0)"),"30")</f>
        <v>30</v>
      </c>
      <c r="V12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LOWER($B124))
),0)"),"244")</f>
        <v>244</v>
      </c>
      <c r="W124" s="0" t="str">
        <f aca="false">IFERROR(__xludf.dummyfunction("COUNT(FILTER('Form Responses (Power-up data)'!$C$2:$C1000, LOWER('Form Responses (Power-up data)'!$B$2:$B1000) = LOWER($B124)))"),"1")</f>
        <v>1</v>
      </c>
      <c r="X12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LOWER($B124)))"),"8")</f>
        <v>8</v>
      </c>
      <c r="Y12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LOWER($B124))), 2)))"),"/")</f>
        <v>/</v>
      </c>
    </row>
    <row r="125" customFormat="false" ht="15.75" hidden="false" customHeight="false" outlineLevel="0" collapsed="false">
      <c r="A125" s="10" t="n">
        <v>124</v>
      </c>
      <c r="B125" s="1" t="s">
        <v>143</v>
      </c>
      <c r="C125" s="0" t="str">
        <f aca="false">IFERROR(__xludf.dummyfunction("ROUND(0.00909003 * (FILTER('Go Base Stats'!$C$2:$C1000, 'Go Base Stats'!$A$2:$A1000 = $A125))^0.5 *(FILTER('Go Base Stats'!$D$2:$D1000, 'Go Base Stats'!$A$2:$A1000 = $A125))*(FILTER('Go Base Stats'!$E$2:$E1000, 'Go Base Stats'!$A$2:$A1000 = $A125))^0.5 / 10, 1)"),"20.6")</f>
        <v>20.6</v>
      </c>
      <c r="D125" s="0" t="str">
        <f aca="false">IFERROR(__xludf.dummyfunction("ROUND(0.00909003 * (FILTER('Go Base Stats'!$C$2:$C1000, 'Go Base Stats'!$A$2:$A1000 = $A125)+7.5)^0.5 *(FILTER('Go Base Stats'!$D$2:$D1000, 'Go Base Stats'!$A$2:$A1000 = $A125) + 7.5)*(FILTER('Go Base Stats'!$E$2:$E1000, 'Go Base Stats'!$A$2:$A1000 = $A125) + 7.5)^0.5 / 10, 1)"),"22.8")</f>
        <v>22.8</v>
      </c>
      <c r="E125" s="0" t="str">
        <f aca="false">IFERROR(__xludf.dummyfunction("ROUND(0.00909003 * (FILTER('Go Base Stats'!$C$2:$C1000, 'Go Base Stats'!$A$2:$A1000 = $A125)+15)^0.5 *(FILTER('Go Base Stats'!$D$2:$D1000, 'Go Base Stats'!$A$2:$A1000 = $A125) +15)*(FILTER('Go Base Stats'!$E$2:$E1000, 'Go Base Stats'!$A$2:$A1000 = $A125) + 15)^0.5 / 10, 1)"),"25")</f>
        <v>25</v>
      </c>
      <c r="F125" s="6"/>
      <c r="G125" s="6" t="str">
        <f aca="false">IFERROR(__xludf.dummyfunction("FILTER('Base Stats'!$C$2:$C1000, LOWER('Base Stats'!$B$2:$B1000) = LOWER($B125))"),"65")</f>
        <v>65</v>
      </c>
      <c r="H125" s="0" t="str">
        <f aca="false">IFERROR(__xludf.dummyfunction("FLOOR((0.7903)^2 * (FILTER('Go Base Stats'!$C$2:$C1000, 'Go Base Stats'!$A$2:$A1000 = $A125)+15)^0.5 *(FILTER('Go Base Stats'!$D$2:$D1000, 'Go Base Stats'!$A$2:$A1000 = $A125) +15)*(FILTER('Go Base Stats'!$E$2:$E1000, 'Go Base Stats'!$A$2:$A1000 = $A125) + 15)^0.5 / 10)"),"1716")</f>
        <v>1716</v>
      </c>
      <c r="I125" s="0" t="str">
        <f aca="false">IFERROR(__xludf.dummyfunction("FLOOR(0.7903* (FILTER('Go Base Stats'!$C$2:$C1000, 'Go Base Stats'!$A$2:$A1000 = $A125)+15))"),"114")</f>
        <v>114</v>
      </c>
      <c r="J125" s="17"/>
      <c r="K125" s="17"/>
      <c r="L125" s="17"/>
      <c r="M125" s="12" t="e">
        <f aca="false">IF(NOT(ISBLANK($R125)), $R125, IF(ROUND($P125, 1) = 0, "", ROUND($P125, 1) ))</f>
        <v>#VALUE!</v>
      </c>
      <c r="N125" s="13" t="e">
        <f aca="false">ABS(M125-D125)/M125</f>
        <v>#VALUE!</v>
      </c>
      <c r="P125" s="14" t="e">
        <f aca="false">IFERROR((U125+V125)/(W125+X125))</f>
        <v>#VALUE!</v>
      </c>
      <c r="Q12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LOWER($B125)))
)"),"")</f>
        <v/>
      </c>
      <c r="R125" s="16"/>
      <c r="U125" s="0" t="str">
        <f aca="false">IFERROR(__xludf.dummyfunction("IFERROR(SUM(FILTER('Form Responses (Power-up data)'!$C$2:$C1000, LOWER('Form Responses (Power-up data)'!$B$2:$B1000) = LOWER($B125))), 0)"),"22")</f>
        <v>22</v>
      </c>
      <c r="V12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LOWER($B125))
),0)"),"116")</f>
        <v>116</v>
      </c>
      <c r="W125" s="0" t="str">
        <f aca="false">IFERROR(__xludf.dummyfunction("COUNT(FILTER('Form Responses (Power-up data)'!$C$2:$C1000, LOWER('Form Responses (Power-up data)'!$B$2:$B1000) = LOWER($B125)))"),"1")</f>
        <v>1</v>
      </c>
      <c r="X12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LOWER($B125)))"),"5")</f>
        <v>5</v>
      </c>
      <c r="Y12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LOWER($B125))), 2)))"),"/")</f>
        <v>/</v>
      </c>
    </row>
    <row r="126" customFormat="false" ht="15.75" hidden="false" customHeight="false" outlineLevel="0" collapsed="false">
      <c r="A126" s="10" t="n">
        <v>125</v>
      </c>
      <c r="B126" s="1" t="s">
        <v>144</v>
      </c>
      <c r="C126" s="0" t="str">
        <f aca="false">IFERROR(__xludf.dummyfunction("ROUND(0.00909003 * (FILTER('Go Base Stats'!$C$2:$C1000, 'Go Base Stats'!$A$2:$A1000 = $A126))^0.5 *(FILTER('Go Base Stats'!$D$2:$D1000, 'Go Base Stats'!$A$2:$A1000 = $A126))*(FILTER('Go Base Stats'!$E$2:$E1000, 'Go Base Stats'!$A$2:$A1000 = $A126))^0.5 / 10, 1)"),"26")</f>
        <v>26</v>
      </c>
      <c r="D126" s="0" t="str">
        <f aca="false">IFERROR(__xludf.dummyfunction("ROUND(0.00909003 * (FILTER('Go Base Stats'!$C$2:$C1000, 'Go Base Stats'!$A$2:$A1000 = $A126)+7.5)^0.5 *(FILTER('Go Base Stats'!$D$2:$D1000, 'Go Base Stats'!$A$2:$A1000 = $A126) + 7.5)*(FILTER('Go Base Stats'!$E$2:$E1000, 'Go Base Stats'!$A$2:$A1000 = $A126) + 7.5)^0.5 / 10, 1)"),"28.3")</f>
        <v>28.3</v>
      </c>
      <c r="E126" s="0" t="str">
        <f aca="false">IFERROR(__xludf.dummyfunction("ROUND(0.00909003 * (FILTER('Go Base Stats'!$C$2:$C1000, 'Go Base Stats'!$A$2:$A1000 = $A126)+15)^0.5 *(FILTER('Go Base Stats'!$D$2:$D1000, 'Go Base Stats'!$A$2:$A1000 = $A126) +15)*(FILTER('Go Base Stats'!$E$2:$E1000, 'Go Base Stats'!$A$2:$A1000 = $A126) + 15)^0.5 / 10, 1)"),"30.8")</f>
        <v>30.8</v>
      </c>
      <c r="F126" s="6"/>
      <c r="G126" s="6" t="str">
        <f aca="false">IFERROR(__xludf.dummyfunction("FILTER('Base Stats'!$C$2:$C1000, LOWER('Base Stats'!$B$2:$B1000) = LOWER($B126))"),"65")</f>
        <v>65</v>
      </c>
      <c r="H126" s="0" t="str">
        <f aca="false">IFERROR(__xludf.dummyfunction("FLOOR((0.7903)^2 * (FILTER('Go Base Stats'!$C$2:$C1000, 'Go Base Stats'!$A$2:$A1000 = $A126)+15)^0.5 *(FILTER('Go Base Stats'!$D$2:$D1000, 'Go Base Stats'!$A$2:$A1000 = $A126) +15)*(FILTER('Go Base Stats'!$E$2:$E1000, 'Go Base Stats'!$A$2:$A1000 = $A126) + 15)^0.5 / 10)"),"2119")</f>
        <v>2119</v>
      </c>
      <c r="I126" s="0" t="str">
        <f aca="false">IFERROR(__xludf.dummyfunction("FLOOR(0.7903* (FILTER('Go Base Stats'!$C$2:$C1000, 'Go Base Stats'!$A$2:$A1000 = $A126)+15))"),"114")</f>
        <v>114</v>
      </c>
      <c r="J126" s="17"/>
      <c r="K126" s="17"/>
      <c r="L126" s="17"/>
      <c r="M126" s="12" t="e">
        <f aca="false">IF(NOT(ISBLANK($R126)), $R126, IF(ROUND($P126, 1) = 0, "", ROUND($P126, 1) ))</f>
        <v>#VALUE!</v>
      </c>
      <c r="N126" s="13" t="e">
        <f aca="false">ABS(M126-D126)/M126</f>
        <v>#VALUE!</v>
      </c>
      <c r="P126" s="14" t="e">
        <f aca="false">IFERROR((U126+V126)/(W126+X126))</f>
        <v>#VALUE!</v>
      </c>
      <c r="Q12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LOWER($B126)))
)"),"")</f>
        <v/>
      </c>
      <c r="R126" s="16"/>
      <c r="U126" s="0" t="str">
        <f aca="false">IFERROR(__xludf.dummyfunction("IFERROR(SUM(FILTER('Form Responses (Power-up data)'!$C$2:$C1000, LOWER('Form Responses (Power-up data)'!$B$2:$B1000) = LOWER($B126))), 0)"),"0")</f>
        <v>0</v>
      </c>
      <c r="V12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LOWER($B126))
),0)"),"443")</f>
        <v>443</v>
      </c>
      <c r="W126" s="0" t="str">
        <f aca="false">IFERROR(__xludf.dummyfunction("COUNT(FILTER('Form Responses (Power-up data)'!$C$2:$C1000, LOWER('Form Responses (Power-up data)'!$B$2:$B1000) = LOWER($B126)))"),"0")</f>
        <v>0</v>
      </c>
      <c r="X12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LOWER($B126)))"),"15")</f>
        <v>15</v>
      </c>
      <c r="Y12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LOWER($B126))), 2)))"),"/")</f>
        <v>/</v>
      </c>
    </row>
    <row r="127" customFormat="false" ht="15.75" hidden="false" customHeight="false" outlineLevel="0" collapsed="false">
      <c r="A127" s="10" t="n">
        <v>126</v>
      </c>
      <c r="B127" s="1" t="s">
        <v>145</v>
      </c>
      <c r="C127" s="0" t="str">
        <f aca="false">IFERROR(__xludf.dummyfunction("ROUND(0.00909003 * (FILTER('Go Base Stats'!$C$2:$C1000, 'Go Base Stats'!$A$2:$A1000 = $A127))^0.5 *(FILTER('Go Base Stats'!$D$2:$D1000, 'Go Base Stats'!$A$2:$A1000 = $A127))*(FILTER('Go Base Stats'!$E$2:$E1000, 'Go Base Stats'!$A$2:$A1000 = $A127))^0.5 / 10, 1)"),"27.9")</f>
        <v>27.9</v>
      </c>
      <c r="D127" s="0" t="str">
        <f aca="false">IFERROR(__xludf.dummyfunction("ROUND(0.00909003 * (FILTER('Go Base Stats'!$C$2:$C1000, 'Go Base Stats'!$A$2:$A1000 = $A127)+7.5)^0.5 *(FILTER('Go Base Stats'!$D$2:$D1000, 'Go Base Stats'!$A$2:$A1000 = $A127) + 7.5)*(FILTER('Go Base Stats'!$E$2:$E1000, 'Go Base Stats'!$A$2:$A1000 = $A127) + 7.5)^0.5 / 10, 1)"),"30.4")</f>
        <v>30.4</v>
      </c>
      <c r="E127" s="0" t="str">
        <f aca="false">IFERROR(__xludf.dummyfunction("ROUND(0.00909003 * (FILTER('Go Base Stats'!$C$2:$C1000, 'Go Base Stats'!$A$2:$A1000 = $A127)+15)^0.5 *(FILTER('Go Base Stats'!$D$2:$D1000, 'Go Base Stats'!$A$2:$A1000 = $A127) +15)*(FILTER('Go Base Stats'!$E$2:$E1000, 'Go Base Stats'!$A$2:$A1000 = $A127) + 15)^0.5 / 10, 1)"),"33")</f>
        <v>33</v>
      </c>
      <c r="F127" s="6"/>
      <c r="G127" s="6" t="str">
        <f aca="false">IFERROR(__xludf.dummyfunction("FILTER('Base Stats'!$C$2:$C1000, LOWER('Base Stats'!$B$2:$B1000) = LOWER($B127))"),"65")</f>
        <v>65</v>
      </c>
      <c r="H127" s="0" t="str">
        <f aca="false">IFERROR(__xludf.dummyfunction("FLOOR((0.7903)^2 * (FILTER('Go Base Stats'!$C$2:$C1000, 'Go Base Stats'!$A$2:$A1000 = $A127)+15)^0.5 *(FILTER('Go Base Stats'!$D$2:$D1000, 'Go Base Stats'!$A$2:$A1000 = $A127) +15)*(FILTER('Go Base Stats'!$E$2:$E1000, 'Go Base Stats'!$A$2:$A1000 = $A127) + 15)^0.5 / 10)"),"2265")</f>
        <v>2265</v>
      </c>
      <c r="I127" s="0" t="str">
        <f aca="false">IFERROR(__xludf.dummyfunction("FLOOR(0.7903* (FILTER('Go Base Stats'!$C$2:$C1000, 'Go Base Stats'!$A$2:$A1000 = $A127)+15))"),"114")</f>
        <v>114</v>
      </c>
      <c r="J127" s="17"/>
      <c r="K127" s="17"/>
      <c r="L127" s="17"/>
      <c r="M127" s="12" t="e">
        <f aca="false">IF(NOT(ISBLANK($R127)), $R127, IF(ROUND($P127, 1) = 0, "", ROUND($P127, 1) ))</f>
        <v>#VALUE!</v>
      </c>
      <c r="N127" s="13" t="e">
        <f aca="false">ABS(M127-D127)/M127</f>
        <v>#VALUE!</v>
      </c>
      <c r="P127" s="14" t="e">
        <f aca="false">IFERROR((U127+V127)/(W127+X127))</f>
        <v>#VALUE!</v>
      </c>
      <c r="Q12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LOWER($B127)))
)"),"")</f>
        <v/>
      </c>
      <c r="R127" s="16"/>
      <c r="U127" s="0" t="str">
        <f aca="false">IFERROR(__xludf.dummyfunction("IFERROR(SUM(FILTER('Form Responses (Power-up data)'!$C$2:$C1000, LOWER('Form Responses (Power-up data)'!$B$2:$B1000) = LOWER($B127))), 0)"),"0")</f>
        <v>0</v>
      </c>
      <c r="V12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LOWER($B127))
),0)"),"315")</f>
        <v>315</v>
      </c>
      <c r="W127" s="0" t="str">
        <f aca="false">IFERROR(__xludf.dummyfunction("COUNT(FILTER('Form Responses (Power-up data)'!$C$2:$C1000, LOWER('Form Responses (Power-up data)'!$B$2:$B1000) = LOWER($B127)))"),"0")</f>
        <v>0</v>
      </c>
      <c r="X12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LOWER($B127)))"),"10")</f>
        <v>10</v>
      </c>
      <c r="Y12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LOWER($B127))), 2)))"),"/")</f>
        <v>/</v>
      </c>
    </row>
    <row r="128" customFormat="false" ht="15.75" hidden="false" customHeight="false" outlineLevel="0" collapsed="false">
      <c r="A128" s="10" t="n">
        <v>127</v>
      </c>
      <c r="B128" s="1" t="s">
        <v>146</v>
      </c>
      <c r="C128" s="0" t="str">
        <f aca="false">IFERROR(__xludf.dummyfunction("ROUND(0.00909003 * (FILTER('Go Base Stats'!$C$2:$C1000, 'Go Base Stats'!$A$2:$A1000 = $A128))^0.5 *(FILTER('Go Base Stats'!$D$2:$D1000, 'Go Base Stats'!$A$2:$A1000 = $A128))*(FILTER('Go Base Stats'!$E$2:$E1000, 'Go Base Stats'!$A$2:$A1000 = $A128))^0.5 / 10, 1)"),"26")</f>
        <v>26</v>
      </c>
      <c r="D128" s="0" t="str">
        <f aca="false">IFERROR(__xludf.dummyfunction("ROUND(0.00909003 * (FILTER('Go Base Stats'!$C$2:$C1000, 'Go Base Stats'!$A$2:$A1000 = $A128)+7.5)^0.5 *(FILTER('Go Base Stats'!$D$2:$D1000, 'Go Base Stats'!$A$2:$A1000 = $A128) + 7.5)*(FILTER('Go Base Stats'!$E$2:$E1000, 'Go Base Stats'!$A$2:$A1000 = $A128) + 7.5)^0.5 / 10, 1)"),"28.4")</f>
        <v>28.4</v>
      </c>
      <c r="E128" s="0" t="str">
        <f aca="false">IFERROR(__xludf.dummyfunction("ROUND(0.00909003 * (FILTER('Go Base Stats'!$C$2:$C1000, 'Go Base Stats'!$A$2:$A1000 = $A128)+15)^0.5 *(FILTER('Go Base Stats'!$D$2:$D1000, 'Go Base Stats'!$A$2:$A1000 = $A128) +15)*(FILTER('Go Base Stats'!$E$2:$E1000, 'Go Base Stats'!$A$2:$A1000 = $A128) + 15)^0.5 / 10, 1)"),"30.9")</f>
        <v>30.9</v>
      </c>
      <c r="F128" s="6"/>
      <c r="G128" s="6" t="str">
        <f aca="false">IFERROR(__xludf.dummyfunction("FILTER('Base Stats'!$C$2:$C1000, LOWER('Base Stats'!$B$2:$B1000) = LOWER($B128))"),"65")</f>
        <v>65</v>
      </c>
      <c r="H128" s="0" t="str">
        <f aca="false">IFERROR(__xludf.dummyfunction("FLOOR((0.7903)^2 * (FILTER('Go Base Stats'!$C$2:$C1000, 'Go Base Stats'!$A$2:$A1000 = $A128)+15)^0.5 *(FILTER('Go Base Stats'!$D$2:$D1000, 'Go Base Stats'!$A$2:$A1000 = $A128) +15)*(FILTER('Go Base Stats'!$E$2:$E1000, 'Go Base Stats'!$A$2:$A1000 = $A128) + 15)^0.5 / 10)"),"2121")</f>
        <v>2121</v>
      </c>
      <c r="I128" s="0" t="str">
        <f aca="false">IFERROR(__xludf.dummyfunction("FLOOR(0.7903* (FILTER('Go Base Stats'!$C$2:$C1000, 'Go Base Stats'!$A$2:$A1000 = $A128)+15))"),"114")</f>
        <v>114</v>
      </c>
      <c r="J128" s="17"/>
      <c r="K128" s="17"/>
      <c r="L128" s="17"/>
      <c r="M128" s="12" t="e">
        <f aca="false">IF(NOT(ISBLANK($R128)), $R128, IF(ROUND($P128, 1) = 0, "", ROUND($P128, 1) ))</f>
        <v>#VALUE!</v>
      </c>
      <c r="N128" s="13" t="e">
        <f aca="false">ABS(M128-D128)/M128</f>
        <v>#VALUE!</v>
      </c>
      <c r="P128" s="14" t="e">
        <f aca="false">IFERROR((U128+V128)/(W128+X128))</f>
        <v>#VALUE!</v>
      </c>
      <c r="Q12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LOWER($B128)))
)"),"")</f>
        <v/>
      </c>
      <c r="R128" s="16"/>
      <c r="U128" s="0" t="str">
        <f aca="false">IFERROR(__xludf.dummyfunction("IFERROR(SUM(FILTER('Form Responses (Power-up data)'!$C$2:$C1000, LOWER('Form Responses (Power-up data)'!$B$2:$B1000) = LOWER($B128))), 0)"),"59")</f>
        <v>59</v>
      </c>
      <c r="V12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LOWER($B128))
),0)"),"297")</f>
        <v>297</v>
      </c>
      <c r="W128" s="0" t="str">
        <f aca="false">IFERROR(__xludf.dummyfunction("COUNT(FILTER('Form Responses (Power-up data)'!$C$2:$C1000, LOWER('Form Responses (Power-up data)'!$B$2:$B1000) = LOWER($B128)))"),"2")</f>
        <v>2</v>
      </c>
      <c r="X12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LOWER($B128)))"),"10")</f>
        <v>10</v>
      </c>
      <c r="Y12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LOWER($B128))), 2)))"),"/")</f>
        <v>/</v>
      </c>
    </row>
    <row r="129" customFormat="false" ht="15.75" hidden="false" customHeight="false" outlineLevel="0" collapsed="false">
      <c r="A129" s="10" t="n">
        <v>128</v>
      </c>
      <c r="B129" s="1" t="s">
        <v>147</v>
      </c>
      <c r="C129" s="0" t="str">
        <f aca="false">IFERROR(__xludf.dummyfunction("ROUND(0.00909003 * (FILTER('Go Base Stats'!$C$2:$C1000, 'Go Base Stats'!$A$2:$A1000 = $A129))^0.5 *(FILTER('Go Base Stats'!$D$2:$D1000, 'Go Base Stats'!$A$2:$A1000 = $A129))*(FILTER('Go Base Stats'!$E$2:$E1000, 'Go Base Stats'!$A$2:$A1000 = $A129))^0.5 / 10, 1)"),"22.4")</f>
        <v>22.4</v>
      </c>
      <c r="D129" s="0" t="str">
        <f aca="false">IFERROR(__xludf.dummyfunction("ROUND(0.00909003 * (FILTER('Go Base Stats'!$C$2:$C1000, 'Go Base Stats'!$A$2:$A1000 = $A129)+7.5)^0.5 *(FILTER('Go Base Stats'!$D$2:$D1000, 'Go Base Stats'!$A$2:$A1000 = $A129) + 7.5)*(FILTER('Go Base Stats'!$E$2:$E1000, 'Go Base Stats'!$A$2:$A1000 = $A129) + 7.5)^0.5 / 10, 1)"),"24.5")</f>
        <v>24.5</v>
      </c>
      <c r="E129" s="0" t="str">
        <f aca="false">IFERROR(__xludf.dummyfunction("ROUND(0.00909003 * (FILTER('Go Base Stats'!$C$2:$C1000, 'Go Base Stats'!$A$2:$A1000 = $A129)+15)^0.5 *(FILTER('Go Base Stats'!$D$2:$D1000, 'Go Base Stats'!$A$2:$A1000 = $A129) +15)*(FILTER('Go Base Stats'!$E$2:$E1000, 'Go Base Stats'!$A$2:$A1000 = $A129) + 15)^0.5 / 10, 1)"),"26.8")</f>
        <v>26.8</v>
      </c>
      <c r="F129" s="6"/>
      <c r="G129" s="6" t="str">
        <f aca="false">IFERROR(__xludf.dummyfunction("FILTER('Base Stats'!$C$2:$C1000, LOWER('Base Stats'!$B$2:$B1000) = LOWER($B129))"),"75")</f>
        <v>75</v>
      </c>
      <c r="H129" s="0" t="str">
        <f aca="false">IFERROR(__xludf.dummyfunction("FLOOR((0.7903)^2 * (FILTER('Go Base Stats'!$C$2:$C1000, 'Go Base Stats'!$A$2:$A1000 = $A129)+15)^0.5 *(FILTER('Go Base Stats'!$D$2:$D1000, 'Go Base Stats'!$A$2:$A1000 = $A129) +15)*(FILTER('Go Base Stats'!$E$2:$E1000, 'Go Base Stats'!$A$2:$A1000 = $A129) + 15)^0.5 / 10)"),"1844")</f>
        <v>1844</v>
      </c>
      <c r="I129" s="0" t="str">
        <f aca="false">IFERROR(__xludf.dummyfunction("FLOOR(0.7903* (FILTER('Go Base Stats'!$C$2:$C1000, 'Go Base Stats'!$A$2:$A1000 = $A129)+15))"),"130")</f>
        <v>130</v>
      </c>
      <c r="J129" s="17"/>
      <c r="K129" s="17"/>
      <c r="L129" s="17"/>
      <c r="M129" s="12" t="e">
        <f aca="false">IF(NOT(ISBLANK($R129)), $R129, IF(ROUND($P129, 1) = 0, "", ROUND($P129, 1) ))</f>
        <v>#VALUE!</v>
      </c>
      <c r="N129" s="13" t="e">
        <f aca="false">ABS(M129-D129)/M129</f>
        <v>#VALUE!</v>
      </c>
      <c r="P129" s="14" t="e">
        <f aca="false">IFERROR((U129+V129)/(W129+X129))</f>
        <v>#VALUE!</v>
      </c>
      <c r="Q12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LOWER($B129)))
)"),"")</f>
        <v/>
      </c>
      <c r="R129" s="16"/>
      <c r="U129" s="0" t="str">
        <f aca="false">IFERROR(__xludf.dummyfunction("IFERROR(SUM(FILTER('Form Responses (Power-up data)'!$C$2:$C1000, LOWER('Form Responses (Power-up data)'!$B$2:$B1000) = LOWER($B129))), 0)"),"0")</f>
        <v>0</v>
      </c>
      <c r="V12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LOWER($B129))
),0)"),"101")</f>
        <v>101</v>
      </c>
      <c r="W129" s="0" t="str">
        <f aca="false">IFERROR(__xludf.dummyfunction("COUNT(FILTER('Form Responses (Power-up data)'!$C$2:$C1000, LOWER('Form Responses (Power-up data)'!$B$2:$B1000) = LOWER($B129)))"),"0")</f>
        <v>0</v>
      </c>
      <c r="X12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LOWER($B129)))"),"4")</f>
        <v>4</v>
      </c>
      <c r="Y12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LOWER($B129))), 2)))"),"/")</f>
        <v>/</v>
      </c>
    </row>
    <row r="130" customFormat="false" ht="15.75" hidden="false" customHeight="false" outlineLevel="0" collapsed="false">
      <c r="A130" s="10" t="n">
        <v>129</v>
      </c>
      <c r="B130" s="1" t="s">
        <v>148</v>
      </c>
      <c r="C130" s="0" t="str">
        <f aca="false">IFERROR(__xludf.dummyfunction("ROUND(0.00909003 * (FILTER('Go Base Stats'!$C$2:$C1000, 'Go Base Stats'!$A$2:$A1000 = $A130))^0.5 *(FILTER('Go Base Stats'!$D$2:$D1000, 'Go Base Stats'!$A$2:$A1000 = $A130))*(FILTER('Go Base Stats'!$E$2:$E1000, 'Go Base Stats'!$A$2:$A1000 = $A130))^0.5 / 10, 1)"),"2.2")</f>
        <v>2.2</v>
      </c>
      <c r="D130" s="0" t="str">
        <f aca="false">IFERROR(__xludf.dummyfunction("ROUND(0.00909003 * (FILTER('Go Base Stats'!$C$2:$C1000, 'Go Base Stats'!$A$2:$A1000 = $A130)+7.5)^0.5 *(FILTER('Go Base Stats'!$D$2:$D1000, 'Go Base Stats'!$A$2:$A1000 = $A130) + 7.5)*(FILTER('Go Base Stats'!$E$2:$E1000, 'Go Base Stats'!$A$2:$A1000 = $A130) + 7.5)^0.5 / 10, 1)"),"3")</f>
        <v>3</v>
      </c>
      <c r="E130" s="0" t="str">
        <f aca="false">IFERROR(__xludf.dummyfunction("ROUND(0.00909003 * (FILTER('Go Base Stats'!$C$2:$C1000, 'Go Base Stats'!$A$2:$A1000 = $A130)+15)^0.5 *(FILTER('Go Base Stats'!$D$2:$D1000, 'Go Base Stats'!$A$2:$A1000 = $A130) +15)*(FILTER('Go Base Stats'!$E$2:$E1000, 'Go Base Stats'!$A$2:$A1000 = $A130) + 15)^0.5 / 10, 1)"),"3.8")</f>
        <v>3.8</v>
      </c>
      <c r="F130" s="6"/>
      <c r="G130" s="6" t="str">
        <f aca="false">IFERROR(__xludf.dummyfunction("FILTER('Base Stats'!$C$2:$C1000, LOWER('Base Stats'!$B$2:$B1000) = LOWER($B130))"),"20")</f>
        <v>20</v>
      </c>
      <c r="H130" s="0" t="str">
        <f aca="false">IFERROR(__xludf.dummyfunction("FLOOR((0.7903)^2 * (FILTER('Go Base Stats'!$C$2:$C1000, 'Go Base Stats'!$A$2:$A1000 = $A130)+15)^0.5 *(FILTER('Go Base Stats'!$D$2:$D1000, 'Go Base Stats'!$A$2:$A1000 = $A130) +15)*(FILTER('Go Base Stats'!$E$2:$E1000, 'Go Base Stats'!$A$2:$A1000 = $A130) + 15)^0.5 / 10)"),"262")</f>
        <v>262</v>
      </c>
      <c r="I130" s="0" t="str">
        <f aca="false">IFERROR(__xludf.dummyfunction("FLOOR(0.7903* (FILTER('Go Base Stats'!$C$2:$C1000, 'Go Base Stats'!$A$2:$A1000 = $A130)+15))"),"43")</f>
        <v>43</v>
      </c>
      <c r="J130" s="17"/>
      <c r="K130" s="17"/>
      <c r="L130" s="17"/>
      <c r="M130" s="12" t="n">
        <f aca="false">IF(NOT(ISBLANK($R130)), $R130, IF(ROUND($P130, 1) = 0, "", ROUND($P130, 1) ))</f>
        <v>3.3</v>
      </c>
      <c r="N130" s="13" t="n">
        <f aca="false">ABS(M130-D130)/M130</f>
        <v>0.0909090909090908</v>
      </c>
      <c r="P130" s="14" t="e">
        <f aca="false">IFERROR((U130+V130)/(W130+X130))</f>
        <v>#VALUE!</v>
      </c>
      <c r="Q13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LOWER($B130)))
)"),"")</f>
        <v/>
      </c>
      <c r="R130" s="18" t="n">
        <v>3.3</v>
      </c>
      <c r="U130" s="0" t="str">
        <f aca="false">IFERROR(__xludf.dummyfunction("IFERROR(SUM(FILTER('Form Responses (Power-up data)'!$C$2:$C1000, LOWER('Form Responses (Power-up data)'!$B$2:$B1000) = LOWER($B130))), 0)"),"0")</f>
        <v>0</v>
      </c>
      <c r="V13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LOWER($B130))
),0)"),"6")</f>
        <v>6</v>
      </c>
      <c r="W130" s="0" t="str">
        <f aca="false">IFERROR(__xludf.dummyfunction("COUNT(FILTER('Form Responses (Power-up data)'!$C$2:$C1000, LOWER('Form Responses (Power-up data)'!$B$2:$B1000) = LOWER($B130)))"),"0")</f>
        <v>0</v>
      </c>
      <c r="X13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LOWER($B130)))"),"2")</f>
        <v>2</v>
      </c>
      <c r="Y13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LOWER($B130))), 2)))"),"/")</f>
        <v>/</v>
      </c>
    </row>
    <row r="131" customFormat="false" ht="15.75" hidden="false" customHeight="false" outlineLevel="0" collapsed="false">
      <c r="A131" s="10" t="n">
        <v>130</v>
      </c>
      <c r="B131" s="1" t="s">
        <v>149</v>
      </c>
      <c r="C131" s="0" t="str">
        <f aca="false">IFERROR(__xludf.dummyfunction("ROUND(0.00909003 * (FILTER('Go Base Stats'!$C$2:$C1000, 'Go Base Stats'!$A$2:$A1000 = $A131))^0.5 *(FILTER('Go Base Stats'!$D$2:$D1000, 'Go Base Stats'!$A$2:$A1000 = $A131))*(FILTER('Go Base Stats'!$E$2:$E1000, 'Go Base Stats'!$A$2:$A1000 = $A131))^0.5 / 10, 1)"),"33.7")</f>
        <v>33.7</v>
      </c>
      <c r="D131" s="0" t="str">
        <f aca="false">IFERROR(__xludf.dummyfunction("ROUND(0.00909003 * (FILTER('Go Base Stats'!$C$2:$C1000, 'Go Base Stats'!$A$2:$A1000 = $A131)+7.5)^0.5 *(FILTER('Go Base Stats'!$D$2:$D1000, 'Go Base Stats'!$A$2:$A1000 = $A131) + 7.5)*(FILTER('Go Base Stats'!$E$2:$E1000, 'Go Base Stats'!$A$2:$A1000 = $A131) + 7.5)^0.5 / 10, 1)"),"36.4")</f>
        <v>36.4</v>
      </c>
      <c r="E131" s="0" t="str">
        <f aca="false">IFERROR(__xludf.dummyfunction("ROUND(0.00909003 * (FILTER('Go Base Stats'!$C$2:$C1000, 'Go Base Stats'!$A$2:$A1000 = $A131)+15)^0.5 *(FILTER('Go Base Stats'!$D$2:$D1000, 'Go Base Stats'!$A$2:$A1000 = $A131) +15)*(FILTER('Go Base Stats'!$E$2:$E1000, 'Go Base Stats'!$A$2:$A1000 = $A131) + 15)^0.5 / 10, 1)"),"39.1")</f>
        <v>39.1</v>
      </c>
      <c r="F131" s="6" t="str">
        <f aca="false">ROUND(D131/D130, 1)</f>
        <v>12.1</v>
      </c>
      <c r="G131" s="6" t="str">
        <f aca="false">IFERROR(__xludf.dummyfunction("FILTER('Base Stats'!$C$2:$C1000, LOWER('Base Stats'!$B$2:$B1000) = LOWER($B131))"),"95")</f>
        <v>95</v>
      </c>
      <c r="H131" s="0" t="str">
        <f aca="false">IFERROR(__xludf.dummyfunction("FLOOR((0.7903)^2 * (FILTER('Go Base Stats'!$C$2:$C1000, 'Go Base Stats'!$A$2:$A1000 = $A131)+15)^0.5 *(FILTER('Go Base Stats'!$D$2:$D1000, 'Go Base Stats'!$A$2:$A1000 = $A131) +15)*(FILTER('Go Base Stats'!$E$2:$E1000, 'Go Base Stats'!$A$2:$A1000 = $A131) + 15)^0.5 / 10)"),"2688")</f>
        <v>2688</v>
      </c>
      <c r="I131" s="0" t="str">
        <f aca="false">IFERROR(__xludf.dummyfunction("FLOOR(0.7903* (FILTER('Go Base Stats'!$C$2:$C1000, 'Go Base Stats'!$A$2:$A1000 = $A131)+15))"),"162")</f>
        <v>162</v>
      </c>
      <c r="J131" s="17"/>
      <c r="K131" s="17"/>
      <c r="L131" s="17"/>
      <c r="M131" s="12" t="e">
        <f aca="false">IF(NOT(ISBLANK($R131)), $R131, IF(ROUND($P131, 1) = 0, "", ROUND($P131, 1) ))</f>
        <v>#VALUE!</v>
      </c>
      <c r="N131" s="13" t="e">
        <f aca="false">ABS(M131-D131)/M131</f>
        <v>#VALUE!</v>
      </c>
      <c r="P131" s="14" t="e">
        <f aca="false">IFERROR((U131+V131)/(W131+X131))</f>
        <v>#VALUE!</v>
      </c>
      <c r="Q13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LOWER($B131)))
)"),"9.74495879")</f>
        <v>9.74495879</v>
      </c>
      <c r="R131" s="16"/>
      <c r="U131" s="0" t="str">
        <f aca="false">IFERROR(__xludf.dummyfunction("IFERROR(SUM(FILTER('Form Responses (Power-up data)'!$C$2:$C1000, LOWER('Form Responses (Power-up data)'!$B$2:$B1000) = LOWER($B131))), 0)"),"39")</f>
        <v>39</v>
      </c>
      <c r="V13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LOWER($B131))
),0)"),"37")</f>
        <v>37</v>
      </c>
      <c r="W131" s="0" t="str">
        <f aca="false">IFERROR(__xludf.dummyfunction("COUNT(FILTER('Form Responses (Power-up data)'!$C$2:$C1000, LOWER('Form Responses (Power-up data)'!$B$2:$B1000) = LOWER($B131)))"),"1")</f>
        <v>1</v>
      </c>
      <c r="X13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LOWER($B131)))"),"1")</f>
        <v>1</v>
      </c>
      <c r="Y13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LOWER($B131))), 2)))"),"1.02/12.05")</f>
        <v>1.02/12.05</v>
      </c>
    </row>
    <row r="132" customFormat="false" ht="15.75" hidden="false" customHeight="false" outlineLevel="0" collapsed="false">
      <c r="A132" s="10" t="n">
        <v>131</v>
      </c>
      <c r="B132" s="1" t="s">
        <v>150</v>
      </c>
      <c r="C132" s="0" t="str">
        <f aca="false">IFERROR(__xludf.dummyfunction("ROUND(0.00909003 * (FILTER('Go Base Stats'!$C$2:$C1000, 'Go Base Stats'!$A$2:$A1000 = $A132))^0.5 *(FILTER('Go Base Stats'!$D$2:$D1000, 'Go Base Stats'!$A$2:$A1000 = $A132))*(FILTER('Go Base Stats'!$E$2:$E1000, 'Go Base Stats'!$A$2:$A1000 = $A132))^0.5 / 10, 1)"),"37.6")</f>
        <v>37.6</v>
      </c>
      <c r="D132" s="0" t="str">
        <f aca="false">IFERROR(__xludf.dummyfunction("ROUND(0.00909003 * (FILTER('Go Base Stats'!$C$2:$C1000, 'Go Base Stats'!$A$2:$A1000 = $A132)+7.5)^0.5 *(FILTER('Go Base Stats'!$D$2:$D1000, 'Go Base Stats'!$A$2:$A1000 = $A132) + 7.5)*(FILTER('Go Base Stats'!$E$2:$E1000, 'Go Base Stats'!$A$2:$A1000 = $A132) + 7.5)^0.5 / 10, 1)"),"40.4")</f>
        <v>40.4</v>
      </c>
      <c r="E132" s="0" t="str">
        <f aca="false">IFERROR(__xludf.dummyfunction("ROUND(0.00909003 * (FILTER('Go Base Stats'!$C$2:$C1000, 'Go Base Stats'!$A$2:$A1000 = $A132)+15)^0.5 *(FILTER('Go Base Stats'!$D$2:$D1000, 'Go Base Stats'!$A$2:$A1000 = $A132) +15)*(FILTER('Go Base Stats'!$E$2:$E1000, 'Go Base Stats'!$A$2:$A1000 = $A132) + 15)^0.5 / 10, 1)"),"43.4")</f>
        <v>43.4</v>
      </c>
      <c r="F132" s="6"/>
      <c r="G132" s="6" t="str">
        <f aca="false">IFERROR(__xludf.dummyfunction("FILTER('Base Stats'!$C$2:$C1000, LOWER('Base Stats'!$B$2:$B1000) = LOWER($B132))"),"130")</f>
        <v>130</v>
      </c>
      <c r="H132" s="0" t="str">
        <f aca="false">IFERROR(__xludf.dummyfunction("FLOOR((0.7903)^2 * (FILTER('Go Base Stats'!$C$2:$C1000, 'Go Base Stats'!$A$2:$A1000 = $A132)+15)^0.5 *(FILTER('Go Base Stats'!$D$2:$D1000, 'Go Base Stats'!$A$2:$A1000 = $A132) +15)*(FILTER('Go Base Stats'!$E$2:$E1000, 'Go Base Stats'!$A$2:$A1000 = $A132) + 15)^0.5 / 10)"),"2980")</f>
        <v>2980</v>
      </c>
      <c r="I132" s="0" t="str">
        <f aca="false">IFERROR(__xludf.dummyfunction("FLOOR(0.7903* (FILTER('Go Base Stats'!$C$2:$C1000, 'Go Base Stats'!$A$2:$A1000 = $A132)+15))"),"217")</f>
        <v>217</v>
      </c>
      <c r="J132" s="17"/>
      <c r="K132" s="17"/>
      <c r="L132" s="17"/>
      <c r="M132" s="12" t="e">
        <f aca="false">IF(NOT(ISBLANK($R132)), $R132, IF(ROUND($P132, 1) = 0, "", ROUND($P132, 1) ))</f>
        <v>#VALUE!</v>
      </c>
      <c r="N132" s="13" t="e">
        <f aca="false">ABS(M132-D132)/M132</f>
        <v>#VALUE!</v>
      </c>
      <c r="P132" s="14" t="e">
        <f aca="false">IFERROR((U132+V132)/(W132+X132))</f>
        <v>#VALUE!</v>
      </c>
      <c r="Q13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LOWER($B132)))
)"),"")</f>
        <v/>
      </c>
      <c r="R132" s="16"/>
      <c r="U132" s="0" t="str">
        <f aca="false">IFERROR(__xludf.dummyfunction("IFERROR(SUM(FILTER('Form Responses (Power-up data)'!$C$2:$C1000, LOWER('Form Responses (Power-up data)'!$B$2:$B1000) = LOWER($B132))), 0)"),"0")</f>
        <v>0</v>
      </c>
      <c r="V13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LOWER($B132))
),0)"),"584")</f>
        <v>584</v>
      </c>
      <c r="W132" s="0" t="str">
        <f aca="false">IFERROR(__xludf.dummyfunction("COUNT(FILTER('Form Responses (Power-up data)'!$C$2:$C1000, LOWER('Form Responses (Power-up data)'!$B$2:$B1000) = LOWER($B132)))"),"0")</f>
        <v>0</v>
      </c>
      <c r="X13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LOWER($B132)))"),"13")</f>
        <v>13</v>
      </c>
      <c r="Y13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LOWER($B132))), 2)))"),"/")</f>
        <v>/</v>
      </c>
    </row>
    <row r="133" customFormat="false" ht="15.75" hidden="false" customHeight="false" outlineLevel="0" collapsed="false">
      <c r="A133" s="10" t="n">
        <v>132</v>
      </c>
      <c r="B133" s="1" t="s">
        <v>151</v>
      </c>
      <c r="C133" s="0" t="str">
        <f aca="false">IFERROR(__xludf.dummyfunction("ROUND(0.00909003 * (FILTER('Go Base Stats'!$C$2:$C1000, 'Go Base Stats'!$A$2:$A1000 = $A133))^0.5 *(FILTER('Go Base Stats'!$D$2:$D1000, 'Go Base Stats'!$A$2:$A1000 = $A133))*(FILTER('Go Base Stats'!$E$2:$E1000, 'Go Base Stats'!$A$2:$A1000 = $A133))^0.5 / 10, 1)"),"10.3")</f>
        <v>10.3</v>
      </c>
      <c r="D133" s="0" t="str">
        <f aca="false">IFERROR(__xludf.dummyfunction("ROUND(0.00909003 * (FILTER('Go Base Stats'!$C$2:$C1000, 'Go Base Stats'!$A$2:$A1000 = $A133)+7.5)^0.5 *(FILTER('Go Base Stats'!$D$2:$D1000, 'Go Base Stats'!$A$2:$A1000 = $A133) + 7.5)*(FILTER('Go Base Stats'!$E$2:$E1000, 'Go Base Stats'!$A$2:$A1000 = $A133) + 7.5)^0.5 / 10, 1)"),"11.8")</f>
        <v>11.8</v>
      </c>
      <c r="E133" s="0" t="str">
        <f aca="false">IFERROR(__xludf.dummyfunction("ROUND(0.00909003 * (FILTER('Go Base Stats'!$C$2:$C1000, 'Go Base Stats'!$A$2:$A1000 = $A133)+15)^0.5 *(FILTER('Go Base Stats'!$D$2:$D1000, 'Go Base Stats'!$A$2:$A1000 = $A133) +15)*(FILTER('Go Base Stats'!$E$2:$E1000, 'Go Base Stats'!$A$2:$A1000 = $A133) + 15)^0.5 / 10, 1)"),"13.4")</f>
        <v>13.4</v>
      </c>
      <c r="F133" s="6"/>
      <c r="G133" s="6" t="str">
        <f aca="false">IFERROR(__xludf.dummyfunction("FILTER('Base Stats'!$C$2:$C1000, LOWER('Base Stats'!$B$2:$B1000) = LOWER($B133))"),"48")</f>
        <v>48</v>
      </c>
      <c r="H133" s="0" t="str">
        <f aca="false">IFERROR(__xludf.dummyfunction("FLOOR((0.7903)^2 * (FILTER('Go Base Stats'!$C$2:$C1000, 'Go Base Stats'!$A$2:$A1000 = $A133)+15)^0.5 *(FILTER('Go Base Stats'!$D$2:$D1000, 'Go Base Stats'!$A$2:$A1000 = $A133) +15)*(FILTER('Go Base Stats'!$E$2:$E1000, 'Go Base Stats'!$A$2:$A1000 = $A133) + 15)^0.5 / 10)"),"919")</f>
        <v>919</v>
      </c>
      <c r="I133" s="0" t="str">
        <f aca="false">IFERROR(__xludf.dummyfunction("FLOOR(0.7903* (FILTER('Go Base Stats'!$C$2:$C1000, 'Go Base Stats'!$A$2:$A1000 = $A133)+15))"),"87")</f>
        <v>87</v>
      </c>
      <c r="J133" s="17"/>
      <c r="K133" s="17"/>
      <c r="L133" s="17"/>
      <c r="M133" s="12" t="e">
        <f aca="false">IF(NOT(ISBLANK($R133)), $R133, IF(ROUND($P133, 1) = 0, "", ROUND($P133, 1) ))</f>
        <v>#VALUE!</v>
      </c>
      <c r="N133" s="13" t="e">
        <f aca="false">ABS(M133-D133)/M133</f>
        <v>#VALUE!</v>
      </c>
      <c r="P133" s="14" t="e">
        <f aca="false">IFERROR((U133+V133)/(W133+X133))</f>
        <v>#VALUE!</v>
      </c>
      <c r="Q13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LOWER($B133)))
)"),"")</f>
        <v/>
      </c>
      <c r="R133" s="16"/>
      <c r="U133" s="0" t="str">
        <f aca="false">IFERROR(__xludf.dummyfunction("IFERROR(SUM(FILTER('Form Responses (Power-up data)'!$C$2:$C1000, LOWER('Form Responses (Power-up data)'!$B$2:$B1000) = LOWER($B133))), 0)"),"0")</f>
        <v>0</v>
      </c>
      <c r="V13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LOWER($B133))
),0)"),"0")</f>
        <v>0</v>
      </c>
      <c r="W133" s="0" t="str">
        <f aca="false">IFERROR(__xludf.dummyfunction("COUNT(FILTER('Form Responses (Power-up data)'!$C$2:$C1000, LOWER('Form Responses (Power-up data)'!$B$2:$B1000) = LOWER($B133)))"),"0")</f>
        <v>0</v>
      </c>
      <c r="X13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LOWER($B133)))"),"0")</f>
        <v>0</v>
      </c>
      <c r="Y13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LOWER($B133))), 2)))"),"/")</f>
        <v>/</v>
      </c>
    </row>
    <row r="134" customFormat="false" ht="15.75" hidden="false" customHeight="false" outlineLevel="0" collapsed="false">
      <c r="A134" s="10" t="n">
        <v>133</v>
      </c>
      <c r="B134" s="1" t="s">
        <v>152</v>
      </c>
      <c r="C134" s="0" t="str">
        <f aca="false">IFERROR(__xludf.dummyfunction("ROUND(0.00909003 * (FILTER('Go Base Stats'!$C$2:$C1000, 'Go Base Stats'!$A$2:$A1000 = $A134))^0.5 *(FILTER('Go Base Stats'!$D$2:$D1000, 'Go Base Stats'!$A$2:$A1000 = $A134))*(FILTER('Go Base Stats'!$E$2:$E1000, 'Go Base Stats'!$A$2:$A1000 = $A134))^0.5 / 10, 1)"),"12.3")</f>
        <v>12.3</v>
      </c>
      <c r="D134" s="0" t="str">
        <f aca="false">IFERROR(__xludf.dummyfunction("ROUND(0.00909003 * (FILTER('Go Base Stats'!$C$2:$C1000, 'Go Base Stats'!$A$2:$A1000 = $A134)+7.5)^0.5 *(FILTER('Go Base Stats'!$D$2:$D1000, 'Go Base Stats'!$A$2:$A1000 = $A134) + 7.5)*(FILTER('Go Base Stats'!$E$2:$E1000, 'Go Base Stats'!$A$2:$A1000 = $A134) + 7.5)^0.5 / 10, 1)"),"13.9")</f>
        <v>13.9</v>
      </c>
      <c r="E134" s="0" t="str">
        <f aca="false">IFERROR(__xludf.dummyfunction("ROUND(0.00909003 * (FILTER('Go Base Stats'!$C$2:$C1000, 'Go Base Stats'!$A$2:$A1000 = $A134)+15)^0.5 *(FILTER('Go Base Stats'!$D$2:$D1000, 'Go Base Stats'!$A$2:$A1000 = $A134) +15)*(FILTER('Go Base Stats'!$E$2:$E1000, 'Go Base Stats'!$A$2:$A1000 = $A134) + 15)^0.5 / 10, 1)"),"15.7")</f>
        <v>15.7</v>
      </c>
      <c r="F134" s="6"/>
      <c r="G134" s="6" t="str">
        <f aca="false">IFERROR(__xludf.dummyfunction("FILTER('Base Stats'!$C$2:$C1000, LOWER('Base Stats'!$B$2:$B1000) = LOWER($B134))"),"55")</f>
        <v>55</v>
      </c>
      <c r="H134" s="0" t="str">
        <f aca="false">IFERROR(__xludf.dummyfunction("FLOOR((0.7903)^2 * (FILTER('Go Base Stats'!$C$2:$C1000, 'Go Base Stats'!$A$2:$A1000 = $A134)+15)^0.5 *(FILTER('Go Base Stats'!$D$2:$D1000, 'Go Base Stats'!$A$2:$A1000 = $A134) +15)*(FILTER('Go Base Stats'!$E$2:$E1000, 'Go Base Stats'!$A$2:$A1000 = $A134) + 15)^0.5 / 10)"),"1077")</f>
        <v>1077</v>
      </c>
      <c r="I134" s="0" t="str">
        <f aca="false">IFERROR(__xludf.dummyfunction("FLOOR(0.7903* (FILTER('Go Base Stats'!$C$2:$C1000, 'Go Base Stats'!$A$2:$A1000 = $A134)+15))"),"98")</f>
        <v>98</v>
      </c>
      <c r="J134" s="17"/>
      <c r="K134" s="17"/>
      <c r="L134" s="17"/>
      <c r="M134" s="12" t="n">
        <f aca="false">IF(NOT(ISBLANK($R134)), $R134, IF(ROUND($P134, 1) = 0, "", ROUND($P134, 1) ))</f>
        <v>16</v>
      </c>
      <c r="N134" s="13" t="n">
        <f aca="false">ABS(M134-D134)/M134</f>
        <v>0.13125</v>
      </c>
      <c r="P134" s="14" t="e">
        <f aca="false">IFERROR((U134+V134)/(W134+X134))</f>
        <v>#VALUE!</v>
      </c>
      <c r="Q13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LOWER($B134)))
)"),"2.780257937")</f>
        <v>2.780257937</v>
      </c>
      <c r="R134" s="18" t="n">
        <v>16</v>
      </c>
      <c r="U134" s="0" t="str">
        <f aca="false">IFERROR(__xludf.dummyfunction("IFERROR(SUM(FILTER('Form Responses (Power-up data)'!$C$2:$C1000, LOWER('Form Responses (Power-up data)'!$B$2:$B1000) = LOWER($B134))), 0)"),"0")</f>
        <v>0</v>
      </c>
      <c r="V13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LOWER($B134))
),0)"),"618")</f>
        <v>618</v>
      </c>
      <c r="W134" s="0" t="str">
        <f aca="false">IFERROR(__xludf.dummyfunction("COUNT(FILTER('Form Responses (Power-up data)'!$C$2:$C1000, LOWER('Form Responses (Power-up data)'!$B$2:$B1000) = LOWER($B134)))"),"0")</f>
        <v>0</v>
      </c>
      <c r="X13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LOWER($B134)))"),"15")</f>
        <v>15</v>
      </c>
      <c r="Y13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LOWER($B134))), 2)))"),"2.66/2.9")</f>
        <v>2.66/2.9</v>
      </c>
    </row>
    <row r="135" customFormat="false" ht="15.75" hidden="false" customHeight="false" outlineLevel="0" collapsed="false">
      <c r="A135" s="10" t="n">
        <v>134</v>
      </c>
      <c r="B135" s="1" t="s">
        <v>153</v>
      </c>
      <c r="C135" s="0" t="str">
        <f aca="false">IFERROR(__xludf.dummyfunction("ROUND(0.00909003 * (FILTER('Go Base Stats'!$C$2:$C1000, 'Go Base Stats'!$A$2:$A1000 = $A135))^0.5 *(FILTER('Go Base Stats'!$D$2:$D1000, 'Go Base Stats'!$A$2:$A1000 = $A135))*(FILTER('Go Base Stats'!$E$2:$E1000, 'Go Base Stats'!$A$2:$A1000 = $A135))^0.5 / 10, 1)"),"35.3")</f>
        <v>35.3</v>
      </c>
      <c r="D135" s="0" t="str">
        <f aca="false">IFERROR(__xludf.dummyfunction("ROUND(0.00909003 * (FILTER('Go Base Stats'!$C$2:$C1000, 'Go Base Stats'!$A$2:$A1000 = $A135)+7.5)^0.5 *(FILTER('Go Base Stats'!$D$2:$D1000, 'Go Base Stats'!$A$2:$A1000 = $A135) + 7.5)*(FILTER('Go Base Stats'!$E$2:$E1000, 'Go Base Stats'!$A$2:$A1000 = $A135) + 7.5)^0.5 / 10, 1)"),"38.1")</f>
        <v>38.1</v>
      </c>
      <c r="E135" s="0" t="str">
        <f aca="false">IFERROR(__xludf.dummyfunction("ROUND(0.00909003 * (FILTER('Go Base Stats'!$C$2:$C1000, 'Go Base Stats'!$A$2:$A1000 = $A135)+15)^0.5 *(FILTER('Go Base Stats'!$D$2:$D1000, 'Go Base Stats'!$A$2:$A1000 = $A135) +15)*(FILTER('Go Base Stats'!$E$2:$E1000, 'Go Base Stats'!$A$2:$A1000 = $A135) + 15)^0.5 / 10, 1)"),"41")</f>
        <v>41</v>
      </c>
      <c r="F135" s="6" t="str">
        <f aca="false">ROUND(D135/D134, 1)</f>
        <v>2.7</v>
      </c>
      <c r="G135" s="6" t="str">
        <f aca="false">IFERROR(__xludf.dummyfunction("FILTER('Base Stats'!$C$2:$C1000, LOWER('Base Stats'!$B$2:$B1000) = LOWER($B135))"),"130")</f>
        <v>130</v>
      </c>
      <c r="H135" s="0" t="str">
        <f aca="false">IFERROR(__xludf.dummyfunction("FLOOR((0.7903)^2 * (FILTER('Go Base Stats'!$C$2:$C1000, 'Go Base Stats'!$A$2:$A1000 = $A135)+15)^0.5 *(FILTER('Go Base Stats'!$D$2:$D1000, 'Go Base Stats'!$A$2:$A1000 = $A135) +15)*(FILTER('Go Base Stats'!$E$2:$E1000, 'Go Base Stats'!$A$2:$A1000 = $A135) + 15)^0.5 / 10)"),"2816")</f>
        <v>2816</v>
      </c>
      <c r="I135" s="0" t="str">
        <f aca="false">IFERROR(__xludf.dummyfunction("FLOOR(0.7903* (FILTER('Go Base Stats'!$C$2:$C1000, 'Go Base Stats'!$A$2:$A1000 = $A135)+15))"),"217")</f>
        <v>217</v>
      </c>
      <c r="J135" s="17"/>
      <c r="K135" s="17"/>
      <c r="L135" s="17"/>
      <c r="M135" s="12" t="e">
        <f aca="false">IF(NOT(ISBLANK($R135)), $R135, IF(ROUND($P135, 1) = 0, "", ROUND($P135, 1) ))</f>
        <v>#VALUE!</v>
      </c>
      <c r="N135" s="13" t="e">
        <f aca="false">ABS(M135-D135)/M135</f>
        <v>#VALUE!</v>
      </c>
      <c r="P135" s="14" t="e">
        <f aca="false">IFERROR((U135+V135)/(W135+X135))</f>
        <v>#VALUE!</v>
      </c>
      <c r="Q13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LOWER($B135)))
)"),"2.61788233")</f>
        <v>2.61788233</v>
      </c>
      <c r="R135" s="16"/>
      <c r="U135" s="0" t="str">
        <f aca="false">IFERROR(__xludf.dummyfunction("IFERROR(SUM(FILTER('Form Responses (Power-up data)'!$C$2:$C1000, LOWER('Form Responses (Power-up data)'!$B$2:$B1000) = LOWER($B135))), 0)"),"80")</f>
        <v>80</v>
      </c>
      <c r="V13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LOWER($B135))
),0)"),"1146")</f>
        <v>1146</v>
      </c>
      <c r="W135" s="0" t="str">
        <f aca="false">IFERROR(__xludf.dummyfunction("COUNT(FILTER('Form Responses (Power-up data)'!$C$2:$C1000, LOWER('Form Responses (Power-up data)'!$B$2:$B1000) = LOWER($B135)))"),"2")</f>
        <v>2</v>
      </c>
      <c r="X13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LOWER($B135)))"),"29")</f>
        <v>29</v>
      </c>
      <c r="Y13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LOWER($B135))), 2)))"),"1.09/2.87")</f>
        <v>1.09/2.87</v>
      </c>
    </row>
    <row r="136" customFormat="false" ht="15.75" hidden="false" customHeight="false" outlineLevel="0" collapsed="false">
      <c r="A136" s="10" t="n">
        <v>135</v>
      </c>
      <c r="B136" s="1" t="s">
        <v>154</v>
      </c>
      <c r="C136" s="0" t="str">
        <f aca="false">IFERROR(__xludf.dummyfunction("ROUND(0.00909003 * (FILTER('Go Base Stats'!$C$2:$C1000, 'Go Base Stats'!$A$2:$A1000 = $A136))^0.5 *(FILTER('Go Base Stats'!$D$2:$D1000, 'Go Base Stats'!$A$2:$A1000 = $A136))*(FILTER('Go Base Stats'!$E$2:$E1000, 'Go Base Stats'!$A$2:$A1000 = $A136))^0.5 / 10, 1)"),"26.2")</f>
        <v>26.2</v>
      </c>
      <c r="D136" s="0" t="str">
        <f aca="false">IFERROR(__xludf.dummyfunction("ROUND(0.00909003 * (FILTER('Go Base Stats'!$C$2:$C1000, 'Go Base Stats'!$A$2:$A1000 = $A136)+7.5)^0.5 *(FILTER('Go Base Stats'!$D$2:$D1000, 'Go Base Stats'!$A$2:$A1000 = $A136) + 7.5)*(FILTER('Go Base Stats'!$E$2:$E1000, 'Go Base Stats'!$A$2:$A1000 = $A136) + 7.5)^0.5 / 10, 1)"),"28.6")</f>
        <v>28.6</v>
      </c>
      <c r="E136" s="0" t="str">
        <f aca="false">IFERROR(__xludf.dummyfunction("ROUND(0.00909003 * (FILTER('Go Base Stats'!$C$2:$C1000, 'Go Base Stats'!$A$2:$A1000 = $A136)+15)^0.5 *(FILTER('Go Base Stats'!$D$2:$D1000, 'Go Base Stats'!$A$2:$A1000 = $A136) +15)*(FILTER('Go Base Stats'!$E$2:$E1000, 'Go Base Stats'!$A$2:$A1000 = $A136) + 15)^0.5 / 10, 1)"),"31.1")</f>
        <v>31.1</v>
      </c>
      <c r="F136" s="6" t="n">
        <f aca="false">ROUND(D136/D$134, 1)</f>
        <v>2.1</v>
      </c>
      <c r="G136" s="6" t="str">
        <f aca="false">IFERROR(__xludf.dummyfunction("FILTER('Base Stats'!$C$2:$C1000, LOWER('Base Stats'!$B$2:$B1000) = LOWER($B136))"),"65")</f>
        <v>65</v>
      </c>
      <c r="H136" s="0" t="str">
        <f aca="false">IFERROR(__xludf.dummyfunction("FLOOR((0.7903)^2 * (FILTER('Go Base Stats'!$C$2:$C1000, 'Go Base Stats'!$A$2:$A1000 = $A136)+15)^0.5 *(FILTER('Go Base Stats'!$D$2:$D1000, 'Go Base Stats'!$A$2:$A1000 = $A136) +15)*(FILTER('Go Base Stats'!$E$2:$E1000, 'Go Base Stats'!$A$2:$A1000 = $A136) + 15)^0.5 / 10)"),"2140")</f>
        <v>2140</v>
      </c>
      <c r="I136" s="0" t="str">
        <f aca="false">IFERROR(__xludf.dummyfunction("FLOOR(0.7903* (FILTER('Go Base Stats'!$C$2:$C1000, 'Go Base Stats'!$A$2:$A1000 = $A136)+15))"),"114")</f>
        <v>114</v>
      </c>
      <c r="J136" s="17"/>
      <c r="K136" s="17"/>
      <c r="L136" s="17"/>
      <c r="M136" s="12" t="e">
        <f aca="false">IF(NOT(ISBLANK($R136)), $R136, IF(ROUND($P136, 1) = 0, "", ROUND($P136, 1) ))</f>
        <v>#VALUE!</v>
      </c>
      <c r="N136" s="13" t="e">
        <f aca="false">ABS(M136-D136)/M136</f>
        <v>#VALUE!</v>
      </c>
      <c r="P136" s="14" t="e">
        <f aca="false">IFERROR((U136+V136)/(W136+X136))</f>
        <v>#VALUE!</v>
      </c>
      <c r="Q13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LOWER($B136)))
)"),"1.88330187")</f>
        <v>1.88330187</v>
      </c>
      <c r="R136" s="16"/>
      <c r="U136" s="0" t="str">
        <f aca="false">IFERROR(__xludf.dummyfunction("IFERROR(SUM(FILTER('Form Responses (Power-up data)'!$C$2:$C1000, LOWER('Form Responses (Power-up data)'!$B$2:$B1000) = LOWER($B136))), 0)"),"0")</f>
        <v>0</v>
      </c>
      <c r="V13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LOWER($B136))
),0)"),"301")</f>
        <v>301</v>
      </c>
      <c r="W136" s="0" t="str">
        <f aca="false">IFERROR(__xludf.dummyfunction("COUNT(FILTER('Form Responses (Power-up data)'!$C$2:$C1000, LOWER('Form Responses (Power-up data)'!$B$2:$B1000) = LOWER($B136)))"),"0")</f>
        <v>0</v>
      </c>
      <c r="X13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LOWER($B136)))"),"10")</f>
        <v>10</v>
      </c>
      <c r="Y13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LOWER($B136))), 2)))"),"1/2.55")</f>
        <v>1/2.55</v>
      </c>
    </row>
    <row r="137" customFormat="false" ht="15.75" hidden="false" customHeight="false" outlineLevel="0" collapsed="false">
      <c r="A137" s="10" t="n">
        <v>136</v>
      </c>
      <c r="B137" s="1" t="s">
        <v>155</v>
      </c>
      <c r="C137" s="0" t="str">
        <f aca="false">IFERROR(__xludf.dummyfunction("ROUND(0.00909003 * (FILTER('Go Base Stats'!$C$2:$C1000, 'Go Base Stats'!$A$2:$A1000 = $A137))^0.5 *(FILTER('Go Base Stats'!$D$2:$D1000, 'Go Base Stats'!$A$2:$A1000 = $A137))*(FILTER('Go Base Stats'!$E$2:$E1000, 'Go Base Stats'!$A$2:$A1000 = $A137))^0.5 / 10, 1)"),"32.9")</f>
        <v>32.9</v>
      </c>
      <c r="D137" s="0" t="str">
        <f aca="false">IFERROR(__xludf.dummyfunction("ROUND(0.00909003 * (FILTER('Go Base Stats'!$C$2:$C1000, 'Go Base Stats'!$A$2:$A1000 = $A137)+7.5)^0.5 *(FILTER('Go Base Stats'!$D$2:$D1000, 'Go Base Stats'!$A$2:$A1000 = $A137) + 7.5)*(FILTER('Go Base Stats'!$E$2:$E1000, 'Go Base Stats'!$A$2:$A1000 = $A137) + 7.5)^0.5 / 10, 1)"),"35.6")</f>
        <v>35.6</v>
      </c>
      <c r="E137" s="0" t="str">
        <f aca="false">IFERROR(__xludf.dummyfunction("ROUND(0.00909003 * (FILTER('Go Base Stats'!$C$2:$C1000, 'Go Base Stats'!$A$2:$A1000 = $A137)+15)^0.5 *(FILTER('Go Base Stats'!$D$2:$D1000, 'Go Base Stats'!$A$2:$A1000 = $A137) +15)*(FILTER('Go Base Stats'!$E$2:$E1000, 'Go Base Stats'!$A$2:$A1000 = $A137) + 15)^0.5 / 10, 1)"),"38.5")</f>
        <v>38.5</v>
      </c>
      <c r="F137" s="6" t="n">
        <f aca="false">ROUND(D137/D$134, 1)</f>
        <v>2.6</v>
      </c>
      <c r="G137" s="6" t="str">
        <f aca="false">IFERROR(__xludf.dummyfunction("FILTER('Base Stats'!$C$2:$C1000, LOWER('Base Stats'!$B$2:$B1000) = LOWER($B137))"),"65")</f>
        <v>65</v>
      </c>
      <c r="H137" s="0" t="str">
        <f aca="false">IFERROR(__xludf.dummyfunction("FLOOR((0.7903)^2 * (FILTER('Go Base Stats'!$C$2:$C1000, 'Go Base Stats'!$A$2:$A1000 = $A137)+15)^0.5 *(FILTER('Go Base Stats'!$D$2:$D1000, 'Go Base Stats'!$A$2:$A1000 = $A137) +15)*(FILTER('Go Base Stats'!$E$2:$E1000, 'Go Base Stats'!$A$2:$A1000 = $A137) + 15)^0.5 / 10)"),"2643")</f>
        <v>2643</v>
      </c>
      <c r="I137" s="0" t="str">
        <f aca="false">IFERROR(__xludf.dummyfunction("FLOOR(0.7903* (FILTER('Go Base Stats'!$C$2:$C1000, 'Go Base Stats'!$A$2:$A1000 = $A137)+15))"),"114")</f>
        <v>114</v>
      </c>
      <c r="J137" s="17"/>
      <c r="K137" s="17"/>
      <c r="L137" s="17"/>
      <c r="M137" s="12" t="e">
        <f aca="false">IF(NOT(ISBLANK($R137)), $R137, IF(ROUND($P137, 1) = 0, "", ROUND($P137, 1) ))</f>
        <v>#VALUE!</v>
      </c>
      <c r="N137" s="13" t="e">
        <f aca="false">ABS(M137-D137)/M137</f>
        <v>#VALUE!</v>
      </c>
      <c r="P137" s="14" t="e">
        <f aca="false">IFERROR((U137+V137)/(W137+X137))</f>
        <v>#VALUE!</v>
      </c>
      <c r="Q13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LOWER($B137)))
)"),"3.059120618")</f>
        <v>3.059120618</v>
      </c>
      <c r="R137" s="18"/>
      <c r="U137" s="0" t="str">
        <f aca="false">IFERROR(__xludf.dummyfunction("IFERROR(SUM(FILTER('Form Responses (Power-up data)'!$C$2:$C1000, LOWER('Form Responses (Power-up data)'!$B$2:$B1000) = LOWER($B137))), 0)"),"0")</f>
        <v>0</v>
      </c>
      <c r="V13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LOWER($B137))
),0)"),"331")</f>
        <v>331</v>
      </c>
      <c r="W137" s="0" t="str">
        <f aca="false">IFERROR(__xludf.dummyfunction("COUNT(FILTER('Form Responses (Power-up data)'!$C$2:$C1000, LOWER('Form Responses (Power-up data)'!$B$2:$B1000) = LOWER($B137)))"),"0")</f>
        <v>0</v>
      </c>
      <c r="X13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LOWER($B137)))"),"9")</f>
        <v>9</v>
      </c>
      <c r="Y13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LOWER($B137))), 2)))"),"2.29/6.64")</f>
        <v>2.29/6.64</v>
      </c>
    </row>
    <row r="138" customFormat="false" ht="15.75" hidden="false" customHeight="false" outlineLevel="0" collapsed="false">
      <c r="A138" s="10" t="n">
        <v>137</v>
      </c>
      <c r="B138" s="1" t="s">
        <v>156</v>
      </c>
      <c r="C138" s="0" t="str">
        <f aca="false">IFERROR(__xludf.dummyfunction("ROUND(0.00909003 * (FILTER('Go Base Stats'!$C$2:$C1000, 'Go Base Stats'!$A$2:$A1000 = $A138))^0.5 *(FILTER('Go Base Stats'!$D$2:$D1000, 'Go Base Stats'!$A$2:$A1000 = $A138))*(FILTER('Go Base Stats'!$E$2:$E1000, 'Go Base Stats'!$A$2:$A1000 = $A138))^0.5 / 10, 1)"),"20.3")</f>
        <v>20.3</v>
      </c>
      <c r="D138" s="0" t="str">
        <f aca="false">IFERROR(__xludf.dummyfunction("ROUND(0.00909003 * (FILTER('Go Base Stats'!$C$2:$C1000, 'Go Base Stats'!$A$2:$A1000 = $A138)+7.5)^0.5 *(FILTER('Go Base Stats'!$D$2:$D1000, 'Go Base Stats'!$A$2:$A1000 = $A138) + 7.5)*(FILTER('Go Base Stats'!$E$2:$E1000, 'Go Base Stats'!$A$2:$A1000 = $A138) + 7.5)^0.5 / 10, 1)"),"22.4")</f>
        <v>22.4</v>
      </c>
      <c r="E138" s="0" t="str">
        <f aca="false">IFERROR(__xludf.dummyfunction("ROUND(0.00909003 * (FILTER('Go Base Stats'!$C$2:$C1000, 'Go Base Stats'!$A$2:$A1000 = $A138)+15)^0.5 *(FILTER('Go Base Stats'!$D$2:$D1000, 'Go Base Stats'!$A$2:$A1000 = $A138) +15)*(FILTER('Go Base Stats'!$E$2:$E1000, 'Go Base Stats'!$A$2:$A1000 = $A138) + 15)^0.5 / 10, 1)"),"24.6")</f>
        <v>24.6</v>
      </c>
      <c r="F138" s="6"/>
      <c r="G138" s="6" t="str">
        <f aca="false">IFERROR(__xludf.dummyfunction("FILTER('Base Stats'!$C$2:$C1000, LOWER('Base Stats'!$B$2:$B1000) = LOWER($B138))"),"65")</f>
        <v>65</v>
      </c>
      <c r="H138" s="0" t="str">
        <f aca="false">IFERROR(__xludf.dummyfunction("FLOOR((0.7903)^2 * (FILTER('Go Base Stats'!$C$2:$C1000, 'Go Base Stats'!$A$2:$A1000 = $A138)+15)^0.5 *(FILTER('Go Base Stats'!$D$2:$D1000, 'Go Base Stats'!$A$2:$A1000 = $A138) +15)*(FILTER('Go Base Stats'!$E$2:$E1000, 'Go Base Stats'!$A$2:$A1000 = $A138) + 15)^0.5 / 10)"),"1691")</f>
        <v>1691</v>
      </c>
      <c r="I138" s="0" t="str">
        <f aca="false">IFERROR(__xludf.dummyfunction("FLOOR(0.7903* (FILTER('Go Base Stats'!$C$2:$C1000, 'Go Base Stats'!$A$2:$A1000 = $A138)+15))"),"114")</f>
        <v>114</v>
      </c>
      <c r="J138" s="17"/>
      <c r="K138" s="17"/>
      <c r="L138" s="17"/>
      <c r="M138" s="12" t="e">
        <f aca="false">IF(NOT(ISBLANK($R138)), $R138, IF(ROUND($P138, 1) = 0, "", ROUND($P138, 1) ))</f>
        <v>#VALUE!</v>
      </c>
      <c r="N138" s="13" t="e">
        <f aca="false">ABS(M138-D138)/M138</f>
        <v>#VALUE!</v>
      </c>
      <c r="P138" s="14" t="e">
        <f aca="false">IFERROR((U138+V138)/(W138+X138))</f>
        <v>#VALUE!</v>
      </c>
      <c r="Q13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LOWER($B138)))
)"),"")</f>
        <v/>
      </c>
      <c r="R138" s="16"/>
      <c r="U138" s="0" t="str">
        <f aca="false">IFERROR(__xludf.dummyfunction("IFERROR(SUM(FILTER('Form Responses (Power-up data)'!$C$2:$C1000, LOWER('Form Responses (Power-up data)'!$B$2:$B1000) = LOWER($B138))), 0)"),"0")</f>
        <v>0</v>
      </c>
      <c r="V13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LOWER($B138))
),0)"),"214")</f>
        <v>214</v>
      </c>
      <c r="W138" s="0" t="str">
        <f aca="false">IFERROR(__xludf.dummyfunction("COUNT(FILTER('Form Responses (Power-up data)'!$C$2:$C1000, LOWER('Form Responses (Power-up data)'!$B$2:$B1000) = LOWER($B138)))"),"0")</f>
        <v>0</v>
      </c>
      <c r="X13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LOWER($B138)))"),"9")</f>
        <v>9</v>
      </c>
      <c r="Y13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LOWER($B138))), 2)))"),"/")</f>
        <v>/</v>
      </c>
    </row>
    <row r="139" customFormat="false" ht="15.75" hidden="false" customHeight="false" outlineLevel="0" collapsed="false">
      <c r="A139" s="10" t="n">
        <v>138</v>
      </c>
      <c r="B139" s="1" t="s">
        <v>157</v>
      </c>
      <c r="C139" s="0" t="str">
        <f aca="false">IFERROR(__xludf.dummyfunction("ROUND(0.00909003 * (FILTER('Go Base Stats'!$C$2:$C1000, 'Go Base Stats'!$A$2:$A1000 = $A139))^0.5 *(FILTER('Go Base Stats'!$D$2:$D1000, 'Go Base Stats'!$A$2:$A1000 = $A139))*(FILTER('Go Base Stats'!$E$2:$E1000, 'Go Base Stats'!$A$2:$A1000 = $A139))^0.5 / 10, 1)"),"12.7")</f>
        <v>12.7</v>
      </c>
      <c r="D139" s="0" t="str">
        <f aca="false">IFERROR(__xludf.dummyfunction("ROUND(0.00909003 * (FILTER('Go Base Stats'!$C$2:$C1000, 'Go Base Stats'!$A$2:$A1000 = $A139)+7.5)^0.5 *(FILTER('Go Base Stats'!$D$2:$D1000, 'Go Base Stats'!$A$2:$A1000 = $A139) + 7.5)*(FILTER('Go Base Stats'!$E$2:$E1000, 'Go Base Stats'!$A$2:$A1000 = $A139) + 7.5)^0.5 / 10, 1)"),"14.4")</f>
        <v>14.4</v>
      </c>
      <c r="E139" s="0" t="str">
        <f aca="false">IFERROR(__xludf.dummyfunction("ROUND(0.00909003 * (FILTER('Go Base Stats'!$C$2:$C1000, 'Go Base Stats'!$A$2:$A1000 = $A139)+15)^0.5 *(FILTER('Go Base Stats'!$D$2:$D1000, 'Go Base Stats'!$A$2:$A1000 = $A139) +15)*(FILTER('Go Base Stats'!$E$2:$E1000, 'Go Base Stats'!$A$2:$A1000 = $A139) + 15)^0.5 / 10, 1)"),"16.3")</f>
        <v>16.3</v>
      </c>
      <c r="F139" s="6"/>
      <c r="G139" s="6" t="str">
        <f aca="false">IFERROR(__xludf.dummyfunction("FILTER('Base Stats'!$C$2:$C1000, LOWER('Base Stats'!$B$2:$B1000) = LOWER($B139))"),"35")</f>
        <v>35</v>
      </c>
      <c r="H139" s="0" t="str">
        <f aca="false">IFERROR(__xludf.dummyfunction("FLOOR((0.7903)^2 * (FILTER('Go Base Stats'!$C$2:$C1000, 'Go Base Stats'!$A$2:$A1000 = $A139)+15)^0.5 *(FILTER('Go Base Stats'!$D$2:$D1000, 'Go Base Stats'!$A$2:$A1000 = $A139) +15)*(FILTER('Go Base Stats'!$E$2:$E1000, 'Go Base Stats'!$A$2:$A1000 = $A139) + 15)^0.5 / 10)"),"1119")</f>
        <v>1119</v>
      </c>
      <c r="I139" s="0" t="str">
        <f aca="false">IFERROR(__xludf.dummyfunction("FLOOR(0.7903* (FILTER('Go Base Stats'!$C$2:$C1000, 'Go Base Stats'!$A$2:$A1000 = $A139)+15))"),"67")</f>
        <v>67</v>
      </c>
      <c r="J139" s="17"/>
      <c r="K139" s="17"/>
      <c r="L139" s="17"/>
      <c r="M139" s="12" t="e">
        <f aca="false">IF(NOT(ISBLANK($R139)), $R139, IF(ROUND($P139, 1) = 0, "", ROUND($P139, 1) ))</f>
        <v>#VALUE!</v>
      </c>
      <c r="N139" s="13" t="e">
        <f aca="false">ABS(M139-D139)/M139</f>
        <v>#VALUE!</v>
      </c>
      <c r="P139" s="14" t="e">
        <f aca="false">IFERROR((U139+V139)/(W139+X139))</f>
        <v>#VALUE!</v>
      </c>
      <c r="Q13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LOWER($B139)))
)"),"")</f>
        <v/>
      </c>
      <c r="R139" s="16"/>
      <c r="U139" s="0" t="str">
        <f aca="false">IFERROR(__xludf.dummyfunction("IFERROR(SUM(FILTER('Form Responses (Power-up data)'!$C$2:$C1000, LOWER('Form Responses (Power-up data)'!$B$2:$B1000) = LOWER($B139))), 0)"),"0")</f>
        <v>0</v>
      </c>
      <c r="V13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LOWER($B139))
),0)"),"16")</f>
        <v>16</v>
      </c>
      <c r="W139" s="0" t="str">
        <f aca="false">IFERROR(__xludf.dummyfunction("COUNT(FILTER('Form Responses (Power-up data)'!$C$2:$C1000, LOWER('Form Responses (Power-up data)'!$B$2:$B1000) = LOWER($B139)))"),"0")</f>
        <v>0</v>
      </c>
      <c r="X13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LOWER($B139)))"),"1")</f>
        <v>1</v>
      </c>
      <c r="Y13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LOWER($B139))), 2)))"),"/")</f>
        <v>/</v>
      </c>
    </row>
    <row r="140" customFormat="false" ht="15.75" hidden="false" customHeight="false" outlineLevel="0" collapsed="false">
      <c r="A140" s="10" t="n">
        <v>139</v>
      </c>
      <c r="B140" s="1" t="s">
        <v>158</v>
      </c>
      <c r="C140" s="0" t="str">
        <f aca="false">IFERROR(__xludf.dummyfunction("ROUND(0.00909003 * (FILTER('Go Base Stats'!$C$2:$C1000, 'Go Base Stats'!$A$2:$A1000 = $A140))^0.5 *(FILTER('Go Base Stats'!$D$2:$D1000, 'Go Base Stats'!$A$2:$A1000 = $A140))*(FILTER('Go Base Stats'!$E$2:$E1000, 'Go Base Stats'!$A$2:$A1000 = $A140))^0.5 / 10, 1)"),"27.5")</f>
        <v>27.5</v>
      </c>
      <c r="D140" s="0" t="str">
        <f aca="false">IFERROR(__xludf.dummyfunction("ROUND(0.00909003 * (FILTER('Go Base Stats'!$C$2:$C1000, 'Go Base Stats'!$A$2:$A1000 = $A140)+7.5)^0.5 *(FILTER('Go Base Stats'!$D$2:$D1000, 'Go Base Stats'!$A$2:$A1000 = $A140) + 7.5)*(FILTER('Go Base Stats'!$E$2:$E1000, 'Go Base Stats'!$A$2:$A1000 = $A140) + 7.5)^0.5 / 10, 1)"),"30")</f>
        <v>30</v>
      </c>
      <c r="E140" s="0" t="str">
        <f aca="false">IFERROR(__xludf.dummyfunction("ROUND(0.00909003 * (FILTER('Go Base Stats'!$C$2:$C1000, 'Go Base Stats'!$A$2:$A1000 = $A140)+15)^0.5 *(FILTER('Go Base Stats'!$D$2:$D1000, 'Go Base Stats'!$A$2:$A1000 = $A140) +15)*(FILTER('Go Base Stats'!$E$2:$E1000, 'Go Base Stats'!$A$2:$A1000 = $A140) + 15)^0.5 / 10, 1)"),"32.5")</f>
        <v>32.5</v>
      </c>
      <c r="F140" s="6" t="str">
        <f aca="false">ROUND(D140/D139, 1)</f>
        <v>2.1</v>
      </c>
      <c r="G140" s="6" t="str">
        <f aca="false">IFERROR(__xludf.dummyfunction("FILTER('Base Stats'!$C$2:$C1000, LOWER('Base Stats'!$B$2:$B1000) = LOWER($B140))"),"70")</f>
        <v>70</v>
      </c>
      <c r="H140" s="0" t="str">
        <f aca="false">IFERROR(__xludf.dummyfunction("FLOOR((0.7903)^2 * (FILTER('Go Base Stats'!$C$2:$C1000, 'Go Base Stats'!$A$2:$A1000 = $A140)+15)^0.5 *(FILTER('Go Base Stats'!$D$2:$D1000, 'Go Base Stats'!$A$2:$A1000 = $A140) +15)*(FILTER('Go Base Stats'!$E$2:$E1000, 'Go Base Stats'!$A$2:$A1000 = $A140) + 15)^0.5 / 10)"),"2233")</f>
        <v>2233</v>
      </c>
      <c r="I140" s="0" t="str">
        <f aca="false">IFERROR(__xludf.dummyfunction("FLOOR(0.7903* (FILTER('Go Base Stats'!$C$2:$C1000, 'Go Base Stats'!$A$2:$A1000 = $A140)+15))"),"122")</f>
        <v>122</v>
      </c>
      <c r="J140" s="17"/>
      <c r="K140" s="17"/>
      <c r="L140" s="17"/>
      <c r="M140" s="12" t="e">
        <f aca="false">IF(NOT(ISBLANK($R140)), $R140, IF(ROUND($P140, 1) = 0, "", ROUND($P140, 1) ))</f>
        <v>#VALUE!</v>
      </c>
      <c r="N140" s="13" t="e">
        <f aca="false">ABS(M140-D140)/M140</f>
        <v>#VALUE!</v>
      </c>
      <c r="P140" s="14" t="e">
        <f aca="false">IFERROR((U140+V140)/(W140+X140))</f>
        <v>#VALUE!</v>
      </c>
      <c r="Q14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LOWER($B140)))
)"),"")</f>
        <v/>
      </c>
      <c r="R140" s="16"/>
      <c r="U140" s="0" t="str">
        <f aca="false">IFERROR(__xludf.dummyfunction("IFERROR(SUM(FILTER('Form Responses (Power-up data)'!$C$2:$C1000, LOWER('Form Responses (Power-up data)'!$B$2:$B1000) = LOWER($B140))), 0)"),"0")</f>
        <v>0</v>
      </c>
      <c r="V14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LOWER($B140))
),0)"),"32")</f>
        <v>32</v>
      </c>
      <c r="W140" s="0" t="str">
        <f aca="false">IFERROR(__xludf.dummyfunction("COUNT(FILTER('Form Responses (Power-up data)'!$C$2:$C1000, LOWER('Form Responses (Power-up data)'!$B$2:$B1000) = LOWER($B140)))"),"0")</f>
        <v>0</v>
      </c>
      <c r="X14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LOWER($B140)))"),"1")</f>
        <v>1</v>
      </c>
      <c r="Y14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LOWER($B140))), 2)))"),"/")</f>
        <v>/</v>
      </c>
    </row>
    <row r="141" customFormat="false" ht="15.75" hidden="false" customHeight="false" outlineLevel="0" collapsed="false">
      <c r="A141" s="10" t="n">
        <v>140</v>
      </c>
      <c r="B141" s="1" t="s">
        <v>159</v>
      </c>
      <c r="C141" s="0" t="str">
        <f aca="false">IFERROR(__xludf.dummyfunction("ROUND(0.00909003 * (FILTER('Go Base Stats'!$C$2:$C1000, 'Go Base Stats'!$A$2:$A1000 = $A141))^0.5 *(FILTER('Go Base Stats'!$D$2:$D1000, 'Go Base Stats'!$A$2:$A1000 = $A141))*(FILTER('Go Base Stats'!$E$2:$E1000, 'Go Base Stats'!$A$2:$A1000 = $A141))^0.5 / 10, 1)"),"12.4")</f>
        <v>12.4</v>
      </c>
      <c r="D141" s="0" t="str">
        <f aca="false">IFERROR(__xludf.dummyfunction("ROUND(0.00909003 * (FILTER('Go Base Stats'!$C$2:$C1000, 'Go Base Stats'!$A$2:$A1000 = $A141)+7.5)^0.5 *(FILTER('Go Base Stats'!$D$2:$D1000, 'Go Base Stats'!$A$2:$A1000 = $A141) + 7.5)*(FILTER('Go Base Stats'!$E$2:$E1000, 'Go Base Stats'!$A$2:$A1000 = $A141) + 7.5)^0.5 / 10, 1)"),"14.2")</f>
        <v>14.2</v>
      </c>
      <c r="E141" s="0" t="str">
        <f aca="false">IFERROR(__xludf.dummyfunction("ROUND(0.00909003 * (FILTER('Go Base Stats'!$C$2:$C1000, 'Go Base Stats'!$A$2:$A1000 = $A141)+15)^0.5 *(FILTER('Go Base Stats'!$D$2:$D1000, 'Go Base Stats'!$A$2:$A1000 = $A141) +15)*(FILTER('Go Base Stats'!$E$2:$E1000, 'Go Base Stats'!$A$2:$A1000 = $A141) + 15)^0.5 / 10, 1)"),"16.1")</f>
        <v>16.1</v>
      </c>
      <c r="F141" s="6"/>
      <c r="G141" s="6" t="str">
        <f aca="false">IFERROR(__xludf.dummyfunction("FILTER('Base Stats'!$C$2:$C1000, LOWER('Base Stats'!$B$2:$B1000) = LOWER($B141))"),"30")</f>
        <v>30</v>
      </c>
      <c r="H141" s="0" t="str">
        <f aca="false">IFERROR(__xludf.dummyfunction("FLOOR((0.7903)^2 * (FILTER('Go Base Stats'!$C$2:$C1000, 'Go Base Stats'!$A$2:$A1000 = $A141)+15)^0.5 *(FILTER('Go Base Stats'!$D$2:$D1000, 'Go Base Stats'!$A$2:$A1000 = $A141) +15)*(FILTER('Go Base Stats'!$E$2:$E1000, 'Go Base Stats'!$A$2:$A1000 = $A141) + 15)^0.5 / 10)"),"1104")</f>
        <v>1104</v>
      </c>
      <c r="I141" s="0" t="str">
        <f aca="false">IFERROR(__xludf.dummyfunction("FLOOR(0.7903* (FILTER('Go Base Stats'!$C$2:$C1000, 'Go Base Stats'!$A$2:$A1000 = $A141)+15))"),"59")</f>
        <v>59</v>
      </c>
      <c r="J141" s="17"/>
      <c r="K141" s="17"/>
      <c r="L141" s="17"/>
      <c r="M141" s="12" t="e">
        <f aca="false">IF(NOT(ISBLANK($R141)), $R141, IF(ROUND($P141, 1) = 0, "", ROUND($P141, 1) ))</f>
        <v>#VALUE!</v>
      </c>
      <c r="N141" s="13" t="e">
        <f aca="false">ABS(M141-D141)/M141</f>
        <v>#VALUE!</v>
      </c>
      <c r="P141" s="14" t="e">
        <f aca="false">IFERROR((U141+V141)/(W141+X141))</f>
        <v>#VALUE!</v>
      </c>
      <c r="Q14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LOWER($B141)))
)"),"")</f>
        <v/>
      </c>
      <c r="R141" s="16"/>
      <c r="U141" s="0" t="str">
        <f aca="false">IFERROR(__xludf.dummyfunction("IFERROR(SUM(FILTER('Form Responses (Power-up data)'!$C$2:$C1000, LOWER('Form Responses (Power-up data)'!$B$2:$B1000) = LOWER($B141))), 0)"),"0")</f>
        <v>0</v>
      </c>
      <c r="V14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LOWER($B141))
),0)"),"16")</f>
        <v>16</v>
      </c>
      <c r="W141" s="0" t="str">
        <f aca="false">IFERROR(__xludf.dummyfunction("COUNT(FILTER('Form Responses (Power-up data)'!$C$2:$C1000, LOWER('Form Responses (Power-up data)'!$B$2:$B1000) = LOWER($B141)))"),"0")</f>
        <v>0</v>
      </c>
      <c r="X14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LOWER($B141)))"),"1")</f>
        <v>1</v>
      </c>
      <c r="Y14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LOWER($B141))), 2)))"),"/")</f>
        <v>/</v>
      </c>
    </row>
    <row r="142" customFormat="false" ht="15.75" hidden="false" customHeight="false" outlineLevel="0" collapsed="false">
      <c r="A142" s="10" t="n">
        <v>141</v>
      </c>
      <c r="B142" s="1" t="s">
        <v>160</v>
      </c>
      <c r="C142" s="0" t="str">
        <f aca="false">IFERROR(__xludf.dummyfunction("ROUND(0.00909003 * (FILTER('Go Base Stats'!$C$2:$C1000, 'Go Base Stats'!$A$2:$A1000 = $A142))^0.5 *(FILTER('Go Base Stats'!$D$2:$D1000, 'Go Base Stats'!$A$2:$A1000 = $A142))*(FILTER('Go Base Stats'!$E$2:$E1000, 'Go Base Stats'!$A$2:$A1000 = $A142))^0.5 / 10, 1)"),"26.1")</f>
        <v>26.1</v>
      </c>
      <c r="D142" s="0" t="str">
        <f aca="false">IFERROR(__xludf.dummyfunction("ROUND(0.00909003 * (FILTER('Go Base Stats'!$C$2:$C1000, 'Go Base Stats'!$A$2:$A1000 = $A142)+7.5)^0.5 *(FILTER('Go Base Stats'!$D$2:$D1000, 'Go Base Stats'!$A$2:$A1000 = $A142) + 7.5)*(FILTER('Go Base Stats'!$E$2:$E1000, 'Go Base Stats'!$A$2:$A1000 = $A142) + 7.5)^0.5 / 10, 1)"),"28.5")</f>
        <v>28.5</v>
      </c>
      <c r="E142" s="0" t="str">
        <f aca="false">IFERROR(__xludf.dummyfunction("ROUND(0.00909003 * (FILTER('Go Base Stats'!$C$2:$C1000, 'Go Base Stats'!$A$2:$A1000 = $A142)+15)^0.5 *(FILTER('Go Base Stats'!$D$2:$D1000, 'Go Base Stats'!$A$2:$A1000 = $A142) +15)*(FILTER('Go Base Stats'!$E$2:$E1000, 'Go Base Stats'!$A$2:$A1000 = $A142) + 15)^0.5 / 10, 1)"),"31")</f>
        <v>31</v>
      </c>
      <c r="F142" s="6" t="str">
        <f aca="false">ROUND(D142/D141, 1)</f>
        <v>2</v>
      </c>
      <c r="G142" s="6" t="str">
        <f aca="false">IFERROR(__xludf.dummyfunction("FILTER('Base Stats'!$C$2:$C1000, LOWER('Base Stats'!$B$2:$B1000) = LOWER($B142))"),"60")</f>
        <v>60</v>
      </c>
      <c r="H142" s="0" t="str">
        <f aca="false">IFERROR(__xludf.dummyfunction("FLOOR((0.7903)^2 * (FILTER('Go Base Stats'!$C$2:$C1000, 'Go Base Stats'!$A$2:$A1000 = $A142)+15)^0.5 *(FILTER('Go Base Stats'!$D$2:$D1000, 'Go Base Stats'!$A$2:$A1000 = $A142) +15)*(FILTER('Go Base Stats'!$E$2:$E1000, 'Go Base Stats'!$A$2:$A1000 = $A142) + 15)^0.5 / 10)"),"2130")</f>
        <v>2130</v>
      </c>
      <c r="I142" s="0" t="str">
        <f aca="false">IFERROR(__xludf.dummyfunction("FLOOR(0.7903* (FILTER('Go Base Stats'!$C$2:$C1000, 'Go Base Stats'!$A$2:$A1000 = $A142)+15))"),"106")</f>
        <v>106</v>
      </c>
      <c r="J142" s="17"/>
      <c r="K142" s="17"/>
      <c r="L142" s="17"/>
      <c r="M142" s="12" t="e">
        <f aca="false">IF(NOT(ISBLANK($R142)), $R142, IF(ROUND($P142, 1) = 0, "", ROUND($P142, 1) ))</f>
        <v>#VALUE!</v>
      </c>
      <c r="N142" s="13" t="e">
        <f aca="false">ABS(M142-D142)/M142</f>
        <v>#VALUE!</v>
      </c>
      <c r="P142" s="14" t="e">
        <f aca="false">IFERROR((U142+V142)/(W142+X142))</f>
        <v>#VALUE!</v>
      </c>
      <c r="Q14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LOWER($B142)))
)"),"")</f>
        <v/>
      </c>
      <c r="R142" s="16"/>
      <c r="U142" s="0" t="str">
        <f aca="false">IFERROR(__xludf.dummyfunction("IFERROR(SUM(FILTER('Form Responses (Power-up data)'!$C$2:$C1000, LOWER('Form Responses (Power-up data)'!$B$2:$B1000) = LOWER($B142))), 0)"),"0")</f>
        <v>0</v>
      </c>
      <c r="V14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LOWER($B142))
),0)"),"30")</f>
        <v>30</v>
      </c>
      <c r="W142" s="0" t="str">
        <f aca="false">IFERROR(__xludf.dummyfunction("COUNT(FILTER('Form Responses (Power-up data)'!$C$2:$C1000, LOWER('Form Responses (Power-up data)'!$B$2:$B1000) = LOWER($B142)))"),"0")</f>
        <v>0</v>
      </c>
      <c r="X14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LOWER($B142)))"),"1")</f>
        <v>1</v>
      </c>
      <c r="Y14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LOWER($B142))), 2)))"),"/")</f>
        <v>/</v>
      </c>
    </row>
    <row r="143" customFormat="false" ht="15.75" hidden="false" customHeight="false" outlineLevel="0" collapsed="false">
      <c r="A143" s="10" t="n">
        <v>142</v>
      </c>
      <c r="B143" s="1" t="s">
        <v>161</v>
      </c>
      <c r="C143" s="0" t="str">
        <f aca="false">IFERROR(__xludf.dummyfunction("ROUND(0.00909003 * (FILTER('Go Base Stats'!$C$2:$C1000, 'Go Base Stats'!$A$2:$A1000 = $A143))^0.5 *(FILTER('Go Base Stats'!$D$2:$D1000, 'Go Base Stats'!$A$2:$A1000 = $A143))*(FILTER('Go Base Stats'!$E$2:$E1000, 'Go Base Stats'!$A$2:$A1000 = $A143))^0.5 / 10, 1)"),"26.6")</f>
        <v>26.6</v>
      </c>
      <c r="D143" s="0" t="str">
        <f aca="false">IFERROR(__xludf.dummyfunction("ROUND(0.00909003 * (FILTER('Go Base Stats'!$C$2:$C1000, 'Go Base Stats'!$A$2:$A1000 = $A143)+7.5)^0.5 *(FILTER('Go Base Stats'!$D$2:$D1000, 'Go Base Stats'!$A$2:$A1000 = $A143) + 7.5)*(FILTER('Go Base Stats'!$E$2:$E1000, 'Go Base Stats'!$A$2:$A1000 = $A143) + 7.5)^0.5 / 10, 1)"),"29")</f>
        <v>29</v>
      </c>
      <c r="E143" s="0" t="str">
        <f aca="false">IFERROR(__xludf.dummyfunction("ROUND(0.00909003 * (FILTER('Go Base Stats'!$C$2:$C1000, 'Go Base Stats'!$A$2:$A1000 = $A143)+15)^0.5 *(FILTER('Go Base Stats'!$D$2:$D1000, 'Go Base Stats'!$A$2:$A1000 = $A143) +15)*(FILTER('Go Base Stats'!$E$2:$E1000, 'Go Base Stats'!$A$2:$A1000 = $A143) + 15)^0.5 / 10, 1)"),"31.5")</f>
        <v>31.5</v>
      </c>
      <c r="F143" s="6"/>
      <c r="G143" s="6" t="str">
        <f aca="false">IFERROR(__xludf.dummyfunction("FILTER('Base Stats'!$C$2:$C1000, LOWER('Base Stats'!$B$2:$B1000) = LOWER($B143))"),"80")</f>
        <v>80</v>
      </c>
      <c r="H143" s="0" t="str">
        <f aca="false">IFERROR(__xludf.dummyfunction("FLOOR((0.7903)^2 * (FILTER('Go Base Stats'!$C$2:$C1000, 'Go Base Stats'!$A$2:$A1000 = $A143)+15)^0.5 *(FILTER('Go Base Stats'!$D$2:$D1000, 'Go Base Stats'!$A$2:$A1000 = $A143) +15)*(FILTER('Go Base Stats'!$E$2:$E1000, 'Go Base Stats'!$A$2:$A1000 = $A143) + 15)^0.5 / 10)"),"2165")</f>
        <v>2165</v>
      </c>
      <c r="I143" s="0" t="str">
        <f aca="false">IFERROR(__xludf.dummyfunction("FLOOR(0.7903* (FILTER('Go Base Stats'!$C$2:$C1000, 'Go Base Stats'!$A$2:$A1000 = $A143)+15))"),"138")</f>
        <v>138</v>
      </c>
      <c r="J143" s="17"/>
      <c r="K143" s="17"/>
      <c r="L143" s="17"/>
      <c r="M143" s="12" t="e">
        <f aca="false">IF(NOT(ISBLANK($R143)), $R143, IF(ROUND($P143, 1) = 0, "", ROUND($P143, 1) ))</f>
        <v>#VALUE!</v>
      </c>
      <c r="N143" s="13" t="e">
        <f aca="false">ABS(M143-D143)/M143</f>
        <v>#VALUE!</v>
      </c>
      <c r="P143" s="14" t="e">
        <f aca="false">IFERROR((U143+V143)/(W143+X143))</f>
        <v>#VALUE!</v>
      </c>
      <c r="Q143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LOWER($B143)))
)"),"")</f>
        <v/>
      </c>
      <c r="R143" s="16"/>
      <c r="U143" s="0" t="str">
        <f aca="false">IFERROR(__xludf.dummyfunction("IFERROR(SUM(FILTER('Form Responses (Power-up data)'!$C$2:$C1000, LOWER('Form Responses (Power-up data)'!$B$2:$B1000) = LOWER($B143))), 0)"),"0")</f>
        <v>0</v>
      </c>
      <c r="V143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LOWER($B143))
),0)"),"269")</f>
        <v>269</v>
      </c>
      <c r="W143" s="0" t="str">
        <f aca="false">IFERROR(__xludf.dummyfunction("COUNT(FILTER('Form Responses (Power-up data)'!$C$2:$C1000, LOWER('Form Responses (Power-up data)'!$B$2:$B1000) = LOWER($B143)))"),"0")</f>
        <v>0</v>
      </c>
      <c r="X143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LOWER($B143)))"),"9")</f>
        <v>9</v>
      </c>
      <c r="Y143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LOWER($B143))),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LOWER($B143))), 2)))"),"/")</f>
        <v>/</v>
      </c>
    </row>
    <row r="144" customFormat="false" ht="15.75" hidden="false" customHeight="false" outlineLevel="0" collapsed="false">
      <c r="A144" s="10" t="n">
        <v>143</v>
      </c>
      <c r="B144" s="1" t="s">
        <v>162</v>
      </c>
      <c r="C144" s="0" t="str">
        <f aca="false">IFERROR(__xludf.dummyfunction("ROUND(0.00909003 * (FILTER('Go Base Stats'!$C$2:$C1000, 'Go Base Stats'!$A$2:$A1000 = $A144))^0.5 *(FILTER('Go Base Stats'!$D$2:$D1000, 'Go Base Stats'!$A$2:$A1000 = $A144))*(FILTER('Go Base Stats'!$E$2:$E1000, 'Go Base Stats'!$A$2:$A1000 = $A144))^0.5 / 10, 1)"),"39.3")</f>
        <v>39.3</v>
      </c>
      <c r="D144" s="0" t="str">
        <f aca="false">IFERROR(__xludf.dummyfunction("ROUND(0.00909003 * (FILTER('Go Base Stats'!$C$2:$C1000, 'Go Base Stats'!$A$2:$A1000 = $A144)+7.5)^0.5 *(FILTER('Go Base Stats'!$D$2:$D1000, 'Go Base Stats'!$A$2:$A1000 = $A144) + 7.5)*(FILTER('Go Base Stats'!$E$2:$E1000, 'Go Base Stats'!$A$2:$A1000 = $A144) + 7.5)^0.5 / 10, 1)"),"42.2")</f>
        <v>42.2</v>
      </c>
      <c r="E144" s="0" t="str">
        <f aca="false">IFERROR(__xludf.dummyfunction("ROUND(0.00909003 * (FILTER('Go Base Stats'!$C$2:$C1000, 'Go Base Stats'!$A$2:$A1000 = $A144)+15)^0.5 *(FILTER('Go Base Stats'!$D$2:$D1000, 'Go Base Stats'!$A$2:$A1000 = $A144) +15)*(FILTER('Go Base Stats'!$E$2:$E1000, 'Go Base Stats'!$A$2:$A1000 = $A144) + 15)^0.5 / 10, 1)"),"45.3")</f>
        <v>45.3</v>
      </c>
      <c r="F144" s="6"/>
      <c r="G144" s="6" t="str">
        <f aca="false">IFERROR(__xludf.dummyfunction("FILTER('Base Stats'!$C$2:$C1000, LOWER('Base Stats'!$B$2:$B1000) = LOWER($B144))"),"160")</f>
        <v>160</v>
      </c>
      <c r="H144" s="0" t="str">
        <f aca="false">IFERROR(__xludf.dummyfunction("FLOOR((0.7903)^2 * (FILTER('Go Base Stats'!$C$2:$C1000, 'Go Base Stats'!$A$2:$A1000 = $A144)+15)^0.5 *(FILTER('Go Base Stats'!$D$2:$D1000, 'Go Base Stats'!$A$2:$A1000 = $A144) +15)*(FILTER('Go Base Stats'!$E$2:$E1000, 'Go Base Stats'!$A$2:$A1000 = $A144) + 15)^0.5 / 10)"),"3112")</f>
        <v>3112</v>
      </c>
      <c r="I144" s="0" t="str">
        <f aca="false">IFERROR(__xludf.dummyfunction("FLOOR(0.7903* (FILTER('Go Base Stats'!$C$2:$C1000, 'Go Base Stats'!$A$2:$A1000 = $A144)+15))"),"264")</f>
        <v>264</v>
      </c>
      <c r="J144" s="17"/>
      <c r="K144" s="17"/>
      <c r="L144" s="17"/>
      <c r="M144" s="12" t="e">
        <f aca="false">IF(NOT(ISBLANK($R144)), $R144, IF(ROUND($P144, 1) = 0, "", ROUND($P144, 1) ))</f>
        <v>#VALUE!</v>
      </c>
      <c r="N144" s="13" t="e">
        <f aca="false">ABS(M144-D144)/M144</f>
        <v>#VALUE!</v>
      </c>
      <c r="P144" s="14" t="e">
        <f aca="false">IFERROR((U144+V144)/(W144+X144))</f>
        <v>#VALUE!</v>
      </c>
      <c r="Q144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LOWER($B144)))
)"),"")</f>
        <v/>
      </c>
      <c r="R144" s="16"/>
      <c r="U144" s="0" t="str">
        <f aca="false">IFERROR(__xludf.dummyfunction("IFERROR(SUM(FILTER('Form Responses (Power-up data)'!$C$2:$C1000, LOWER('Form Responses (Power-up data)'!$B$2:$B1000) = LOWER($B144))), 0)"),"0")</f>
        <v>0</v>
      </c>
      <c r="V144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LOWER($B144))
),0)"),"669")</f>
        <v>669</v>
      </c>
      <c r="W144" s="0" t="str">
        <f aca="false">IFERROR(__xludf.dummyfunction("COUNT(FILTER('Form Responses (Power-up data)'!$C$2:$C1000, LOWER('Form Responses (Power-up data)'!$B$2:$B1000) = LOWER($B144)))"),"0")</f>
        <v>0</v>
      </c>
      <c r="X144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LOWER($B144)))"),"15")</f>
        <v>15</v>
      </c>
      <c r="Y144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LOWER($B144))),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LOWER($B144))), 2)))"),"/")</f>
        <v>/</v>
      </c>
    </row>
    <row r="145" customFormat="false" ht="15.75" hidden="false" customHeight="false" outlineLevel="0" collapsed="false">
      <c r="A145" s="10" t="n">
        <v>144</v>
      </c>
      <c r="B145" s="1" t="s">
        <v>163</v>
      </c>
      <c r="C145" s="0" t="str">
        <f aca="false">IFERROR(__xludf.dummyfunction("ROUND(0.00909003 * (FILTER('Go Base Stats'!$C$2:$C1000, 'Go Base Stats'!$A$2:$A1000 = $A145))^0.5 *(FILTER('Go Base Stats'!$D$2:$D1000, 'Go Base Stats'!$A$2:$A1000 = $A145))*(FILTER('Go Base Stats'!$E$2:$E1000, 'Go Base Stats'!$A$2:$A1000 = $A145))^0.5 / 10, 1)"),"37.6")</f>
        <v>37.6</v>
      </c>
      <c r="D145" s="0" t="str">
        <f aca="false">IFERROR(__xludf.dummyfunction("ROUND(0.00909003 * (FILTER('Go Base Stats'!$C$2:$C1000, 'Go Base Stats'!$A$2:$A1000 = $A145)+7.5)^0.5 *(FILTER('Go Base Stats'!$D$2:$D1000, 'Go Base Stats'!$A$2:$A1000 = $A145) + 7.5)*(FILTER('Go Base Stats'!$E$2:$E1000, 'Go Base Stats'!$A$2:$A1000 = $A145) + 7.5)^0.5 / 10, 1)"),"40.4")</f>
        <v>40.4</v>
      </c>
      <c r="E145" s="0" t="str">
        <f aca="false">IFERROR(__xludf.dummyfunction("ROUND(0.00909003 * (FILTER('Go Base Stats'!$C$2:$C1000, 'Go Base Stats'!$A$2:$A1000 = $A145)+15)^0.5 *(FILTER('Go Base Stats'!$D$2:$D1000, 'Go Base Stats'!$A$2:$A1000 = $A145) +15)*(FILTER('Go Base Stats'!$E$2:$E1000, 'Go Base Stats'!$A$2:$A1000 = $A145) + 15)^0.5 / 10, 1)"),"43.3")</f>
        <v>43.3</v>
      </c>
      <c r="F145" s="6"/>
      <c r="G145" s="6" t="str">
        <f aca="false">IFERROR(__xludf.dummyfunction("FILTER('Base Stats'!$C$2:$C1000, LOWER('Base Stats'!$B$2:$B1000) = LOWER($B145))"),"90")</f>
        <v>90</v>
      </c>
      <c r="H145" s="0" t="str">
        <f aca="false">IFERROR(__xludf.dummyfunction("FLOOR((0.7903)^2 * (FILTER('Go Base Stats'!$C$2:$C1000, 'Go Base Stats'!$A$2:$A1000 = $A145)+15)^0.5 *(FILTER('Go Base Stats'!$D$2:$D1000, 'Go Base Stats'!$A$2:$A1000 = $A145) +15)*(FILTER('Go Base Stats'!$E$2:$E1000, 'Go Base Stats'!$A$2:$A1000 = $A145) + 15)^0.5 / 10)"),"2978")</f>
        <v>2978</v>
      </c>
      <c r="I145" s="0" t="str">
        <f aca="false">IFERROR(__xludf.dummyfunction("FLOOR(0.7903* (FILTER('Go Base Stats'!$C$2:$C1000, 'Go Base Stats'!$A$2:$A1000 = $A145)+15))"),"154")</f>
        <v>154</v>
      </c>
      <c r="J145" s="17"/>
      <c r="K145" s="17"/>
      <c r="L145" s="17"/>
      <c r="M145" s="12" t="e">
        <f aca="false">IF(NOT(ISBLANK($R145)), $R145, IF(ROUND($P145, 1) = 0, "", ROUND($P145, 1) ))</f>
        <v>#VALUE!</v>
      </c>
      <c r="N145" s="13" t="e">
        <f aca="false">ABS(M145-D145)/M145</f>
        <v>#VALUE!</v>
      </c>
      <c r="P145" s="14" t="e">
        <f aca="false">IFERROR((U145+V145)/(W145+X145))</f>
        <v>#VALUE!</v>
      </c>
      <c r="Q145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LOWER($B145)))
)"),"")</f>
        <v/>
      </c>
      <c r="R145" s="16"/>
      <c r="U145" s="0" t="str">
        <f aca="false">IFERROR(__xludf.dummyfunction("IFERROR(SUM(FILTER('Form Responses (Power-up data)'!$C$2:$C1000, LOWER('Form Responses (Power-up data)'!$B$2:$B1000) = LOWER($B145))), 0)"),"0")</f>
        <v>0</v>
      </c>
      <c r="V145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LOWER($B145))
),0)"),"0")</f>
        <v>0</v>
      </c>
      <c r="W145" s="0" t="str">
        <f aca="false">IFERROR(__xludf.dummyfunction("COUNT(FILTER('Form Responses (Power-up data)'!$C$2:$C1000, LOWER('Form Responses (Power-up data)'!$B$2:$B1000) = LOWER($B145)))"),"0")</f>
        <v>0</v>
      </c>
      <c r="X145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LOWER($B145)))"),"0")</f>
        <v>0</v>
      </c>
      <c r="Y145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LOWER($B145))),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LOWER($B145))), 2)))"),"/")</f>
        <v>/</v>
      </c>
    </row>
    <row r="146" customFormat="false" ht="15.75" hidden="false" customHeight="false" outlineLevel="0" collapsed="false">
      <c r="A146" s="10" t="n">
        <v>145</v>
      </c>
      <c r="B146" s="1" t="s">
        <v>164</v>
      </c>
      <c r="C146" s="0" t="str">
        <f aca="false">IFERROR(__xludf.dummyfunction("ROUND(0.00909003 * (FILTER('Go Base Stats'!$C$2:$C1000, 'Go Base Stats'!$A$2:$A1000 = $A146))^0.5 *(FILTER('Go Base Stats'!$D$2:$D1000, 'Go Base Stats'!$A$2:$A1000 = $A146))*(FILTER('Go Base Stats'!$E$2:$E1000, 'Go Base Stats'!$A$2:$A1000 = $A146))^0.5 / 10, 1)"),"39.4")</f>
        <v>39.4</v>
      </c>
      <c r="D146" s="0" t="str">
        <f aca="false">IFERROR(__xludf.dummyfunction("ROUND(0.00909003 * (FILTER('Go Base Stats'!$C$2:$C1000, 'Go Base Stats'!$A$2:$A1000 = $A146)+7.5)^0.5 *(FILTER('Go Base Stats'!$D$2:$D1000, 'Go Base Stats'!$A$2:$A1000 = $A146) + 7.5)*(FILTER('Go Base Stats'!$E$2:$E1000, 'Go Base Stats'!$A$2:$A1000 = $A146) + 7.5)^0.5 / 10, 1)"),"42.3")</f>
        <v>42.3</v>
      </c>
      <c r="E146" s="0" t="str">
        <f aca="false">IFERROR(__xludf.dummyfunction("ROUND(0.00909003 * (FILTER('Go Base Stats'!$C$2:$C1000, 'Go Base Stats'!$A$2:$A1000 = $A146)+15)^0.5 *(FILTER('Go Base Stats'!$D$2:$D1000, 'Go Base Stats'!$A$2:$A1000 = $A146) +15)*(FILTER('Go Base Stats'!$E$2:$E1000, 'Go Base Stats'!$A$2:$A1000 = $A146) + 15)^0.5 / 10, 1)"),"45.3")</f>
        <v>45.3</v>
      </c>
      <c r="F146" s="6"/>
      <c r="G146" s="6" t="str">
        <f aca="false">IFERROR(__xludf.dummyfunction("FILTER('Base Stats'!$C$2:$C1000, LOWER('Base Stats'!$B$2:$B1000) = LOWER($B146))"),"90")</f>
        <v>90</v>
      </c>
      <c r="H146" s="0" t="str">
        <f aca="false">IFERROR(__xludf.dummyfunction("FLOOR((0.7903)^2 * (FILTER('Go Base Stats'!$C$2:$C1000, 'Go Base Stats'!$A$2:$A1000 = $A146)+15)^0.5 *(FILTER('Go Base Stats'!$D$2:$D1000, 'Go Base Stats'!$A$2:$A1000 = $A146) +15)*(FILTER('Go Base Stats'!$E$2:$E1000, 'Go Base Stats'!$A$2:$A1000 = $A146) + 15)^0.5 / 10)"),"3114")</f>
        <v>3114</v>
      </c>
      <c r="I146" s="0" t="str">
        <f aca="false">IFERROR(__xludf.dummyfunction("FLOOR(0.7903* (FILTER('Go Base Stats'!$C$2:$C1000, 'Go Base Stats'!$A$2:$A1000 = $A146)+15))"),"154")</f>
        <v>154</v>
      </c>
      <c r="J146" s="17"/>
      <c r="K146" s="17"/>
      <c r="L146" s="17"/>
      <c r="M146" s="12" t="e">
        <f aca="false">IF(NOT(ISBLANK($R146)), $R146, IF(ROUND($P146, 1) = 0, "", ROUND($P146, 1) ))</f>
        <v>#VALUE!</v>
      </c>
      <c r="N146" s="13" t="e">
        <f aca="false">ABS(M146-D146)/M146</f>
        <v>#VALUE!</v>
      </c>
      <c r="P146" s="14" t="e">
        <f aca="false">IFERROR((U146+V146)/(W146+X146))</f>
        <v>#VALUE!</v>
      </c>
      <c r="Q146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LOWER($B146)))
)"),"")</f>
        <v/>
      </c>
      <c r="R146" s="16"/>
      <c r="U146" s="0" t="str">
        <f aca="false">IFERROR(__xludf.dummyfunction("IFERROR(SUM(FILTER('Form Responses (Power-up data)'!$C$2:$C1000, LOWER('Form Responses (Power-up data)'!$B$2:$B1000) = LOWER($B146))), 0)"),"0")</f>
        <v>0</v>
      </c>
      <c r="V146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LOWER($B146))
),0)"),"0")</f>
        <v>0</v>
      </c>
      <c r="W146" s="0" t="str">
        <f aca="false">IFERROR(__xludf.dummyfunction("COUNT(FILTER('Form Responses (Power-up data)'!$C$2:$C1000, LOWER('Form Responses (Power-up data)'!$B$2:$B1000) = LOWER($B146)))"),"0")</f>
        <v>0</v>
      </c>
      <c r="X146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LOWER($B146)))"),"0")</f>
        <v>0</v>
      </c>
      <c r="Y146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LOWER($B146))),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LOWER($B146))), 2)))"),"/")</f>
        <v>/</v>
      </c>
    </row>
    <row r="147" customFormat="false" ht="15.75" hidden="false" customHeight="false" outlineLevel="0" collapsed="false">
      <c r="A147" s="10" t="n">
        <v>146</v>
      </c>
      <c r="B147" s="1" t="s">
        <v>165</v>
      </c>
      <c r="C147" s="0" t="str">
        <f aca="false">IFERROR(__xludf.dummyfunction("ROUND(0.00909003 * (FILTER('Go Base Stats'!$C$2:$C1000, 'Go Base Stats'!$A$2:$A1000 = $A147))^0.5 *(FILTER('Go Base Stats'!$D$2:$D1000, 'Go Base Stats'!$A$2:$A1000 = $A147))*(FILTER('Go Base Stats'!$E$2:$E1000, 'Go Base Stats'!$A$2:$A1000 = $A147))^0.5 / 10, 1)"),"41.1")</f>
        <v>41.1</v>
      </c>
      <c r="D147" s="0" t="str">
        <f aca="false">IFERROR(__xludf.dummyfunction("ROUND(0.00909003 * (FILTER('Go Base Stats'!$C$2:$C1000, 'Go Base Stats'!$A$2:$A1000 = $A147)+7.5)^0.5 *(FILTER('Go Base Stats'!$D$2:$D1000, 'Go Base Stats'!$A$2:$A1000 = $A147) + 7.5)*(FILTER('Go Base Stats'!$E$2:$E1000, 'Go Base Stats'!$A$2:$A1000 = $A147) + 7.5)^0.5 / 10, 1)"),"44.1")</f>
        <v>44.1</v>
      </c>
      <c r="E147" s="0" t="str">
        <f aca="false">IFERROR(__xludf.dummyfunction("ROUND(0.00909003 * (FILTER('Go Base Stats'!$C$2:$C1000, 'Go Base Stats'!$A$2:$A1000 = $A147)+15)^0.5 *(FILTER('Go Base Stats'!$D$2:$D1000, 'Go Base Stats'!$A$2:$A1000 = $A147) +15)*(FILTER('Go Base Stats'!$E$2:$E1000, 'Go Base Stats'!$A$2:$A1000 = $A147) + 15)^0.5 / 10, 1)"),"47.2")</f>
        <v>47.2</v>
      </c>
      <c r="F147" s="6"/>
      <c r="G147" s="6" t="str">
        <f aca="false">IFERROR(__xludf.dummyfunction("FILTER('Base Stats'!$C$2:$C1000, LOWER('Base Stats'!$B$2:$B1000) = LOWER($B147))"),"90")</f>
        <v>90</v>
      </c>
      <c r="H147" s="0" t="str">
        <f aca="false">IFERROR(__xludf.dummyfunction("FLOOR((0.7903)^2 * (FILTER('Go Base Stats'!$C$2:$C1000, 'Go Base Stats'!$A$2:$A1000 = $A147)+15)^0.5 *(FILTER('Go Base Stats'!$D$2:$D1000, 'Go Base Stats'!$A$2:$A1000 = $A147) +15)*(FILTER('Go Base Stats'!$E$2:$E1000, 'Go Base Stats'!$A$2:$A1000 = $A147) + 15)^0.5 / 10)"),"3240")</f>
        <v>3240</v>
      </c>
      <c r="I147" s="0" t="str">
        <f aca="false">IFERROR(__xludf.dummyfunction("FLOOR(0.7903* (FILTER('Go Base Stats'!$C$2:$C1000, 'Go Base Stats'!$A$2:$A1000 = $A147)+15))"),"154")</f>
        <v>154</v>
      </c>
      <c r="J147" s="17"/>
      <c r="K147" s="17"/>
      <c r="L147" s="17"/>
      <c r="M147" s="12" t="e">
        <f aca="false">IF(NOT(ISBLANK($R147)), $R147, IF(ROUND($P147, 1) = 0, "", ROUND($P147, 1) ))</f>
        <v>#VALUE!</v>
      </c>
      <c r="N147" s="13" t="e">
        <f aca="false">ABS(M147-D147)/M147</f>
        <v>#VALUE!</v>
      </c>
      <c r="P147" s="14" t="e">
        <f aca="false">IFERROR((U147+V147)/(W147+X147))</f>
        <v>#VALUE!</v>
      </c>
      <c r="Q147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LOWER($B147)))
)"),"")</f>
        <v/>
      </c>
      <c r="R147" s="16"/>
      <c r="U147" s="0" t="str">
        <f aca="false">IFERROR(__xludf.dummyfunction("IFERROR(SUM(FILTER('Form Responses (Power-up data)'!$C$2:$C1000, LOWER('Form Responses (Power-up data)'!$B$2:$B1000) = LOWER($B147))), 0)"),"0")</f>
        <v>0</v>
      </c>
      <c r="V147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LOWER($B147))
),0)"),"0")</f>
        <v>0</v>
      </c>
      <c r="W147" s="0" t="str">
        <f aca="false">IFERROR(__xludf.dummyfunction("COUNT(FILTER('Form Responses (Power-up data)'!$C$2:$C1000, LOWER('Form Responses (Power-up data)'!$B$2:$B1000) = LOWER($B147)))"),"0")</f>
        <v>0</v>
      </c>
      <c r="X147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LOWER($B147)))"),"0")</f>
        <v>0</v>
      </c>
      <c r="Y147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LOWER($B147))),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LOWER($B147))), 2)))"),"/")</f>
        <v>/</v>
      </c>
    </row>
    <row r="148" customFormat="false" ht="15.75" hidden="false" customHeight="false" outlineLevel="0" collapsed="false">
      <c r="A148" s="10" t="n">
        <v>147</v>
      </c>
      <c r="B148" s="1" t="s">
        <v>166</v>
      </c>
      <c r="C148" s="0" t="str">
        <f aca="false">IFERROR(__xludf.dummyfunction("ROUND(0.00909003 * (FILTER('Go Base Stats'!$C$2:$C1000, 'Go Base Stats'!$A$2:$A1000 = $A148))^0.5 *(FILTER('Go Base Stats'!$D$2:$D1000, 'Go Base Stats'!$A$2:$A1000 = $A148))*(FILTER('Go Base Stats'!$E$2:$E1000, 'Go Base Stats'!$A$2:$A1000 = $A148))^0.5 / 10, 1)"),"11.1")</f>
        <v>11.1</v>
      </c>
      <c r="D148" s="0" t="str">
        <f aca="false">IFERROR(__xludf.dummyfunction("ROUND(0.00909003 * (FILTER('Go Base Stats'!$C$2:$C1000, 'Go Base Stats'!$A$2:$A1000 = $A148)+7.5)^0.5 *(FILTER('Go Base Stats'!$D$2:$D1000, 'Go Base Stats'!$A$2:$A1000 = $A148) + 7.5)*(FILTER('Go Base Stats'!$E$2:$E1000, 'Go Base Stats'!$A$2:$A1000 = $A148) + 7.5)^0.5 / 10, 1)"),"12.6")</f>
        <v>12.6</v>
      </c>
      <c r="E148" s="0" t="str">
        <f aca="false">IFERROR(__xludf.dummyfunction("ROUND(0.00909003 * (FILTER('Go Base Stats'!$C$2:$C1000, 'Go Base Stats'!$A$2:$A1000 = $A148)+15)^0.5 *(FILTER('Go Base Stats'!$D$2:$D1000, 'Go Base Stats'!$A$2:$A1000 = $A148) +15)*(FILTER('Go Base Stats'!$E$2:$E1000, 'Go Base Stats'!$A$2:$A1000 = $A148) + 15)^0.5 / 10, 1)"),"14.3")</f>
        <v>14.3</v>
      </c>
      <c r="F148" s="6"/>
      <c r="G148" s="6" t="str">
        <f aca="false">IFERROR(__xludf.dummyfunction("FILTER('Base Stats'!$C$2:$C1000, LOWER('Base Stats'!$B$2:$B1000) = LOWER($B148))"),"41")</f>
        <v>41</v>
      </c>
      <c r="H148" s="0" t="str">
        <f aca="false">IFERROR(__xludf.dummyfunction("FLOOR((0.7903)^2 * (FILTER('Go Base Stats'!$C$2:$C1000, 'Go Base Stats'!$A$2:$A1000 = $A148)+15)^0.5 *(FILTER('Go Base Stats'!$D$2:$D1000, 'Go Base Stats'!$A$2:$A1000 = $A148) +15)*(FILTER('Go Base Stats'!$E$2:$E1000, 'Go Base Stats'!$A$2:$A1000 = $A148) + 15)^0.5 / 10)"),"983")</f>
        <v>983</v>
      </c>
      <c r="I148" s="0" t="str">
        <f aca="false">IFERROR(__xludf.dummyfunction("FLOOR(0.7903* (FILTER('Go Base Stats'!$C$2:$C1000, 'Go Base Stats'!$A$2:$A1000 = $A148)+15))"),"76")</f>
        <v>76</v>
      </c>
      <c r="J148" s="17"/>
      <c r="K148" s="17"/>
      <c r="L148" s="17"/>
      <c r="M148" s="12" t="e">
        <f aca="false">IF(NOT(ISBLANK($R148)), $R148, IF(ROUND($P148, 1) = 0, "", ROUND($P148, 1) ))</f>
        <v>#VALUE!</v>
      </c>
      <c r="N148" s="13" t="e">
        <f aca="false">ABS(M148-D148)/M148</f>
        <v>#VALUE!</v>
      </c>
      <c r="P148" s="14" t="e">
        <f aca="false">IFERROR((U148+V148)/(W148+X148))</f>
        <v>#VALUE!</v>
      </c>
      <c r="Q148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LOWER($B148)))
)"),"")</f>
        <v/>
      </c>
      <c r="R148" s="16"/>
      <c r="U148" s="0" t="str">
        <f aca="false">IFERROR(__xludf.dummyfunction("IFERROR(SUM(FILTER('Form Responses (Power-up data)'!$C$2:$C1000, LOWER('Form Responses (Power-up data)'!$B$2:$B1000) = LOWER($B148))), 0)"),"0")</f>
        <v>0</v>
      </c>
      <c r="V148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LOWER($B148))
),0)"),"13")</f>
        <v>13</v>
      </c>
      <c r="W148" s="0" t="str">
        <f aca="false">IFERROR(__xludf.dummyfunction("COUNT(FILTER('Form Responses (Power-up data)'!$C$2:$C1000, LOWER('Form Responses (Power-up data)'!$B$2:$B1000) = LOWER($B148)))"),"0")</f>
        <v>0</v>
      </c>
      <c r="X148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LOWER($B148)))"),"1")</f>
        <v>1</v>
      </c>
      <c r="Y148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LOWER($B148))),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LOWER($B148))), 2)))"),"/")</f>
        <v>/</v>
      </c>
    </row>
    <row r="149" customFormat="false" ht="15.75" hidden="false" customHeight="false" outlineLevel="0" collapsed="false">
      <c r="A149" s="10" t="n">
        <v>148</v>
      </c>
      <c r="B149" s="1" t="s">
        <v>167</v>
      </c>
      <c r="C149" s="0" t="str">
        <f aca="false">IFERROR(__xludf.dummyfunction("ROUND(0.00909003 * (FILTER('Go Base Stats'!$C$2:$C1000, 'Go Base Stats'!$A$2:$A1000 = $A149))^0.5 *(FILTER('Go Base Stats'!$D$2:$D1000, 'Go Base Stats'!$A$2:$A1000 = $A149))*(FILTER('Go Base Stats'!$E$2:$E1000, 'Go Base Stats'!$A$2:$A1000 = $A149))^0.5 / 10, 1)"),"21")</f>
        <v>21</v>
      </c>
      <c r="D149" s="0" t="str">
        <f aca="false">IFERROR(__xludf.dummyfunction("ROUND(0.00909003 * (FILTER('Go Base Stats'!$C$2:$C1000, 'Go Base Stats'!$A$2:$A1000 = $A149)+7.5)^0.5 *(FILTER('Go Base Stats'!$D$2:$D1000, 'Go Base Stats'!$A$2:$A1000 = $A149) + 7.5)*(FILTER('Go Base Stats'!$E$2:$E1000, 'Go Base Stats'!$A$2:$A1000 = $A149) + 7.5)^0.5 / 10, 1)"),"23.2")</f>
        <v>23.2</v>
      </c>
      <c r="E149" s="0" t="str">
        <f aca="false">IFERROR(__xludf.dummyfunction("ROUND(0.00909003 * (FILTER('Go Base Stats'!$C$2:$C1000, 'Go Base Stats'!$A$2:$A1000 = $A149)+15)^0.5 *(FILTER('Go Base Stats'!$D$2:$D1000, 'Go Base Stats'!$A$2:$A1000 = $A149) +15)*(FILTER('Go Base Stats'!$E$2:$E1000, 'Go Base Stats'!$A$2:$A1000 = $A149) + 15)^0.5 / 10, 1)"),"25.4")</f>
        <v>25.4</v>
      </c>
      <c r="F149" s="6" t="n">
        <f aca="false">ROUND(D149/D148, 1)</f>
        <v>1.8</v>
      </c>
      <c r="G149" s="6" t="str">
        <f aca="false">IFERROR(__xludf.dummyfunction("FILTER('Base Stats'!$C$2:$C1000, LOWER('Base Stats'!$B$2:$B1000) = LOWER($B149))"),"61")</f>
        <v>61</v>
      </c>
      <c r="H149" s="0" t="str">
        <f aca="false">IFERROR(__xludf.dummyfunction("FLOOR((0.7903)^2 * (FILTER('Go Base Stats'!$C$2:$C1000, 'Go Base Stats'!$A$2:$A1000 = $A149)+15)^0.5 *(FILTER('Go Base Stats'!$D$2:$D1000, 'Go Base Stats'!$A$2:$A1000 = $A149) +15)*(FILTER('Go Base Stats'!$E$2:$E1000, 'Go Base Stats'!$A$2:$A1000 = $A149) + 15)^0.5 / 10)"),"1747")</f>
        <v>1747</v>
      </c>
      <c r="I149" s="0" t="str">
        <f aca="false">IFERROR(__xludf.dummyfunction("FLOOR(0.7903* (FILTER('Go Base Stats'!$C$2:$C1000, 'Go Base Stats'!$A$2:$A1000 = $A149)+15))"),"108")</f>
        <v>108</v>
      </c>
      <c r="J149" s="17"/>
      <c r="K149" s="17"/>
      <c r="L149" s="17"/>
      <c r="M149" s="12" t="e">
        <f aca="false">IF(NOT(ISBLANK($R149)), $R149, IF(ROUND($P149, 1) = 0, "", ROUND($P149, 1) ))</f>
        <v>#VALUE!</v>
      </c>
      <c r="N149" s="13" t="e">
        <f aca="false">ABS(M149-D149)/M149</f>
        <v>#VALUE!</v>
      </c>
      <c r="P149" s="14" t="e">
        <f aca="false">IFERROR((U149+V149)/(W149+X149))</f>
        <v>#VALUE!</v>
      </c>
      <c r="Q149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LOWER($B149)))
)"),"2.60130719")</f>
        <v>2.60130719</v>
      </c>
      <c r="R149" s="16"/>
      <c r="U149" s="0" t="str">
        <f aca="false">IFERROR(__xludf.dummyfunction("IFERROR(SUM(FILTER('Form Responses (Power-up data)'!$C$2:$C1000, LOWER('Form Responses (Power-up data)'!$B$2:$B1000) = LOWER($B149))), 0)"),"0")</f>
        <v>0</v>
      </c>
      <c r="V149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LOWER($B149))
),0)"),"25")</f>
        <v>25</v>
      </c>
      <c r="W149" s="0" t="str">
        <f aca="false">IFERROR(__xludf.dummyfunction("COUNT(FILTER('Form Responses (Power-up data)'!$C$2:$C1000, LOWER('Form Responses (Power-up data)'!$B$2:$B1000) = LOWER($B149)))"),"0")</f>
        <v>0</v>
      </c>
      <c r="X149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LOWER($B149)))"),"1")</f>
        <v>1</v>
      </c>
      <c r="Y149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LOWER($B149))),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LOWER($B149))), 2)))"),"2.6/2.6")</f>
        <v>2.6/2.6</v>
      </c>
    </row>
    <row r="150" customFormat="false" ht="15.75" hidden="false" customHeight="false" outlineLevel="0" collapsed="false">
      <c r="A150" s="10" t="n">
        <v>149</v>
      </c>
      <c r="B150" s="1" t="s">
        <v>168</v>
      </c>
      <c r="C150" s="0" t="str">
        <f aca="false">IFERROR(__xludf.dummyfunction("ROUND(0.00909003 * (FILTER('Go Base Stats'!$C$2:$C1000, 'Go Base Stats'!$A$2:$A1000 = $A150))^0.5 *(FILTER('Go Base Stats'!$D$2:$D1000, 'Go Base Stats'!$A$2:$A1000 = $A150))*(FILTER('Go Base Stats'!$E$2:$E1000, 'Go Base Stats'!$A$2:$A1000 = $A150))^0.5 / 10, 1)"),"44.6")</f>
        <v>44.6</v>
      </c>
      <c r="D150" s="0" t="str">
        <f aca="false">IFERROR(__xludf.dummyfunction("ROUND(0.00909003 * (FILTER('Go Base Stats'!$C$2:$C1000, 'Go Base Stats'!$A$2:$A1000 = $A150)+7.5)^0.5 *(FILTER('Go Base Stats'!$D$2:$D1000, 'Go Base Stats'!$A$2:$A1000 = $A150) + 7.5)*(FILTER('Go Base Stats'!$E$2:$E1000, 'Go Base Stats'!$A$2:$A1000 = $A150) + 7.5)^0.5 / 10, 1)"),"47.7")</f>
        <v>47.7</v>
      </c>
      <c r="E150" s="0" t="str">
        <f aca="false">IFERROR(__xludf.dummyfunction("ROUND(0.00909003 * (FILTER('Go Base Stats'!$C$2:$C1000, 'Go Base Stats'!$A$2:$A1000 = $A150)+15)^0.5 *(FILTER('Go Base Stats'!$D$2:$D1000, 'Go Base Stats'!$A$2:$A1000 = $A150) +15)*(FILTER('Go Base Stats'!$E$2:$E1000, 'Go Base Stats'!$A$2:$A1000 = $A150) + 15)^0.5 / 10, 1)"),"50.9")</f>
        <v>50.9</v>
      </c>
      <c r="F150" s="6" t="n">
        <f aca="false">ROUND(D150/D149, 1)</f>
        <v>2.1</v>
      </c>
      <c r="G150" s="6" t="str">
        <f aca="false">IFERROR(__xludf.dummyfunction("FILTER('Base Stats'!$C$2:$C1000, LOWER('Base Stats'!$B$2:$B1000) = LOWER($B150))"),"91")</f>
        <v>91</v>
      </c>
      <c r="H150" s="0" t="str">
        <f aca="false">IFERROR(__xludf.dummyfunction("FLOOR((0.7903)^2 * (FILTER('Go Base Stats'!$C$2:$C1000, 'Go Base Stats'!$A$2:$A1000 = $A150)+15)^0.5 *(FILTER('Go Base Stats'!$D$2:$D1000, 'Go Base Stats'!$A$2:$A1000 = $A150) +15)*(FILTER('Go Base Stats'!$E$2:$E1000, 'Go Base Stats'!$A$2:$A1000 = $A150) + 15)^0.5 / 10)"),"3500")</f>
        <v>3500</v>
      </c>
      <c r="I150" s="0" t="str">
        <f aca="false">IFERROR(__xludf.dummyfunction("FLOOR(0.7903* (FILTER('Go Base Stats'!$C$2:$C1000, 'Go Base Stats'!$A$2:$A1000 = $A150)+15))"),"155")</f>
        <v>155</v>
      </c>
      <c r="J150" s="17"/>
      <c r="K150" s="17"/>
      <c r="L150" s="17"/>
      <c r="M150" s="12" t="e">
        <f aca="false">IF(NOT(ISBLANK($R150)), $R150, IF(ROUND($P150, 1) = 0, "", ROUND($P150, 1) ))</f>
        <v>#VALUE!</v>
      </c>
      <c r="N150" s="13" t="e">
        <f aca="false">ABS(M150-D150)/M150</f>
        <v>#VALUE!</v>
      </c>
      <c r="P150" s="14" t="e">
        <f aca="false">IFERROR((U150+V150)/(W150+X150))</f>
        <v>#VALUE!</v>
      </c>
      <c r="Q150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LOWER($B150)))
)"),"")</f>
        <v/>
      </c>
      <c r="R150" s="18"/>
      <c r="U150" s="0" t="str">
        <f aca="false">IFERROR(__xludf.dummyfunction("IFERROR(SUM(FILTER('Form Responses (Power-up data)'!$C$2:$C1000, LOWER('Form Responses (Power-up data)'!$B$2:$B1000) = LOWER($B150))), 0)"),"0")</f>
        <v>0</v>
      </c>
      <c r="V150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LOWER($B150))
),0)"),"403")</f>
        <v>403</v>
      </c>
      <c r="W150" s="0" t="str">
        <f aca="false">IFERROR(__xludf.dummyfunction("COUNT(FILTER('Form Responses (Power-up data)'!$C$2:$C1000, LOWER('Form Responses (Power-up data)'!$B$2:$B1000) = LOWER($B150)))"),"0")</f>
        <v>0</v>
      </c>
      <c r="X150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LOWER($B150)))"),"9")</f>
        <v>9</v>
      </c>
      <c r="Y150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LOWER($B150))),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LOWER($B150))), 2)))"),"/")</f>
        <v>/</v>
      </c>
    </row>
    <row r="151" customFormat="false" ht="15.75" hidden="false" customHeight="false" outlineLevel="0" collapsed="false">
      <c r="A151" s="10" t="n">
        <v>150</v>
      </c>
      <c r="B151" s="1" t="s">
        <v>169</v>
      </c>
      <c r="C151" s="0" t="str">
        <f aca="false">IFERROR(__xludf.dummyfunction("ROUND(0.00909003 * (FILTER('Go Base Stats'!$C$2:$C1000, 'Go Base Stats'!$A$2:$A1000 = $A151))^0.5 *(FILTER('Go Base Stats'!$D$2:$D1000, 'Go Base Stats'!$A$2:$A1000 = $A151))*(FILTER('Go Base Stats'!$E$2:$E1000, 'Go Base Stats'!$A$2:$A1000 = $A151))^0.5 / 10, 1)"),"53.4")</f>
        <v>53.4</v>
      </c>
      <c r="D151" s="0" t="str">
        <f aca="false">IFERROR(__xludf.dummyfunction("ROUND(0.00909003 * (FILTER('Go Base Stats'!$C$2:$C1000, 'Go Base Stats'!$A$2:$A1000 = $A151)+7.5)^0.5 *(FILTER('Go Base Stats'!$D$2:$D1000, 'Go Base Stats'!$A$2:$A1000 = $A151) + 7.5)*(FILTER('Go Base Stats'!$E$2:$E1000, 'Go Base Stats'!$A$2:$A1000 = $A151) + 7.5)^0.5 / 10, 1)"),"56.8")</f>
        <v>56.8</v>
      </c>
      <c r="E151" s="0" t="str">
        <f aca="false">IFERROR(__xludf.dummyfunction("ROUND(0.00909003 * (FILTER('Go Base Stats'!$C$2:$C1000, 'Go Base Stats'!$A$2:$A1000 = $A151)+15)^0.5 *(FILTER('Go Base Stats'!$D$2:$D1000, 'Go Base Stats'!$A$2:$A1000 = $A151) +15)*(FILTER('Go Base Stats'!$E$2:$E1000, 'Go Base Stats'!$A$2:$A1000 = $A151) + 15)^0.5 / 10, 1)"),"60.3")</f>
        <v>60.3</v>
      </c>
      <c r="F151" s="6"/>
      <c r="G151" s="6" t="str">
        <f aca="false">IFERROR(__xludf.dummyfunction("FILTER('Base Stats'!$C$2:$C1000, LOWER('Base Stats'!$B$2:$B1000) = LOWER($B151))"),"106")</f>
        <v>106</v>
      </c>
      <c r="H151" s="0" t="str">
        <f aca="false">IFERROR(__xludf.dummyfunction("FLOOR((0.7903)^2 * (FILTER('Go Base Stats'!$C$2:$C1000, 'Go Base Stats'!$A$2:$A1000 = $A151)+15)^0.5 *(FILTER('Go Base Stats'!$D$2:$D1000, 'Go Base Stats'!$A$2:$A1000 = $A151) +15)*(FILTER('Go Base Stats'!$E$2:$E1000, 'Go Base Stats'!$A$2:$A1000 = $A151) + 15)^0.5 / 10)"),"4144")</f>
        <v>4144</v>
      </c>
      <c r="I151" s="0" t="str">
        <f aca="false">IFERROR(__xludf.dummyfunction("FLOOR(0.7903* (FILTER('Go Base Stats'!$C$2:$C1000, 'Go Base Stats'!$A$2:$A1000 = $A151)+15))"),"179")</f>
        <v>179</v>
      </c>
      <c r="J151" s="17"/>
      <c r="K151" s="17"/>
      <c r="L151" s="17"/>
      <c r="M151" s="12" t="e">
        <f aca="false">IF(NOT(ISBLANK($R151)), $R151, IF(ROUND($P151, 1) = 0, "", ROUND($P151, 1) ))</f>
        <v>#VALUE!</v>
      </c>
      <c r="N151" s="13" t="e">
        <f aca="false">ABS(M151-D151)/M151</f>
        <v>#VALUE!</v>
      </c>
      <c r="P151" s="14" t="e">
        <f aca="false">IFERROR((U151+V151)/(W151+X151))</f>
        <v>#VALUE!</v>
      </c>
      <c r="Q151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LOWER($B151)))
)"),"")</f>
        <v/>
      </c>
      <c r="R151" s="16"/>
      <c r="U151" s="0" t="str">
        <f aca="false">IFERROR(__xludf.dummyfunction("IFERROR(SUM(FILTER('Form Responses (Power-up data)'!$C$2:$C1000, LOWER('Form Responses (Power-up data)'!$B$2:$B1000) = LOWER($B151))), 0)"),"0")</f>
        <v>0</v>
      </c>
      <c r="V151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LOWER($B151))
),0)"),"0")</f>
        <v>0</v>
      </c>
      <c r="W151" s="0" t="str">
        <f aca="false">IFERROR(__xludf.dummyfunction("COUNT(FILTER('Form Responses (Power-up data)'!$C$2:$C1000, LOWER('Form Responses (Power-up data)'!$B$2:$B1000) = LOWER($B151)))"),"0")</f>
        <v>0</v>
      </c>
      <c r="X151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LOWER($B151)))"),"0")</f>
        <v>0</v>
      </c>
      <c r="Y151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LOWER($B151))),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LOWER($B151))), 2)))"),"/")</f>
        <v>/</v>
      </c>
    </row>
    <row r="152" customFormat="false" ht="15.75" hidden="false" customHeight="false" outlineLevel="0" collapsed="false">
      <c r="A152" s="1" t="n">
        <v>151</v>
      </c>
      <c r="B152" s="1" t="s">
        <v>170</v>
      </c>
      <c r="C152" s="0" t="str">
        <f aca="false">IFERROR(__xludf.dummyfunction("ROUND(0.00909003 * (FILTER('Go Base Stats'!$C$2:$C1000, 'Go Base Stats'!$A$2:$A1000 = $A152))^0.5 *(FILTER('Go Base Stats'!$D$2:$D1000, 'Go Base Stats'!$A$2:$A1000 = $A152))*(FILTER('Go Base Stats'!$E$2:$E1000, 'Go Base Stats'!$A$2:$A1000 = $A152))^0.5 / 10, 1)"),"41.9")</f>
        <v>41.9</v>
      </c>
      <c r="D152" s="0" t="str">
        <f aca="false">IFERROR(__xludf.dummyfunction("ROUND(0.00909003 * (FILTER('Go Base Stats'!$C$2:$C1000, 'Go Base Stats'!$A$2:$A1000 = $A152)+7.5)^0.5 *(FILTER('Go Base Stats'!$D$2:$D1000, 'Go Base Stats'!$A$2:$A1000 = $A152) + 7.5)*(FILTER('Go Base Stats'!$E$2:$E1000, 'Go Base Stats'!$A$2:$A1000 = $A152) + 7.5)^0.5 / 10, 1)"),"44.9")</f>
        <v>44.9</v>
      </c>
      <c r="E152" s="0" t="str">
        <f aca="false">IFERROR(__xludf.dummyfunction("ROUND(0.00909003 * (FILTER('Go Base Stats'!$C$2:$C1000, 'Go Base Stats'!$A$2:$A1000 = $A152)+15)^0.5 *(FILTER('Go Base Stats'!$D$2:$D1000, 'Go Base Stats'!$A$2:$A1000 = $A152) +15)*(FILTER('Go Base Stats'!$E$2:$E1000, 'Go Base Stats'!$A$2:$A1000 = $A152) + 15)^0.5 / 10, 1)"),"48")</f>
        <v>48</v>
      </c>
      <c r="F152" s="6"/>
      <c r="G152" s="6" t="str">
        <f aca="false">IFERROR(__xludf.dummyfunction("FILTER('Base Stats'!$C$2:$C1000, LOWER('Base Stats'!$B$2:$B1000) = LOWER($B152))"),"100")</f>
        <v>100</v>
      </c>
      <c r="H152" s="0" t="str">
        <f aca="false">IFERROR(__xludf.dummyfunction("FLOOR((0.7903)^2 * (FILTER('Go Base Stats'!$C$2:$C1000, 'Go Base Stats'!$A$2:$A1000 = $A152)+15)^0.5 *(FILTER('Go Base Stats'!$D$2:$D1000, 'Go Base Stats'!$A$2:$A1000 = $A152) +15)*(FILTER('Go Base Stats'!$E$2:$E1000, 'Go Base Stats'!$A$2:$A1000 = $A152) + 15)^0.5 / 10)"),"3299")</f>
        <v>3299</v>
      </c>
      <c r="I152" s="0" t="str">
        <f aca="false">IFERROR(__xludf.dummyfunction("FLOOR(0.7903* (FILTER('Go Base Stats'!$C$2:$C1000, 'Go Base Stats'!$A$2:$A1000 = $A152)+15))"),"169")</f>
        <v>169</v>
      </c>
      <c r="J152" s="17"/>
      <c r="K152" s="17"/>
      <c r="L152" s="17"/>
      <c r="M152" s="12" t="e">
        <f aca="false">IF(NOT(ISBLANK($R152)), $R152, IF(ROUND($P152, 1) = 0, "", ROUND($P152, 1) ))</f>
        <v>#VALUE!</v>
      </c>
      <c r="N152" s="13" t="e">
        <f aca="false">ABS(M152-D152)/M152</f>
        <v>#VALUE!</v>
      </c>
      <c r="P152" s="14" t="e">
        <f aca="false">IFERROR((U152+V152)/(W152+X152))</f>
        <v>#VALUE!</v>
      </c>
      <c r="Q152" s="15" t="str">
        <f aca="false">IFERROR(__xludf.dummyfunction("IFERROR(AVERAGE(FILTER(DIVIDE('Form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LOWER($B152)))
)"),"")</f>
        <v/>
      </c>
      <c r="R152" s="16"/>
      <c r="U152" s="0" t="str">
        <f aca="false">IFERROR(__xludf.dummyfunction("IFERROR(SUM(FILTER('Form Responses (Power-up data)'!$C$2:$C1000, LOWER('Form Responses (Power-up data)'!$B$2:$B1000) = LOWER($B152))), 0)"),"0")</f>
        <v>0</v>
      </c>
      <c r="V152" s="12" t="str">
        <f aca="false">IFERROR(__xludf.dummyfunction("IFERROR(SUM(FILTER('Form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LOWER($B152))
),0)"),"0")</f>
        <v>0</v>
      </c>
      <c r="W152" s="0" t="str">
        <f aca="false">IFERROR(__xludf.dummyfunction("COUNT(FILTER('Form Responses (Power-up data)'!$C$2:$C1000, LOWER('Form Responses (Power-up data)'!$B$2:$B1000) = LOWER($B152)))"),"0")</f>
        <v>0</v>
      </c>
      <c r="X152" s="12" t="str">
        <f aca="false">IFERROR(__xludf.dummyfunction("COUNT(FILTER('Form Responses (How much CP did you gain)'!$G$2:$G1000, ('Form Responses (How much CP did you gain)'!$B$2:$B1000 = ""Power up"") + ('Form Responses (How much CP did you gain)'!$H$2:$H1000 = ""Power up""), LOWER('Form Responses (How much CP did you gain)'!$F$2:$F1000) = LOWER($B152)))"),"0")</f>
        <v>0</v>
      </c>
      <c r="Y152" s="15" t="str">
        <f aca="false">IFERROR(__xludf.dummyfunction("JOIN(""/"", IFERROR(ROUND(MIN(FILTER(DIVIDE('Form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LOWER($B152))), 2)), IFERROR(ROUND(MAX(FILTER(DIVIDE('Form Responses (How much CP did you gain)'!$E$2:$E1000,'Form Responses (How much CP did you gain)'!$D$2:$D1000), ('Form Responses (How much CP did you gain)'!$B$2:$B1000 = ""Evolve"") + ('Form Responses (How much CP did you gain)'!$H$2:$H1000 = ""Evolve""), LOWER('Form Responses (How much CP did you gain)'!$C$2:$C1000) = LOWER($B152))), 2)))"),"/")</f>
        <v>/</v>
      </c>
    </row>
  </sheetData>
  <conditionalFormatting sqref="N3:N152">
    <cfRule type="colorScale" priority="2">
      <colorScale>
        <cfvo type="min" val="0"/>
        <cfvo type="percentile" val="50"/>
        <cfvo type="max" val="0"/>
        <color rgb="FF57BB8A"/>
        <color rgb="FFFFFFFF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025" min="1" style="0" width="14.1734693877551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1" t="s">
        <v>185</v>
      </c>
      <c r="B1" s="31" t="s">
        <v>1</v>
      </c>
      <c r="C1" s="31" t="s">
        <v>478</v>
      </c>
      <c r="D1" s="31" t="s">
        <v>187</v>
      </c>
      <c r="E1" s="31" t="s">
        <v>188</v>
      </c>
      <c r="F1" s="31" t="s">
        <v>567</v>
      </c>
      <c r="G1" s="31" t="s">
        <v>568</v>
      </c>
      <c r="H1" s="31" t="s">
        <v>569</v>
      </c>
      <c r="I1" s="31" t="s">
        <v>570</v>
      </c>
      <c r="J1" s="31" t="s">
        <v>492</v>
      </c>
      <c r="K1" s="8"/>
      <c r="L1" s="8"/>
      <c r="M1" s="8"/>
      <c r="N1" s="8"/>
    </row>
    <row r="2" customFormat="false" ht="15.75" hidden="false" customHeight="false" outlineLevel="0" collapsed="false">
      <c r="A2" s="10" t="n">
        <v>1</v>
      </c>
      <c r="B2" s="31" t="s">
        <v>20</v>
      </c>
      <c r="C2" s="10" t="n">
        <v>45</v>
      </c>
      <c r="D2" s="10" t="n">
        <v>49</v>
      </c>
      <c r="E2" s="10" t="n">
        <v>49</v>
      </c>
      <c r="F2" s="10" t="n">
        <v>65</v>
      </c>
      <c r="G2" s="10" t="n">
        <v>65</v>
      </c>
      <c r="H2" s="10" t="n">
        <v>45</v>
      </c>
      <c r="I2" s="10" t="n">
        <v>318</v>
      </c>
      <c r="J2" s="10" t="n">
        <v>53</v>
      </c>
      <c r="K2" s="10"/>
      <c r="L2" s="8"/>
      <c r="M2" s="8"/>
      <c r="N2" s="8"/>
    </row>
    <row r="3" customFormat="false" ht="15.75" hidden="false" customHeight="false" outlineLevel="0" collapsed="false">
      <c r="A3" s="10" t="n">
        <v>2</v>
      </c>
      <c r="B3" s="31" t="s">
        <v>21</v>
      </c>
      <c r="C3" s="10" t="n">
        <v>60</v>
      </c>
      <c r="D3" s="10" t="n">
        <v>62</v>
      </c>
      <c r="E3" s="10" t="n">
        <v>63</v>
      </c>
      <c r="F3" s="10" t="n">
        <v>80</v>
      </c>
      <c r="G3" s="10" t="n">
        <v>80</v>
      </c>
      <c r="H3" s="10" t="n">
        <v>60</v>
      </c>
      <c r="I3" s="10" t="n">
        <v>405</v>
      </c>
      <c r="J3" s="10" t="n">
        <v>67.5</v>
      </c>
      <c r="K3" s="10"/>
      <c r="L3" s="8"/>
      <c r="M3" s="8"/>
      <c r="N3" s="8"/>
    </row>
    <row r="4" customFormat="false" ht="15.75" hidden="false" customHeight="false" outlineLevel="0" collapsed="false">
      <c r="A4" s="10" t="n">
        <v>3</v>
      </c>
      <c r="B4" s="31" t="s">
        <v>22</v>
      </c>
      <c r="C4" s="10" t="n">
        <v>80</v>
      </c>
      <c r="D4" s="10" t="n">
        <v>82</v>
      </c>
      <c r="E4" s="10" t="n">
        <v>83</v>
      </c>
      <c r="F4" s="10" t="n">
        <v>100</v>
      </c>
      <c r="G4" s="10" t="n">
        <v>100</v>
      </c>
      <c r="H4" s="10" t="n">
        <v>80</v>
      </c>
      <c r="I4" s="10" t="n">
        <v>525</v>
      </c>
      <c r="J4" s="10" t="n">
        <v>87.5</v>
      </c>
      <c r="K4" s="10"/>
      <c r="L4" s="8"/>
      <c r="M4" s="8"/>
      <c r="N4" s="8"/>
    </row>
    <row r="5" customFormat="false" ht="15.75" hidden="false" customHeight="false" outlineLevel="0" collapsed="false">
      <c r="A5" s="10" t="n">
        <v>4</v>
      </c>
      <c r="B5" s="31" t="s">
        <v>23</v>
      </c>
      <c r="C5" s="10" t="n">
        <v>39</v>
      </c>
      <c r="D5" s="10" t="n">
        <v>52</v>
      </c>
      <c r="E5" s="10" t="n">
        <v>43</v>
      </c>
      <c r="F5" s="10" t="n">
        <v>60</v>
      </c>
      <c r="G5" s="10" t="n">
        <v>50</v>
      </c>
      <c r="H5" s="10" t="n">
        <v>65</v>
      </c>
      <c r="I5" s="10" t="n">
        <v>309</v>
      </c>
      <c r="J5" s="10" t="n">
        <v>51.5</v>
      </c>
      <c r="K5" s="10"/>
      <c r="L5" s="8"/>
      <c r="M5" s="8"/>
      <c r="N5" s="8"/>
    </row>
    <row r="6" customFormat="false" ht="15.75" hidden="false" customHeight="false" outlineLevel="0" collapsed="false">
      <c r="A6" s="10" t="n">
        <v>5</v>
      </c>
      <c r="B6" s="31" t="s">
        <v>24</v>
      </c>
      <c r="C6" s="10" t="n">
        <v>58</v>
      </c>
      <c r="D6" s="10" t="n">
        <v>64</v>
      </c>
      <c r="E6" s="10" t="n">
        <v>58</v>
      </c>
      <c r="F6" s="10" t="n">
        <v>80</v>
      </c>
      <c r="G6" s="10" t="n">
        <v>65</v>
      </c>
      <c r="H6" s="10" t="n">
        <v>80</v>
      </c>
      <c r="I6" s="10" t="n">
        <v>405</v>
      </c>
      <c r="J6" s="10" t="n">
        <v>67.5</v>
      </c>
      <c r="K6" s="10"/>
      <c r="L6" s="8"/>
      <c r="M6" s="8"/>
      <c r="N6" s="8"/>
    </row>
    <row r="7" customFormat="false" ht="15.75" hidden="false" customHeight="false" outlineLevel="0" collapsed="false">
      <c r="A7" s="10" t="n">
        <v>6</v>
      </c>
      <c r="B7" s="31" t="s">
        <v>25</v>
      </c>
      <c r="C7" s="10" t="n">
        <v>78</v>
      </c>
      <c r="D7" s="10" t="n">
        <v>84</v>
      </c>
      <c r="E7" s="10" t="n">
        <v>78</v>
      </c>
      <c r="F7" s="10" t="n">
        <v>109</v>
      </c>
      <c r="G7" s="10" t="n">
        <v>85</v>
      </c>
      <c r="H7" s="10" t="n">
        <v>100</v>
      </c>
      <c r="I7" s="10" t="n">
        <v>534</v>
      </c>
      <c r="J7" s="10" t="n">
        <v>89</v>
      </c>
      <c r="K7" s="10"/>
      <c r="L7" s="8"/>
      <c r="M7" s="8"/>
      <c r="N7" s="8"/>
    </row>
    <row r="8" customFormat="false" ht="15.75" hidden="false" customHeight="false" outlineLevel="0" collapsed="false">
      <c r="A8" s="10" t="n">
        <v>7</v>
      </c>
      <c r="B8" s="31" t="s">
        <v>26</v>
      </c>
      <c r="C8" s="10" t="n">
        <v>44</v>
      </c>
      <c r="D8" s="10" t="n">
        <v>48</v>
      </c>
      <c r="E8" s="10" t="n">
        <v>65</v>
      </c>
      <c r="F8" s="10" t="n">
        <v>50</v>
      </c>
      <c r="G8" s="10" t="n">
        <v>64</v>
      </c>
      <c r="H8" s="10" t="n">
        <v>43</v>
      </c>
      <c r="I8" s="10" t="n">
        <v>314</v>
      </c>
      <c r="J8" s="10" t="n">
        <v>52.33</v>
      </c>
      <c r="K8" s="10"/>
      <c r="L8" s="8"/>
      <c r="M8" s="8"/>
      <c r="N8" s="8"/>
    </row>
    <row r="9" customFormat="false" ht="15.75" hidden="false" customHeight="false" outlineLevel="0" collapsed="false">
      <c r="A9" s="10" t="n">
        <v>8</v>
      </c>
      <c r="B9" s="31" t="s">
        <v>27</v>
      </c>
      <c r="C9" s="10" t="n">
        <v>59</v>
      </c>
      <c r="D9" s="10" t="n">
        <v>63</v>
      </c>
      <c r="E9" s="10" t="n">
        <v>80</v>
      </c>
      <c r="F9" s="10" t="n">
        <v>65</v>
      </c>
      <c r="G9" s="10" t="n">
        <v>80</v>
      </c>
      <c r="H9" s="10" t="n">
        <v>58</v>
      </c>
      <c r="I9" s="10" t="n">
        <v>405</v>
      </c>
      <c r="J9" s="10" t="n">
        <v>67.5</v>
      </c>
      <c r="K9" s="10"/>
      <c r="L9" s="8"/>
      <c r="M9" s="8"/>
      <c r="N9" s="8"/>
    </row>
    <row r="10" customFormat="false" ht="15.75" hidden="false" customHeight="false" outlineLevel="0" collapsed="false">
      <c r="A10" s="10" t="n">
        <v>9</v>
      </c>
      <c r="B10" s="31" t="s">
        <v>28</v>
      </c>
      <c r="C10" s="10" t="n">
        <v>79</v>
      </c>
      <c r="D10" s="10" t="n">
        <v>83</v>
      </c>
      <c r="E10" s="10" t="n">
        <v>100</v>
      </c>
      <c r="F10" s="10" t="n">
        <v>85</v>
      </c>
      <c r="G10" s="10" t="n">
        <v>105</v>
      </c>
      <c r="H10" s="10" t="n">
        <v>78</v>
      </c>
      <c r="I10" s="10" t="n">
        <v>530</v>
      </c>
      <c r="J10" s="10" t="n">
        <v>88.33</v>
      </c>
      <c r="K10" s="10"/>
      <c r="L10" s="8"/>
      <c r="M10" s="8"/>
      <c r="N10" s="8"/>
    </row>
    <row r="11" customFormat="false" ht="15.75" hidden="false" customHeight="false" outlineLevel="0" collapsed="false">
      <c r="A11" s="10" t="n">
        <v>10</v>
      </c>
      <c r="B11" s="31" t="s">
        <v>29</v>
      </c>
      <c r="C11" s="10" t="n">
        <v>45</v>
      </c>
      <c r="D11" s="10" t="n">
        <v>30</v>
      </c>
      <c r="E11" s="10" t="n">
        <v>35</v>
      </c>
      <c r="F11" s="10" t="n">
        <v>20</v>
      </c>
      <c r="G11" s="10" t="n">
        <v>20</v>
      </c>
      <c r="H11" s="10" t="n">
        <v>45</v>
      </c>
      <c r="I11" s="10" t="n">
        <v>195</v>
      </c>
      <c r="J11" s="10" t="n">
        <v>32.5</v>
      </c>
      <c r="K11" s="10"/>
      <c r="L11" s="8"/>
      <c r="M11" s="8"/>
      <c r="N11" s="8"/>
    </row>
    <row r="12" customFormat="false" ht="15.75" hidden="false" customHeight="false" outlineLevel="0" collapsed="false">
      <c r="A12" s="10" t="n">
        <v>11</v>
      </c>
      <c r="B12" s="31" t="s">
        <v>30</v>
      </c>
      <c r="C12" s="10" t="n">
        <v>50</v>
      </c>
      <c r="D12" s="10" t="n">
        <v>20</v>
      </c>
      <c r="E12" s="10" t="n">
        <v>55</v>
      </c>
      <c r="F12" s="10" t="n">
        <v>25</v>
      </c>
      <c r="G12" s="10" t="n">
        <v>25</v>
      </c>
      <c r="H12" s="10" t="n">
        <v>30</v>
      </c>
      <c r="I12" s="10" t="n">
        <v>205</v>
      </c>
      <c r="J12" s="10" t="n">
        <v>34.17</v>
      </c>
      <c r="K12" s="10"/>
      <c r="L12" s="8"/>
      <c r="M12" s="8"/>
      <c r="N12" s="8"/>
    </row>
    <row r="13" customFormat="false" ht="15.75" hidden="false" customHeight="false" outlineLevel="0" collapsed="false">
      <c r="A13" s="10" t="n">
        <v>12</v>
      </c>
      <c r="B13" s="31" t="s">
        <v>31</v>
      </c>
      <c r="C13" s="10" t="n">
        <v>60</v>
      </c>
      <c r="D13" s="10" t="n">
        <v>45</v>
      </c>
      <c r="E13" s="10" t="n">
        <v>50</v>
      </c>
      <c r="F13" s="10" t="n">
        <v>90</v>
      </c>
      <c r="G13" s="10" t="n">
        <v>80</v>
      </c>
      <c r="H13" s="10" t="n">
        <v>70</v>
      </c>
      <c r="I13" s="10" t="n">
        <v>395</v>
      </c>
      <c r="J13" s="10" t="n">
        <v>65.83</v>
      </c>
      <c r="K13" s="10"/>
      <c r="L13" s="8"/>
      <c r="M13" s="8"/>
      <c r="N13" s="8"/>
    </row>
    <row r="14" customFormat="false" ht="15.75" hidden="false" customHeight="false" outlineLevel="0" collapsed="false">
      <c r="A14" s="10" t="n">
        <v>13</v>
      </c>
      <c r="B14" s="31" t="s">
        <v>32</v>
      </c>
      <c r="C14" s="10" t="n">
        <v>40</v>
      </c>
      <c r="D14" s="10" t="n">
        <v>35</v>
      </c>
      <c r="E14" s="10" t="n">
        <v>30</v>
      </c>
      <c r="F14" s="10" t="n">
        <v>20</v>
      </c>
      <c r="G14" s="10" t="n">
        <v>20</v>
      </c>
      <c r="H14" s="10" t="n">
        <v>50</v>
      </c>
      <c r="I14" s="10" t="n">
        <v>195</v>
      </c>
      <c r="J14" s="10" t="n">
        <v>32.5</v>
      </c>
      <c r="K14" s="10"/>
      <c r="L14" s="8"/>
      <c r="M14" s="8"/>
      <c r="N14" s="8"/>
    </row>
    <row r="15" customFormat="false" ht="15.75" hidden="false" customHeight="false" outlineLevel="0" collapsed="false">
      <c r="A15" s="10" t="n">
        <v>14</v>
      </c>
      <c r="B15" s="31" t="s">
        <v>33</v>
      </c>
      <c r="C15" s="10" t="n">
        <v>45</v>
      </c>
      <c r="D15" s="10" t="n">
        <v>25</v>
      </c>
      <c r="E15" s="10" t="n">
        <v>50</v>
      </c>
      <c r="F15" s="10" t="n">
        <v>25</v>
      </c>
      <c r="G15" s="10" t="n">
        <v>25</v>
      </c>
      <c r="H15" s="10" t="n">
        <v>35</v>
      </c>
      <c r="I15" s="10" t="n">
        <v>205</v>
      </c>
      <c r="J15" s="10" t="n">
        <v>34.17</v>
      </c>
      <c r="K15" s="10"/>
      <c r="L15" s="8"/>
      <c r="M15" s="8"/>
      <c r="N15" s="8"/>
    </row>
    <row r="16" customFormat="false" ht="15.75" hidden="false" customHeight="false" outlineLevel="0" collapsed="false">
      <c r="A16" s="10" t="n">
        <v>15</v>
      </c>
      <c r="B16" s="31" t="s">
        <v>34</v>
      </c>
      <c r="C16" s="10" t="n">
        <v>65</v>
      </c>
      <c r="D16" s="10" t="n">
        <v>90</v>
      </c>
      <c r="E16" s="10" t="n">
        <v>40</v>
      </c>
      <c r="F16" s="10" t="n">
        <v>45</v>
      </c>
      <c r="G16" s="10" t="n">
        <v>80</v>
      </c>
      <c r="H16" s="10" t="n">
        <v>75</v>
      </c>
      <c r="I16" s="10" t="n">
        <v>395</v>
      </c>
      <c r="J16" s="10" t="n">
        <v>65.83</v>
      </c>
      <c r="K16" s="10"/>
      <c r="L16" s="8"/>
      <c r="M16" s="8"/>
      <c r="N16" s="8"/>
    </row>
    <row r="17" customFormat="false" ht="15.75" hidden="false" customHeight="false" outlineLevel="0" collapsed="false">
      <c r="A17" s="10" t="n">
        <v>16</v>
      </c>
      <c r="B17" s="31" t="s">
        <v>35</v>
      </c>
      <c r="C17" s="10" t="n">
        <v>40</v>
      </c>
      <c r="D17" s="10" t="n">
        <v>45</v>
      </c>
      <c r="E17" s="10" t="n">
        <v>40</v>
      </c>
      <c r="F17" s="10" t="n">
        <v>35</v>
      </c>
      <c r="G17" s="10" t="n">
        <v>35</v>
      </c>
      <c r="H17" s="10" t="n">
        <v>56</v>
      </c>
      <c r="I17" s="10" t="n">
        <v>251</v>
      </c>
      <c r="J17" s="10" t="n">
        <v>41.83</v>
      </c>
      <c r="K17" s="10"/>
      <c r="L17" s="8"/>
      <c r="M17" s="8"/>
      <c r="N17" s="8"/>
    </row>
    <row r="18" customFormat="false" ht="15.75" hidden="false" customHeight="false" outlineLevel="0" collapsed="false">
      <c r="A18" s="10" t="n">
        <v>17</v>
      </c>
      <c r="B18" s="31" t="s">
        <v>36</v>
      </c>
      <c r="C18" s="10" t="n">
        <v>63</v>
      </c>
      <c r="D18" s="10" t="n">
        <v>60</v>
      </c>
      <c r="E18" s="10" t="n">
        <v>55</v>
      </c>
      <c r="F18" s="10" t="n">
        <v>50</v>
      </c>
      <c r="G18" s="10" t="n">
        <v>50</v>
      </c>
      <c r="H18" s="10" t="n">
        <v>71</v>
      </c>
      <c r="I18" s="10" t="n">
        <v>349</v>
      </c>
      <c r="J18" s="10" t="n">
        <v>58.17</v>
      </c>
      <c r="K18" s="10"/>
      <c r="L18" s="8"/>
      <c r="M18" s="8"/>
      <c r="N18" s="8"/>
    </row>
    <row r="19" customFormat="false" ht="15.75" hidden="false" customHeight="false" outlineLevel="0" collapsed="false">
      <c r="A19" s="10" t="n">
        <v>18</v>
      </c>
      <c r="B19" s="31" t="s">
        <v>37</v>
      </c>
      <c r="C19" s="10" t="n">
        <v>83</v>
      </c>
      <c r="D19" s="10" t="n">
        <v>80</v>
      </c>
      <c r="E19" s="10" t="n">
        <v>75</v>
      </c>
      <c r="F19" s="10" t="n">
        <v>70</v>
      </c>
      <c r="G19" s="10" t="n">
        <v>70</v>
      </c>
      <c r="H19" s="10" t="n">
        <v>101</v>
      </c>
      <c r="I19" s="10" t="n">
        <v>479</v>
      </c>
      <c r="J19" s="10" t="n">
        <v>79.83</v>
      </c>
      <c r="K19" s="10"/>
      <c r="L19" s="8"/>
      <c r="M19" s="8"/>
      <c r="N19" s="8"/>
    </row>
    <row r="20" customFormat="false" ht="15.75" hidden="false" customHeight="false" outlineLevel="0" collapsed="false">
      <c r="A20" s="10" t="n">
        <v>19</v>
      </c>
      <c r="B20" s="31" t="s">
        <v>38</v>
      </c>
      <c r="C20" s="10" t="n">
        <v>30</v>
      </c>
      <c r="D20" s="10" t="n">
        <v>56</v>
      </c>
      <c r="E20" s="10" t="n">
        <v>35</v>
      </c>
      <c r="F20" s="10" t="n">
        <v>25</v>
      </c>
      <c r="G20" s="10" t="n">
        <v>35</v>
      </c>
      <c r="H20" s="10" t="n">
        <v>72</v>
      </c>
      <c r="I20" s="10" t="n">
        <v>253</v>
      </c>
      <c r="J20" s="10" t="n">
        <v>42.17</v>
      </c>
      <c r="K20" s="10"/>
      <c r="L20" s="8"/>
      <c r="M20" s="8"/>
      <c r="N20" s="8"/>
    </row>
    <row r="21" customFormat="false" ht="15.75" hidden="false" customHeight="false" outlineLevel="0" collapsed="false">
      <c r="A21" s="10" t="n">
        <v>20</v>
      </c>
      <c r="B21" s="31" t="s">
        <v>39</v>
      </c>
      <c r="C21" s="10" t="n">
        <v>55</v>
      </c>
      <c r="D21" s="10" t="n">
        <v>81</v>
      </c>
      <c r="E21" s="10" t="n">
        <v>60</v>
      </c>
      <c r="F21" s="10" t="n">
        <v>50</v>
      </c>
      <c r="G21" s="10" t="n">
        <v>70</v>
      </c>
      <c r="H21" s="10" t="n">
        <v>97</v>
      </c>
      <c r="I21" s="10" t="n">
        <v>413</v>
      </c>
      <c r="J21" s="10" t="n">
        <v>68.83</v>
      </c>
      <c r="K21" s="10"/>
      <c r="L21" s="8"/>
      <c r="M21" s="8"/>
      <c r="N21" s="8"/>
    </row>
    <row r="22" customFormat="false" ht="15.75" hidden="false" customHeight="false" outlineLevel="0" collapsed="false">
      <c r="A22" s="10" t="n">
        <v>21</v>
      </c>
      <c r="B22" s="31" t="s">
        <v>40</v>
      </c>
      <c r="C22" s="10" t="n">
        <v>40</v>
      </c>
      <c r="D22" s="10" t="n">
        <v>60</v>
      </c>
      <c r="E22" s="10" t="n">
        <v>30</v>
      </c>
      <c r="F22" s="10" t="n">
        <v>31</v>
      </c>
      <c r="G22" s="10" t="n">
        <v>31</v>
      </c>
      <c r="H22" s="10" t="n">
        <v>70</v>
      </c>
      <c r="I22" s="10" t="n">
        <v>262</v>
      </c>
      <c r="J22" s="10" t="n">
        <v>43.67</v>
      </c>
      <c r="K22" s="10"/>
      <c r="L22" s="8"/>
      <c r="M22" s="8"/>
      <c r="N22" s="8"/>
    </row>
    <row r="23" customFormat="false" ht="15.75" hidden="false" customHeight="false" outlineLevel="0" collapsed="false">
      <c r="A23" s="10" t="n">
        <v>22</v>
      </c>
      <c r="B23" s="31" t="s">
        <v>41</v>
      </c>
      <c r="C23" s="10" t="n">
        <v>65</v>
      </c>
      <c r="D23" s="10" t="n">
        <v>90</v>
      </c>
      <c r="E23" s="10" t="n">
        <v>65</v>
      </c>
      <c r="F23" s="10" t="n">
        <v>61</v>
      </c>
      <c r="G23" s="10" t="n">
        <v>61</v>
      </c>
      <c r="H23" s="10" t="n">
        <v>100</v>
      </c>
      <c r="I23" s="10" t="n">
        <v>442</v>
      </c>
      <c r="J23" s="10" t="n">
        <v>73.67</v>
      </c>
      <c r="K23" s="10"/>
      <c r="L23" s="8"/>
      <c r="M23" s="8"/>
      <c r="N23" s="8"/>
    </row>
    <row r="24" customFormat="false" ht="15.75" hidden="false" customHeight="false" outlineLevel="0" collapsed="false">
      <c r="A24" s="10" t="n">
        <v>23</v>
      </c>
      <c r="B24" s="31" t="s">
        <v>42</v>
      </c>
      <c r="C24" s="10" t="n">
        <v>35</v>
      </c>
      <c r="D24" s="10" t="n">
        <v>60</v>
      </c>
      <c r="E24" s="10" t="n">
        <v>44</v>
      </c>
      <c r="F24" s="10" t="n">
        <v>40</v>
      </c>
      <c r="G24" s="10" t="n">
        <v>54</v>
      </c>
      <c r="H24" s="10" t="n">
        <v>55</v>
      </c>
      <c r="I24" s="10" t="n">
        <v>288</v>
      </c>
      <c r="J24" s="10" t="n">
        <v>48</v>
      </c>
      <c r="K24" s="10"/>
      <c r="L24" s="8"/>
      <c r="M24" s="8"/>
      <c r="N24" s="8"/>
    </row>
    <row r="25" customFormat="false" ht="15.75" hidden="false" customHeight="false" outlineLevel="0" collapsed="false">
      <c r="A25" s="10" t="n">
        <v>24</v>
      </c>
      <c r="B25" s="31" t="s">
        <v>43</v>
      </c>
      <c r="C25" s="10" t="n">
        <v>60</v>
      </c>
      <c r="D25" s="10" t="n">
        <v>85</v>
      </c>
      <c r="E25" s="10" t="n">
        <v>69</v>
      </c>
      <c r="F25" s="10" t="n">
        <v>65</v>
      </c>
      <c r="G25" s="10" t="n">
        <v>79</v>
      </c>
      <c r="H25" s="10" t="n">
        <v>80</v>
      </c>
      <c r="I25" s="10" t="n">
        <v>438</v>
      </c>
      <c r="J25" s="10" t="n">
        <v>73</v>
      </c>
      <c r="K25" s="10"/>
      <c r="L25" s="8"/>
      <c r="M25" s="8"/>
      <c r="N25" s="8"/>
    </row>
    <row r="26" customFormat="false" ht="15.75" hidden="false" customHeight="false" outlineLevel="0" collapsed="false">
      <c r="A26" s="10" t="n">
        <v>25</v>
      </c>
      <c r="B26" s="31" t="s">
        <v>44</v>
      </c>
      <c r="C26" s="10" t="n">
        <v>35</v>
      </c>
      <c r="D26" s="10" t="n">
        <v>55</v>
      </c>
      <c r="E26" s="10" t="n">
        <v>40</v>
      </c>
      <c r="F26" s="10" t="n">
        <v>50</v>
      </c>
      <c r="G26" s="10" t="n">
        <v>50</v>
      </c>
      <c r="H26" s="10" t="n">
        <v>90</v>
      </c>
      <c r="I26" s="10" t="n">
        <v>320</v>
      </c>
      <c r="J26" s="10" t="n">
        <v>53.33</v>
      </c>
      <c r="K26" s="10"/>
      <c r="L26" s="8"/>
      <c r="M26" s="8"/>
      <c r="N26" s="8"/>
    </row>
    <row r="27" customFormat="false" ht="15.75" hidden="false" customHeight="false" outlineLevel="0" collapsed="false">
      <c r="A27" s="10" t="n">
        <v>26</v>
      </c>
      <c r="B27" s="31" t="s">
        <v>45</v>
      </c>
      <c r="C27" s="10" t="n">
        <v>60</v>
      </c>
      <c r="D27" s="10" t="n">
        <v>90</v>
      </c>
      <c r="E27" s="10" t="n">
        <v>55</v>
      </c>
      <c r="F27" s="10" t="n">
        <v>90</v>
      </c>
      <c r="G27" s="10" t="n">
        <v>80</v>
      </c>
      <c r="H27" s="10" t="n">
        <v>110</v>
      </c>
      <c r="I27" s="10" t="n">
        <v>485</v>
      </c>
      <c r="J27" s="10" t="n">
        <v>80.83</v>
      </c>
      <c r="K27" s="10"/>
      <c r="L27" s="8"/>
      <c r="M27" s="8"/>
      <c r="N27" s="8"/>
    </row>
    <row r="28" customFormat="false" ht="15.75" hidden="false" customHeight="false" outlineLevel="0" collapsed="false">
      <c r="A28" s="10" t="n">
        <v>27</v>
      </c>
      <c r="B28" s="31" t="s">
        <v>46</v>
      </c>
      <c r="C28" s="10" t="n">
        <v>50</v>
      </c>
      <c r="D28" s="10" t="n">
        <v>75</v>
      </c>
      <c r="E28" s="10" t="n">
        <v>85</v>
      </c>
      <c r="F28" s="10" t="n">
        <v>20</v>
      </c>
      <c r="G28" s="10" t="n">
        <v>30</v>
      </c>
      <c r="H28" s="10" t="n">
        <v>40</v>
      </c>
      <c r="I28" s="10" t="n">
        <v>300</v>
      </c>
      <c r="J28" s="10" t="n">
        <v>50</v>
      </c>
      <c r="K28" s="10"/>
      <c r="L28" s="8"/>
      <c r="M28" s="8"/>
      <c r="N28" s="8"/>
    </row>
    <row r="29" customFormat="false" ht="15.75" hidden="false" customHeight="false" outlineLevel="0" collapsed="false">
      <c r="A29" s="10" t="n">
        <v>28</v>
      </c>
      <c r="B29" s="31" t="s">
        <v>47</v>
      </c>
      <c r="C29" s="10" t="n">
        <v>75</v>
      </c>
      <c r="D29" s="10" t="n">
        <v>100</v>
      </c>
      <c r="E29" s="10" t="n">
        <v>110</v>
      </c>
      <c r="F29" s="10" t="n">
        <v>45</v>
      </c>
      <c r="G29" s="10" t="n">
        <v>55</v>
      </c>
      <c r="H29" s="10" t="n">
        <v>65</v>
      </c>
      <c r="I29" s="10" t="n">
        <v>450</v>
      </c>
      <c r="J29" s="10" t="n">
        <v>75</v>
      </c>
      <c r="K29" s="10"/>
      <c r="L29" s="8"/>
      <c r="M29" s="8"/>
      <c r="N29" s="8"/>
    </row>
    <row r="30" customFormat="false" ht="15.75" hidden="false" customHeight="false" outlineLevel="0" collapsed="false">
      <c r="A30" s="10" t="n">
        <v>29</v>
      </c>
      <c r="B30" s="31" t="s">
        <v>48</v>
      </c>
      <c r="C30" s="10" t="n">
        <v>55</v>
      </c>
      <c r="D30" s="10" t="n">
        <v>47</v>
      </c>
      <c r="E30" s="10" t="n">
        <v>52</v>
      </c>
      <c r="F30" s="10" t="n">
        <v>40</v>
      </c>
      <c r="G30" s="10" t="n">
        <v>40</v>
      </c>
      <c r="H30" s="10" t="n">
        <v>41</v>
      </c>
      <c r="I30" s="10" t="n">
        <v>275</v>
      </c>
      <c r="J30" s="10" t="n">
        <v>45.83</v>
      </c>
      <c r="K30" s="10"/>
      <c r="L30" s="8"/>
      <c r="M30" s="8"/>
      <c r="N30" s="8"/>
    </row>
    <row r="31" customFormat="false" ht="15.75" hidden="false" customHeight="false" outlineLevel="0" collapsed="false">
      <c r="A31" s="10" t="n">
        <v>30</v>
      </c>
      <c r="B31" s="31" t="s">
        <v>49</v>
      </c>
      <c r="C31" s="10" t="n">
        <v>70</v>
      </c>
      <c r="D31" s="10" t="n">
        <v>62</v>
      </c>
      <c r="E31" s="10" t="n">
        <v>67</v>
      </c>
      <c r="F31" s="10" t="n">
        <v>55</v>
      </c>
      <c r="G31" s="10" t="n">
        <v>55</v>
      </c>
      <c r="H31" s="10" t="n">
        <v>56</v>
      </c>
      <c r="I31" s="10" t="n">
        <v>365</v>
      </c>
      <c r="J31" s="10" t="n">
        <v>60.83</v>
      </c>
      <c r="K31" s="10"/>
      <c r="L31" s="8"/>
      <c r="M31" s="8"/>
      <c r="N31" s="8"/>
    </row>
    <row r="32" customFormat="false" ht="15.75" hidden="false" customHeight="false" outlineLevel="0" collapsed="false">
      <c r="A32" s="10" t="n">
        <v>31</v>
      </c>
      <c r="B32" s="31" t="s">
        <v>50</v>
      </c>
      <c r="C32" s="10" t="n">
        <v>90</v>
      </c>
      <c r="D32" s="10" t="n">
        <v>92</v>
      </c>
      <c r="E32" s="10" t="n">
        <v>87</v>
      </c>
      <c r="F32" s="10" t="n">
        <v>75</v>
      </c>
      <c r="G32" s="10" t="n">
        <v>85</v>
      </c>
      <c r="H32" s="10" t="n">
        <v>76</v>
      </c>
      <c r="I32" s="10" t="n">
        <v>505</v>
      </c>
      <c r="J32" s="10" t="n">
        <v>84.17</v>
      </c>
      <c r="K32" s="10"/>
      <c r="L32" s="8"/>
      <c r="M32" s="8"/>
      <c r="N32" s="8"/>
    </row>
    <row r="33" customFormat="false" ht="15.75" hidden="false" customHeight="false" outlineLevel="0" collapsed="false">
      <c r="A33" s="10" t="n">
        <v>32</v>
      </c>
      <c r="B33" s="31" t="s">
        <v>51</v>
      </c>
      <c r="C33" s="10" t="n">
        <v>46</v>
      </c>
      <c r="D33" s="10" t="n">
        <v>57</v>
      </c>
      <c r="E33" s="10" t="n">
        <v>40</v>
      </c>
      <c r="F33" s="10" t="n">
        <v>40</v>
      </c>
      <c r="G33" s="10" t="n">
        <v>40</v>
      </c>
      <c r="H33" s="10" t="n">
        <v>50</v>
      </c>
      <c r="I33" s="10" t="n">
        <v>273</v>
      </c>
      <c r="J33" s="10" t="n">
        <v>45.5</v>
      </c>
      <c r="K33" s="10"/>
      <c r="L33" s="8"/>
      <c r="M33" s="8"/>
      <c r="N33" s="8"/>
    </row>
    <row r="34" customFormat="false" ht="15.75" hidden="false" customHeight="false" outlineLevel="0" collapsed="false">
      <c r="A34" s="10" t="n">
        <v>33</v>
      </c>
      <c r="B34" s="31" t="s">
        <v>52</v>
      </c>
      <c r="C34" s="10" t="n">
        <v>61</v>
      </c>
      <c r="D34" s="10" t="n">
        <v>72</v>
      </c>
      <c r="E34" s="10" t="n">
        <v>57</v>
      </c>
      <c r="F34" s="10" t="n">
        <v>55</v>
      </c>
      <c r="G34" s="10" t="n">
        <v>55</v>
      </c>
      <c r="H34" s="10" t="n">
        <v>65</v>
      </c>
      <c r="I34" s="10" t="n">
        <v>365</v>
      </c>
      <c r="J34" s="10" t="n">
        <v>60.83</v>
      </c>
      <c r="K34" s="10"/>
      <c r="L34" s="8"/>
      <c r="M34" s="8"/>
      <c r="N34" s="8"/>
    </row>
    <row r="35" customFormat="false" ht="15.75" hidden="false" customHeight="false" outlineLevel="0" collapsed="false">
      <c r="A35" s="10" t="n">
        <v>34</v>
      </c>
      <c r="B35" s="31" t="s">
        <v>53</v>
      </c>
      <c r="C35" s="10" t="n">
        <v>81</v>
      </c>
      <c r="D35" s="10" t="n">
        <v>102</v>
      </c>
      <c r="E35" s="10" t="n">
        <v>77</v>
      </c>
      <c r="F35" s="10" t="n">
        <v>85</v>
      </c>
      <c r="G35" s="10" t="n">
        <v>75</v>
      </c>
      <c r="H35" s="10" t="n">
        <v>85</v>
      </c>
      <c r="I35" s="10" t="n">
        <v>505</v>
      </c>
      <c r="J35" s="10" t="n">
        <v>84.17</v>
      </c>
      <c r="K35" s="10"/>
      <c r="L35" s="8"/>
      <c r="M35" s="8"/>
      <c r="N35" s="8"/>
    </row>
    <row r="36" customFormat="false" ht="15.75" hidden="false" customHeight="false" outlineLevel="0" collapsed="false">
      <c r="A36" s="10" t="n">
        <v>35</v>
      </c>
      <c r="B36" s="31" t="s">
        <v>54</v>
      </c>
      <c r="C36" s="10" t="n">
        <v>70</v>
      </c>
      <c r="D36" s="10" t="n">
        <v>45</v>
      </c>
      <c r="E36" s="10" t="n">
        <v>48</v>
      </c>
      <c r="F36" s="10" t="n">
        <v>60</v>
      </c>
      <c r="G36" s="10" t="n">
        <v>65</v>
      </c>
      <c r="H36" s="10" t="n">
        <v>35</v>
      </c>
      <c r="I36" s="10" t="n">
        <v>323</v>
      </c>
      <c r="J36" s="10" t="n">
        <v>53.83</v>
      </c>
      <c r="K36" s="10"/>
      <c r="L36" s="8"/>
      <c r="M36" s="8"/>
      <c r="N36" s="8"/>
    </row>
    <row r="37" customFormat="false" ht="15.75" hidden="false" customHeight="false" outlineLevel="0" collapsed="false">
      <c r="A37" s="10" t="n">
        <v>36</v>
      </c>
      <c r="B37" s="31" t="s">
        <v>55</v>
      </c>
      <c r="C37" s="10" t="n">
        <v>95</v>
      </c>
      <c r="D37" s="10" t="n">
        <v>70</v>
      </c>
      <c r="E37" s="10" t="n">
        <v>73</v>
      </c>
      <c r="F37" s="10" t="n">
        <v>95</v>
      </c>
      <c r="G37" s="10" t="n">
        <v>90</v>
      </c>
      <c r="H37" s="10" t="n">
        <v>60</v>
      </c>
      <c r="I37" s="10" t="n">
        <v>483</v>
      </c>
      <c r="J37" s="10" t="n">
        <v>80.5</v>
      </c>
      <c r="K37" s="10"/>
      <c r="L37" s="8"/>
      <c r="M37" s="8"/>
      <c r="N37" s="8"/>
    </row>
    <row r="38" customFormat="false" ht="15.75" hidden="false" customHeight="false" outlineLevel="0" collapsed="false">
      <c r="A38" s="10" t="n">
        <v>37</v>
      </c>
      <c r="B38" s="31" t="s">
        <v>56</v>
      </c>
      <c r="C38" s="10" t="n">
        <v>38</v>
      </c>
      <c r="D38" s="10" t="n">
        <v>41</v>
      </c>
      <c r="E38" s="10" t="n">
        <v>40</v>
      </c>
      <c r="F38" s="10" t="n">
        <v>50</v>
      </c>
      <c r="G38" s="10" t="n">
        <v>65</v>
      </c>
      <c r="H38" s="10" t="n">
        <v>65</v>
      </c>
      <c r="I38" s="10" t="n">
        <v>299</v>
      </c>
      <c r="J38" s="10" t="n">
        <v>49.83</v>
      </c>
      <c r="K38" s="10"/>
      <c r="L38" s="8"/>
      <c r="M38" s="8"/>
      <c r="N38" s="8"/>
    </row>
    <row r="39" customFormat="false" ht="15.75" hidden="false" customHeight="false" outlineLevel="0" collapsed="false">
      <c r="A39" s="10" t="n">
        <v>38</v>
      </c>
      <c r="B39" s="31" t="s">
        <v>57</v>
      </c>
      <c r="C39" s="10" t="n">
        <v>73</v>
      </c>
      <c r="D39" s="10" t="n">
        <v>76</v>
      </c>
      <c r="E39" s="10" t="n">
        <v>75</v>
      </c>
      <c r="F39" s="10" t="n">
        <v>81</v>
      </c>
      <c r="G39" s="10" t="n">
        <v>100</v>
      </c>
      <c r="H39" s="10" t="n">
        <v>100</v>
      </c>
      <c r="I39" s="10" t="n">
        <v>505</v>
      </c>
      <c r="J39" s="10" t="n">
        <v>84.17</v>
      </c>
      <c r="K39" s="10"/>
      <c r="L39" s="8"/>
      <c r="M39" s="8"/>
      <c r="N39" s="8"/>
    </row>
    <row r="40" customFormat="false" ht="15.75" hidden="false" customHeight="false" outlineLevel="0" collapsed="false">
      <c r="A40" s="10" t="n">
        <v>39</v>
      </c>
      <c r="B40" s="31" t="s">
        <v>58</v>
      </c>
      <c r="C40" s="10" t="n">
        <v>115</v>
      </c>
      <c r="D40" s="10" t="n">
        <v>45</v>
      </c>
      <c r="E40" s="10" t="n">
        <v>20</v>
      </c>
      <c r="F40" s="10" t="n">
        <v>45</v>
      </c>
      <c r="G40" s="10" t="n">
        <v>25</v>
      </c>
      <c r="H40" s="10" t="n">
        <v>20</v>
      </c>
      <c r="I40" s="10" t="n">
        <v>270</v>
      </c>
      <c r="J40" s="10" t="n">
        <v>45</v>
      </c>
      <c r="K40" s="10"/>
      <c r="L40" s="8"/>
      <c r="M40" s="8"/>
      <c r="N40" s="8"/>
    </row>
    <row r="41" customFormat="false" ht="15.75" hidden="false" customHeight="false" outlineLevel="0" collapsed="false">
      <c r="A41" s="10" t="n">
        <v>40</v>
      </c>
      <c r="B41" s="31" t="s">
        <v>59</v>
      </c>
      <c r="C41" s="10" t="n">
        <v>140</v>
      </c>
      <c r="D41" s="10" t="n">
        <v>70</v>
      </c>
      <c r="E41" s="10" t="n">
        <v>45</v>
      </c>
      <c r="F41" s="10" t="n">
        <v>85</v>
      </c>
      <c r="G41" s="10" t="n">
        <v>50</v>
      </c>
      <c r="H41" s="10" t="n">
        <v>45</v>
      </c>
      <c r="I41" s="10" t="n">
        <v>435</v>
      </c>
      <c r="J41" s="10" t="n">
        <v>72.5</v>
      </c>
      <c r="K41" s="10"/>
      <c r="L41" s="8"/>
      <c r="M41" s="8"/>
      <c r="N41" s="8"/>
    </row>
    <row r="42" customFormat="false" ht="15.75" hidden="false" customHeight="false" outlineLevel="0" collapsed="false">
      <c r="A42" s="10" t="n">
        <v>41</v>
      </c>
      <c r="B42" s="31" t="s">
        <v>60</v>
      </c>
      <c r="C42" s="10" t="n">
        <v>40</v>
      </c>
      <c r="D42" s="10" t="n">
        <v>45</v>
      </c>
      <c r="E42" s="10" t="n">
        <v>35</v>
      </c>
      <c r="F42" s="10" t="n">
        <v>30</v>
      </c>
      <c r="G42" s="10" t="n">
        <v>40</v>
      </c>
      <c r="H42" s="10" t="n">
        <v>55</v>
      </c>
      <c r="I42" s="10" t="n">
        <v>245</v>
      </c>
      <c r="J42" s="10" t="n">
        <v>40.83</v>
      </c>
      <c r="K42" s="10"/>
      <c r="L42" s="8"/>
      <c r="M42" s="8"/>
      <c r="N42" s="8"/>
    </row>
    <row r="43" customFormat="false" ht="15.75" hidden="false" customHeight="false" outlineLevel="0" collapsed="false">
      <c r="A43" s="10" t="n">
        <v>42</v>
      </c>
      <c r="B43" s="31" t="s">
        <v>61</v>
      </c>
      <c r="C43" s="10" t="n">
        <v>75</v>
      </c>
      <c r="D43" s="10" t="n">
        <v>80</v>
      </c>
      <c r="E43" s="10" t="n">
        <v>70</v>
      </c>
      <c r="F43" s="10" t="n">
        <v>65</v>
      </c>
      <c r="G43" s="10" t="n">
        <v>75</v>
      </c>
      <c r="H43" s="10" t="n">
        <v>90</v>
      </c>
      <c r="I43" s="10" t="n">
        <v>455</v>
      </c>
      <c r="J43" s="10" t="n">
        <v>75.83</v>
      </c>
      <c r="K43" s="10"/>
      <c r="L43" s="8"/>
      <c r="M43" s="8"/>
      <c r="N43" s="8"/>
    </row>
    <row r="44" customFormat="false" ht="15.75" hidden="false" customHeight="false" outlineLevel="0" collapsed="false">
      <c r="A44" s="10" t="n">
        <v>43</v>
      </c>
      <c r="B44" s="31" t="s">
        <v>62</v>
      </c>
      <c r="C44" s="10" t="n">
        <v>45</v>
      </c>
      <c r="D44" s="10" t="n">
        <v>50</v>
      </c>
      <c r="E44" s="10" t="n">
        <v>55</v>
      </c>
      <c r="F44" s="10" t="n">
        <v>75</v>
      </c>
      <c r="G44" s="10" t="n">
        <v>65</v>
      </c>
      <c r="H44" s="10" t="n">
        <v>30</v>
      </c>
      <c r="I44" s="10" t="n">
        <v>320</v>
      </c>
      <c r="J44" s="10" t="n">
        <v>53.33</v>
      </c>
      <c r="K44" s="10"/>
      <c r="L44" s="8"/>
      <c r="M44" s="8"/>
      <c r="N44" s="8"/>
    </row>
    <row r="45" customFormat="false" ht="15.75" hidden="false" customHeight="false" outlineLevel="0" collapsed="false">
      <c r="A45" s="10" t="n">
        <v>44</v>
      </c>
      <c r="B45" s="31" t="s">
        <v>63</v>
      </c>
      <c r="C45" s="10" t="n">
        <v>60</v>
      </c>
      <c r="D45" s="10" t="n">
        <v>65</v>
      </c>
      <c r="E45" s="10" t="n">
        <v>70</v>
      </c>
      <c r="F45" s="10" t="n">
        <v>85</v>
      </c>
      <c r="G45" s="10" t="n">
        <v>75</v>
      </c>
      <c r="H45" s="10" t="n">
        <v>40</v>
      </c>
      <c r="I45" s="10" t="n">
        <v>395</v>
      </c>
      <c r="J45" s="10" t="n">
        <v>65.83</v>
      </c>
      <c r="K45" s="10"/>
      <c r="L45" s="8"/>
      <c r="M45" s="8"/>
      <c r="N45" s="8"/>
    </row>
    <row r="46" customFormat="false" ht="15.75" hidden="false" customHeight="false" outlineLevel="0" collapsed="false">
      <c r="A46" s="10" t="n">
        <v>45</v>
      </c>
      <c r="B46" s="31" t="s">
        <v>64</v>
      </c>
      <c r="C46" s="10" t="n">
        <v>75</v>
      </c>
      <c r="D46" s="10" t="n">
        <v>80</v>
      </c>
      <c r="E46" s="10" t="n">
        <v>85</v>
      </c>
      <c r="F46" s="10" t="n">
        <v>110</v>
      </c>
      <c r="G46" s="10" t="n">
        <v>90</v>
      </c>
      <c r="H46" s="10" t="n">
        <v>50</v>
      </c>
      <c r="I46" s="10" t="n">
        <v>490</v>
      </c>
      <c r="J46" s="10" t="n">
        <v>81.67</v>
      </c>
      <c r="K46" s="10"/>
      <c r="L46" s="8"/>
      <c r="M46" s="8"/>
      <c r="N46" s="8"/>
    </row>
    <row r="47" customFormat="false" ht="15.75" hidden="false" customHeight="false" outlineLevel="0" collapsed="false">
      <c r="A47" s="10" t="n">
        <v>46</v>
      </c>
      <c r="B47" s="31" t="s">
        <v>65</v>
      </c>
      <c r="C47" s="10" t="n">
        <v>35</v>
      </c>
      <c r="D47" s="10" t="n">
        <v>70</v>
      </c>
      <c r="E47" s="10" t="n">
        <v>55</v>
      </c>
      <c r="F47" s="10" t="n">
        <v>45</v>
      </c>
      <c r="G47" s="10" t="n">
        <v>55</v>
      </c>
      <c r="H47" s="10" t="n">
        <v>25</v>
      </c>
      <c r="I47" s="10" t="n">
        <v>285</v>
      </c>
      <c r="J47" s="10" t="n">
        <v>47.5</v>
      </c>
      <c r="K47" s="10"/>
      <c r="L47" s="8"/>
      <c r="M47" s="8"/>
      <c r="N47" s="8"/>
    </row>
    <row r="48" customFormat="false" ht="15.75" hidden="false" customHeight="false" outlineLevel="0" collapsed="false">
      <c r="A48" s="10" t="n">
        <v>47</v>
      </c>
      <c r="B48" s="31" t="s">
        <v>66</v>
      </c>
      <c r="C48" s="10" t="n">
        <v>60</v>
      </c>
      <c r="D48" s="10" t="n">
        <v>95</v>
      </c>
      <c r="E48" s="10" t="n">
        <v>80</v>
      </c>
      <c r="F48" s="10" t="n">
        <v>60</v>
      </c>
      <c r="G48" s="10" t="n">
        <v>80</v>
      </c>
      <c r="H48" s="10" t="n">
        <v>30</v>
      </c>
      <c r="I48" s="10" t="n">
        <v>405</v>
      </c>
      <c r="J48" s="10" t="n">
        <v>67.5</v>
      </c>
      <c r="K48" s="10"/>
      <c r="L48" s="8"/>
      <c r="M48" s="8"/>
      <c r="N48" s="8"/>
    </row>
    <row r="49" customFormat="false" ht="15.75" hidden="false" customHeight="false" outlineLevel="0" collapsed="false">
      <c r="A49" s="10" t="n">
        <v>48</v>
      </c>
      <c r="B49" s="31" t="s">
        <v>67</v>
      </c>
      <c r="C49" s="10" t="n">
        <v>60</v>
      </c>
      <c r="D49" s="10" t="n">
        <v>55</v>
      </c>
      <c r="E49" s="10" t="n">
        <v>50</v>
      </c>
      <c r="F49" s="10" t="n">
        <v>40</v>
      </c>
      <c r="G49" s="10" t="n">
        <v>55</v>
      </c>
      <c r="H49" s="10" t="n">
        <v>45</v>
      </c>
      <c r="I49" s="10" t="n">
        <v>305</v>
      </c>
      <c r="J49" s="10" t="n">
        <v>50.83</v>
      </c>
      <c r="K49" s="10"/>
      <c r="L49" s="8"/>
      <c r="M49" s="8"/>
      <c r="N49" s="8"/>
    </row>
    <row r="50" customFormat="false" ht="15.75" hidden="false" customHeight="false" outlineLevel="0" collapsed="false">
      <c r="A50" s="10" t="n">
        <v>49</v>
      </c>
      <c r="B50" s="31" t="s">
        <v>68</v>
      </c>
      <c r="C50" s="10" t="n">
        <v>70</v>
      </c>
      <c r="D50" s="10" t="n">
        <v>65</v>
      </c>
      <c r="E50" s="10" t="n">
        <v>60</v>
      </c>
      <c r="F50" s="10" t="n">
        <v>90</v>
      </c>
      <c r="G50" s="10" t="n">
        <v>75</v>
      </c>
      <c r="H50" s="10" t="n">
        <v>90</v>
      </c>
      <c r="I50" s="10" t="n">
        <v>450</v>
      </c>
      <c r="J50" s="10" t="n">
        <v>75</v>
      </c>
      <c r="K50" s="10"/>
      <c r="L50" s="8"/>
      <c r="M50" s="8"/>
      <c r="N50" s="8"/>
    </row>
    <row r="51" customFormat="false" ht="15.75" hidden="false" customHeight="false" outlineLevel="0" collapsed="false">
      <c r="A51" s="10" t="n">
        <v>50</v>
      </c>
      <c r="B51" s="31" t="s">
        <v>69</v>
      </c>
      <c r="C51" s="10" t="n">
        <v>10</v>
      </c>
      <c r="D51" s="10" t="n">
        <v>55</v>
      </c>
      <c r="E51" s="10" t="n">
        <v>25</v>
      </c>
      <c r="F51" s="10" t="n">
        <v>35</v>
      </c>
      <c r="G51" s="10" t="n">
        <v>45</v>
      </c>
      <c r="H51" s="10" t="n">
        <v>95</v>
      </c>
      <c r="I51" s="10" t="n">
        <v>265</v>
      </c>
      <c r="J51" s="10" t="n">
        <v>44.17</v>
      </c>
      <c r="K51" s="10"/>
      <c r="L51" s="8"/>
      <c r="M51" s="8"/>
      <c r="N51" s="8"/>
    </row>
    <row r="52" customFormat="false" ht="15.75" hidden="false" customHeight="false" outlineLevel="0" collapsed="false">
      <c r="A52" s="10" t="n">
        <v>51</v>
      </c>
      <c r="B52" s="31" t="s">
        <v>70</v>
      </c>
      <c r="C52" s="10" t="n">
        <v>35</v>
      </c>
      <c r="D52" s="10" t="n">
        <v>80</v>
      </c>
      <c r="E52" s="10" t="n">
        <v>50</v>
      </c>
      <c r="F52" s="10" t="n">
        <v>50</v>
      </c>
      <c r="G52" s="10" t="n">
        <v>70</v>
      </c>
      <c r="H52" s="10" t="n">
        <v>120</v>
      </c>
      <c r="I52" s="10" t="n">
        <v>405</v>
      </c>
      <c r="J52" s="10" t="n">
        <v>67.5</v>
      </c>
      <c r="K52" s="10"/>
      <c r="L52" s="8"/>
      <c r="M52" s="8"/>
      <c r="N52" s="8"/>
    </row>
    <row r="53" customFormat="false" ht="15.75" hidden="false" customHeight="false" outlineLevel="0" collapsed="false">
      <c r="A53" s="10" t="n">
        <v>52</v>
      </c>
      <c r="B53" s="31" t="s">
        <v>71</v>
      </c>
      <c r="C53" s="10" t="n">
        <v>40</v>
      </c>
      <c r="D53" s="10" t="n">
        <v>45</v>
      </c>
      <c r="E53" s="10" t="n">
        <v>35</v>
      </c>
      <c r="F53" s="10" t="n">
        <v>40</v>
      </c>
      <c r="G53" s="10" t="n">
        <v>40</v>
      </c>
      <c r="H53" s="10" t="n">
        <v>90</v>
      </c>
      <c r="I53" s="10" t="n">
        <v>290</v>
      </c>
      <c r="J53" s="10" t="n">
        <v>48.33</v>
      </c>
      <c r="K53" s="10"/>
      <c r="L53" s="8"/>
      <c r="M53" s="8"/>
      <c r="N53" s="8"/>
    </row>
    <row r="54" customFormat="false" ht="15.75" hidden="false" customHeight="false" outlineLevel="0" collapsed="false">
      <c r="A54" s="10" t="n">
        <v>53</v>
      </c>
      <c r="B54" s="31" t="s">
        <v>72</v>
      </c>
      <c r="C54" s="10" t="n">
        <v>65</v>
      </c>
      <c r="D54" s="10" t="n">
        <v>70</v>
      </c>
      <c r="E54" s="10" t="n">
        <v>60</v>
      </c>
      <c r="F54" s="10" t="n">
        <v>65</v>
      </c>
      <c r="G54" s="10" t="n">
        <v>65</v>
      </c>
      <c r="H54" s="10" t="n">
        <v>115</v>
      </c>
      <c r="I54" s="10" t="n">
        <v>440</v>
      </c>
      <c r="J54" s="10" t="n">
        <v>73.33</v>
      </c>
      <c r="K54" s="10"/>
      <c r="L54" s="8"/>
      <c r="M54" s="8"/>
      <c r="N54" s="8"/>
    </row>
    <row r="55" customFormat="false" ht="15.75" hidden="false" customHeight="false" outlineLevel="0" collapsed="false">
      <c r="A55" s="10" t="n">
        <v>54</v>
      </c>
      <c r="B55" s="31" t="s">
        <v>73</v>
      </c>
      <c r="C55" s="10" t="n">
        <v>50</v>
      </c>
      <c r="D55" s="10" t="n">
        <v>52</v>
      </c>
      <c r="E55" s="10" t="n">
        <v>48</v>
      </c>
      <c r="F55" s="10" t="n">
        <v>65</v>
      </c>
      <c r="G55" s="10" t="n">
        <v>50</v>
      </c>
      <c r="H55" s="10" t="n">
        <v>55</v>
      </c>
      <c r="I55" s="10" t="n">
        <v>320</v>
      </c>
      <c r="J55" s="10" t="n">
        <v>53.33</v>
      </c>
      <c r="K55" s="10"/>
      <c r="L55" s="8"/>
      <c r="M55" s="8"/>
      <c r="N55" s="8"/>
    </row>
    <row r="56" customFormat="false" ht="15.75" hidden="false" customHeight="false" outlineLevel="0" collapsed="false">
      <c r="A56" s="10" t="n">
        <v>55</v>
      </c>
      <c r="B56" s="31" t="s">
        <v>74</v>
      </c>
      <c r="C56" s="10" t="n">
        <v>80</v>
      </c>
      <c r="D56" s="10" t="n">
        <v>82</v>
      </c>
      <c r="E56" s="10" t="n">
        <v>78</v>
      </c>
      <c r="F56" s="10" t="n">
        <v>95</v>
      </c>
      <c r="G56" s="10" t="n">
        <v>80</v>
      </c>
      <c r="H56" s="10" t="n">
        <v>85</v>
      </c>
      <c r="I56" s="10" t="n">
        <v>500</v>
      </c>
      <c r="J56" s="10" t="n">
        <v>83.33</v>
      </c>
      <c r="K56" s="10"/>
      <c r="L56" s="8"/>
      <c r="M56" s="8"/>
      <c r="N56" s="8"/>
    </row>
    <row r="57" customFormat="false" ht="15.75" hidden="false" customHeight="false" outlineLevel="0" collapsed="false">
      <c r="A57" s="10" t="n">
        <v>56</v>
      </c>
      <c r="B57" s="31" t="s">
        <v>75</v>
      </c>
      <c r="C57" s="10" t="n">
        <v>40</v>
      </c>
      <c r="D57" s="10" t="n">
        <v>80</v>
      </c>
      <c r="E57" s="10" t="n">
        <v>35</v>
      </c>
      <c r="F57" s="10" t="n">
        <v>35</v>
      </c>
      <c r="G57" s="10" t="n">
        <v>45</v>
      </c>
      <c r="H57" s="10" t="n">
        <v>70</v>
      </c>
      <c r="I57" s="10" t="n">
        <v>305</v>
      </c>
      <c r="J57" s="10" t="n">
        <v>50.83</v>
      </c>
      <c r="K57" s="10"/>
      <c r="L57" s="8"/>
      <c r="M57" s="8"/>
      <c r="N57" s="8"/>
    </row>
    <row r="58" customFormat="false" ht="15.75" hidden="false" customHeight="false" outlineLevel="0" collapsed="false">
      <c r="A58" s="10" t="n">
        <v>57</v>
      </c>
      <c r="B58" s="31" t="s">
        <v>76</v>
      </c>
      <c r="C58" s="10" t="n">
        <v>65</v>
      </c>
      <c r="D58" s="10" t="n">
        <v>105</v>
      </c>
      <c r="E58" s="10" t="n">
        <v>60</v>
      </c>
      <c r="F58" s="10" t="n">
        <v>60</v>
      </c>
      <c r="G58" s="10" t="n">
        <v>70</v>
      </c>
      <c r="H58" s="10" t="n">
        <v>95</v>
      </c>
      <c r="I58" s="10" t="n">
        <v>455</v>
      </c>
      <c r="J58" s="10" t="n">
        <v>75.83</v>
      </c>
      <c r="K58" s="10"/>
      <c r="L58" s="8"/>
      <c r="M58" s="8"/>
      <c r="N58" s="8"/>
    </row>
    <row r="59" customFormat="false" ht="15.75" hidden="false" customHeight="false" outlineLevel="0" collapsed="false">
      <c r="A59" s="10" t="n">
        <v>58</v>
      </c>
      <c r="B59" s="31" t="s">
        <v>77</v>
      </c>
      <c r="C59" s="10" t="n">
        <v>55</v>
      </c>
      <c r="D59" s="10" t="n">
        <v>70</v>
      </c>
      <c r="E59" s="10" t="n">
        <v>45</v>
      </c>
      <c r="F59" s="10" t="n">
        <v>70</v>
      </c>
      <c r="G59" s="10" t="n">
        <v>50</v>
      </c>
      <c r="H59" s="10" t="n">
        <v>60</v>
      </c>
      <c r="I59" s="10" t="n">
        <v>350</v>
      </c>
      <c r="J59" s="10" t="n">
        <v>58.33</v>
      </c>
      <c r="K59" s="10"/>
      <c r="L59" s="8"/>
      <c r="M59" s="8"/>
      <c r="N59" s="8"/>
    </row>
    <row r="60" customFormat="false" ht="15.75" hidden="false" customHeight="false" outlineLevel="0" collapsed="false">
      <c r="A60" s="10" t="n">
        <v>59</v>
      </c>
      <c r="B60" s="31" t="s">
        <v>78</v>
      </c>
      <c r="C60" s="10" t="n">
        <v>90</v>
      </c>
      <c r="D60" s="10" t="n">
        <v>110</v>
      </c>
      <c r="E60" s="10" t="n">
        <v>80</v>
      </c>
      <c r="F60" s="10" t="n">
        <v>100</v>
      </c>
      <c r="G60" s="10" t="n">
        <v>80</v>
      </c>
      <c r="H60" s="10" t="n">
        <v>95</v>
      </c>
      <c r="I60" s="10" t="n">
        <v>555</v>
      </c>
      <c r="J60" s="10" t="n">
        <v>92.5</v>
      </c>
      <c r="K60" s="10"/>
      <c r="L60" s="8"/>
      <c r="M60" s="8"/>
      <c r="N60" s="8"/>
    </row>
    <row r="61" customFormat="false" ht="15.75" hidden="false" customHeight="false" outlineLevel="0" collapsed="false">
      <c r="A61" s="10" t="n">
        <v>60</v>
      </c>
      <c r="B61" s="31" t="s">
        <v>79</v>
      </c>
      <c r="C61" s="10" t="n">
        <v>40</v>
      </c>
      <c r="D61" s="10" t="n">
        <v>50</v>
      </c>
      <c r="E61" s="10" t="n">
        <v>40</v>
      </c>
      <c r="F61" s="10" t="n">
        <v>40</v>
      </c>
      <c r="G61" s="10" t="n">
        <v>40</v>
      </c>
      <c r="H61" s="10" t="n">
        <v>90</v>
      </c>
      <c r="I61" s="10" t="n">
        <v>300</v>
      </c>
      <c r="J61" s="10" t="n">
        <v>50</v>
      </c>
      <c r="K61" s="10"/>
      <c r="L61" s="8"/>
      <c r="M61" s="8"/>
      <c r="N61" s="8"/>
    </row>
    <row r="62" customFormat="false" ht="15.75" hidden="false" customHeight="false" outlineLevel="0" collapsed="false">
      <c r="A62" s="10" t="n">
        <v>61</v>
      </c>
      <c r="B62" s="31" t="s">
        <v>80</v>
      </c>
      <c r="C62" s="10" t="n">
        <v>65</v>
      </c>
      <c r="D62" s="10" t="n">
        <v>65</v>
      </c>
      <c r="E62" s="10" t="n">
        <v>65</v>
      </c>
      <c r="F62" s="10" t="n">
        <v>50</v>
      </c>
      <c r="G62" s="10" t="n">
        <v>50</v>
      </c>
      <c r="H62" s="10" t="n">
        <v>90</v>
      </c>
      <c r="I62" s="10" t="n">
        <v>385</v>
      </c>
      <c r="J62" s="10" t="n">
        <v>64.17</v>
      </c>
      <c r="K62" s="10"/>
      <c r="L62" s="8"/>
      <c r="M62" s="8"/>
      <c r="N62" s="8"/>
    </row>
    <row r="63" customFormat="false" ht="15.75" hidden="false" customHeight="false" outlineLevel="0" collapsed="false">
      <c r="A63" s="10" t="n">
        <v>62</v>
      </c>
      <c r="B63" s="31" t="s">
        <v>81</v>
      </c>
      <c r="C63" s="10" t="n">
        <v>90</v>
      </c>
      <c r="D63" s="10" t="n">
        <v>95</v>
      </c>
      <c r="E63" s="10" t="n">
        <v>95</v>
      </c>
      <c r="F63" s="10" t="n">
        <v>70</v>
      </c>
      <c r="G63" s="10" t="n">
        <v>90</v>
      </c>
      <c r="H63" s="10" t="n">
        <v>70</v>
      </c>
      <c r="I63" s="10" t="n">
        <v>510</v>
      </c>
      <c r="J63" s="10" t="n">
        <v>85</v>
      </c>
      <c r="K63" s="10"/>
      <c r="L63" s="8"/>
      <c r="M63" s="8"/>
      <c r="N63" s="8"/>
    </row>
    <row r="64" customFormat="false" ht="15.75" hidden="false" customHeight="false" outlineLevel="0" collapsed="false">
      <c r="A64" s="10" t="n">
        <v>63</v>
      </c>
      <c r="B64" s="31" t="s">
        <v>82</v>
      </c>
      <c r="C64" s="10" t="n">
        <v>25</v>
      </c>
      <c r="D64" s="10" t="n">
        <v>20</v>
      </c>
      <c r="E64" s="10" t="n">
        <v>15</v>
      </c>
      <c r="F64" s="10" t="n">
        <v>105</v>
      </c>
      <c r="G64" s="10" t="n">
        <v>55</v>
      </c>
      <c r="H64" s="10" t="n">
        <v>90</v>
      </c>
      <c r="I64" s="10" t="n">
        <v>310</v>
      </c>
      <c r="J64" s="10" t="n">
        <v>51.67</v>
      </c>
      <c r="K64" s="10"/>
      <c r="L64" s="8"/>
      <c r="M64" s="8"/>
      <c r="N64" s="8"/>
    </row>
    <row r="65" customFormat="false" ht="15.75" hidden="false" customHeight="false" outlineLevel="0" collapsed="false">
      <c r="A65" s="10" t="n">
        <v>64</v>
      </c>
      <c r="B65" s="31" t="s">
        <v>83</v>
      </c>
      <c r="C65" s="10" t="n">
        <v>40</v>
      </c>
      <c r="D65" s="10" t="n">
        <v>35</v>
      </c>
      <c r="E65" s="10" t="n">
        <v>30</v>
      </c>
      <c r="F65" s="10" t="n">
        <v>120</v>
      </c>
      <c r="G65" s="10" t="n">
        <v>70</v>
      </c>
      <c r="H65" s="10" t="n">
        <v>105</v>
      </c>
      <c r="I65" s="10" t="n">
        <v>400</v>
      </c>
      <c r="J65" s="10" t="n">
        <v>66.67</v>
      </c>
      <c r="K65" s="10"/>
      <c r="L65" s="8"/>
      <c r="M65" s="8"/>
      <c r="N65" s="8"/>
    </row>
    <row r="66" customFormat="false" ht="15.75" hidden="false" customHeight="false" outlineLevel="0" collapsed="false">
      <c r="A66" s="10" t="n">
        <v>65</v>
      </c>
      <c r="B66" s="31" t="s">
        <v>84</v>
      </c>
      <c r="C66" s="10" t="n">
        <v>55</v>
      </c>
      <c r="D66" s="10" t="n">
        <v>50</v>
      </c>
      <c r="E66" s="10" t="n">
        <v>45</v>
      </c>
      <c r="F66" s="10" t="n">
        <v>135</v>
      </c>
      <c r="G66" s="10" t="n">
        <v>95</v>
      </c>
      <c r="H66" s="10" t="n">
        <v>120</v>
      </c>
      <c r="I66" s="10" t="n">
        <v>500</v>
      </c>
      <c r="J66" s="10" t="n">
        <v>83.33</v>
      </c>
      <c r="K66" s="10"/>
      <c r="L66" s="8"/>
      <c r="M66" s="8"/>
      <c r="N66" s="8"/>
    </row>
    <row r="67" customFormat="false" ht="15.75" hidden="false" customHeight="false" outlineLevel="0" collapsed="false">
      <c r="A67" s="10" t="n">
        <v>66</v>
      </c>
      <c r="B67" s="31" t="s">
        <v>85</v>
      </c>
      <c r="C67" s="10" t="n">
        <v>70</v>
      </c>
      <c r="D67" s="10" t="n">
        <v>80</v>
      </c>
      <c r="E67" s="10" t="n">
        <v>50</v>
      </c>
      <c r="F67" s="10" t="n">
        <v>35</v>
      </c>
      <c r="G67" s="10" t="n">
        <v>35</v>
      </c>
      <c r="H67" s="10" t="n">
        <v>35</v>
      </c>
      <c r="I67" s="10" t="n">
        <v>305</v>
      </c>
      <c r="J67" s="10" t="n">
        <v>50.83</v>
      </c>
      <c r="K67" s="10"/>
      <c r="L67" s="8"/>
      <c r="M67" s="8"/>
      <c r="N67" s="8"/>
    </row>
    <row r="68" customFormat="false" ht="15.75" hidden="false" customHeight="false" outlineLevel="0" collapsed="false">
      <c r="A68" s="10" t="n">
        <v>67</v>
      </c>
      <c r="B68" s="31" t="s">
        <v>86</v>
      </c>
      <c r="C68" s="10" t="n">
        <v>80</v>
      </c>
      <c r="D68" s="10" t="n">
        <v>100</v>
      </c>
      <c r="E68" s="10" t="n">
        <v>70</v>
      </c>
      <c r="F68" s="10" t="n">
        <v>50</v>
      </c>
      <c r="G68" s="10" t="n">
        <v>60</v>
      </c>
      <c r="H68" s="10" t="n">
        <v>45</v>
      </c>
      <c r="I68" s="10" t="n">
        <v>405</v>
      </c>
      <c r="J68" s="10" t="n">
        <v>67.5</v>
      </c>
      <c r="K68" s="10"/>
      <c r="L68" s="8"/>
      <c r="M68" s="8"/>
      <c r="N68" s="8"/>
    </row>
    <row r="69" customFormat="false" ht="15.75" hidden="false" customHeight="false" outlineLevel="0" collapsed="false">
      <c r="A69" s="10" t="n">
        <v>68</v>
      </c>
      <c r="B69" s="31" t="s">
        <v>87</v>
      </c>
      <c r="C69" s="10" t="n">
        <v>90</v>
      </c>
      <c r="D69" s="10" t="n">
        <v>130</v>
      </c>
      <c r="E69" s="10" t="n">
        <v>80</v>
      </c>
      <c r="F69" s="10" t="n">
        <v>65</v>
      </c>
      <c r="G69" s="10" t="n">
        <v>85</v>
      </c>
      <c r="H69" s="10" t="n">
        <v>55</v>
      </c>
      <c r="I69" s="10" t="n">
        <v>505</v>
      </c>
      <c r="J69" s="10" t="n">
        <v>84.17</v>
      </c>
      <c r="K69" s="10"/>
      <c r="L69" s="8"/>
      <c r="M69" s="8"/>
      <c r="N69" s="8"/>
    </row>
    <row r="70" customFormat="false" ht="15.75" hidden="false" customHeight="false" outlineLevel="0" collapsed="false">
      <c r="A70" s="10" t="n">
        <v>69</v>
      </c>
      <c r="B70" s="31" t="s">
        <v>88</v>
      </c>
      <c r="C70" s="10" t="n">
        <v>50</v>
      </c>
      <c r="D70" s="10" t="n">
        <v>75</v>
      </c>
      <c r="E70" s="10" t="n">
        <v>35</v>
      </c>
      <c r="F70" s="10" t="n">
        <v>70</v>
      </c>
      <c r="G70" s="10" t="n">
        <v>30</v>
      </c>
      <c r="H70" s="10" t="n">
        <v>40</v>
      </c>
      <c r="I70" s="10" t="n">
        <v>300</v>
      </c>
      <c r="J70" s="10" t="n">
        <v>50</v>
      </c>
      <c r="K70" s="10"/>
      <c r="L70" s="8"/>
      <c r="M70" s="8"/>
      <c r="N70" s="8"/>
    </row>
    <row r="71" customFormat="false" ht="15.75" hidden="false" customHeight="false" outlineLevel="0" collapsed="false">
      <c r="A71" s="10" t="n">
        <v>70</v>
      </c>
      <c r="B71" s="31" t="s">
        <v>89</v>
      </c>
      <c r="C71" s="10" t="n">
        <v>65</v>
      </c>
      <c r="D71" s="10" t="n">
        <v>90</v>
      </c>
      <c r="E71" s="10" t="n">
        <v>50</v>
      </c>
      <c r="F71" s="10" t="n">
        <v>85</v>
      </c>
      <c r="G71" s="10" t="n">
        <v>45</v>
      </c>
      <c r="H71" s="10" t="n">
        <v>55</v>
      </c>
      <c r="I71" s="10" t="n">
        <v>390</v>
      </c>
      <c r="J71" s="10" t="n">
        <v>65</v>
      </c>
      <c r="K71" s="10"/>
      <c r="L71" s="8"/>
      <c r="M71" s="8"/>
      <c r="N71" s="8"/>
    </row>
    <row r="72" customFormat="false" ht="15.75" hidden="false" customHeight="false" outlineLevel="0" collapsed="false">
      <c r="A72" s="10" t="n">
        <v>71</v>
      </c>
      <c r="B72" s="31" t="s">
        <v>90</v>
      </c>
      <c r="C72" s="10" t="n">
        <v>80</v>
      </c>
      <c r="D72" s="10" t="n">
        <v>105</v>
      </c>
      <c r="E72" s="10" t="n">
        <v>65</v>
      </c>
      <c r="F72" s="10" t="n">
        <v>100</v>
      </c>
      <c r="G72" s="10" t="n">
        <v>70</v>
      </c>
      <c r="H72" s="10" t="n">
        <v>70</v>
      </c>
      <c r="I72" s="10" t="n">
        <v>490</v>
      </c>
      <c r="J72" s="10" t="n">
        <v>81.67</v>
      </c>
      <c r="K72" s="10"/>
      <c r="L72" s="8"/>
      <c r="M72" s="8"/>
      <c r="N72" s="8"/>
    </row>
    <row r="73" customFormat="false" ht="15.75" hidden="false" customHeight="false" outlineLevel="0" collapsed="false">
      <c r="A73" s="10" t="n">
        <v>72</v>
      </c>
      <c r="B73" s="31" t="s">
        <v>91</v>
      </c>
      <c r="C73" s="10" t="n">
        <v>40</v>
      </c>
      <c r="D73" s="10" t="n">
        <v>40</v>
      </c>
      <c r="E73" s="10" t="n">
        <v>35</v>
      </c>
      <c r="F73" s="10" t="n">
        <v>50</v>
      </c>
      <c r="G73" s="10" t="n">
        <v>100</v>
      </c>
      <c r="H73" s="10" t="n">
        <v>70</v>
      </c>
      <c r="I73" s="10" t="n">
        <v>335</v>
      </c>
      <c r="J73" s="10" t="n">
        <v>55.83</v>
      </c>
      <c r="K73" s="10"/>
      <c r="L73" s="8"/>
      <c r="M73" s="8"/>
      <c r="N73" s="8"/>
    </row>
    <row r="74" customFormat="false" ht="15.75" hidden="false" customHeight="false" outlineLevel="0" collapsed="false">
      <c r="A74" s="10" t="n">
        <v>73</v>
      </c>
      <c r="B74" s="31" t="s">
        <v>92</v>
      </c>
      <c r="C74" s="10" t="n">
        <v>80</v>
      </c>
      <c r="D74" s="10" t="n">
        <v>70</v>
      </c>
      <c r="E74" s="10" t="n">
        <v>65</v>
      </c>
      <c r="F74" s="10" t="n">
        <v>80</v>
      </c>
      <c r="G74" s="10" t="n">
        <v>120</v>
      </c>
      <c r="H74" s="10" t="n">
        <v>100</v>
      </c>
      <c r="I74" s="10" t="n">
        <v>515</v>
      </c>
      <c r="J74" s="10" t="n">
        <v>85.83</v>
      </c>
      <c r="K74" s="10"/>
      <c r="L74" s="8"/>
      <c r="M74" s="8"/>
      <c r="N74" s="8"/>
    </row>
    <row r="75" customFormat="false" ht="15.75" hidden="false" customHeight="false" outlineLevel="0" collapsed="false">
      <c r="A75" s="10" t="n">
        <v>74</v>
      </c>
      <c r="B75" s="31" t="s">
        <v>93</v>
      </c>
      <c r="C75" s="10" t="n">
        <v>40</v>
      </c>
      <c r="D75" s="10" t="n">
        <v>80</v>
      </c>
      <c r="E75" s="10" t="n">
        <v>100</v>
      </c>
      <c r="F75" s="10" t="n">
        <v>30</v>
      </c>
      <c r="G75" s="10" t="n">
        <v>30</v>
      </c>
      <c r="H75" s="10" t="n">
        <v>20</v>
      </c>
      <c r="I75" s="10" t="n">
        <v>300</v>
      </c>
      <c r="J75" s="10" t="n">
        <v>50</v>
      </c>
      <c r="K75" s="10"/>
      <c r="L75" s="8"/>
      <c r="M75" s="8"/>
      <c r="N75" s="8"/>
    </row>
    <row r="76" customFormat="false" ht="15.75" hidden="false" customHeight="false" outlineLevel="0" collapsed="false">
      <c r="A76" s="10" t="n">
        <v>75</v>
      </c>
      <c r="B76" s="31" t="s">
        <v>94</v>
      </c>
      <c r="C76" s="10" t="n">
        <v>55</v>
      </c>
      <c r="D76" s="10" t="n">
        <v>95</v>
      </c>
      <c r="E76" s="10" t="n">
        <v>115</v>
      </c>
      <c r="F76" s="10" t="n">
        <v>45</v>
      </c>
      <c r="G76" s="10" t="n">
        <v>45</v>
      </c>
      <c r="H76" s="10" t="n">
        <v>35</v>
      </c>
      <c r="I76" s="10" t="n">
        <v>390</v>
      </c>
      <c r="J76" s="10" t="n">
        <v>65</v>
      </c>
      <c r="K76" s="10"/>
      <c r="L76" s="8"/>
      <c r="M76" s="8"/>
      <c r="N76" s="8"/>
    </row>
    <row r="77" customFormat="false" ht="15.75" hidden="false" customHeight="false" outlineLevel="0" collapsed="false">
      <c r="A77" s="10" t="n">
        <v>76</v>
      </c>
      <c r="B77" s="31" t="s">
        <v>95</v>
      </c>
      <c r="C77" s="10" t="n">
        <v>80</v>
      </c>
      <c r="D77" s="10" t="n">
        <v>120</v>
      </c>
      <c r="E77" s="10" t="n">
        <v>130</v>
      </c>
      <c r="F77" s="10" t="n">
        <v>55</v>
      </c>
      <c r="G77" s="10" t="n">
        <v>65</v>
      </c>
      <c r="H77" s="10" t="n">
        <v>45</v>
      </c>
      <c r="I77" s="10" t="n">
        <v>495</v>
      </c>
      <c r="J77" s="10" t="n">
        <v>82.5</v>
      </c>
      <c r="K77" s="10"/>
      <c r="L77" s="8"/>
      <c r="M77" s="8"/>
      <c r="N77" s="8"/>
    </row>
    <row r="78" customFormat="false" ht="15.75" hidden="false" customHeight="false" outlineLevel="0" collapsed="false">
      <c r="A78" s="10" t="n">
        <v>77</v>
      </c>
      <c r="B78" s="31" t="s">
        <v>96</v>
      </c>
      <c r="C78" s="10" t="n">
        <v>50</v>
      </c>
      <c r="D78" s="10" t="n">
        <v>85</v>
      </c>
      <c r="E78" s="10" t="n">
        <v>55</v>
      </c>
      <c r="F78" s="10" t="n">
        <v>65</v>
      </c>
      <c r="G78" s="10" t="n">
        <v>65</v>
      </c>
      <c r="H78" s="10" t="n">
        <v>90</v>
      </c>
      <c r="I78" s="10" t="n">
        <v>410</v>
      </c>
      <c r="J78" s="10" t="n">
        <v>68.33</v>
      </c>
      <c r="K78" s="10"/>
      <c r="L78" s="8"/>
      <c r="M78" s="8"/>
      <c r="N78" s="8"/>
    </row>
    <row r="79" customFormat="false" ht="15.75" hidden="false" customHeight="false" outlineLevel="0" collapsed="false">
      <c r="A79" s="10" t="n">
        <v>78</v>
      </c>
      <c r="B79" s="31" t="s">
        <v>97</v>
      </c>
      <c r="C79" s="10" t="n">
        <v>65</v>
      </c>
      <c r="D79" s="10" t="n">
        <v>100</v>
      </c>
      <c r="E79" s="10" t="n">
        <v>70</v>
      </c>
      <c r="F79" s="10" t="n">
        <v>80</v>
      </c>
      <c r="G79" s="10" t="n">
        <v>80</v>
      </c>
      <c r="H79" s="10" t="n">
        <v>105</v>
      </c>
      <c r="I79" s="10" t="n">
        <v>500</v>
      </c>
      <c r="J79" s="10" t="n">
        <v>83.33</v>
      </c>
      <c r="K79" s="10"/>
      <c r="L79" s="8"/>
      <c r="M79" s="8"/>
      <c r="N79" s="8"/>
    </row>
    <row r="80" customFormat="false" ht="15.75" hidden="false" customHeight="false" outlineLevel="0" collapsed="false">
      <c r="A80" s="10" t="n">
        <v>79</v>
      </c>
      <c r="B80" s="31" t="s">
        <v>98</v>
      </c>
      <c r="C80" s="10" t="n">
        <v>90</v>
      </c>
      <c r="D80" s="10" t="n">
        <v>65</v>
      </c>
      <c r="E80" s="10" t="n">
        <v>65</v>
      </c>
      <c r="F80" s="10" t="n">
        <v>40</v>
      </c>
      <c r="G80" s="10" t="n">
        <v>40</v>
      </c>
      <c r="H80" s="10" t="n">
        <v>15</v>
      </c>
      <c r="I80" s="10" t="n">
        <v>315</v>
      </c>
      <c r="J80" s="10" t="n">
        <v>52.5</v>
      </c>
      <c r="K80" s="10"/>
      <c r="L80" s="8"/>
      <c r="M80" s="8"/>
      <c r="N80" s="8"/>
    </row>
    <row r="81" customFormat="false" ht="15.75" hidden="false" customHeight="false" outlineLevel="0" collapsed="false">
      <c r="A81" s="10" t="n">
        <v>80</v>
      </c>
      <c r="B81" s="31" t="s">
        <v>99</v>
      </c>
      <c r="C81" s="10" t="n">
        <v>95</v>
      </c>
      <c r="D81" s="10" t="n">
        <v>75</v>
      </c>
      <c r="E81" s="10" t="n">
        <v>110</v>
      </c>
      <c r="F81" s="10" t="n">
        <v>100</v>
      </c>
      <c r="G81" s="10" t="n">
        <v>80</v>
      </c>
      <c r="H81" s="10" t="n">
        <v>30</v>
      </c>
      <c r="I81" s="10" t="n">
        <v>490</v>
      </c>
      <c r="J81" s="10" t="n">
        <v>81.67</v>
      </c>
      <c r="K81" s="10"/>
      <c r="L81" s="8"/>
      <c r="M81" s="8"/>
      <c r="N81" s="8"/>
    </row>
    <row r="82" customFormat="false" ht="15.75" hidden="false" customHeight="false" outlineLevel="0" collapsed="false">
      <c r="A82" s="10" t="n">
        <v>81</v>
      </c>
      <c r="B82" s="31" t="s">
        <v>100</v>
      </c>
      <c r="C82" s="10" t="n">
        <v>25</v>
      </c>
      <c r="D82" s="10" t="n">
        <v>35</v>
      </c>
      <c r="E82" s="10" t="n">
        <v>70</v>
      </c>
      <c r="F82" s="10" t="n">
        <v>95</v>
      </c>
      <c r="G82" s="10" t="n">
        <v>55</v>
      </c>
      <c r="H82" s="10" t="n">
        <v>45</v>
      </c>
      <c r="I82" s="10" t="n">
        <v>325</v>
      </c>
      <c r="J82" s="10" t="n">
        <v>54.17</v>
      </c>
      <c r="K82" s="10"/>
      <c r="L82" s="8"/>
      <c r="M82" s="8"/>
      <c r="N82" s="8"/>
    </row>
    <row r="83" customFormat="false" ht="15.75" hidden="false" customHeight="false" outlineLevel="0" collapsed="false">
      <c r="A83" s="10" t="n">
        <v>82</v>
      </c>
      <c r="B83" s="31" t="s">
        <v>101</v>
      </c>
      <c r="C83" s="10" t="n">
        <v>50</v>
      </c>
      <c r="D83" s="10" t="n">
        <v>60</v>
      </c>
      <c r="E83" s="10" t="n">
        <v>95</v>
      </c>
      <c r="F83" s="10" t="n">
        <v>120</v>
      </c>
      <c r="G83" s="10" t="n">
        <v>70</v>
      </c>
      <c r="H83" s="10" t="n">
        <v>70</v>
      </c>
      <c r="I83" s="10" t="n">
        <v>465</v>
      </c>
      <c r="J83" s="10" t="n">
        <v>77.5</v>
      </c>
      <c r="K83" s="10"/>
      <c r="L83" s="8"/>
      <c r="M83" s="8"/>
      <c r="N83" s="8"/>
    </row>
    <row r="84" customFormat="false" ht="15.75" hidden="false" customHeight="false" outlineLevel="0" collapsed="false">
      <c r="A84" s="10" t="n">
        <v>83</v>
      </c>
      <c r="B84" s="31" t="s">
        <v>102</v>
      </c>
      <c r="C84" s="10" t="n">
        <v>52</v>
      </c>
      <c r="D84" s="10" t="n">
        <v>65</v>
      </c>
      <c r="E84" s="10" t="n">
        <v>55</v>
      </c>
      <c r="F84" s="10" t="n">
        <v>58</v>
      </c>
      <c r="G84" s="10" t="n">
        <v>62</v>
      </c>
      <c r="H84" s="10" t="n">
        <v>60</v>
      </c>
      <c r="I84" s="10" t="n">
        <v>352</v>
      </c>
      <c r="J84" s="10" t="n">
        <v>58.67</v>
      </c>
      <c r="K84" s="10"/>
      <c r="L84" s="8"/>
      <c r="M84" s="8"/>
      <c r="N84" s="8"/>
    </row>
    <row r="85" customFormat="false" ht="15.75" hidden="false" customHeight="false" outlineLevel="0" collapsed="false">
      <c r="A85" s="10" t="n">
        <v>84</v>
      </c>
      <c r="B85" s="31" t="s">
        <v>103</v>
      </c>
      <c r="C85" s="10" t="n">
        <v>35</v>
      </c>
      <c r="D85" s="10" t="n">
        <v>85</v>
      </c>
      <c r="E85" s="10" t="n">
        <v>45</v>
      </c>
      <c r="F85" s="10" t="n">
        <v>35</v>
      </c>
      <c r="G85" s="10" t="n">
        <v>35</v>
      </c>
      <c r="H85" s="10" t="n">
        <v>75</v>
      </c>
      <c r="I85" s="10" t="n">
        <v>310</v>
      </c>
      <c r="J85" s="10" t="n">
        <v>51.67</v>
      </c>
      <c r="K85" s="10"/>
      <c r="L85" s="8"/>
      <c r="M85" s="8"/>
      <c r="N85" s="8"/>
    </row>
    <row r="86" customFormat="false" ht="15.75" hidden="false" customHeight="false" outlineLevel="0" collapsed="false">
      <c r="A86" s="10" t="n">
        <v>85</v>
      </c>
      <c r="B86" s="31" t="s">
        <v>104</v>
      </c>
      <c r="C86" s="10" t="n">
        <v>60</v>
      </c>
      <c r="D86" s="10" t="n">
        <v>110</v>
      </c>
      <c r="E86" s="10" t="n">
        <v>70</v>
      </c>
      <c r="F86" s="10" t="n">
        <v>60</v>
      </c>
      <c r="G86" s="10" t="n">
        <v>60</v>
      </c>
      <c r="H86" s="10" t="n">
        <v>100</v>
      </c>
      <c r="I86" s="10" t="n">
        <v>460</v>
      </c>
      <c r="J86" s="10" t="n">
        <v>76.67</v>
      </c>
      <c r="K86" s="10"/>
      <c r="L86" s="8"/>
      <c r="M86" s="8"/>
      <c r="N86" s="8"/>
    </row>
    <row r="87" customFormat="false" ht="15.75" hidden="false" customHeight="false" outlineLevel="0" collapsed="false">
      <c r="A87" s="10" t="n">
        <v>86</v>
      </c>
      <c r="B87" s="31" t="s">
        <v>105</v>
      </c>
      <c r="C87" s="10" t="n">
        <v>65</v>
      </c>
      <c r="D87" s="10" t="n">
        <v>45</v>
      </c>
      <c r="E87" s="10" t="n">
        <v>55</v>
      </c>
      <c r="F87" s="10" t="n">
        <v>45</v>
      </c>
      <c r="G87" s="10" t="n">
        <v>70</v>
      </c>
      <c r="H87" s="10" t="n">
        <v>45</v>
      </c>
      <c r="I87" s="10" t="n">
        <v>325</v>
      </c>
      <c r="J87" s="10" t="n">
        <v>54.17</v>
      </c>
      <c r="K87" s="10"/>
      <c r="L87" s="8"/>
      <c r="M87" s="8"/>
      <c r="N87" s="8"/>
    </row>
    <row r="88" customFormat="false" ht="15.75" hidden="false" customHeight="false" outlineLevel="0" collapsed="false">
      <c r="A88" s="10" t="n">
        <v>87</v>
      </c>
      <c r="B88" s="31" t="s">
        <v>106</v>
      </c>
      <c r="C88" s="10" t="n">
        <v>90</v>
      </c>
      <c r="D88" s="10" t="n">
        <v>70</v>
      </c>
      <c r="E88" s="10" t="n">
        <v>80</v>
      </c>
      <c r="F88" s="10" t="n">
        <v>70</v>
      </c>
      <c r="G88" s="10" t="n">
        <v>95</v>
      </c>
      <c r="H88" s="10" t="n">
        <v>70</v>
      </c>
      <c r="I88" s="10" t="n">
        <v>475</v>
      </c>
      <c r="J88" s="10" t="n">
        <v>79.17</v>
      </c>
      <c r="K88" s="10"/>
      <c r="L88" s="8"/>
      <c r="M88" s="8"/>
      <c r="N88" s="8"/>
    </row>
    <row r="89" customFormat="false" ht="15.75" hidden="false" customHeight="false" outlineLevel="0" collapsed="false">
      <c r="A89" s="10" t="n">
        <v>88</v>
      </c>
      <c r="B89" s="31" t="s">
        <v>107</v>
      </c>
      <c r="C89" s="10" t="n">
        <v>80</v>
      </c>
      <c r="D89" s="10" t="n">
        <v>80</v>
      </c>
      <c r="E89" s="10" t="n">
        <v>50</v>
      </c>
      <c r="F89" s="10" t="n">
        <v>40</v>
      </c>
      <c r="G89" s="10" t="n">
        <v>50</v>
      </c>
      <c r="H89" s="10" t="n">
        <v>25</v>
      </c>
      <c r="I89" s="10" t="n">
        <v>325</v>
      </c>
      <c r="J89" s="10" t="n">
        <v>54.17</v>
      </c>
      <c r="K89" s="10"/>
      <c r="L89" s="8"/>
      <c r="M89" s="8"/>
      <c r="N89" s="8"/>
    </row>
    <row r="90" customFormat="false" ht="15.75" hidden="false" customHeight="false" outlineLevel="0" collapsed="false">
      <c r="A90" s="10" t="n">
        <v>89</v>
      </c>
      <c r="B90" s="31" t="s">
        <v>108</v>
      </c>
      <c r="C90" s="10" t="n">
        <v>105</v>
      </c>
      <c r="D90" s="10" t="n">
        <v>105</v>
      </c>
      <c r="E90" s="10" t="n">
        <v>75</v>
      </c>
      <c r="F90" s="10" t="n">
        <v>65</v>
      </c>
      <c r="G90" s="10" t="n">
        <v>100</v>
      </c>
      <c r="H90" s="10" t="n">
        <v>50</v>
      </c>
      <c r="I90" s="10" t="n">
        <v>500</v>
      </c>
      <c r="J90" s="10" t="n">
        <v>83.33</v>
      </c>
      <c r="K90" s="10"/>
      <c r="L90" s="8"/>
      <c r="M90" s="8"/>
      <c r="N90" s="8"/>
    </row>
    <row r="91" customFormat="false" ht="15.75" hidden="false" customHeight="false" outlineLevel="0" collapsed="false">
      <c r="A91" s="10" t="n">
        <v>90</v>
      </c>
      <c r="B91" s="31" t="s">
        <v>109</v>
      </c>
      <c r="C91" s="10" t="n">
        <v>30</v>
      </c>
      <c r="D91" s="10" t="n">
        <v>65</v>
      </c>
      <c r="E91" s="10" t="n">
        <v>100</v>
      </c>
      <c r="F91" s="10" t="n">
        <v>45</v>
      </c>
      <c r="G91" s="10" t="n">
        <v>25</v>
      </c>
      <c r="H91" s="10" t="n">
        <v>40</v>
      </c>
      <c r="I91" s="10" t="n">
        <v>305</v>
      </c>
      <c r="J91" s="10" t="n">
        <v>50.83</v>
      </c>
      <c r="K91" s="10"/>
      <c r="L91" s="8"/>
      <c r="M91" s="8"/>
      <c r="N91" s="8"/>
    </row>
    <row r="92" customFormat="false" ht="15.75" hidden="false" customHeight="false" outlineLevel="0" collapsed="false">
      <c r="A92" s="10" t="n">
        <v>91</v>
      </c>
      <c r="B92" s="31" t="s">
        <v>110</v>
      </c>
      <c r="C92" s="10" t="n">
        <v>50</v>
      </c>
      <c r="D92" s="10" t="n">
        <v>95</v>
      </c>
      <c r="E92" s="10" t="n">
        <v>180</v>
      </c>
      <c r="F92" s="10" t="n">
        <v>85</v>
      </c>
      <c r="G92" s="10" t="n">
        <v>45</v>
      </c>
      <c r="H92" s="10" t="n">
        <v>70</v>
      </c>
      <c r="I92" s="10" t="n">
        <v>525</v>
      </c>
      <c r="J92" s="10" t="n">
        <v>87.5</v>
      </c>
      <c r="K92" s="10"/>
      <c r="L92" s="8"/>
      <c r="M92" s="8"/>
      <c r="N92" s="8"/>
    </row>
    <row r="93" customFormat="false" ht="15.75" hidden="false" customHeight="false" outlineLevel="0" collapsed="false">
      <c r="A93" s="10" t="n">
        <v>92</v>
      </c>
      <c r="B93" s="31" t="s">
        <v>111</v>
      </c>
      <c r="C93" s="10" t="n">
        <v>30</v>
      </c>
      <c r="D93" s="10" t="n">
        <v>35</v>
      </c>
      <c r="E93" s="10" t="n">
        <v>30</v>
      </c>
      <c r="F93" s="10" t="n">
        <v>100</v>
      </c>
      <c r="G93" s="10" t="n">
        <v>35</v>
      </c>
      <c r="H93" s="10" t="n">
        <v>80</v>
      </c>
      <c r="I93" s="10" t="n">
        <v>310</v>
      </c>
      <c r="J93" s="10" t="n">
        <v>51.67</v>
      </c>
      <c r="K93" s="10"/>
      <c r="L93" s="8"/>
      <c r="M93" s="8"/>
      <c r="N93" s="8"/>
    </row>
    <row r="94" customFormat="false" ht="15.75" hidden="false" customHeight="false" outlineLevel="0" collapsed="false">
      <c r="A94" s="10" t="n">
        <v>93</v>
      </c>
      <c r="B94" s="31" t="s">
        <v>112</v>
      </c>
      <c r="C94" s="10" t="n">
        <v>45</v>
      </c>
      <c r="D94" s="10" t="n">
        <v>50</v>
      </c>
      <c r="E94" s="10" t="n">
        <v>45</v>
      </c>
      <c r="F94" s="10" t="n">
        <v>115</v>
      </c>
      <c r="G94" s="10" t="n">
        <v>55</v>
      </c>
      <c r="H94" s="10" t="n">
        <v>95</v>
      </c>
      <c r="I94" s="10" t="n">
        <v>405</v>
      </c>
      <c r="J94" s="10" t="n">
        <v>67.5</v>
      </c>
      <c r="K94" s="10"/>
      <c r="L94" s="8"/>
      <c r="M94" s="8"/>
      <c r="N94" s="8"/>
    </row>
    <row r="95" customFormat="false" ht="15.75" hidden="false" customHeight="false" outlineLevel="0" collapsed="false">
      <c r="A95" s="10" t="n">
        <v>94</v>
      </c>
      <c r="B95" s="31" t="s">
        <v>113</v>
      </c>
      <c r="C95" s="10" t="n">
        <v>60</v>
      </c>
      <c r="D95" s="10" t="n">
        <v>65</v>
      </c>
      <c r="E95" s="10" t="n">
        <v>60</v>
      </c>
      <c r="F95" s="10" t="n">
        <v>130</v>
      </c>
      <c r="G95" s="10" t="n">
        <v>75</v>
      </c>
      <c r="H95" s="10" t="n">
        <v>110</v>
      </c>
      <c r="I95" s="10" t="n">
        <v>500</v>
      </c>
      <c r="J95" s="10" t="n">
        <v>83.33</v>
      </c>
      <c r="K95" s="10"/>
      <c r="L95" s="8"/>
      <c r="M95" s="8"/>
      <c r="N95" s="8"/>
    </row>
    <row r="96" customFormat="false" ht="15.75" hidden="false" customHeight="false" outlineLevel="0" collapsed="false">
      <c r="A96" s="10" t="n">
        <v>95</v>
      </c>
      <c r="B96" s="31" t="s">
        <v>114</v>
      </c>
      <c r="C96" s="10" t="n">
        <v>35</v>
      </c>
      <c r="D96" s="10" t="n">
        <v>45</v>
      </c>
      <c r="E96" s="10" t="n">
        <v>160</v>
      </c>
      <c r="F96" s="10" t="n">
        <v>30</v>
      </c>
      <c r="G96" s="10" t="n">
        <v>45</v>
      </c>
      <c r="H96" s="10" t="n">
        <v>70</v>
      </c>
      <c r="I96" s="10" t="n">
        <v>385</v>
      </c>
      <c r="J96" s="10" t="n">
        <v>64.17</v>
      </c>
      <c r="K96" s="10"/>
      <c r="L96" s="8"/>
      <c r="M96" s="8"/>
      <c r="N96" s="8"/>
    </row>
    <row r="97" customFormat="false" ht="15.75" hidden="false" customHeight="false" outlineLevel="0" collapsed="false">
      <c r="A97" s="10" t="n">
        <v>96</v>
      </c>
      <c r="B97" s="31" t="s">
        <v>115</v>
      </c>
      <c r="C97" s="10" t="n">
        <v>60</v>
      </c>
      <c r="D97" s="10" t="n">
        <v>48</v>
      </c>
      <c r="E97" s="10" t="n">
        <v>45</v>
      </c>
      <c r="F97" s="10" t="n">
        <v>43</v>
      </c>
      <c r="G97" s="10" t="n">
        <v>90</v>
      </c>
      <c r="H97" s="10" t="n">
        <v>42</v>
      </c>
      <c r="I97" s="10" t="n">
        <v>328</v>
      </c>
      <c r="J97" s="10" t="n">
        <v>54.67</v>
      </c>
      <c r="K97" s="10"/>
      <c r="L97" s="8"/>
      <c r="M97" s="8"/>
      <c r="N97" s="8"/>
    </row>
    <row r="98" customFormat="false" ht="15.75" hidden="false" customHeight="false" outlineLevel="0" collapsed="false">
      <c r="A98" s="10" t="n">
        <v>97</v>
      </c>
      <c r="B98" s="31" t="s">
        <v>116</v>
      </c>
      <c r="C98" s="10" t="n">
        <v>85</v>
      </c>
      <c r="D98" s="10" t="n">
        <v>73</v>
      </c>
      <c r="E98" s="10" t="n">
        <v>70</v>
      </c>
      <c r="F98" s="10" t="n">
        <v>73</v>
      </c>
      <c r="G98" s="10" t="n">
        <v>115</v>
      </c>
      <c r="H98" s="10" t="n">
        <v>67</v>
      </c>
      <c r="I98" s="10" t="n">
        <v>483</v>
      </c>
      <c r="J98" s="10" t="n">
        <v>80.5</v>
      </c>
      <c r="K98" s="10"/>
      <c r="L98" s="8"/>
      <c r="M98" s="8"/>
      <c r="N98" s="8"/>
    </row>
    <row r="99" customFormat="false" ht="15.75" hidden="false" customHeight="false" outlineLevel="0" collapsed="false">
      <c r="A99" s="10" t="n">
        <v>98</v>
      </c>
      <c r="B99" s="31" t="s">
        <v>117</v>
      </c>
      <c r="C99" s="10" t="n">
        <v>30</v>
      </c>
      <c r="D99" s="10" t="n">
        <v>105</v>
      </c>
      <c r="E99" s="10" t="n">
        <v>90</v>
      </c>
      <c r="F99" s="10" t="n">
        <v>25</v>
      </c>
      <c r="G99" s="10" t="n">
        <v>25</v>
      </c>
      <c r="H99" s="10" t="n">
        <v>50</v>
      </c>
      <c r="I99" s="10" t="n">
        <v>325</v>
      </c>
      <c r="J99" s="10" t="n">
        <v>54.17</v>
      </c>
      <c r="K99" s="10"/>
      <c r="L99" s="8"/>
      <c r="M99" s="8"/>
      <c r="N99" s="8"/>
    </row>
    <row r="100" customFormat="false" ht="15.75" hidden="false" customHeight="false" outlineLevel="0" collapsed="false">
      <c r="A100" s="10" t="n">
        <v>99</v>
      </c>
      <c r="B100" s="31" t="s">
        <v>118</v>
      </c>
      <c r="C100" s="10" t="n">
        <v>55</v>
      </c>
      <c r="D100" s="10" t="n">
        <v>130</v>
      </c>
      <c r="E100" s="10" t="n">
        <v>115</v>
      </c>
      <c r="F100" s="10" t="n">
        <v>50</v>
      </c>
      <c r="G100" s="10" t="n">
        <v>50</v>
      </c>
      <c r="H100" s="10" t="n">
        <v>75</v>
      </c>
      <c r="I100" s="10" t="n">
        <v>475</v>
      </c>
      <c r="J100" s="10" t="n">
        <v>79.17</v>
      </c>
      <c r="K100" s="10"/>
      <c r="L100" s="8"/>
      <c r="M100" s="8"/>
      <c r="N100" s="8"/>
    </row>
    <row r="101" customFormat="false" ht="15.75" hidden="false" customHeight="false" outlineLevel="0" collapsed="false">
      <c r="A101" s="10" t="n">
        <v>100</v>
      </c>
      <c r="B101" s="31" t="s">
        <v>119</v>
      </c>
      <c r="C101" s="10" t="n">
        <v>40</v>
      </c>
      <c r="D101" s="10" t="n">
        <v>30</v>
      </c>
      <c r="E101" s="10" t="n">
        <v>50</v>
      </c>
      <c r="F101" s="10" t="n">
        <v>55</v>
      </c>
      <c r="G101" s="10" t="n">
        <v>55</v>
      </c>
      <c r="H101" s="10" t="n">
        <v>100</v>
      </c>
      <c r="I101" s="10" t="n">
        <v>330</v>
      </c>
      <c r="J101" s="10" t="n">
        <v>55</v>
      </c>
      <c r="K101" s="10"/>
      <c r="L101" s="8"/>
      <c r="M101" s="8"/>
      <c r="N101" s="8"/>
    </row>
    <row r="102" customFormat="false" ht="15.75" hidden="false" customHeight="false" outlineLevel="0" collapsed="false">
      <c r="A102" s="10" t="n">
        <v>101</v>
      </c>
      <c r="B102" s="31" t="s">
        <v>120</v>
      </c>
      <c r="C102" s="10" t="n">
        <v>60</v>
      </c>
      <c r="D102" s="10" t="n">
        <v>50</v>
      </c>
      <c r="E102" s="10" t="n">
        <v>70</v>
      </c>
      <c r="F102" s="10" t="n">
        <v>80</v>
      </c>
      <c r="G102" s="10" t="n">
        <v>80</v>
      </c>
      <c r="H102" s="10" t="n">
        <v>140</v>
      </c>
      <c r="I102" s="10" t="n">
        <v>480</v>
      </c>
      <c r="J102" s="10" t="n">
        <v>80</v>
      </c>
      <c r="K102" s="10"/>
      <c r="L102" s="8"/>
      <c r="M102" s="8"/>
      <c r="N102" s="8"/>
    </row>
    <row r="103" customFormat="false" ht="15.75" hidden="false" customHeight="false" outlineLevel="0" collapsed="false">
      <c r="A103" s="10" t="n">
        <v>102</v>
      </c>
      <c r="B103" s="31" t="s">
        <v>121</v>
      </c>
      <c r="C103" s="10" t="n">
        <v>60</v>
      </c>
      <c r="D103" s="10" t="n">
        <v>40</v>
      </c>
      <c r="E103" s="10" t="n">
        <v>80</v>
      </c>
      <c r="F103" s="10" t="n">
        <v>60</v>
      </c>
      <c r="G103" s="10" t="n">
        <v>45</v>
      </c>
      <c r="H103" s="10" t="n">
        <v>40</v>
      </c>
      <c r="I103" s="10" t="n">
        <v>325</v>
      </c>
      <c r="J103" s="10" t="n">
        <v>54.17</v>
      </c>
      <c r="K103" s="10"/>
      <c r="L103" s="8"/>
      <c r="M103" s="8"/>
      <c r="N103" s="8"/>
    </row>
    <row r="104" customFormat="false" ht="15.75" hidden="false" customHeight="false" outlineLevel="0" collapsed="false">
      <c r="A104" s="10" t="n">
        <v>103</v>
      </c>
      <c r="B104" s="31" t="s">
        <v>122</v>
      </c>
      <c r="C104" s="10" t="n">
        <v>95</v>
      </c>
      <c r="D104" s="10" t="n">
        <v>95</v>
      </c>
      <c r="E104" s="10" t="n">
        <v>85</v>
      </c>
      <c r="F104" s="10" t="n">
        <v>125</v>
      </c>
      <c r="G104" s="10" t="n">
        <v>65</v>
      </c>
      <c r="H104" s="10" t="n">
        <v>55</v>
      </c>
      <c r="I104" s="10" t="n">
        <v>520</v>
      </c>
      <c r="J104" s="10" t="n">
        <v>86.67</v>
      </c>
      <c r="K104" s="10"/>
      <c r="L104" s="8"/>
      <c r="M104" s="8"/>
      <c r="N104" s="8"/>
    </row>
    <row r="105" customFormat="false" ht="15.75" hidden="false" customHeight="false" outlineLevel="0" collapsed="false">
      <c r="A105" s="10" t="n">
        <v>104</v>
      </c>
      <c r="B105" s="31" t="s">
        <v>123</v>
      </c>
      <c r="C105" s="10" t="n">
        <v>50</v>
      </c>
      <c r="D105" s="10" t="n">
        <v>50</v>
      </c>
      <c r="E105" s="10" t="n">
        <v>95</v>
      </c>
      <c r="F105" s="10" t="n">
        <v>40</v>
      </c>
      <c r="G105" s="10" t="n">
        <v>50</v>
      </c>
      <c r="H105" s="10" t="n">
        <v>35</v>
      </c>
      <c r="I105" s="10" t="n">
        <v>320</v>
      </c>
      <c r="J105" s="10" t="n">
        <v>53.33</v>
      </c>
      <c r="K105" s="10"/>
      <c r="L105" s="8"/>
      <c r="M105" s="8"/>
      <c r="N105" s="8"/>
    </row>
    <row r="106" customFormat="false" ht="15.75" hidden="false" customHeight="false" outlineLevel="0" collapsed="false">
      <c r="A106" s="10" t="n">
        <v>105</v>
      </c>
      <c r="B106" s="31" t="s">
        <v>124</v>
      </c>
      <c r="C106" s="10" t="n">
        <v>60</v>
      </c>
      <c r="D106" s="10" t="n">
        <v>80</v>
      </c>
      <c r="E106" s="10" t="n">
        <v>110</v>
      </c>
      <c r="F106" s="10" t="n">
        <v>50</v>
      </c>
      <c r="G106" s="10" t="n">
        <v>80</v>
      </c>
      <c r="H106" s="10" t="n">
        <v>45</v>
      </c>
      <c r="I106" s="10" t="n">
        <v>425</v>
      </c>
      <c r="J106" s="10" t="n">
        <v>70.83</v>
      </c>
      <c r="K106" s="10"/>
      <c r="L106" s="8"/>
      <c r="M106" s="8"/>
      <c r="N106" s="8"/>
    </row>
    <row r="107" customFormat="false" ht="15.75" hidden="false" customHeight="false" outlineLevel="0" collapsed="false">
      <c r="A107" s="10" t="n">
        <v>106</v>
      </c>
      <c r="B107" s="31" t="s">
        <v>125</v>
      </c>
      <c r="C107" s="10" t="n">
        <v>50</v>
      </c>
      <c r="D107" s="10" t="n">
        <v>120</v>
      </c>
      <c r="E107" s="10" t="n">
        <v>53</v>
      </c>
      <c r="F107" s="10" t="n">
        <v>35</v>
      </c>
      <c r="G107" s="10" t="n">
        <v>110</v>
      </c>
      <c r="H107" s="10" t="n">
        <v>87</v>
      </c>
      <c r="I107" s="10" t="n">
        <v>455</v>
      </c>
      <c r="J107" s="10" t="n">
        <v>75.83</v>
      </c>
      <c r="K107" s="10"/>
      <c r="L107" s="8"/>
      <c r="M107" s="8"/>
      <c r="N107" s="8"/>
    </row>
    <row r="108" customFormat="false" ht="15.75" hidden="false" customHeight="false" outlineLevel="0" collapsed="false">
      <c r="A108" s="10" t="n">
        <v>107</v>
      </c>
      <c r="B108" s="31" t="s">
        <v>126</v>
      </c>
      <c r="C108" s="10" t="n">
        <v>50</v>
      </c>
      <c r="D108" s="10" t="n">
        <v>105</v>
      </c>
      <c r="E108" s="10" t="n">
        <v>79</v>
      </c>
      <c r="F108" s="10" t="n">
        <v>35</v>
      </c>
      <c r="G108" s="10" t="n">
        <v>110</v>
      </c>
      <c r="H108" s="10" t="n">
        <v>76</v>
      </c>
      <c r="I108" s="10" t="n">
        <v>455</v>
      </c>
      <c r="J108" s="10" t="n">
        <v>75.83</v>
      </c>
      <c r="K108" s="10"/>
      <c r="L108" s="8"/>
      <c r="M108" s="8"/>
      <c r="N108" s="8"/>
    </row>
    <row r="109" customFormat="false" ht="15.75" hidden="false" customHeight="false" outlineLevel="0" collapsed="false">
      <c r="A109" s="10" t="n">
        <v>108</v>
      </c>
      <c r="B109" s="31" t="s">
        <v>127</v>
      </c>
      <c r="C109" s="10" t="n">
        <v>90</v>
      </c>
      <c r="D109" s="10" t="n">
        <v>55</v>
      </c>
      <c r="E109" s="10" t="n">
        <v>75</v>
      </c>
      <c r="F109" s="10" t="n">
        <v>60</v>
      </c>
      <c r="G109" s="10" t="n">
        <v>75</v>
      </c>
      <c r="H109" s="10" t="n">
        <v>30</v>
      </c>
      <c r="I109" s="10" t="n">
        <v>385</v>
      </c>
      <c r="J109" s="10" t="n">
        <v>64.17</v>
      </c>
      <c r="K109" s="10"/>
      <c r="L109" s="8"/>
      <c r="M109" s="8"/>
      <c r="N109" s="8"/>
    </row>
    <row r="110" customFormat="false" ht="15.75" hidden="false" customHeight="false" outlineLevel="0" collapsed="false">
      <c r="A110" s="10" t="n">
        <v>109</v>
      </c>
      <c r="B110" s="31" t="s">
        <v>128</v>
      </c>
      <c r="C110" s="10" t="n">
        <v>40</v>
      </c>
      <c r="D110" s="10" t="n">
        <v>65</v>
      </c>
      <c r="E110" s="10" t="n">
        <v>95</v>
      </c>
      <c r="F110" s="10" t="n">
        <v>60</v>
      </c>
      <c r="G110" s="10" t="n">
        <v>45</v>
      </c>
      <c r="H110" s="10" t="n">
        <v>35</v>
      </c>
      <c r="I110" s="10" t="n">
        <v>340</v>
      </c>
      <c r="J110" s="10" t="n">
        <v>56.67</v>
      </c>
      <c r="K110" s="10"/>
      <c r="L110" s="8"/>
      <c r="M110" s="8"/>
      <c r="N110" s="8"/>
    </row>
    <row r="111" customFormat="false" ht="15.75" hidden="false" customHeight="false" outlineLevel="0" collapsed="false">
      <c r="A111" s="10" t="n">
        <v>110</v>
      </c>
      <c r="B111" s="31" t="s">
        <v>129</v>
      </c>
      <c r="C111" s="10" t="n">
        <v>65</v>
      </c>
      <c r="D111" s="10" t="n">
        <v>90</v>
      </c>
      <c r="E111" s="10" t="n">
        <v>120</v>
      </c>
      <c r="F111" s="10" t="n">
        <v>85</v>
      </c>
      <c r="G111" s="10" t="n">
        <v>70</v>
      </c>
      <c r="H111" s="10" t="n">
        <v>60</v>
      </c>
      <c r="I111" s="10" t="n">
        <v>490</v>
      </c>
      <c r="J111" s="10" t="n">
        <v>81.67</v>
      </c>
      <c r="K111" s="10"/>
      <c r="L111" s="8"/>
      <c r="M111" s="8"/>
      <c r="N111" s="8"/>
    </row>
    <row r="112" customFormat="false" ht="15.75" hidden="false" customHeight="false" outlineLevel="0" collapsed="false">
      <c r="A112" s="10" t="n">
        <v>111</v>
      </c>
      <c r="B112" s="31" t="s">
        <v>130</v>
      </c>
      <c r="C112" s="10" t="n">
        <v>80</v>
      </c>
      <c r="D112" s="10" t="n">
        <v>85</v>
      </c>
      <c r="E112" s="10" t="n">
        <v>95</v>
      </c>
      <c r="F112" s="10" t="n">
        <v>30</v>
      </c>
      <c r="G112" s="10" t="n">
        <v>30</v>
      </c>
      <c r="H112" s="10" t="n">
        <v>25</v>
      </c>
      <c r="I112" s="10" t="n">
        <v>345</v>
      </c>
      <c r="J112" s="10" t="n">
        <v>57.5</v>
      </c>
      <c r="K112" s="10"/>
      <c r="L112" s="8"/>
      <c r="M112" s="8"/>
      <c r="N112" s="8"/>
    </row>
    <row r="113" customFormat="false" ht="15.75" hidden="false" customHeight="false" outlineLevel="0" collapsed="false">
      <c r="A113" s="10" t="n">
        <v>112</v>
      </c>
      <c r="B113" s="31" t="s">
        <v>131</v>
      </c>
      <c r="C113" s="10" t="n">
        <v>105</v>
      </c>
      <c r="D113" s="10" t="n">
        <v>130</v>
      </c>
      <c r="E113" s="10" t="n">
        <v>120</v>
      </c>
      <c r="F113" s="10" t="n">
        <v>45</v>
      </c>
      <c r="G113" s="10" t="n">
        <v>45</v>
      </c>
      <c r="H113" s="10" t="n">
        <v>40</v>
      </c>
      <c r="I113" s="10" t="n">
        <v>485</v>
      </c>
      <c r="J113" s="10" t="n">
        <v>80.83</v>
      </c>
      <c r="K113" s="10"/>
      <c r="L113" s="8"/>
      <c r="M113" s="8"/>
      <c r="N113" s="8"/>
    </row>
    <row r="114" customFormat="false" ht="15.75" hidden="false" customHeight="false" outlineLevel="0" collapsed="false">
      <c r="A114" s="10" t="n">
        <v>113</v>
      </c>
      <c r="B114" s="31" t="s">
        <v>132</v>
      </c>
      <c r="C114" s="10" t="n">
        <v>250</v>
      </c>
      <c r="D114" s="10" t="n">
        <v>5</v>
      </c>
      <c r="E114" s="10" t="n">
        <v>5</v>
      </c>
      <c r="F114" s="10" t="n">
        <v>35</v>
      </c>
      <c r="G114" s="10" t="n">
        <v>105</v>
      </c>
      <c r="H114" s="10" t="n">
        <v>50</v>
      </c>
      <c r="I114" s="10" t="n">
        <v>450</v>
      </c>
      <c r="J114" s="10" t="n">
        <v>75</v>
      </c>
      <c r="K114" s="10"/>
      <c r="L114" s="8"/>
      <c r="M114" s="8"/>
      <c r="N114" s="8"/>
    </row>
    <row r="115" customFormat="false" ht="15.75" hidden="false" customHeight="false" outlineLevel="0" collapsed="false">
      <c r="A115" s="10" t="n">
        <v>114</v>
      </c>
      <c r="B115" s="31" t="s">
        <v>133</v>
      </c>
      <c r="C115" s="10" t="n">
        <v>65</v>
      </c>
      <c r="D115" s="10" t="n">
        <v>55</v>
      </c>
      <c r="E115" s="10" t="n">
        <v>115</v>
      </c>
      <c r="F115" s="10" t="n">
        <v>100</v>
      </c>
      <c r="G115" s="10" t="n">
        <v>40</v>
      </c>
      <c r="H115" s="10" t="n">
        <v>60</v>
      </c>
      <c r="I115" s="10" t="n">
        <v>435</v>
      </c>
      <c r="J115" s="10" t="n">
        <v>72.5</v>
      </c>
      <c r="K115" s="10"/>
      <c r="L115" s="8"/>
      <c r="M115" s="8"/>
      <c r="N115" s="8"/>
    </row>
    <row r="116" customFormat="false" ht="15.75" hidden="false" customHeight="false" outlineLevel="0" collapsed="false">
      <c r="A116" s="10" t="n">
        <v>115</v>
      </c>
      <c r="B116" s="31" t="s">
        <v>134</v>
      </c>
      <c r="C116" s="10" t="n">
        <v>105</v>
      </c>
      <c r="D116" s="10" t="n">
        <v>95</v>
      </c>
      <c r="E116" s="10" t="n">
        <v>80</v>
      </c>
      <c r="F116" s="10" t="n">
        <v>40</v>
      </c>
      <c r="G116" s="10" t="n">
        <v>80</v>
      </c>
      <c r="H116" s="10" t="n">
        <v>90</v>
      </c>
      <c r="I116" s="10" t="n">
        <v>490</v>
      </c>
      <c r="J116" s="10" t="n">
        <v>81.67</v>
      </c>
      <c r="K116" s="10"/>
      <c r="L116" s="8"/>
      <c r="M116" s="8"/>
      <c r="N116" s="8"/>
    </row>
    <row r="117" customFormat="false" ht="15.75" hidden="false" customHeight="false" outlineLevel="0" collapsed="false">
      <c r="A117" s="10" t="n">
        <v>116</v>
      </c>
      <c r="B117" s="31" t="s">
        <v>135</v>
      </c>
      <c r="C117" s="10" t="n">
        <v>30</v>
      </c>
      <c r="D117" s="10" t="n">
        <v>40</v>
      </c>
      <c r="E117" s="10" t="n">
        <v>70</v>
      </c>
      <c r="F117" s="10" t="n">
        <v>70</v>
      </c>
      <c r="G117" s="10" t="n">
        <v>25</v>
      </c>
      <c r="H117" s="10" t="n">
        <v>60</v>
      </c>
      <c r="I117" s="10" t="n">
        <v>295</v>
      </c>
      <c r="J117" s="10" t="n">
        <v>49.17</v>
      </c>
      <c r="K117" s="10"/>
      <c r="L117" s="8"/>
      <c r="M117" s="8"/>
      <c r="N117" s="8"/>
    </row>
    <row r="118" customFormat="false" ht="15.75" hidden="false" customHeight="false" outlineLevel="0" collapsed="false">
      <c r="A118" s="10" t="n">
        <v>117</v>
      </c>
      <c r="B118" s="31" t="s">
        <v>136</v>
      </c>
      <c r="C118" s="10" t="n">
        <v>55</v>
      </c>
      <c r="D118" s="10" t="n">
        <v>65</v>
      </c>
      <c r="E118" s="10" t="n">
        <v>95</v>
      </c>
      <c r="F118" s="10" t="n">
        <v>95</v>
      </c>
      <c r="G118" s="10" t="n">
        <v>45</v>
      </c>
      <c r="H118" s="10" t="n">
        <v>85</v>
      </c>
      <c r="I118" s="10" t="n">
        <v>440</v>
      </c>
      <c r="J118" s="10" t="n">
        <v>73.33</v>
      </c>
      <c r="K118" s="10"/>
      <c r="L118" s="8"/>
      <c r="M118" s="8"/>
      <c r="N118" s="8"/>
    </row>
    <row r="119" customFormat="false" ht="15.75" hidden="false" customHeight="false" outlineLevel="0" collapsed="false">
      <c r="A119" s="10" t="n">
        <v>118</v>
      </c>
      <c r="B119" s="31" t="s">
        <v>137</v>
      </c>
      <c r="C119" s="10" t="n">
        <v>45</v>
      </c>
      <c r="D119" s="10" t="n">
        <v>67</v>
      </c>
      <c r="E119" s="10" t="n">
        <v>60</v>
      </c>
      <c r="F119" s="10" t="n">
        <v>35</v>
      </c>
      <c r="G119" s="10" t="n">
        <v>50</v>
      </c>
      <c r="H119" s="10" t="n">
        <v>63</v>
      </c>
      <c r="I119" s="10" t="n">
        <v>320</v>
      </c>
      <c r="J119" s="10" t="n">
        <v>53.33</v>
      </c>
      <c r="K119" s="10"/>
      <c r="L119" s="8"/>
      <c r="M119" s="8"/>
      <c r="N119" s="8"/>
    </row>
    <row r="120" customFormat="false" ht="15.75" hidden="false" customHeight="false" outlineLevel="0" collapsed="false">
      <c r="A120" s="10" t="n">
        <v>119</v>
      </c>
      <c r="B120" s="31" t="s">
        <v>138</v>
      </c>
      <c r="C120" s="10" t="n">
        <v>80</v>
      </c>
      <c r="D120" s="10" t="n">
        <v>92</v>
      </c>
      <c r="E120" s="10" t="n">
        <v>65</v>
      </c>
      <c r="F120" s="10" t="n">
        <v>65</v>
      </c>
      <c r="G120" s="10" t="n">
        <v>80</v>
      </c>
      <c r="H120" s="10" t="n">
        <v>68</v>
      </c>
      <c r="I120" s="10" t="n">
        <v>450</v>
      </c>
      <c r="J120" s="10" t="n">
        <v>75</v>
      </c>
      <c r="K120" s="10"/>
      <c r="L120" s="8"/>
      <c r="M120" s="8"/>
      <c r="N120" s="8"/>
    </row>
    <row r="121" customFormat="false" ht="15.75" hidden="false" customHeight="false" outlineLevel="0" collapsed="false">
      <c r="A121" s="10" t="n">
        <v>120</v>
      </c>
      <c r="B121" s="31" t="s">
        <v>139</v>
      </c>
      <c r="C121" s="10" t="n">
        <v>30</v>
      </c>
      <c r="D121" s="10" t="n">
        <v>45</v>
      </c>
      <c r="E121" s="10" t="n">
        <v>55</v>
      </c>
      <c r="F121" s="10" t="n">
        <v>70</v>
      </c>
      <c r="G121" s="10" t="n">
        <v>55</v>
      </c>
      <c r="H121" s="10" t="n">
        <v>85</v>
      </c>
      <c r="I121" s="10" t="n">
        <v>340</v>
      </c>
      <c r="J121" s="10" t="n">
        <v>56.67</v>
      </c>
      <c r="K121" s="10"/>
      <c r="L121" s="8"/>
      <c r="M121" s="8"/>
      <c r="N121" s="8"/>
    </row>
    <row r="122" customFormat="false" ht="15.75" hidden="false" customHeight="false" outlineLevel="0" collapsed="false">
      <c r="A122" s="10" t="n">
        <v>121</v>
      </c>
      <c r="B122" s="31" t="s">
        <v>140</v>
      </c>
      <c r="C122" s="10" t="n">
        <v>60</v>
      </c>
      <c r="D122" s="10" t="n">
        <v>75</v>
      </c>
      <c r="E122" s="10" t="n">
        <v>85</v>
      </c>
      <c r="F122" s="10" t="n">
        <v>100</v>
      </c>
      <c r="G122" s="10" t="n">
        <v>85</v>
      </c>
      <c r="H122" s="10" t="n">
        <v>115</v>
      </c>
      <c r="I122" s="10" t="n">
        <v>520</v>
      </c>
      <c r="J122" s="10" t="n">
        <v>86.67</v>
      </c>
      <c r="K122" s="10"/>
      <c r="L122" s="8"/>
      <c r="M122" s="8"/>
      <c r="N122" s="8"/>
    </row>
    <row r="123" customFormat="false" ht="15.75" hidden="false" customHeight="false" outlineLevel="0" collapsed="false">
      <c r="A123" s="10" t="n">
        <v>122</v>
      </c>
      <c r="B123" s="31" t="s">
        <v>141</v>
      </c>
      <c r="C123" s="10" t="n">
        <v>40</v>
      </c>
      <c r="D123" s="10" t="n">
        <v>45</v>
      </c>
      <c r="E123" s="10" t="n">
        <v>65</v>
      </c>
      <c r="F123" s="10" t="n">
        <v>100</v>
      </c>
      <c r="G123" s="10" t="n">
        <v>120</v>
      </c>
      <c r="H123" s="10" t="n">
        <v>90</v>
      </c>
      <c r="I123" s="10" t="n">
        <v>460</v>
      </c>
      <c r="J123" s="10" t="n">
        <v>76.67</v>
      </c>
      <c r="K123" s="10"/>
      <c r="L123" s="8"/>
      <c r="M123" s="8"/>
      <c r="N123" s="8"/>
    </row>
    <row r="124" customFormat="false" ht="15.75" hidden="false" customHeight="false" outlineLevel="0" collapsed="false">
      <c r="A124" s="10" t="n">
        <v>123</v>
      </c>
      <c r="B124" s="31" t="s">
        <v>142</v>
      </c>
      <c r="C124" s="10" t="n">
        <v>70</v>
      </c>
      <c r="D124" s="10" t="n">
        <v>110</v>
      </c>
      <c r="E124" s="10" t="n">
        <v>80</v>
      </c>
      <c r="F124" s="10" t="n">
        <v>55</v>
      </c>
      <c r="G124" s="10" t="n">
        <v>80</v>
      </c>
      <c r="H124" s="10" t="n">
        <v>105</v>
      </c>
      <c r="I124" s="10" t="n">
        <v>500</v>
      </c>
      <c r="J124" s="10" t="n">
        <v>83.33</v>
      </c>
      <c r="K124" s="10"/>
      <c r="L124" s="8"/>
      <c r="M124" s="8"/>
      <c r="N124" s="8"/>
    </row>
    <row r="125" customFormat="false" ht="15.75" hidden="false" customHeight="false" outlineLevel="0" collapsed="false">
      <c r="A125" s="10" t="n">
        <v>124</v>
      </c>
      <c r="B125" s="31" t="s">
        <v>143</v>
      </c>
      <c r="C125" s="10" t="n">
        <v>65</v>
      </c>
      <c r="D125" s="10" t="n">
        <v>50</v>
      </c>
      <c r="E125" s="10" t="n">
        <v>35</v>
      </c>
      <c r="F125" s="10" t="n">
        <v>115</v>
      </c>
      <c r="G125" s="10" t="n">
        <v>95</v>
      </c>
      <c r="H125" s="10" t="n">
        <v>95</v>
      </c>
      <c r="I125" s="10" t="n">
        <v>455</v>
      </c>
      <c r="J125" s="10" t="n">
        <v>75.83</v>
      </c>
      <c r="K125" s="10"/>
      <c r="L125" s="8"/>
      <c r="M125" s="8"/>
      <c r="N125" s="8"/>
    </row>
    <row r="126" customFormat="false" ht="15.75" hidden="false" customHeight="false" outlineLevel="0" collapsed="false">
      <c r="A126" s="10" t="n">
        <v>125</v>
      </c>
      <c r="B126" s="31" t="s">
        <v>144</v>
      </c>
      <c r="C126" s="10" t="n">
        <v>65</v>
      </c>
      <c r="D126" s="10" t="n">
        <v>83</v>
      </c>
      <c r="E126" s="10" t="n">
        <v>57</v>
      </c>
      <c r="F126" s="10" t="n">
        <v>95</v>
      </c>
      <c r="G126" s="10" t="n">
        <v>85</v>
      </c>
      <c r="H126" s="10" t="n">
        <v>105</v>
      </c>
      <c r="I126" s="10" t="n">
        <v>490</v>
      </c>
      <c r="J126" s="10" t="n">
        <v>81.67</v>
      </c>
      <c r="K126" s="10"/>
      <c r="L126" s="8"/>
      <c r="M126" s="8"/>
      <c r="N126" s="8"/>
    </row>
    <row r="127" customFormat="false" ht="15.75" hidden="false" customHeight="false" outlineLevel="0" collapsed="false">
      <c r="A127" s="10" t="n">
        <v>126</v>
      </c>
      <c r="B127" s="31" t="s">
        <v>145</v>
      </c>
      <c r="C127" s="10" t="n">
        <v>65</v>
      </c>
      <c r="D127" s="10" t="n">
        <v>95</v>
      </c>
      <c r="E127" s="10" t="n">
        <v>57</v>
      </c>
      <c r="F127" s="10" t="n">
        <v>100</v>
      </c>
      <c r="G127" s="10" t="n">
        <v>85</v>
      </c>
      <c r="H127" s="10" t="n">
        <v>93</v>
      </c>
      <c r="I127" s="10" t="n">
        <v>495</v>
      </c>
      <c r="J127" s="10" t="n">
        <v>82.5</v>
      </c>
      <c r="K127" s="10"/>
      <c r="L127" s="8"/>
      <c r="M127" s="8"/>
      <c r="N127" s="8"/>
    </row>
    <row r="128" customFormat="false" ht="15.75" hidden="false" customHeight="false" outlineLevel="0" collapsed="false">
      <c r="A128" s="10" t="n">
        <v>127</v>
      </c>
      <c r="B128" s="31" t="s">
        <v>146</v>
      </c>
      <c r="C128" s="10" t="n">
        <v>65</v>
      </c>
      <c r="D128" s="10" t="n">
        <v>125</v>
      </c>
      <c r="E128" s="10" t="n">
        <v>100</v>
      </c>
      <c r="F128" s="10" t="n">
        <v>55</v>
      </c>
      <c r="G128" s="10" t="n">
        <v>70</v>
      </c>
      <c r="H128" s="10" t="n">
        <v>85</v>
      </c>
      <c r="I128" s="10" t="n">
        <v>500</v>
      </c>
      <c r="J128" s="10" t="n">
        <v>83.33</v>
      </c>
      <c r="K128" s="10"/>
      <c r="L128" s="8"/>
      <c r="M128" s="8"/>
      <c r="N128" s="8"/>
    </row>
    <row r="129" customFormat="false" ht="15.75" hidden="false" customHeight="false" outlineLevel="0" collapsed="false">
      <c r="A129" s="10" t="n">
        <v>128</v>
      </c>
      <c r="B129" s="31" t="s">
        <v>147</v>
      </c>
      <c r="C129" s="10" t="n">
        <v>75</v>
      </c>
      <c r="D129" s="10" t="n">
        <v>100</v>
      </c>
      <c r="E129" s="10" t="n">
        <v>95</v>
      </c>
      <c r="F129" s="10" t="n">
        <v>40</v>
      </c>
      <c r="G129" s="10" t="n">
        <v>70</v>
      </c>
      <c r="H129" s="10" t="n">
        <v>110</v>
      </c>
      <c r="I129" s="10" t="n">
        <v>490</v>
      </c>
      <c r="J129" s="10" t="n">
        <v>81.67</v>
      </c>
      <c r="K129" s="10"/>
      <c r="L129" s="8"/>
      <c r="M129" s="8"/>
      <c r="N129" s="8"/>
    </row>
    <row r="130" customFormat="false" ht="15.75" hidden="false" customHeight="false" outlineLevel="0" collapsed="false">
      <c r="A130" s="10" t="n">
        <v>129</v>
      </c>
      <c r="B130" s="31" t="s">
        <v>148</v>
      </c>
      <c r="C130" s="10" t="n">
        <v>20</v>
      </c>
      <c r="D130" s="10" t="n">
        <v>10</v>
      </c>
      <c r="E130" s="10" t="n">
        <v>55</v>
      </c>
      <c r="F130" s="10" t="n">
        <v>15</v>
      </c>
      <c r="G130" s="10" t="n">
        <v>20</v>
      </c>
      <c r="H130" s="10" t="n">
        <v>80</v>
      </c>
      <c r="I130" s="10" t="n">
        <v>200</v>
      </c>
      <c r="J130" s="10" t="n">
        <v>33.33</v>
      </c>
      <c r="K130" s="10"/>
      <c r="L130" s="8"/>
      <c r="M130" s="8"/>
      <c r="N130" s="8"/>
    </row>
    <row r="131" customFormat="false" ht="15.75" hidden="false" customHeight="false" outlineLevel="0" collapsed="false">
      <c r="A131" s="10" t="n">
        <v>130</v>
      </c>
      <c r="B131" s="31" t="s">
        <v>149</v>
      </c>
      <c r="C131" s="10" t="n">
        <v>95</v>
      </c>
      <c r="D131" s="10" t="n">
        <v>125</v>
      </c>
      <c r="E131" s="10" t="n">
        <v>79</v>
      </c>
      <c r="F131" s="10" t="n">
        <v>60</v>
      </c>
      <c r="G131" s="10" t="n">
        <v>100</v>
      </c>
      <c r="H131" s="10" t="n">
        <v>81</v>
      </c>
      <c r="I131" s="10" t="n">
        <v>540</v>
      </c>
      <c r="J131" s="10" t="n">
        <v>90</v>
      </c>
      <c r="K131" s="10"/>
      <c r="L131" s="8"/>
      <c r="M131" s="8"/>
      <c r="N131" s="8"/>
    </row>
    <row r="132" customFormat="false" ht="15.75" hidden="false" customHeight="false" outlineLevel="0" collapsed="false">
      <c r="A132" s="10" t="n">
        <v>131</v>
      </c>
      <c r="B132" s="31" t="s">
        <v>150</v>
      </c>
      <c r="C132" s="10" t="n">
        <v>130</v>
      </c>
      <c r="D132" s="10" t="n">
        <v>85</v>
      </c>
      <c r="E132" s="10" t="n">
        <v>80</v>
      </c>
      <c r="F132" s="10" t="n">
        <v>85</v>
      </c>
      <c r="G132" s="10" t="n">
        <v>95</v>
      </c>
      <c r="H132" s="10" t="n">
        <v>60</v>
      </c>
      <c r="I132" s="10" t="n">
        <v>535</v>
      </c>
      <c r="J132" s="10" t="n">
        <v>89.17</v>
      </c>
      <c r="K132" s="10"/>
      <c r="L132" s="8"/>
      <c r="M132" s="8"/>
      <c r="N132" s="8"/>
    </row>
    <row r="133" customFormat="false" ht="15.75" hidden="false" customHeight="false" outlineLevel="0" collapsed="false">
      <c r="A133" s="10" t="n">
        <v>132</v>
      </c>
      <c r="B133" s="31" t="s">
        <v>151</v>
      </c>
      <c r="C133" s="10" t="n">
        <v>48</v>
      </c>
      <c r="D133" s="10" t="n">
        <v>48</v>
      </c>
      <c r="E133" s="10" t="n">
        <v>48</v>
      </c>
      <c r="F133" s="10" t="n">
        <v>48</v>
      </c>
      <c r="G133" s="10" t="n">
        <v>48</v>
      </c>
      <c r="H133" s="10" t="n">
        <v>48</v>
      </c>
      <c r="I133" s="10" t="n">
        <v>288</v>
      </c>
      <c r="J133" s="10" t="n">
        <v>48</v>
      </c>
      <c r="K133" s="10"/>
      <c r="L133" s="8"/>
      <c r="M133" s="8"/>
      <c r="N133" s="8"/>
    </row>
    <row r="134" customFormat="false" ht="15.75" hidden="false" customHeight="false" outlineLevel="0" collapsed="false">
      <c r="A134" s="10" t="n">
        <v>133</v>
      </c>
      <c r="B134" s="31" t="s">
        <v>152</v>
      </c>
      <c r="C134" s="10" t="n">
        <v>55</v>
      </c>
      <c r="D134" s="10" t="n">
        <v>55</v>
      </c>
      <c r="E134" s="10" t="n">
        <v>50</v>
      </c>
      <c r="F134" s="10" t="n">
        <v>45</v>
      </c>
      <c r="G134" s="10" t="n">
        <v>65</v>
      </c>
      <c r="H134" s="10" t="n">
        <v>55</v>
      </c>
      <c r="I134" s="10" t="n">
        <v>325</v>
      </c>
      <c r="J134" s="10" t="n">
        <v>54.17</v>
      </c>
      <c r="K134" s="10"/>
      <c r="L134" s="8"/>
      <c r="M134" s="8"/>
      <c r="N134" s="8"/>
    </row>
    <row r="135" customFormat="false" ht="15.75" hidden="false" customHeight="false" outlineLevel="0" collapsed="false">
      <c r="A135" s="10" t="n">
        <v>134</v>
      </c>
      <c r="B135" s="31" t="s">
        <v>153</v>
      </c>
      <c r="C135" s="10" t="n">
        <v>130</v>
      </c>
      <c r="D135" s="10" t="n">
        <v>65</v>
      </c>
      <c r="E135" s="10" t="n">
        <v>60</v>
      </c>
      <c r="F135" s="10" t="n">
        <v>110</v>
      </c>
      <c r="G135" s="10" t="n">
        <v>95</v>
      </c>
      <c r="H135" s="10" t="n">
        <v>65</v>
      </c>
      <c r="I135" s="10" t="n">
        <v>525</v>
      </c>
      <c r="J135" s="10" t="n">
        <v>87.5</v>
      </c>
      <c r="K135" s="10"/>
      <c r="L135" s="8"/>
      <c r="M135" s="8"/>
      <c r="N135" s="8"/>
    </row>
    <row r="136" customFormat="false" ht="15.75" hidden="false" customHeight="false" outlineLevel="0" collapsed="false">
      <c r="A136" s="10" t="n">
        <v>135</v>
      </c>
      <c r="B136" s="31" t="s">
        <v>154</v>
      </c>
      <c r="C136" s="10" t="n">
        <v>65</v>
      </c>
      <c r="D136" s="10" t="n">
        <v>65</v>
      </c>
      <c r="E136" s="10" t="n">
        <v>60</v>
      </c>
      <c r="F136" s="10" t="n">
        <v>110</v>
      </c>
      <c r="G136" s="10" t="n">
        <v>95</v>
      </c>
      <c r="H136" s="10" t="n">
        <v>130</v>
      </c>
      <c r="I136" s="10" t="n">
        <v>525</v>
      </c>
      <c r="J136" s="10" t="n">
        <v>87.5</v>
      </c>
      <c r="K136" s="10"/>
      <c r="L136" s="8"/>
      <c r="M136" s="8"/>
      <c r="N136" s="8"/>
    </row>
    <row r="137" customFormat="false" ht="15.75" hidden="false" customHeight="false" outlineLevel="0" collapsed="false">
      <c r="A137" s="10" t="n">
        <v>136</v>
      </c>
      <c r="B137" s="31" t="s">
        <v>155</v>
      </c>
      <c r="C137" s="10" t="n">
        <v>65</v>
      </c>
      <c r="D137" s="10" t="n">
        <v>130</v>
      </c>
      <c r="E137" s="10" t="n">
        <v>60</v>
      </c>
      <c r="F137" s="10" t="n">
        <v>95</v>
      </c>
      <c r="G137" s="10" t="n">
        <v>110</v>
      </c>
      <c r="H137" s="10" t="n">
        <v>65</v>
      </c>
      <c r="I137" s="10" t="n">
        <v>525</v>
      </c>
      <c r="J137" s="10" t="n">
        <v>87.5</v>
      </c>
      <c r="K137" s="10"/>
      <c r="L137" s="8"/>
      <c r="M137" s="8"/>
      <c r="N137" s="8"/>
    </row>
    <row r="138" customFormat="false" ht="15.75" hidden="false" customHeight="false" outlineLevel="0" collapsed="false">
      <c r="A138" s="10" t="n">
        <v>137</v>
      </c>
      <c r="B138" s="31" t="s">
        <v>156</v>
      </c>
      <c r="C138" s="10" t="n">
        <v>65</v>
      </c>
      <c r="D138" s="10" t="n">
        <v>60</v>
      </c>
      <c r="E138" s="10" t="n">
        <v>70</v>
      </c>
      <c r="F138" s="10" t="n">
        <v>85</v>
      </c>
      <c r="G138" s="10" t="n">
        <v>75</v>
      </c>
      <c r="H138" s="10" t="n">
        <v>40</v>
      </c>
      <c r="I138" s="10" t="n">
        <v>395</v>
      </c>
      <c r="J138" s="10" t="n">
        <v>65.83</v>
      </c>
      <c r="K138" s="10"/>
      <c r="L138" s="8"/>
      <c r="M138" s="8"/>
      <c r="N138" s="8"/>
    </row>
    <row r="139" customFormat="false" ht="15.75" hidden="false" customHeight="false" outlineLevel="0" collapsed="false">
      <c r="A139" s="10" t="n">
        <v>138</v>
      </c>
      <c r="B139" s="31" t="s">
        <v>157</v>
      </c>
      <c r="C139" s="10" t="n">
        <v>35</v>
      </c>
      <c r="D139" s="10" t="n">
        <v>40</v>
      </c>
      <c r="E139" s="10" t="n">
        <v>100</v>
      </c>
      <c r="F139" s="10" t="n">
        <v>90</v>
      </c>
      <c r="G139" s="10" t="n">
        <v>55</v>
      </c>
      <c r="H139" s="10" t="n">
        <v>35</v>
      </c>
      <c r="I139" s="10" t="n">
        <v>355</v>
      </c>
      <c r="J139" s="10" t="n">
        <v>59.17</v>
      </c>
      <c r="K139" s="10"/>
      <c r="L139" s="8"/>
      <c r="M139" s="8"/>
      <c r="N139" s="8"/>
    </row>
    <row r="140" customFormat="false" ht="15.75" hidden="false" customHeight="false" outlineLevel="0" collapsed="false">
      <c r="A140" s="10" t="n">
        <v>139</v>
      </c>
      <c r="B140" s="31" t="s">
        <v>158</v>
      </c>
      <c r="C140" s="10" t="n">
        <v>70</v>
      </c>
      <c r="D140" s="10" t="n">
        <v>60</v>
      </c>
      <c r="E140" s="10" t="n">
        <v>125</v>
      </c>
      <c r="F140" s="10" t="n">
        <v>115</v>
      </c>
      <c r="G140" s="10" t="n">
        <v>70</v>
      </c>
      <c r="H140" s="10" t="n">
        <v>55</v>
      </c>
      <c r="I140" s="10" t="n">
        <v>495</v>
      </c>
      <c r="J140" s="10" t="n">
        <v>82.5</v>
      </c>
      <c r="K140" s="10"/>
      <c r="L140" s="8"/>
      <c r="M140" s="8"/>
      <c r="N140" s="8"/>
    </row>
    <row r="141" customFormat="false" ht="15.75" hidden="false" customHeight="false" outlineLevel="0" collapsed="false">
      <c r="A141" s="10" t="n">
        <v>140</v>
      </c>
      <c r="B141" s="31" t="s">
        <v>159</v>
      </c>
      <c r="C141" s="10" t="n">
        <v>30</v>
      </c>
      <c r="D141" s="10" t="n">
        <v>80</v>
      </c>
      <c r="E141" s="10" t="n">
        <v>90</v>
      </c>
      <c r="F141" s="10" t="n">
        <v>55</v>
      </c>
      <c r="G141" s="10" t="n">
        <v>45</v>
      </c>
      <c r="H141" s="10" t="n">
        <v>55</v>
      </c>
      <c r="I141" s="10" t="n">
        <v>355</v>
      </c>
      <c r="J141" s="10" t="n">
        <v>59.17</v>
      </c>
      <c r="K141" s="10"/>
      <c r="L141" s="8"/>
      <c r="M141" s="8"/>
      <c r="N141" s="8"/>
    </row>
    <row r="142" customFormat="false" ht="15.75" hidden="false" customHeight="false" outlineLevel="0" collapsed="false">
      <c r="A142" s="10" t="n">
        <v>141</v>
      </c>
      <c r="B142" s="31" t="s">
        <v>160</v>
      </c>
      <c r="C142" s="10" t="n">
        <v>60</v>
      </c>
      <c r="D142" s="10" t="n">
        <v>115</v>
      </c>
      <c r="E142" s="10" t="n">
        <v>105</v>
      </c>
      <c r="F142" s="10" t="n">
        <v>65</v>
      </c>
      <c r="G142" s="10" t="n">
        <v>70</v>
      </c>
      <c r="H142" s="10" t="n">
        <v>80</v>
      </c>
      <c r="I142" s="10" t="n">
        <v>495</v>
      </c>
      <c r="J142" s="10" t="n">
        <v>82.5</v>
      </c>
      <c r="K142" s="10"/>
      <c r="L142" s="8"/>
      <c r="M142" s="8"/>
      <c r="N142" s="8"/>
    </row>
    <row r="143" customFormat="false" ht="15.75" hidden="false" customHeight="false" outlineLevel="0" collapsed="false">
      <c r="A143" s="10" t="n">
        <v>142</v>
      </c>
      <c r="B143" s="31" t="s">
        <v>161</v>
      </c>
      <c r="C143" s="10" t="n">
        <v>80</v>
      </c>
      <c r="D143" s="10" t="n">
        <v>105</v>
      </c>
      <c r="E143" s="10" t="n">
        <v>65</v>
      </c>
      <c r="F143" s="10" t="n">
        <v>60</v>
      </c>
      <c r="G143" s="10" t="n">
        <v>75</v>
      </c>
      <c r="H143" s="10" t="n">
        <v>130</v>
      </c>
      <c r="I143" s="10" t="n">
        <v>515</v>
      </c>
      <c r="J143" s="10" t="n">
        <v>85.83</v>
      </c>
      <c r="K143" s="10"/>
      <c r="L143" s="8"/>
      <c r="M143" s="8"/>
      <c r="N143" s="8"/>
    </row>
    <row r="144" customFormat="false" ht="15.75" hidden="false" customHeight="false" outlineLevel="0" collapsed="false">
      <c r="A144" s="10" t="n">
        <v>143</v>
      </c>
      <c r="B144" s="31" t="s">
        <v>162</v>
      </c>
      <c r="C144" s="10" t="n">
        <v>160</v>
      </c>
      <c r="D144" s="10" t="n">
        <v>110</v>
      </c>
      <c r="E144" s="10" t="n">
        <v>65</v>
      </c>
      <c r="F144" s="10" t="n">
        <v>65</v>
      </c>
      <c r="G144" s="10" t="n">
        <v>110</v>
      </c>
      <c r="H144" s="10" t="n">
        <v>30</v>
      </c>
      <c r="I144" s="10" t="n">
        <v>540</v>
      </c>
      <c r="J144" s="10" t="n">
        <v>90</v>
      </c>
      <c r="K144" s="10"/>
      <c r="L144" s="8"/>
      <c r="M144" s="8"/>
      <c r="N144" s="8"/>
    </row>
    <row r="145" customFormat="false" ht="15.75" hidden="false" customHeight="false" outlineLevel="0" collapsed="false">
      <c r="A145" s="10" t="n">
        <v>144</v>
      </c>
      <c r="B145" s="31" t="s">
        <v>163</v>
      </c>
      <c r="C145" s="10" t="n">
        <v>90</v>
      </c>
      <c r="D145" s="10" t="n">
        <v>85</v>
      </c>
      <c r="E145" s="10" t="n">
        <v>100</v>
      </c>
      <c r="F145" s="10" t="n">
        <v>95</v>
      </c>
      <c r="G145" s="10" t="n">
        <v>125</v>
      </c>
      <c r="H145" s="10" t="n">
        <v>85</v>
      </c>
      <c r="I145" s="10" t="n">
        <v>580</v>
      </c>
      <c r="J145" s="10" t="n">
        <v>96.67</v>
      </c>
      <c r="K145" s="10"/>
      <c r="L145" s="8"/>
      <c r="M145" s="8"/>
      <c r="N145" s="8"/>
    </row>
    <row r="146" customFormat="false" ht="15.75" hidden="false" customHeight="false" outlineLevel="0" collapsed="false">
      <c r="A146" s="10" t="n">
        <v>145</v>
      </c>
      <c r="B146" s="31" t="s">
        <v>164</v>
      </c>
      <c r="C146" s="10" t="n">
        <v>90</v>
      </c>
      <c r="D146" s="10" t="n">
        <v>90</v>
      </c>
      <c r="E146" s="10" t="n">
        <v>85</v>
      </c>
      <c r="F146" s="10" t="n">
        <v>125</v>
      </c>
      <c r="G146" s="10" t="n">
        <v>90</v>
      </c>
      <c r="H146" s="10" t="n">
        <v>100</v>
      </c>
      <c r="I146" s="10" t="n">
        <v>580</v>
      </c>
      <c r="J146" s="10" t="n">
        <v>96.67</v>
      </c>
      <c r="K146" s="10"/>
      <c r="L146" s="8"/>
      <c r="M146" s="8"/>
      <c r="N146" s="8"/>
    </row>
    <row r="147" customFormat="false" ht="15.75" hidden="false" customHeight="false" outlineLevel="0" collapsed="false">
      <c r="A147" s="10" t="n">
        <v>146</v>
      </c>
      <c r="B147" s="31" t="s">
        <v>165</v>
      </c>
      <c r="C147" s="10" t="n">
        <v>90</v>
      </c>
      <c r="D147" s="10" t="n">
        <v>100</v>
      </c>
      <c r="E147" s="10" t="n">
        <v>90</v>
      </c>
      <c r="F147" s="10" t="n">
        <v>125</v>
      </c>
      <c r="G147" s="10" t="n">
        <v>85</v>
      </c>
      <c r="H147" s="10" t="n">
        <v>90</v>
      </c>
      <c r="I147" s="10" t="n">
        <v>580</v>
      </c>
      <c r="J147" s="10" t="n">
        <v>96.67</v>
      </c>
      <c r="K147" s="10"/>
      <c r="L147" s="8"/>
      <c r="M147" s="8"/>
      <c r="N147" s="8"/>
    </row>
    <row r="148" customFormat="false" ht="15.75" hidden="false" customHeight="false" outlineLevel="0" collapsed="false">
      <c r="A148" s="10" t="n">
        <v>147</v>
      </c>
      <c r="B148" s="31" t="s">
        <v>166</v>
      </c>
      <c r="C148" s="10" t="n">
        <v>41</v>
      </c>
      <c r="D148" s="10" t="n">
        <v>64</v>
      </c>
      <c r="E148" s="10" t="n">
        <v>45</v>
      </c>
      <c r="F148" s="10" t="n">
        <v>50</v>
      </c>
      <c r="G148" s="10" t="n">
        <v>50</v>
      </c>
      <c r="H148" s="10" t="n">
        <v>50</v>
      </c>
      <c r="I148" s="10" t="n">
        <v>300</v>
      </c>
      <c r="J148" s="10" t="n">
        <v>50</v>
      </c>
      <c r="K148" s="10"/>
      <c r="L148" s="8"/>
      <c r="M148" s="8"/>
      <c r="N148" s="8"/>
    </row>
    <row r="149" customFormat="false" ht="15.75" hidden="false" customHeight="false" outlineLevel="0" collapsed="false">
      <c r="A149" s="10" t="n">
        <v>148</v>
      </c>
      <c r="B149" s="31" t="s">
        <v>167</v>
      </c>
      <c r="C149" s="10" t="n">
        <v>61</v>
      </c>
      <c r="D149" s="10" t="n">
        <v>84</v>
      </c>
      <c r="E149" s="10" t="n">
        <v>65</v>
      </c>
      <c r="F149" s="10" t="n">
        <v>70</v>
      </c>
      <c r="G149" s="10" t="n">
        <v>70</v>
      </c>
      <c r="H149" s="10" t="n">
        <v>70</v>
      </c>
      <c r="I149" s="10" t="n">
        <v>420</v>
      </c>
      <c r="J149" s="10" t="n">
        <v>70</v>
      </c>
      <c r="K149" s="10"/>
      <c r="L149" s="8"/>
      <c r="M149" s="8"/>
      <c r="N149" s="8"/>
    </row>
    <row r="150" customFormat="false" ht="15.75" hidden="false" customHeight="false" outlineLevel="0" collapsed="false">
      <c r="A150" s="10" t="n">
        <v>149</v>
      </c>
      <c r="B150" s="31" t="s">
        <v>168</v>
      </c>
      <c r="C150" s="10" t="n">
        <v>91</v>
      </c>
      <c r="D150" s="10" t="n">
        <v>134</v>
      </c>
      <c r="E150" s="10" t="n">
        <v>95</v>
      </c>
      <c r="F150" s="10" t="n">
        <v>100</v>
      </c>
      <c r="G150" s="10" t="n">
        <v>100</v>
      </c>
      <c r="H150" s="10" t="n">
        <v>80</v>
      </c>
      <c r="I150" s="10" t="n">
        <v>600</v>
      </c>
      <c r="J150" s="10" t="n">
        <v>100</v>
      </c>
      <c r="K150" s="10"/>
      <c r="L150" s="8"/>
      <c r="M150" s="8"/>
      <c r="N150" s="8"/>
    </row>
    <row r="151" customFormat="false" ht="15.75" hidden="false" customHeight="false" outlineLevel="0" collapsed="false">
      <c r="A151" s="10" t="n">
        <v>150</v>
      </c>
      <c r="B151" s="31" t="s">
        <v>169</v>
      </c>
      <c r="C151" s="10" t="n">
        <v>106</v>
      </c>
      <c r="D151" s="10" t="n">
        <v>110</v>
      </c>
      <c r="E151" s="10" t="n">
        <v>90</v>
      </c>
      <c r="F151" s="10" t="n">
        <v>154</v>
      </c>
      <c r="G151" s="10" t="n">
        <v>90</v>
      </c>
      <c r="H151" s="10" t="n">
        <v>130</v>
      </c>
      <c r="I151" s="10" t="n">
        <v>680</v>
      </c>
      <c r="J151" s="10" t="n">
        <v>113.33</v>
      </c>
      <c r="K151" s="10"/>
      <c r="L151" s="8"/>
      <c r="M151" s="8"/>
      <c r="N151" s="8"/>
    </row>
    <row r="152" customFormat="false" ht="15.75" hidden="false" customHeight="false" outlineLevel="0" collapsed="false">
      <c r="A152" s="31" t="s">
        <v>571</v>
      </c>
      <c r="B152" s="31" t="s">
        <v>572</v>
      </c>
      <c r="C152" s="10" t="n">
        <v>80</v>
      </c>
      <c r="D152" s="10" t="n">
        <v>100</v>
      </c>
      <c r="E152" s="10" t="n">
        <v>123</v>
      </c>
      <c r="F152" s="10" t="n">
        <v>122</v>
      </c>
      <c r="G152" s="10" t="n">
        <v>120</v>
      </c>
      <c r="H152" s="10" t="n">
        <v>80</v>
      </c>
      <c r="I152" s="10" t="n">
        <v>625</v>
      </c>
      <c r="J152" s="10" t="n">
        <v>104.17</v>
      </c>
      <c r="K152" s="10"/>
      <c r="L152" s="8"/>
      <c r="M152" s="8"/>
      <c r="N152" s="8"/>
    </row>
    <row r="153" customFormat="false" ht="15.75" hidden="false" customHeight="false" outlineLevel="0" collapsed="false">
      <c r="A153" s="31" t="s">
        <v>573</v>
      </c>
      <c r="B153" s="31" t="s">
        <v>574</v>
      </c>
      <c r="C153" s="10" t="n">
        <v>78</v>
      </c>
      <c r="D153" s="10" t="n">
        <v>130</v>
      </c>
      <c r="E153" s="10" t="n">
        <v>111</v>
      </c>
      <c r="F153" s="10" t="n">
        <v>130</v>
      </c>
      <c r="G153" s="10" t="n">
        <v>85</v>
      </c>
      <c r="H153" s="10" t="n">
        <v>100</v>
      </c>
      <c r="I153" s="10" t="n">
        <v>634</v>
      </c>
      <c r="J153" s="10" t="n">
        <v>105.67</v>
      </c>
      <c r="K153" s="10"/>
      <c r="L153" s="8"/>
      <c r="M153" s="8"/>
      <c r="N153" s="8"/>
    </row>
    <row r="154" customFormat="false" ht="15.75" hidden="false" customHeight="false" outlineLevel="0" collapsed="false">
      <c r="A154" s="31" t="s">
        <v>575</v>
      </c>
      <c r="B154" s="31" t="s">
        <v>576</v>
      </c>
      <c r="C154" s="10" t="n">
        <v>78</v>
      </c>
      <c r="D154" s="10" t="n">
        <v>104</v>
      </c>
      <c r="E154" s="10" t="n">
        <v>78</v>
      </c>
      <c r="F154" s="10" t="n">
        <v>159</v>
      </c>
      <c r="G154" s="10" t="n">
        <v>115</v>
      </c>
      <c r="H154" s="10" t="n">
        <v>100</v>
      </c>
      <c r="I154" s="10" t="n">
        <v>634</v>
      </c>
      <c r="J154" s="10" t="n">
        <v>105.67</v>
      </c>
      <c r="K154" s="10"/>
      <c r="L154" s="8"/>
      <c r="M154" s="8"/>
      <c r="N154" s="8"/>
    </row>
    <row r="155" customFormat="false" ht="15.75" hidden="false" customHeight="false" outlineLevel="0" collapsed="false">
      <c r="A155" s="31" t="s">
        <v>577</v>
      </c>
      <c r="B155" s="31" t="s">
        <v>578</v>
      </c>
      <c r="C155" s="10" t="n">
        <v>79</v>
      </c>
      <c r="D155" s="10" t="n">
        <v>103</v>
      </c>
      <c r="E155" s="10" t="n">
        <v>120</v>
      </c>
      <c r="F155" s="10" t="n">
        <v>135</v>
      </c>
      <c r="G155" s="10" t="n">
        <v>115</v>
      </c>
      <c r="H155" s="10" t="n">
        <v>78</v>
      </c>
      <c r="I155" s="10" t="n">
        <v>630</v>
      </c>
      <c r="J155" s="10" t="n">
        <v>105</v>
      </c>
      <c r="K155" s="10"/>
      <c r="L155" s="8"/>
      <c r="M155" s="8"/>
      <c r="N155" s="8"/>
    </row>
    <row r="156" customFormat="false" ht="15.75" hidden="false" customHeight="false" outlineLevel="0" collapsed="false">
      <c r="A156" s="31" t="s">
        <v>579</v>
      </c>
      <c r="B156" s="31" t="s">
        <v>580</v>
      </c>
      <c r="C156" s="10" t="n">
        <v>65</v>
      </c>
      <c r="D156" s="10" t="n">
        <v>150</v>
      </c>
      <c r="E156" s="10" t="n">
        <v>40</v>
      </c>
      <c r="F156" s="10" t="n">
        <v>15</v>
      </c>
      <c r="G156" s="10" t="n">
        <v>80</v>
      </c>
      <c r="H156" s="10" t="n">
        <v>145</v>
      </c>
      <c r="I156" s="10" t="n">
        <v>495</v>
      </c>
      <c r="J156" s="10" t="n">
        <v>82.5</v>
      </c>
      <c r="K156" s="10"/>
      <c r="L156" s="8"/>
      <c r="M156" s="8"/>
      <c r="N156" s="8"/>
    </row>
    <row r="157" customFormat="false" ht="15.75" hidden="false" customHeight="false" outlineLevel="0" collapsed="false">
      <c r="A157" s="31" t="s">
        <v>581</v>
      </c>
      <c r="B157" s="31" t="s">
        <v>582</v>
      </c>
      <c r="C157" s="10" t="n">
        <v>83</v>
      </c>
      <c r="D157" s="10" t="n">
        <v>80</v>
      </c>
      <c r="E157" s="10" t="n">
        <v>80</v>
      </c>
      <c r="F157" s="10" t="n">
        <v>135</v>
      </c>
      <c r="G157" s="10" t="n">
        <v>80</v>
      </c>
      <c r="H157" s="10" t="n">
        <v>121</v>
      </c>
      <c r="I157" s="10" t="n">
        <v>579</v>
      </c>
      <c r="J157" s="10" t="n">
        <v>96.5</v>
      </c>
      <c r="K157" s="10"/>
      <c r="L157" s="8"/>
      <c r="M157" s="8"/>
      <c r="N157" s="8"/>
    </row>
    <row r="158" customFormat="false" ht="15.75" hidden="false" customHeight="false" outlineLevel="0" collapsed="false">
      <c r="A158" s="31" t="s">
        <v>583</v>
      </c>
      <c r="B158" s="31" t="s">
        <v>584</v>
      </c>
      <c r="C158" s="10" t="n">
        <v>55</v>
      </c>
      <c r="D158" s="10" t="n">
        <v>50</v>
      </c>
      <c r="E158" s="10" t="n">
        <v>65</v>
      </c>
      <c r="F158" s="10" t="n">
        <v>175</v>
      </c>
      <c r="G158" s="10" t="n">
        <v>95</v>
      </c>
      <c r="H158" s="10" t="n">
        <v>150</v>
      </c>
      <c r="I158" s="10" t="n">
        <v>590</v>
      </c>
      <c r="J158" s="10" t="n">
        <v>98.33</v>
      </c>
      <c r="K158" s="10"/>
      <c r="L158" s="8"/>
      <c r="M158" s="8"/>
      <c r="N158" s="8"/>
    </row>
    <row r="159" customFormat="false" ht="15.75" hidden="false" customHeight="false" outlineLevel="0" collapsed="false">
      <c r="A159" s="31" t="s">
        <v>585</v>
      </c>
      <c r="B159" s="31" t="s">
        <v>586</v>
      </c>
      <c r="C159" s="10" t="n">
        <v>95</v>
      </c>
      <c r="D159" s="10" t="n">
        <v>75</v>
      </c>
      <c r="E159" s="10" t="n">
        <v>180</v>
      </c>
      <c r="F159" s="10" t="n">
        <v>130</v>
      </c>
      <c r="G159" s="10" t="n">
        <v>80</v>
      </c>
      <c r="H159" s="10" t="n">
        <v>30</v>
      </c>
      <c r="I159" s="10" t="n">
        <v>590</v>
      </c>
      <c r="J159" s="10" t="n">
        <v>98.33</v>
      </c>
      <c r="K159" s="10"/>
      <c r="L159" s="8"/>
      <c r="M159" s="8"/>
      <c r="N159" s="8"/>
    </row>
    <row r="160" customFormat="false" ht="15.75" hidden="false" customHeight="false" outlineLevel="0" collapsed="false">
      <c r="A160" s="31" t="s">
        <v>587</v>
      </c>
      <c r="B160" s="31" t="s">
        <v>588</v>
      </c>
      <c r="C160" s="10" t="n">
        <v>60</v>
      </c>
      <c r="D160" s="10" t="n">
        <v>65</v>
      </c>
      <c r="E160" s="10" t="n">
        <v>80</v>
      </c>
      <c r="F160" s="10" t="n">
        <v>170</v>
      </c>
      <c r="G160" s="10" t="n">
        <v>95</v>
      </c>
      <c r="H160" s="10" t="n">
        <v>130</v>
      </c>
      <c r="I160" s="10" t="n">
        <v>600</v>
      </c>
      <c r="J160" s="10" t="n">
        <v>100</v>
      </c>
      <c r="K160" s="10"/>
      <c r="L160" s="8"/>
      <c r="M160" s="8"/>
      <c r="N160" s="8"/>
    </row>
    <row r="161" customFormat="false" ht="15.75" hidden="false" customHeight="false" outlineLevel="0" collapsed="false">
      <c r="A161" s="31" t="s">
        <v>589</v>
      </c>
      <c r="B161" s="31" t="s">
        <v>590</v>
      </c>
      <c r="C161" s="10" t="n">
        <v>105</v>
      </c>
      <c r="D161" s="10" t="n">
        <v>125</v>
      </c>
      <c r="E161" s="10" t="n">
        <v>100</v>
      </c>
      <c r="F161" s="10" t="n">
        <v>60</v>
      </c>
      <c r="G161" s="10" t="n">
        <v>100</v>
      </c>
      <c r="H161" s="10" t="n">
        <v>100</v>
      </c>
      <c r="I161" s="10" t="n">
        <v>590</v>
      </c>
      <c r="J161" s="10" t="n">
        <v>98.33</v>
      </c>
      <c r="K161" s="10"/>
      <c r="L161" s="8"/>
      <c r="M161" s="8"/>
      <c r="N161" s="8"/>
    </row>
    <row r="162" customFormat="false" ht="15.75" hidden="false" customHeight="false" outlineLevel="0" collapsed="false">
      <c r="A162" s="31" t="s">
        <v>591</v>
      </c>
      <c r="B162" s="31" t="s">
        <v>592</v>
      </c>
      <c r="C162" s="10" t="n">
        <v>65</v>
      </c>
      <c r="D162" s="10" t="n">
        <v>155</v>
      </c>
      <c r="E162" s="10" t="n">
        <v>120</v>
      </c>
      <c r="F162" s="10" t="n">
        <v>65</v>
      </c>
      <c r="G162" s="10" t="n">
        <v>90</v>
      </c>
      <c r="H162" s="10" t="n">
        <v>105</v>
      </c>
      <c r="I162" s="10" t="n">
        <v>600</v>
      </c>
      <c r="J162" s="10" t="n">
        <v>100</v>
      </c>
      <c r="K162" s="10"/>
      <c r="L162" s="8"/>
      <c r="M162" s="8"/>
      <c r="N162" s="8"/>
    </row>
    <row r="163" customFormat="false" ht="15.75" hidden="false" customHeight="false" outlineLevel="0" collapsed="false">
      <c r="A163" s="31" t="s">
        <v>593</v>
      </c>
      <c r="B163" s="31" t="s">
        <v>594</v>
      </c>
      <c r="C163" s="10" t="n">
        <v>95</v>
      </c>
      <c r="D163" s="10" t="n">
        <v>155</v>
      </c>
      <c r="E163" s="10" t="n">
        <v>109</v>
      </c>
      <c r="F163" s="10" t="n">
        <v>70</v>
      </c>
      <c r="G163" s="10" t="n">
        <v>130</v>
      </c>
      <c r="H163" s="10" t="n">
        <v>81</v>
      </c>
      <c r="I163" s="10" t="n">
        <v>640</v>
      </c>
      <c r="J163" s="10" t="n">
        <v>106.67</v>
      </c>
      <c r="K163" s="10"/>
      <c r="L163" s="8"/>
      <c r="M163" s="8"/>
      <c r="N163" s="8"/>
    </row>
    <row r="164" customFormat="false" ht="15.75" hidden="false" customHeight="false" outlineLevel="0" collapsed="false">
      <c r="A164" s="31" t="s">
        <v>595</v>
      </c>
      <c r="B164" s="31" t="s">
        <v>596</v>
      </c>
      <c r="C164" s="10" t="n">
        <v>80</v>
      </c>
      <c r="D164" s="10" t="n">
        <v>135</v>
      </c>
      <c r="E164" s="10" t="n">
        <v>85</v>
      </c>
      <c r="F164" s="10" t="n">
        <v>70</v>
      </c>
      <c r="G164" s="10" t="n">
        <v>95</v>
      </c>
      <c r="H164" s="10" t="n">
        <v>150</v>
      </c>
      <c r="I164" s="10" t="n">
        <v>615</v>
      </c>
      <c r="J164" s="10" t="n">
        <v>102.5</v>
      </c>
      <c r="K164" s="10"/>
      <c r="L164" s="8"/>
      <c r="M164" s="8"/>
      <c r="N164" s="8"/>
    </row>
    <row r="165" customFormat="false" ht="15.75" hidden="false" customHeight="false" outlineLevel="0" collapsed="false">
      <c r="A165" s="31" t="n">
        <v>151</v>
      </c>
      <c r="B165" s="31" t="s">
        <v>170</v>
      </c>
      <c r="C165" s="31" t="n">
        <v>100</v>
      </c>
      <c r="D165" s="31" t="n">
        <v>100</v>
      </c>
      <c r="E165" s="31" t="n">
        <v>100</v>
      </c>
      <c r="F165" s="31" t="n">
        <v>100</v>
      </c>
      <c r="G165" s="31" t="n">
        <v>100</v>
      </c>
      <c r="H165" s="31" t="n">
        <v>100</v>
      </c>
      <c r="I165" s="31" t="n">
        <v>600</v>
      </c>
      <c r="J165" s="8" t="n">
        <v>100</v>
      </c>
      <c r="L165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2.9591836734694"/>
    <col collapsed="false" hidden="false" max="3" min="2" style="0" width="7.69387755102041"/>
    <col collapsed="false" hidden="false" max="4" min="4" style="0" width="17.4132653061224"/>
    <col collapsed="false" hidden="false" max="5" min="5" style="0" width="17.280612244898"/>
    <col collapsed="false" hidden="false" max="6" min="6" style="0" width="14.1734693877551"/>
    <col collapsed="false" hidden="false" max="8" min="7" style="0" width="16.3316326530612"/>
    <col collapsed="false" hidden="false" max="9" min="9" style="0" width="12.9591836734694"/>
    <col collapsed="false" hidden="false" max="10" min="10" style="0" width="18.2244897959184"/>
    <col collapsed="false" hidden="false" max="1025" min="11" style="0" width="14.1734693877551"/>
  </cols>
  <sheetData>
    <row r="1" customFormat="false" ht="15.75" hidden="false" customHeight="false" outlineLevel="0" collapsed="false">
      <c r="A1" s="8" t="s">
        <v>171</v>
      </c>
      <c r="B1" s="8" t="s">
        <v>172</v>
      </c>
      <c r="C1" s="8" t="s">
        <v>173</v>
      </c>
      <c r="D1" s="8" t="s">
        <v>174</v>
      </c>
      <c r="E1" s="8" t="s">
        <v>175</v>
      </c>
      <c r="F1" s="21" t="s">
        <v>176</v>
      </c>
      <c r="G1" s="8" t="s">
        <v>177</v>
      </c>
      <c r="H1" s="8" t="s">
        <v>178</v>
      </c>
      <c r="I1" s="8" t="s">
        <v>179</v>
      </c>
      <c r="J1" s="22" t="s">
        <v>180</v>
      </c>
      <c r="K1" s="8"/>
    </row>
    <row r="2" customFormat="false" ht="15.75" hidden="false" customHeight="false" outlineLevel="0" collapsed="false">
      <c r="A2" s="8" t="n">
        <v>1</v>
      </c>
      <c r="B2" s="8" t="n">
        <v>200</v>
      </c>
      <c r="C2" s="8" t="n">
        <v>1</v>
      </c>
      <c r="D2" s="8" t="n">
        <v>0</v>
      </c>
      <c r="E2" s="8" t="n">
        <v>0</v>
      </c>
      <c r="F2" s="23" t="n">
        <v>0.094</v>
      </c>
      <c r="G2" s="24" t="n">
        <f aca="false">F2^2</f>
        <v>0.008836</v>
      </c>
      <c r="I2" s="8" t="n">
        <v>1</v>
      </c>
      <c r="J2" s="25"/>
      <c r="K2" s="26"/>
    </row>
    <row r="3" customFormat="false" ht="15.75" hidden="false" customHeight="false" outlineLevel="0" collapsed="false">
      <c r="A3" s="8" t="n">
        <f aca="false">A2+1</f>
        <v>2</v>
      </c>
      <c r="B3" s="8" t="n">
        <v>200</v>
      </c>
      <c r="C3" s="8" t="n">
        <v>1</v>
      </c>
      <c r="D3" s="0" t="n">
        <f aca="false">SUM(B$2:B2)</f>
        <v>200</v>
      </c>
      <c r="E3" s="0" t="n">
        <f aca="false">SUM(C$2:C2)</f>
        <v>1</v>
      </c>
      <c r="F3" s="23" t="n">
        <v>0.135137431784996</v>
      </c>
      <c r="G3" s="24" t="n">
        <f aca="false">F3^2</f>
        <v>0.0182621254694445</v>
      </c>
      <c r="H3" s="24" t="n">
        <f aca="false">G3-G2</f>
        <v>0.00942612546944445</v>
      </c>
      <c r="I3" s="8" t="n">
        <v>1</v>
      </c>
      <c r="J3" s="27"/>
      <c r="K3" s="26"/>
    </row>
    <row r="4" customFormat="false" ht="15.75" hidden="false" customHeight="false" outlineLevel="0" collapsed="false">
      <c r="A4" s="8" t="n">
        <f aca="false">A3+1</f>
        <v>3</v>
      </c>
      <c r="B4" s="8" t="n">
        <v>200</v>
      </c>
      <c r="C4" s="8" t="n">
        <v>1</v>
      </c>
      <c r="D4" s="0" t="n">
        <f aca="false">SUM(B$2:B3)</f>
        <v>400</v>
      </c>
      <c r="E4" s="0" t="n">
        <f aca="false">SUM(C$2:C3)</f>
        <v>2</v>
      </c>
      <c r="F4" s="23" t="n">
        <v>0.16639787</v>
      </c>
      <c r="G4" s="24" t="n">
        <f aca="false">F4^2</f>
        <v>0.0276882511405369</v>
      </c>
      <c r="H4" s="24" t="n">
        <f aca="false">G4-G3</f>
        <v>0.00942612567109245</v>
      </c>
      <c r="I4" s="8" t="n">
        <f aca="false">I2+1</f>
        <v>2</v>
      </c>
      <c r="J4" s="28"/>
      <c r="K4" s="26"/>
    </row>
    <row r="5" customFormat="false" ht="15.75" hidden="false" customHeight="false" outlineLevel="0" collapsed="false">
      <c r="A5" s="8" t="n">
        <f aca="false">A4+1</f>
        <v>4</v>
      </c>
      <c r="B5" s="8" t="n">
        <v>200</v>
      </c>
      <c r="C5" s="8" t="n">
        <v>1</v>
      </c>
      <c r="D5" s="0" t="n">
        <f aca="false">SUM(B$2:B4)</f>
        <v>600</v>
      </c>
      <c r="E5" s="0" t="n">
        <f aca="false">SUM(C$2:C4)</f>
        <v>3</v>
      </c>
      <c r="F5" s="23" t="n">
        <v>0.19265091904785</v>
      </c>
      <c r="G5" s="24" t="n">
        <f aca="false">F5^2</f>
        <v>0.0371143766099814</v>
      </c>
      <c r="H5" s="24" t="n">
        <f aca="false">G5-G4</f>
        <v>0.00942612546944445</v>
      </c>
      <c r="I5" s="8" t="n">
        <f aca="false">I3+1</f>
        <v>2</v>
      </c>
      <c r="J5" s="27"/>
      <c r="K5" s="26"/>
    </row>
    <row r="6" customFormat="false" ht="15.75" hidden="false" customHeight="false" outlineLevel="0" collapsed="false">
      <c r="A6" s="8" t="n">
        <f aca="false">A5+1</f>
        <v>5</v>
      </c>
      <c r="B6" s="8" t="n">
        <v>400</v>
      </c>
      <c r="C6" s="8" t="n">
        <v>1</v>
      </c>
      <c r="D6" s="0" t="n">
        <f aca="false">SUM(B$2:B5)</f>
        <v>800</v>
      </c>
      <c r="E6" s="0" t="n">
        <f aca="false">SUM(C$2:C5)</f>
        <v>4</v>
      </c>
      <c r="F6" s="23" t="n">
        <v>0.21573247</v>
      </c>
      <c r="G6" s="24" t="n">
        <f aca="false">F6^2</f>
        <v>0.0465404986123009</v>
      </c>
      <c r="H6" s="24" t="n">
        <f aca="false">G6-G5</f>
        <v>0.00942612200231955</v>
      </c>
      <c r="I6" s="8" t="n">
        <f aca="false">I4+1</f>
        <v>3</v>
      </c>
      <c r="J6" s="28"/>
      <c r="K6" s="26"/>
    </row>
    <row r="7" customFormat="false" ht="15.75" hidden="false" customHeight="false" outlineLevel="0" collapsed="false">
      <c r="A7" s="8" t="n">
        <f aca="false">A6+1</f>
        <v>6</v>
      </c>
      <c r="B7" s="8" t="n">
        <v>400</v>
      </c>
      <c r="C7" s="8" t="n">
        <v>1</v>
      </c>
      <c r="D7" s="0" t="n">
        <f aca="false">SUM(B$2:B6)</f>
        <v>1200</v>
      </c>
      <c r="E7" s="0" t="n">
        <f aca="false">SUM(C$2:C6)</f>
        <v>5</v>
      </c>
      <c r="F7" s="23" t="n">
        <v>0.236572661315177</v>
      </c>
      <c r="G7" s="24" t="n">
        <f aca="false">F7^2</f>
        <v>0.0559666240817454</v>
      </c>
      <c r="H7" s="24" t="n">
        <f aca="false">G7-G6</f>
        <v>0.00942612546944446</v>
      </c>
      <c r="I7" s="8" t="n">
        <f aca="false">I5+1</f>
        <v>3</v>
      </c>
      <c r="J7" s="27"/>
      <c r="K7" s="26"/>
    </row>
    <row r="8" customFormat="false" ht="15.75" hidden="false" customHeight="false" outlineLevel="0" collapsed="false">
      <c r="A8" s="8" t="n">
        <f aca="false">A7+1</f>
        <v>7</v>
      </c>
      <c r="B8" s="8" t="n">
        <v>400</v>
      </c>
      <c r="C8" s="8" t="n">
        <v>1</v>
      </c>
      <c r="D8" s="0" t="n">
        <f aca="false">SUM(B$2:B7)</f>
        <v>1600</v>
      </c>
      <c r="E8" s="0" t="n">
        <f aca="false">SUM(C$2:C7)</f>
        <v>6</v>
      </c>
      <c r="F8" s="23" t="n">
        <v>0.25572005</v>
      </c>
      <c r="G8" s="24" t="n">
        <f aca="false">F8^2</f>
        <v>0.0653927439720025</v>
      </c>
      <c r="H8" s="24" t="n">
        <f aca="false">G8-G7</f>
        <v>0.00942611989025716</v>
      </c>
      <c r="I8" s="8" t="n">
        <f aca="false">I6+1</f>
        <v>4</v>
      </c>
      <c r="J8" s="28"/>
      <c r="K8" s="26"/>
    </row>
    <row r="9" customFormat="false" ht="15.75" hidden="false" customHeight="false" outlineLevel="0" collapsed="false">
      <c r="A9" s="8" t="n">
        <f aca="false">A8+1</f>
        <v>8</v>
      </c>
      <c r="B9" s="8" t="n">
        <v>400</v>
      </c>
      <c r="C9" s="8" t="n">
        <v>1</v>
      </c>
      <c r="D9" s="0" t="n">
        <f aca="false">SUM(B$2:B8)</f>
        <v>2000</v>
      </c>
      <c r="E9" s="0" t="n">
        <f aca="false">SUM(C$2:C8)</f>
        <v>7</v>
      </c>
      <c r="F9" s="23" t="n">
        <v>0.27353038120371</v>
      </c>
      <c r="G9" s="24" t="n">
        <f aca="false">F9^2</f>
        <v>0.0748188694414469</v>
      </c>
      <c r="H9" s="24" t="n">
        <f aca="false">G9-G8</f>
        <v>0.00942612546944441</v>
      </c>
      <c r="I9" s="8" t="n">
        <f aca="false">I7+1</f>
        <v>4</v>
      </c>
      <c r="J9" s="27"/>
      <c r="K9" s="26"/>
    </row>
    <row r="10" customFormat="false" ht="15.75" hidden="false" customHeight="false" outlineLevel="0" collapsed="false">
      <c r="A10" s="8" t="n">
        <f aca="false">A9+1</f>
        <v>9</v>
      </c>
      <c r="B10" s="8" t="n">
        <v>600</v>
      </c>
      <c r="C10" s="8" t="n">
        <v>1</v>
      </c>
      <c r="D10" s="0" t="n">
        <f aca="false">SUM(B$2:B9)</f>
        <v>2400</v>
      </c>
      <c r="E10" s="0" t="n">
        <f aca="false">SUM(C$2:C9)</f>
        <v>8</v>
      </c>
      <c r="F10" s="23" t="n">
        <v>0.29024988</v>
      </c>
      <c r="G10" s="24" t="n">
        <f aca="false">F10^2</f>
        <v>0.0842449928400144</v>
      </c>
      <c r="H10" s="24" t="n">
        <f aca="false">G10-G9</f>
        <v>0.00942612339856748</v>
      </c>
      <c r="I10" s="8" t="n">
        <f aca="false">I8+1</f>
        <v>5</v>
      </c>
      <c r="J10" s="28"/>
      <c r="K10" s="26"/>
    </row>
    <row r="11" customFormat="false" ht="15.75" hidden="false" customHeight="false" outlineLevel="0" collapsed="false">
      <c r="A11" s="8" t="n">
        <f aca="false">A10+1</f>
        <v>10</v>
      </c>
      <c r="B11" s="8" t="n">
        <v>600</v>
      </c>
      <c r="C11" s="8" t="n">
        <v>1</v>
      </c>
      <c r="D11" s="0" t="n">
        <f aca="false">SUM(B$2:B10)</f>
        <v>3000</v>
      </c>
      <c r="E11" s="0" t="n">
        <f aca="false">SUM(C$2:C10)</f>
        <v>9</v>
      </c>
      <c r="F11" s="23" t="n">
        <v>0.306057377479222</v>
      </c>
      <c r="G11" s="24" t="n">
        <f aca="false">F11^2</f>
        <v>0.0936711183094589</v>
      </c>
      <c r="H11" s="24" t="n">
        <f aca="false">G11-G10</f>
        <v>0.00942612546944445</v>
      </c>
      <c r="I11" s="8" t="n">
        <f aca="false">I9+1</f>
        <v>5</v>
      </c>
      <c r="J11" s="27"/>
      <c r="K11" s="26"/>
    </row>
    <row r="12" customFormat="false" ht="15.75" hidden="false" customHeight="false" outlineLevel="0" collapsed="false">
      <c r="A12" s="8" t="n">
        <f aca="false">A11+1</f>
        <v>11</v>
      </c>
      <c r="B12" s="8" t="n">
        <v>600</v>
      </c>
      <c r="C12" s="8" t="n">
        <v>1</v>
      </c>
      <c r="D12" s="0" t="n">
        <f aca="false">SUM(B$2:B11)</f>
        <v>3600</v>
      </c>
      <c r="E12" s="0" t="n">
        <f aca="false">SUM(C$2:C11)</f>
        <v>10</v>
      </c>
      <c r="F12" s="29" t="n">
        <v>0.3210876</v>
      </c>
      <c r="G12" s="24" t="n">
        <f aca="false">F12^2</f>
        <v>0.10309724687376</v>
      </c>
      <c r="H12" s="24" t="n">
        <f aca="false">G12-G11</f>
        <v>0.00942612856430113</v>
      </c>
      <c r="I12" s="8" t="n">
        <f aca="false">I10+1</f>
        <v>6</v>
      </c>
      <c r="J12" s="27"/>
      <c r="K12" s="26"/>
    </row>
    <row r="13" customFormat="false" ht="15.75" hidden="false" customHeight="false" outlineLevel="0" collapsed="false">
      <c r="A13" s="8" t="n">
        <f aca="false">A12+1</f>
        <v>12</v>
      </c>
      <c r="B13" s="8" t="n">
        <v>600</v>
      </c>
      <c r="C13" s="8" t="n">
        <v>1</v>
      </c>
      <c r="D13" s="0" t="n">
        <f aca="false">SUM(B$2:B12)</f>
        <v>4200</v>
      </c>
      <c r="E13" s="0" t="n">
        <f aca="false">SUM(C$2:C12)</f>
        <v>11</v>
      </c>
      <c r="F13" s="23" t="n">
        <v>0.335445036247676</v>
      </c>
      <c r="G13" s="24" t="n">
        <f aca="false">F13^2</f>
        <v>0.112523372343204</v>
      </c>
      <c r="H13" s="24" t="n">
        <f aca="false">G13-G12</f>
        <v>0.00942612546944448</v>
      </c>
      <c r="I13" s="8" t="n">
        <f aca="false">I11+1</f>
        <v>6</v>
      </c>
      <c r="J13" s="27"/>
      <c r="K13" s="26"/>
    </row>
    <row r="14" customFormat="false" ht="15.75" hidden="false" customHeight="false" outlineLevel="0" collapsed="false">
      <c r="A14" s="8" t="n">
        <f aca="false">A13+1</f>
        <v>13</v>
      </c>
      <c r="B14" s="8" t="n">
        <v>800</v>
      </c>
      <c r="C14" s="8" t="n">
        <v>1</v>
      </c>
      <c r="D14" s="0" t="n">
        <f aca="false">SUM(B$2:B13)</f>
        <v>4800</v>
      </c>
      <c r="E14" s="0" t="n">
        <f aca="false">SUM(C$2:C13)</f>
        <v>12</v>
      </c>
      <c r="F14" s="29" t="n">
        <v>0.34921268</v>
      </c>
      <c r="G14" s="24" t="n">
        <f aca="false">F14^2</f>
        <v>0.121949495872782</v>
      </c>
      <c r="H14" s="24" t="n">
        <f aca="false">G14-G13</f>
        <v>0.00942612352957793</v>
      </c>
      <c r="I14" s="8" t="n">
        <f aca="false">I12+1</f>
        <v>7</v>
      </c>
      <c r="J14" s="28"/>
      <c r="K14" s="26"/>
    </row>
    <row r="15" customFormat="false" ht="15.75" hidden="false" customHeight="false" outlineLevel="0" collapsed="false">
      <c r="A15" s="8" t="n">
        <f aca="false">A14+1</f>
        <v>14</v>
      </c>
      <c r="B15" s="8" t="n">
        <v>800</v>
      </c>
      <c r="C15" s="8" t="n">
        <v>1</v>
      </c>
      <c r="D15" s="0" t="n">
        <f aca="false">SUM(B$2:B14)</f>
        <v>5600</v>
      </c>
      <c r="E15" s="0" t="n">
        <f aca="false">SUM(C$2:C14)</f>
        <v>13</v>
      </c>
      <c r="F15" s="23" t="n">
        <v>0.36245775111346</v>
      </c>
      <c r="G15" s="24" t="n">
        <f aca="false">F15^2</f>
        <v>0.131375621342227</v>
      </c>
      <c r="H15" s="24" t="n">
        <f aca="false">G15-G14</f>
        <v>0.00942612546944446</v>
      </c>
      <c r="I15" s="8" t="n">
        <f aca="false">I13+1</f>
        <v>7</v>
      </c>
      <c r="J15" s="27"/>
      <c r="K15" s="26"/>
    </row>
    <row r="16" customFormat="false" ht="15.75" hidden="false" customHeight="false" outlineLevel="0" collapsed="false">
      <c r="A16" s="8" t="n">
        <f aca="false">A15+1</f>
        <v>15</v>
      </c>
      <c r="B16" s="8" t="n">
        <v>800</v>
      </c>
      <c r="C16" s="8" t="n">
        <v>1</v>
      </c>
      <c r="D16" s="0" t="n">
        <f aca="false">SUM(B$2:B15)</f>
        <v>6400</v>
      </c>
      <c r="E16" s="0" t="n">
        <f aca="false">SUM(C$2:C15)</f>
        <v>14</v>
      </c>
      <c r="F16" s="29" t="n">
        <v>0.37523559</v>
      </c>
      <c r="G16" s="24" t="n">
        <f aca="false">F16^2</f>
        <v>0.140801748002648</v>
      </c>
      <c r="H16" s="24" t="n">
        <f aca="false">G16-G15</f>
        <v>0.00942612666042125</v>
      </c>
      <c r="I16" s="8" t="n">
        <f aca="false">I14+1</f>
        <v>8</v>
      </c>
      <c r="J16" s="28"/>
      <c r="K16" s="26"/>
    </row>
    <row r="17" customFormat="false" ht="15.75" hidden="false" customHeight="false" outlineLevel="0" collapsed="false">
      <c r="A17" s="8" t="n">
        <f aca="false">A16+1</f>
        <v>16</v>
      </c>
      <c r="B17" s="8" t="n">
        <v>800</v>
      </c>
      <c r="C17" s="8" t="n">
        <v>1</v>
      </c>
      <c r="D17" s="0" t="n">
        <f aca="false">SUM(B$2:B16)</f>
        <v>7200</v>
      </c>
      <c r="E17" s="0" t="n">
        <f aca="false">SUM(C$2:C16)</f>
        <v>15</v>
      </c>
      <c r="F17" s="23" t="n">
        <v>0.387592406365363</v>
      </c>
      <c r="G17" s="24" t="n">
        <f aca="false">F17^2</f>
        <v>0.150227873472093</v>
      </c>
      <c r="H17" s="24" t="n">
        <f aca="false">G17-G16</f>
        <v>0.00942612546944441</v>
      </c>
      <c r="I17" s="8" t="n">
        <f aca="false">I15+1</f>
        <v>8</v>
      </c>
      <c r="J17" s="27"/>
      <c r="K17" s="26"/>
    </row>
    <row r="18" customFormat="false" ht="15.75" hidden="false" customHeight="false" outlineLevel="0" collapsed="false">
      <c r="A18" s="8" t="n">
        <f aca="false">A17+1</f>
        <v>17</v>
      </c>
      <c r="B18" s="8" t="n">
        <v>1000</v>
      </c>
      <c r="C18" s="8" t="n">
        <v>1</v>
      </c>
      <c r="D18" s="0" t="n">
        <f aca="false">SUM(B$2:B17)</f>
        <v>8000</v>
      </c>
      <c r="E18" s="0" t="n">
        <f aca="false">SUM(C$2:C17)</f>
        <v>16</v>
      </c>
      <c r="F18" s="29" t="n">
        <v>0.39956728</v>
      </c>
      <c r="G18" s="24" t="n">
        <f aca="false">F18^2</f>
        <v>0.159654011246598</v>
      </c>
      <c r="H18" s="24" t="n">
        <f aca="false">G18-G17</f>
        <v>0.00942613777450591</v>
      </c>
      <c r="I18" s="8" t="n">
        <f aca="false">I16+1</f>
        <v>9</v>
      </c>
      <c r="J18" s="28"/>
      <c r="K18" s="26"/>
    </row>
    <row r="19" customFormat="false" ht="15.75" hidden="false" customHeight="false" outlineLevel="0" collapsed="false">
      <c r="A19" s="8" t="n">
        <f aca="false">A18+1</f>
        <v>18</v>
      </c>
      <c r="B19" s="8" t="n">
        <v>1000</v>
      </c>
      <c r="C19" s="8" t="n">
        <v>1</v>
      </c>
      <c r="D19" s="0" t="n">
        <f aca="false">SUM(B$2:B18)</f>
        <v>9000</v>
      </c>
      <c r="E19" s="0" t="n">
        <f aca="false">SUM(C$2:C18)</f>
        <v>17</v>
      </c>
      <c r="F19" s="23" t="n">
        <v>0.411193551403768</v>
      </c>
      <c r="G19" s="24" t="n">
        <f aca="false">F19^2</f>
        <v>0.169080136716043</v>
      </c>
      <c r="H19" s="24" t="n">
        <f aca="false">G19-G18</f>
        <v>0.00942612546944441</v>
      </c>
      <c r="I19" s="8" t="n">
        <f aca="false">I17+1</f>
        <v>9</v>
      </c>
      <c r="J19" s="27"/>
      <c r="K19" s="8"/>
    </row>
    <row r="20" customFormat="false" ht="15.75" hidden="false" customHeight="false" outlineLevel="0" collapsed="false">
      <c r="A20" s="8" t="n">
        <f aca="false">A19+1</f>
        <v>19</v>
      </c>
      <c r="B20" s="8" t="n">
        <v>1000</v>
      </c>
      <c r="C20" s="8" t="n">
        <v>1</v>
      </c>
      <c r="D20" s="0" t="n">
        <f aca="false">SUM(B$2:B19)</f>
        <v>10000</v>
      </c>
      <c r="E20" s="0" t="n">
        <f aca="false">SUM(C$2:C19)</f>
        <v>18</v>
      </c>
      <c r="F20" s="29" t="n">
        <v>0.42250001</v>
      </c>
      <c r="G20" s="24" t="n">
        <f aca="false">F20^2</f>
        <v>0.17850625845</v>
      </c>
      <c r="H20" s="24" t="n">
        <f aca="false">G20-G19</f>
        <v>0.00942612173395727</v>
      </c>
      <c r="I20" s="8" t="n">
        <f aca="false">I18+1</f>
        <v>10</v>
      </c>
      <c r="J20" s="25"/>
      <c r="K20" s="26"/>
    </row>
    <row r="21" customFormat="false" ht="15.75" hidden="false" customHeight="false" outlineLevel="0" collapsed="false">
      <c r="A21" s="8" t="n">
        <f aca="false">A20+1</f>
        <v>20</v>
      </c>
      <c r="B21" s="8" t="n">
        <v>1000</v>
      </c>
      <c r="C21" s="8" t="n">
        <v>1</v>
      </c>
      <c r="D21" s="0" t="n">
        <f aca="false">SUM(B$2:B20)</f>
        <v>11000</v>
      </c>
      <c r="E21" s="0" t="n">
        <f aca="false">SUM(C$2:C20)</f>
        <v>19</v>
      </c>
      <c r="F21" s="23" t="n">
        <v>0.43292643716918</v>
      </c>
      <c r="G21" s="24" t="n">
        <f aca="false">F21^2</f>
        <v>0.1874253</v>
      </c>
      <c r="H21" s="24" t="n">
        <f aca="false">G21-G20</f>
        <v>0.00891904154999995</v>
      </c>
      <c r="I21" s="8" t="n">
        <f aca="false">I19+1</f>
        <v>10</v>
      </c>
      <c r="J21" s="27"/>
      <c r="K21" s="8"/>
    </row>
    <row r="22" customFormat="false" ht="15.75" hidden="false" customHeight="false" outlineLevel="0" collapsed="false">
      <c r="A22" s="8" t="n">
        <f aca="false">A21+1</f>
        <v>21</v>
      </c>
      <c r="B22" s="8" t="n">
        <v>1300</v>
      </c>
      <c r="C22" s="8" t="n">
        <v>2</v>
      </c>
      <c r="D22" s="0" t="n">
        <f aca="false">SUM(B$2:B21)</f>
        <v>12000</v>
      </c>
      <c r="E22" s="0" t="n">
        <f aca="false">SUM(C$2:C21)</f>
        <v>20</v>
      </c>
      <c r="F22" s="29" t="n">
        <v>0.44310755</v>
      </c>
      <c r="G22" s="24" t="n">
        <f aca="false">F22^2</f>
        <v>0.196344300867003</v>
      </c>
      <c r="H22" s="24" t="n">
        <f aca="false">G22-G21</f>
        <v>0.00891900086700248</v>
      </c>
      <c r="I22" s="8" t="n">
        <f aca="false">I20+1</f>
        <v>11</v>
      </c>
      <c r="J22" s="28"/>
      <c r="K22" s="26"/>
    </row>
    <row r="23" customFormat="false" ht="15.75" hidden="false" customHeight="false" outlineLevel="0" collapsed="false">
      <c r="A23" s="8" t="n">
        <f aca="false">A22+1</f>
        <v>22</v>
      </c>
      <c r="B23" s="8" t="n">
        <v>1300</v>
      </c>
      <c r="C23" s="8" t="n">
        <v>2</v>
      </c>
      <c r="D23" s="0" t="n">
        <f aca="false">SUM(B$2:B22)</f>
        <v>13300</v>
      </c>
      <c r="E23" s="0" t="n">
        <f aca="false">SUM(C$2:C22)</f>
        <v>22</v>
      </c>
      <c r="F23" s="23" t="n">
        <v>0.453059959102438</v>
      </c>
      <c r="G23" s="24" t="n">
        <f aca="false">F23^2</f>
        <v>0.205263326541902</v>
      </c>
      <c r="H23" s="24" t="n">
        <f aca="false">G23-G22</f>
        <v>0.00891902567489997</v>
      </c>
      <c r="I23" s="8" t="n">
        <f aca="false">I21+1</f>
        <v>11</v>
      </c>
      <c r="K23" s="8"/>
    </row>
    <row r="24" customFormat="false" ht="15.75" hidden="false" customHeight="false" outlineLevel="0" collapsed="false">
      <c r="A24" s="8" t="n">
        <f aca="false">A23+1</f>
        <v>23</v>
      </c>
      <c r="B24" s="8" t="n">
        <v>1300</v>
      </c>
      <c r="C24" s="8" t="n">
        <v>2</v>
      </c>
      <c r="D24" s="0" t="n">
        <f aca="false">SUM(B$2:B23)</f>
        <v>14600</v>
      </c>
      <c r="E24" s="0" t="n">
        <f aca="false">SUM(C$2:C23)</f>
        <v>24</v>
      </c>
      <c r="F24" s="29" t="n">
        <v>0.46279839</v>
      </c>
      <c r="G24" s="24" t="n">
        <f aca="false">F24^2</f>
        <v>0.214182349786592</v>
      </c>
      <c r="H24" s="24" t="n">
        <f aca="false">G24-G23</f>
        <v>0.0089190232446896</v>
      </c>
      <c r="I24" s="8" t="n">
        <f aca="false">I22+1</f>
        <v>12</v>
      </c>
      <c r="J24" s="28"/>
      <c r="K24" s="26"/>
    </row>
    <row r="25" customFormat="false" ht="15.75" hidden="false" customHeight="false" outlineLevel="0" collapsed="false">
      <c r="A25" s="8" t="n">
        <f aca="false">A24+1</f>
        <v>24</v>
      </c>
      <c r="B25" s="8" t="n">
        <v>1300</v>
      </c>
      <c r="C25" s="8" t="n">
        <v>2</v>
      </c>
      <c r="D25" s="0" t="n">
        <f aca="false">SUM(B$2:B24)</f>
        <v>15900</v>
      </c>
      <c r="E25" s="0" t="n">
        <f aca="false">SUM(C$2:C24)</f>
        <v>26</v>
      </c>
      <c r="F25" s="23" t="n">
        <v>0.472336083166946</v>
      </c>
      <c r="G25" s="24" t="n">
        <f aca="false">F25^2</f>
        <v>0.223101375461492</v>
      </c>
      <c r="H25" s="24" t="n">
        <f aca="false">G25-G24</f>
        <v>0.00891902567490008</v>
      </c>
      <c r="I25" s="8" t="n">
        <f aca="false">I23+1</f>
        <v>12</v>
      </c>
      <c r="K25" s="8"/>
    </row>
    <row r="26" customFormat="false" ht="15.75" hidden="false" customHeight="false" outlineLevel="0" collapsed="false">
      <c r="A26" s="8" t="n">
        <f aca="false">A25+1</f>
        <v>25</v>
      </c>
      <c r="B26" s="8" t="n">
        <v>1600</v>
      </c>
      <c r="C26" s="8" t="n">
        <v>2</v>
      </c>
      <c r="D26" s="0" t="n">
        <f aca="false">SUM(B$2:B25)</f>
        <v>17200</v>
      </c>
      <c r="E26" s="0" t="n">
        <f aca="false">SUM(C$2:C25)</f>
        <v>28</v>
      </c>
      <c r="F26" s="29" t="n">
        <v>0.48168495</v>
      </c>
      <c r="G26" s="24" t="n">
        <f aca="false">F26^2</f>
        <v>0.232020391056502</v>
      </c>
      <c r="H26" s="24" t="n">
        <f aca="false">G26-G25</f>
        <v>0.00891901559501032</v>
      </c>
      <c r="I26" s="8" t="n">
        <f aca="false">I24+1</f>
        <v>13</v>
      </c>
      <c r="J26" s="25"/>
      <c r="K26" s="26"/>
    </row>
    <row r="27" customFormat="false" ht="15.75" hidden="false" customHeight="false" outlineLevel="0" collapsed="false">
      <c r="A27" s="8" t="n">
        <f aca="false">A26+1</f>
        <v>26</v>
      </c>
      <c r="B27" s="8" t="n">
        <v>1600</v>
      </c>
      <c r="C27" s="8" t="n">
        <v>2</v>
      </c>
      <c r="D27" s="0" t="n">
        <f aca="false">SUM(B$2:B26)</f>
        <v>18800</v>
      </c>
      <c r="E27" s="0" t="n">
        <f aca="false">SUM(C$2:C26)</f>
        <v>30</v>
      </c>
      <c r="F27" s="23" t="n">
        <v>0.490855800344055</v>
      </c>
      <c r="G27" s="24" t="n">
        <f aca="false">F27^2</f>
        <v>0.240939416731402</v>
      </c>
      <c r="H27" s="24" t="n">
        <f aca="false">G27-G26</f>
        <v>0.00891902567489999</v>
      </c>
      <c r="I27" s="8" t="n">
        <f aca="false">I25+1</f>
        <v>13</v>
      </c>
      <c r="J27" s="27"/>
      <c r="K27" s="8"/>
    </row>
    <row r="28" customFormat="false" ht="15.75" hidden="false" customHeight="false" outlineLevel="0" collapsed="false">
      <c r="A28" s="8" t="n">
        <f aca="false">A27+1</f>
        <v>27</v>
      </c>
      <c r="B28" s="8" t="n">
        <v>1600</v>
      </c>
      <c r="C28" s="8" t="n">
        <v>2</v>
      </c>
      <c r="D28" s="0" t="n">
        <f aca="false">SUM(B$2:B27)</f>
        <v>20400</v>
      </c>
      <c r="E28" s="0" t="n">
        <f aca="false">SUM(C$2:C27)</f>
        <v>32</v>
      </c>
      <c r="F28" s="29" t="n">
        <v>0.49985844</v>
      </c>
      <c r="G28" s="24" t="n">
        <f aca="false">F28^2</f>
        <v>0.249858460039234</v>
      </c>
      <c r="H28" s="24" t="n">
        <f aca="false">G28-G27</f>
        <v>0.00891904330783114</v>
      </c>
      <c r="I28" s="8" t="n">
        <f aca="false">I26+1</f>
        <v>14</v>
      </c>
      <c r="J28" s="25"/>
      <c r="K28" s="26"/>
    </row>
    <row r="29" customFormat="false" ht="15.75" hidden="false" customHeight="false" outlineLevel="0" collapsed="false">
      <c r="A29" s="8" t="n">
        <f aca="false">A28+1</f>
        <v>28</v>
      </c>
      <c r="B29" s="8" t="n">
        <v>1600</v>
      </c>
      <c r="C29" s="8" t="n">
        <v>2</v>
      </c>
      <c r="D29" s="0" t="n">
        <f aca="false">SUM(B$2:B28)</f>
        <v>22000</v>
      </c>
      <c r="E29" s="0" t="n">
        <f aca="false">SUM(C$2:C28)</f>
        <v>34</v>
      </c>
      <c r="F29" s="23" t="n">
        <v>0.508701765000018</v>
      </c>
      <c r="G29" s="24" t="n">
        <f aca="false">F29^2</f>
        <v>0.258777485714134</v>
      </c>
      <c r="H29" s="24" t="n">
        <f aca="false">G29-G28</f>
        <v>0.00891902567489999</v>
      </c>
      <c r="I29" s="8" t="n">
        <f aca="false">I27+1</f>
        <v>14</v>
      </c>
      <c r="J29" s="27"/>
      <c r="K29" s="8"/>
    </row>
    <row r="30" customFormat="false" ht="15.75" hidden="false" customHeight="false" outlineLevel="0" collapsed="false">
      <c r="A30" s="8" t="n">
        <f aca="false">A29+1</f>
        <v>29</v>
      </c>
      <c r="B30" s="8" t="n">
        <v>1900</v>
      </c>
      <c r="C30" s="8" t="n">
        <v>2</v>
      </c>
      <c r="D30" s="0" t="n">
        <f aca="false">SUM(B$2:B29)</f>
        <v>23600</v>
      </c>
      <c r="E30" s="0" t="n">
        <f aca="false">SUM(C$2:C29)</f>
        <v>36</v>
      </c>
      <c r="F30" s="29" t="n">
        <v>0.51739395</v>
      </c>
      <c r="G30" s="24" t="n">
        <f aca="false">F30^2</f>
        <v>0.267696499496602</v>
      </c>
      <c r="H30" s="24" t="n">
        <f aca="false">G30-G29</f>
        <v>0.0089190137824689</v>
      </c>
      <c r="I30" s="8" t="n">
        <f aca="false">I28+1</f>
        <v>15</v>
      </c>
      <c r="J30" s="25"/>
      <c r="K30" s="26"/>
    </row>
    <row r="31" customFormat="false" ht="15.75" hidden="false" customHeight="false" outlineLevel="0" collapsed="false">
      <c r="A31" s="8" t="n">
        <f aca="false">A30+1</f>
        <v>30</v>
      </c>
      <c r="B31" s="8" t="n">
        <v>1900</v>
      </c>
      <c r="C31" s="8" t="n">
        <v>2</v>
      </c>
      <c r="D31" s="0" t="n">
        <f aca="false">SUM(B$2:B30)</f>
        <v>25500</v>
      </c>
      <c r="E31" s="0" t="n">
        <f aca="false">SUM(C$2:C30)</f>
        <v>38</v>
      </c>
      <c r="F31" s="23" t="n">
        <v>0.52594251127999</v>
      </c>
      <c r="G31" s="24" t="n">
        <f aca="false">F31^2</f>
        <v>0.276615525171503</v>
      </c>
      <c r="H31" s="24" t="n">
        <f aca="false">G31-G30</f>
        <v>0.00891902567490005</v>
      </c>
      <c r="I31" s="8" t="n">
        <f aca="false">I29+1</f>
        <v>15</v>
      </c>
      <c r="J31" s="27"/>
      <c r="K31" s="8"/>
    </row>
    <row r="32" customFormat="false" ht="15.75" hidden="false" customHeight="false" outlineLevel="0" collapsed="false">
      <c r="A32" s="8" t="n">
        <f aca="false">A31+1</f>
        <v>31</v>
      </c>
      <c r="B32" s="8" t="n">
        <v>1900</v>
      </c>
      <c r="C32" s="8" t="n">
        <v>2</v>
      </c>
      <c r="D32" s="0" t="n">
        <f aca="false">SUM(B$2:B31)</f>
        <v>27400</v>
      </c>
      <c r="E32" s="0" t="n">
        <f aca="false">SUM(C$2:C31)</f>
        <v>40</v>
      </c>
      <c r="F32" s="23" t="n">
        <v>0.53435433</v>
      </c>
      <c r="G32" s="24" t="n">
        <f aca="false">F32^2</f>
        <v>0.285534549989749</v>
      </c>
      <c r="H32" s="24" t="n">
        <f aca="false">G32-G31</f>
        <v>0.0089190248182463</v>
      </c>
      <c r="I32" s="8" t="n">
        <f aca="false">I30+1</f>
        <v>16</v>
      </c>
      <c r="J32" s="25"/>
      <c r="K32" s="26"/>
    </row>
    <row r="33" customFormat="false" ht="15.75" hidden="false" customHeight="false" outlineLevel="0" collapsed="false">
      <c r="A33" s="8" t="n">
        <f aca="false">A32+1</f>
        <v>32</v>
      </c>
      <c r="B33" s="8" t="n">
        <v>1900</v>
      </c>
      <c r="C33" s="8" t="n">
        <v>2</v>
      </c>
      <c r="D33" s="0" t="n">
        <f aca="false">SUM(B$2:B32)</f>
        <v>29300</v>
      </c>
      <c r="E33" s="0" t="n">
        <f aca="false">SUM(C$2:C32)</f>
        <v>42</v>
      </c>
      <c r="F33" s="23" t="n">
        <v>0.542635767034066</v>
      </c>
      <c r="G33" s="24" t="n">
        <f aca="false">F33^2</f>
        <v>0.294453575664649</v>
      </c>
      <c r="H33" s="24" t="n">
        <f aca="false">G33-G32</f>
        <v>0.00891902567489994</v>
      </c>
      <c r="I33" s="8" t="n">
        <f aca="false">I31+1</f>
        <v>16</v>
      </c>
      <c r="J33" s="27"/>
      <c r="K33" s="8"/>
    </row>
    <row r="34" customFormat="false" ht="15.75" hidden="false" customHeight="false" outlineLevel="0" collapsed="false">
      <c r="A34" s="8" t="n">
        <f aca="false">A33+1</f>
        <v>33</v>
      </c>
      <c r="B34" s="8" t="n">
        <v>2200</v>
      </c>
      <c r="C34" s="8" t="n">
        <v>2</v>
      </c>
      <c r="D34" s="0" t="n">
        <f aca="false">SUM(B$2:B33)</f>
        <v>31200</v>
      </c>
      <c r="E34" s="0" t="n">
        <f aca="false">SUM(C$2:C33)</f>
        <v>44</v>
      </c>
      <c r="F34" s="23" t="n">
        <v>0.55079269</v>
      </c>
      <c r="G34" s="24" t="n">
        <f aca="false">F34^2</f>
        <v>0.303372587357436</v>
      </c>
      <c r="H34" s="24" t="n">
        <f aca="false">G34-G33</f>
        <v>0.00891901169278725</v>
      </c>
      <c r="I34" s="8" t="n">
        <f aca="false">I32+1</f>
        <v>17</v>
      </c>
      <c r="J34" s="25"/>
      <c r="K34" s="26"/>
    </row>
    <row r="35" customFormat="false" ht="15.75" hidden="false" customHeight="false" outlineLevel="0" collapsed="false">
      <c r="A35" s="8" t="n">
        <f aca="false">A34+1</f>
        <v>34</v>
      </c>
      <c r="B35" s="8" t="n">
        <v>2200</v>
      </c>
      <c r="C35" s="8" t="n">
        <v>2</v>
      </c>
      <c r="D35" s="0" t="n">
        <f aca="false">SUM(B$2:B34)</f>
        <v>33400</v>
      </c>
      <c r="E35" s="0" t="n">
        <f aca="false">SUM(C$2:C34)</f>
        <v>46</v>
      </c>
      <c r="F35" s="23" t="n">
        <v>0.558830576321962</v>
      </c>
      <c r="G35" s="24" t="n">
        <f aca="false">F35^2</f>
        <v>0.312291613032336</v>
      </c>
      <c r="H35" s="24" t="n">
        <f aca="false">G35-G34</f>
        <v>0.00891902567489999</v>
      </c>
      <c r="I35" s="8" t="n">
        <f aca="false">I33+1</f>
        <v>17</v>
      </c>
      <c r="J35" s="27"/>
      <c r="K35" s="8"/>
    </row>
    <row r="36" customFormat="false" ht="15.75" hidden="false" customHeight="false" outlineLevel="0" collapsed="false">
      <c r="A36" s="8" t="n">
        <f aca="false">A35+1</f>
        <v>35</v>
      </c>
      <c r="B36" s="8" t="n">
        <v>2200</v>
      </c>
      <c r="C36" s="8" t="n">
        <v>2</v>
      </c>
      <c r="D36" s="0" t="n">
        <f aca="false">SUM(B$2:B35)</f>
        <v>35600</v>
      </c>
      <c r="E36" s="0" t="n">
        <f aca="false">SUM(C$2:C35)</f>
        <v>48</v>
      </c>
      <c r="F36" s="29" t="n">
        <v>0.56675452</v>
      </c>
      <c r="G36" s="24" t="n">
        <f aca="false">F36^2</f>
        <v>0.32121068594043</v>
      </c>
      <c r="H36" s="24" t="n">
        <f aca="false">G36-G35</f>
        <v>0.00891907290809441</v>
      </c>
      <c r="I36" s="8" t="n">
        <f aca="false">I34+1</f>
        <v>18</v>
      </c>
      <c r="J36" s="25"/>
      <c r="K36" s="26"/>
    </row>
    <row r="37" customFormat="false" ht="15.75" hidden="false" customHeight="false" outlineLevel="0" collapsed="false">
      <c r="A37" s="8" t="n">
        <f aca="false">A36+1</f>
        <v>36</v>
      </c>
      <c r="B37" s="8" t="n">
        <v>2200</v>
      </c>
      <c r="C37" s="8" t="n">
        <v>2</v>
      </c>
      <c r="D37" s="0" t="n">
        <f aca="false">SUM(B$2:B36)</f>
        <v>37800</v>
      </c>
      <c r="E37" s="0" t="n">
        <f aca="false">SUM(C$2:C36)</f>
        <v>50</v>
      </c>
      <c r="F37" s="23" t="n">
        <v>0.574569153031496</v>
      </c>
      <c r="G37" s="24" t="n">
        <f aca="false">F37^2</f>
        <v>0.33012971161533</v>
      </c>
      <c r="H37" s="24" t="n">
        <f aca="false">G37-G36</f>
        <v>0.00891902567489999</v>
      </c>
      <c r="I37" s="8" t="n">
        <f aca="false">I35+1</f>
        <v>18</v>
      </c>
      <c r="J37" s="27"/>
      <c r="K37" s="8"/>
    </row>
    <row r="38" customFormat="false" ht="15.75" hidden="false" customHeight="false" outlineLevel="0" collapsed="false">
      <c r="A38" s="8" t="n">
        <f aca="false">A37+1</f>
        <v>37</v>
      </c>
      <c r="B38" s="8" t="n">
        <v>2500</v>
      </c>
      <c r="C38" s="8" t="n">
        <v>2</v>
      </c>
      <c r="D38" s="0" t="n">
        <f aca="false">SUM(B$2:B37)</f>
        <v>40000</v>
      </c>
      <c r="E38" s="0" t="n">
        <f aca="false">SUM(C$2:C37)</f>
        <v>52</v>
      </c>
      <c r="F38" s="29" t="n">
        <v>0.58227891</v>
      </c>
      <c r="G38" s="24" t="n">
        <f aca="false">F38^2</f>
        <v>0.339048729030788</v>
      </c>
      <c r="H38" s="24" t="n">
        <f aca="false">G38-G37</f>
        <v>0.00891901741545764</v>
      </c>
      <c r="I38" s="8" t="n">
        <f aca="false">I36+1</f>
        <v>19</v>
      </c>
      <c r="J38" s="25"/>
      <c r="K38" s="26"/>
    </row>
    <row r="39" customFormat="false" ht="15.75" hidden="false" customHeight="false" outlineLevel="0" collapsed="false">
      <c r="A39" s="8" t="n">
        <f aca="false">A38+1</f>
        <v>38</v>
      </c>
      <c r="B39" s="8" t="n">
        <v>2500</v>
      </c>
      <c r="C39" s="8" t="n">
        <v>2</v>
      </c>
      <c r="D39" s="0" t="n">
        <f aca="false">SUM(B$2:B38)</f>
        <v>42500</v>
      </c>
      <c r="E39" s="0" t="n">
        <f aca="false">SUM(C$2:C38)</f>
        <v>54</v>
      </c>
      <c r="F39" s="23" t="n">
        <v>0.589887917070428</v>
      </c>
      <c r="G39" s="24" t="n">
        <f aca="false">F39^2</f>
        <v>0.347967754705688</v>
      </c>
      <c r="H39" s="24" t="n">
        <f aca="false">G39-G38</f>
        <v>0.00891902567490016</v>
      </c>
      <c r="I39" s="8" t="n">
        <f aca="false">I37+1</f>
        <v>19</v>
      </c>
      <c r="J39" s="27"/>
      <c r="K39" s="8"/>
    </row>
    <row r="40" customFormat="false" ht="15.75" hidden="false" customHeight="false" outlineLevel="0" collapsed="false">
      <c r="A40" s="8" t="n">
        <f aca="false">A39+1</f>
        <v>39</v>
      </c>
      <c r="B40" s="8" t="n">
        <v>2500</v>
      </c>
      <c r="C40" s="8" t="n">
        <v>2</v>
      </c>
      <c r="D40" s="0" t="n">
        <f aca="false">SUM(B$2:B39)</f>
        <v>45000</v>
      </c>
      <c r="E40" s="0" t="n">
        <f aca="false">SUM(C$2:C39)</f>
        <v>56</v>
      </c>
      <c r="F40" s="29" t="n">
        <v>0.59740001</v>
      </c>
      <c r="G40" s="24" t="n">
        <f aca="false">F40^2</f>
        <v>0.356886771948</v>
      </c>
      <c r="H40" s="24" t="n">
        <f aca="false">G40-G39</f>
        <v>0.00891901724231181</v>
      </c>
      <c r="I40" s="8" t="n">
        <f aca="false">I38+1</f>
        <v>20</v>
      </c>
      <c r="J40" s="28" t="s">
        <v>181</v>
      </c>
      <c r="K40" s="26"/>
    </row>
    <row r="41" customFormat="false" ht="15.75" hidden="false" customHeight="false" outlineLevel="0" collapsed="false">
      <c r="A41" s="8" t="n">
        <f aca="false">A40+1</f>
        <v>40</v>
      </c>
      <c r="B41" s="8" t="n">
        <v>2500</v>
      </c>
      <c r="C41" s="8" t="n">
        <v>2</v>
      </c>
      <c r="D41" s="0" t="n">
        <f aca="false">SUM(B$2:B40)</f>
        <v>47500</v>
      </c>
      <c r="E41" s="0" t="n">
        <f aca="false">SUM(C$2:C40)</f>
        <v>58</v>
      </c>
      <c r="F41" s="23" t="n">
        <v>0.604818813879744</v>
      </c>
      <c r="G41" s="24" t="n">
        <f aca="false">F41^2</f>
        <v>0.3658057976229</v>
      </c>
      <c r="H41" s="24" t="n">
        <f aca="false">G41-G40</f>
        <v>0.00891902567489994</v>
      </c>
      <c r="I41" s="8" t="n">
        <f aca="false">I39+1</f>
        <v>20</v>
      </c>
      <c r="K41" s="8"/>
    </row>
    <row r="42" customFormat="false" ht="15.75" hidden="false" customHeight="false" outlineLevel="0" collapsed="false">
      <c r="A42" s="8" t="n">
        <f aca="false">A41+1</f>
        <v>41</v>
      </c>
      <c r="B42" s="8" t="n">
        <v>3000</v>
      </c>
      <c r="C42" s="8" t="n">
        <v>3</v>
      </c>
      <c r="D42" s="0" t="n">
        <f aca="false">SUM(B$2:B41)</f>
        <v>50000</v>
      </c>
      <c r="E42" s="0" t="n">
        <f aca="false">SUM(C$2:C41)</f>
        <v>60</v>
      </c>
      <c r="F42" s="29" t="n">
        <v>0.61215729</v>
      </c>
      <c r="G42" s="24" t="n">
        <f aca="false">F42^2</f>
        <v>0.374736547700144</v>
      </c>
      <c r="H42" s="24" t="n">
        <f aca="false">G42-G41</f>
        <v>0.00893075007724409</v>
      </c>
      <c r="I42" s="8" t="n">
        <f aca="false">I40+1</f>
        <v>21</v>
      </c>
      <c r="J42" s="25"/>
      <c r="K42" s="26"/>
    </row>
    <row r="43" customFormat="false" ht="15.75" hidden="false" customHeight="false" outlineLevel="0" collapsed="false">
      <c r="A43" s="8" t="n">
        <f aca="false">A42+1</f>
        <v>42</v>
      </c>
      <c r="B43" s="8" t="n">
        <v>3000</v>
      </c>
      <c r="C43" s="8" t="n">
        <v>3</v>
      </c>
      <c r="D43" s="0" t="n">
        <f aca="false">SUM(B$2:B42)</f>
        <v>53000</v>
      </c>
      <c r="E43" s="0" t="n">
        <f aca="false">SUM(C$2:C42)</f>
        <v>63</v>
      </c>
      <c r="F43" s="23" t="n">
        <v>0.619404111709588</v>
      </c>
      <c r="G43" s="24" t="n">
        <f aca="false">F43^2</f>
        <v>0.383661453602744</v>
      </c>
      <c r="H43" s="24" t="n">
        <f aca="false">G43-G42</f>
        <v>0.00892490590259992</v>
      </c>
      <c r="I43" s="8" t="n">
        <f aca="false">I41+1</f>
        <v>21</v>
      </c>
      <c r="J43" s="27"/>
    </row>
    <row r="44" customFormat="false" ht="15.75" hidden="false" customHeight="false" outlineLevel="0" collapsed="false">
      <c r="A44" s="8" t="n">
        <f aca="false">A43+1</f>
        <v>43</v>
      </c>
      <c r="B44" s="8" t="n">
        <v>3000</v>
      </c>
      <c r="C44" s="8" t="n">
        <v>3</v>
      </c>
      <c r="D44" s="0" t="n">
        <f aca="false">SUM(B$2:B43)</f>
        <v>56000</v>
      </c>
      <c r="E44" s="0" t="n">
        <f aca="false">SUM(C$2:C43)</f>
        <v>66</v>
      </c>
      <c r="F44" s="29" t="n">
        <v>0.62656713</v>
      </c>
      <c r="G44" s="24" t="n">
        <f aca="false">F44^2</f>
        <v>0.392586368396437</v>
      </c>
      <c r="H44" s="24" t="n">
        <f aca="false">G44-G43</f>
        <v>0.00892491479369284</v>
      </c>
      <c r="I44" s="8" t="n">
        <f aca="false">I42+1</f>
        <v>22</v>
      </c>
      <c r="J44" s="25"/>
      <c r="K44" s="26"/>
    </row>
    <row r="45" customFormat="false" ht="15.75" hidden="false" customHeight="false" outlineLevel="0" collapsed="false">
      <c r="A45" s="8" t="n">
        <f aca="false">A44+1</f>
        <v>44</v>
      </c>
      <c r="B45" s="8" t="n">
        <v>3000</v>
      </c>
      <c r="C45" s="8" t="n">
        <v>3</v>
      </c>
      <c r="D45" s="0" t="n">
        <f aca="false">SUM(B$2:B44)</f>
        <v>59000</v>
      </c>
      <c r="E45" s="0" t="n">
        <f aca="false">SUM(C$2:C44)</f>
        <v>69</v>
      </c>
      <c r="F45" s="23" t="n">
        <v>0.633649172885941</v>
      </c>
      <c r="G45" s="24" t="n">
        <f aca="false">F45^2</f>
        <v>0.401511274299037</v>
      </c>
      <c r="H45" s="24" t="n">
        <f aca="false">G45-G44</f>
        <v>0.00892490590259992</v>
      </c>
      <c r="I45" s="8" t="n">
        <f aca="false">I43+1</f>
        <v>22</v>
      </c>
      <c r="J45" s="30"/>
    </row>
    <row r="46" customFormat="false" ht="15.75" hidden="false" customHeight="false" outlineLevel="0" collapsed="false">
      <c r="A46" s="8" t="n">
        <f aca="false">A45+1</f>
        <v>45</v>
      </c>
      <c r="B46" s="8" t="n">
        <v>3500</v>
      </c>
      <c r="C46" s="8" t="n">
        <v>3</v>
      </c>
      <c r="D46" s="0" t="n">
        <f aca="false">SUM(B$2:B45)</f>
        <v>62000</v>
      </c>
      <c r="E46" s="0" t="n">
        <f aca="false">SUM(C$2:C45)</f>
        <v>72</v>
      </c>
      <c r="F46" s="29" t="n">
        <v>0.64065295</v>
      </c>
      <c r="G46" s="24" t="n">
        <f aca="false">F46^2</f>
        <v>0.410436202343703</v>
      </c>
      <c r="H46" s="24" t="n">
        <f aca="false">G46-G45</f>
        <v>0.00892492804466571</v>
      </c>
      <c r="I46" s="8" t="n">
        <f aca="false">I44+1</f>
        <v>23</v>
      </c>
      <c r="J46" s="25"/>
      <c r="K46" s="26"/>
    </row>
    <row r="47" customFormat="false" ht="15.75" hidden="false" customHeight="false" outlineLevel="0" collapsed="false">
      <c r="A47" s="8" t="n">
        <f aca="false">A46+1</f>
        <v>46</v>
      </c>
      <c r="B47" s="8" t="n">
        <v>3500</v>
      </c>
      <c r="C47" s="8" t="n">
        <v>3</v>
      </c>
      <c r="D47" s="0" t="n">
        <f aca="false">SUM(B$2:B46)</f>
        <v>65500</v>
      </c>
      <c r="E47" s="0" t="n">
        <f aca="false">SUM(C$2:C46)</f>
        <v>75</v>
      </c>
      <c r="F47" s="23" t="n">
        <v>0.64758096655654</v>
      </c>
      <c r="G47" s="24" t="n">
        <f aca="false">F47^2</f>
        <v>0.419361108246302</v>
      </c>
      <c r="H47" s="24" t="n">
        <f aca="false">G47-G46</f>
        <v>0.00892490590260003</v>
      </c>
      <c r="I47" s="8" t="n">
        <f aca="false">I45+1</f>
        <v>23</v>
      </c>
      <c r="J47" s="30"/>
      <c r="K47" s="26"/>
    </row>
    <row r="48" customFormat="false" ht="15.75" hidden="false" customHeight="false" outlineLevel="0" collapsed="false">
      <c r="A48" s="8" t="n">
        <f aca="false">A47+1</f>
        <v>47</v>
      </c>
      <c r="B48" s="8" t="n">
        <v>3500</v>
      </c>
      <c r="C48" s="8" t="n">
        <v>3</v>
      </c>
      <c r="D48" s="0" t="n">
        <f aca="false">SUM(B$2:B47)</f>
        <v>69000</v>
      </c>
      <c r="E48" s="0" t="n">
        <f aca="false">SUM(C$2:C47)</f>
        <v>78</v>
      </c>
      <c r="F48" s="29" t="n">
        <v>0.65443563</v>
      </c>
      <c r="G48" s="24" t="n">
        <f aca="false">F48^2</f>
        <v>0.428285993813497</v>
      </c>
      <c r="H48" s="24" t="n">
        <f aca="false">G48-G47</f>
        <v>0.00892488556719445</v>
      </c>
      <c r="I48" s="8" t="n">
        <f aca="false">I46+1</f>
        <v>24</v>
      </c>
      <c r="J48" s="25"/>
      <c r="K48" s="26"/>
    </row>
    <row r="49" customFormat="false" ht="15.75" hidden="false" customHeight="false" outlineLevel="0" collapsed="false">
      <c r="A49" s="8" t="n">
        <f aca="false">A48+1</f>
        <v>48</v>
      </c>
      <c r="B49" s="8" t="n">
        <v>3500</v>
      </c>
      <c r="C49" s="8" t="n">
        <v>3</v>
      </c>
      <c r="D49" s="0" t="n">
        <f aca="false">SUM(B$2:B48)</f>
        <v>72500</v>
      </c>
      <c r="E49" s="0" t="n">
        <f aca="false">SUM(C$2:C48)</f>
        <v>81</v>
      </c>
      <c r="F49" s="23" t="n">
        <v>0.661219252378587</v>
      </c>
      <c r="G49" s="24" t="n">
        <f aca="false">F49^2</f>
        <v>0.437210899716097</v>
      </c>
      <c r="H49" s="24" t="n">
        <f aca="false">G49-G48</f>
        <v>0.00892490590260003</v>
      </c>
      <c r="I49" s="8" t="n">
        <f aca="false">I47+1</f>
        <v>24</v>
      </c>
      <c r="J49" s="30"/>
      <c r="K49" s="26"/>
    </row>
    <row r="50" customFormat="false" ht="15.75" hidden="false" customHeight="false" outlineLevel="0" collapsed="false">
      <c r="A50" s="8" t="n">
        <f aca="false">A49+1</f>
        <v>49</v>
      </c>
      <c r="B50" s="8" t="n">
        <v>4000</v>
      </c>
      <c r="C50" s="8" t="n">
        <v>3</v>
      </c>
      <c r="D50" s="0" t="n">
        <f aca="false">SUM(B$2:B49)</f>
        <v>76000</v>
      </c>
      <c r="E50" s="0" t="n">
        <f aca="false">SUM(C$2:C49)</f>
        <v>84</v>
      </c>
      <c r="F50" s="29" t="n">
        <v>0.667934</v>
      </c>
      <c r="G50" s="24" t="n">
        <f aca="false">F50^2</f>
        <v>0.446135828356</v>
      </c>
      <c r="H50" s="24" t="n">
        <f aca="false">G50-G49</f>
        <v>0.00892492863990291</v>
      </c>
      <c r="I50" s="8" t="n">
        <f aca="false">I48+1</f>
        <v>25</v>
      </c>
      <c r="J50" s="25"/>
      <c r="K50" s="26"/>
    </row>
    <row r="51" customFormat="false" ht="15.75" hidden="false" customHeight="false" outlineLevel="0" collapsed="false">
      <c r="A51" s="8" t="n">
        <f aca="false">A50+1</f>
        <v>50</v>
      </c>
      <c r="B51" s="8" t="n">
        <v>4000</v>
      </c>
      <c r="C51" s="8" t="n">
        <v>3</v>
      </c>
      <c r="D51" s="0" t="n">
        <f aca="false">SUM(B$2:B50)</f>
        <v>80000</v>
      </c>
      <c r="E51" s="0" t="n">
        <f aca="false">SUM(C$2:C50)</f>
        <v>87</v>
      </c>
      <c r="F51" s="23" t="n">
        <v>0.674581895887075</v>
      </c>
      <c r="G51" s="24" t="n">
        <f aca="false">F51^2</f>
        <v>0.4550607342586</v>
      </c>
      <c r="H51" s="24" t="n">
        <f aca="false">G51-G50</f>
        <v>0.00892490590260009</v>
      </c>
      <c r="I51" s="8" t="n">
        <f aca="false">I49+1</f>
        <v>25</v>
      </c>
      <c r="J51" s="30"/>
      <c r="K51" s="26"/>
    </row>
    <row r="52" customFormat="false" ht="15.75" hidden="false" customHeight="false" outlineLevel="0" collapsed="false">
      <c r="A52" s="8" t="n">
        <f aca="false">A51+1</f>
        <v>51</v>
      </c>
      <c r="B52" s="8" t="n">
        <v>4000</v>
      </c>
      <c r="C52" s="8" t="n">
        <v>4</v>
      </c>
      <c r="D52" s="0" t="n">
        <f aca="false">SUM(B$2:B51)</f>
        <v>84000</v>
      </c>
      <c r="E52" s="0" t="n">
        <f aca="false">SUM(C$2:C51)</f>
        <v>90</v>
      </c>
      <c r="F52" s="29" t="n">
        <v>0.68116492</v>
      </c>
      <c r="G52" s="24" t="n">
        <f aca="false">F52^2</f>
        <v>0.463985648238606</v>
      </c>
      <c r="H52" s="24" t="n">
        <f aca="false">G52-G51</f>
        <v>0.0089249139800065</v>
      </c>
      <c r="I52" s="8" t="n">
        <f aca="false">I50+1</f>
        <v>26</v>
      </c>
      <c r="J52" s="25"/>
      <c r="K52" s="26"/>
    </row>
    <row r="53" customFormat="false" ht="15.75" hidden="false" customHeight="false" outlineLevel="0" collapsed="false">
      <c r="A53" s="8" t="n">
        <f aca="false">A52+1</f>
        <v>52</v>
      </c>
      <c r="B53" s="8" t="n">
        <v>4000</v>
      </c>
      <c r="C53" s="8" t="n">
        <v>4</v>
      </c>
      <c r="D53" s="0" t="n">
        <f aca="false">SUM(B$2:B52)</f>
        <v>88000</v>
      </c>
      <c r="E53" s="0" t="n">
        <f aca="false">SUM(C$2:C52)</f>
        <v>94</v>
      </c>
      <c r="F53" s="23" t="n">
        <v>0.687684923595978</v>
      </c>
      <c r="G53" s="24" t="n">
        <f aca="false">F53^2</f>
        <v>0.472910554141206</v>
      </c>
      <c r="H53" s="24" t="n">
        <f aca="false">G53-G52</f>
        <v>0.00892490590259976</v>
      </c>
      <c r="I53" s="8" t="n">
        <f aca="false">I51+1</f>
        <v>26</v>
      </c>
      <c r="J53" s="30"/>
      <c r="K53" s="26"/>
    </row>
    <row r="54" customFormat="false" ht="15.75" hidden="false" customHeight="false" outlineLevel="0" collapsed="false">
      <c r="A54" s="8" t="n">
        <f aca="false">A53+1</f>
        <v>53</v>
      </c>
      <c r="B54" s="8" t="n">
        <v>4500</v>
      </c>
      <c r="C54" s="8" t="n">
        <v>4</v>
      </c>
      <c r="D54" s="0" t="n">
        <f aca="false">SUM(B$2:B53)</f>
        <v>92000</v>
      </c>
      <c r="E54" s="0" t="n">
        <f aca="false">SUM(C$2:C53)</f>
        <v>98</v>
      </c>
      <c r="F54" s="29" t="n">
        <v>0.69414365</v>
      </c>
      <c r="G54" s="24" t="n">
        <f aca="false">F54^2</f>
        <v>0.481835406835322</v>
      </c>
      <c r="H54" s="24" t="n">
        <f aca="false">G54-G53</f>
        <v>0.00892485269411625</v>
      </c>
      <c r="I54" s="8" t="n">
        <f aca="false">I52+1</f>
        <v>27</v>
      </c>
      <c r="J54" s="25"/>
      <c r="K54" s="26"/>
    </row>
    <row r="55" customFormat="false" ht="15.75" hidden="false" customHeight="false" outlineLevel="0" collapsed="false">
      <c r="A55" s="8" t="n">
        <f aca="false">A54+1</f>
        <v>54</v>
      </c>
      <c r="B55" s="8" t="n">
        <v>4500</v>
      </c>
      <c r="C55" s="8" t="n">
        <v>4</v>
      </c>
      <c r="D55" s="0" t="n">
        <f aca="false">SUM(B$2:B54)</f>
        <v>96500</v>
      </c>
      <c r="E55" s="0" t="n">
        <f aca="false">SUM(C$2:C54)</f>
        <v>102</v>
      </c>
      <c r="F55" s="23" t="n">
        <v>0.700542870021473</v>
      </c>
      <c r="G55" s="24" t="n">
        <f aca="false">F55^2</f>
        <v>0.490760312737923</v>
      </c>
      <c r="H55" s="24" t="n">
        <f aca="false">G55-G54</f>
        <v>0.00892490590260003</v>
      </c>
      <c r="I55" s="8" t="n">
        <f aca="false">I53+1</f>
        <v>27</v>
      </c>
      <c r="J55" s="30"/>
      <c r="K55" s="26"/>
    </row>
    <row r="56" customFormat="false" ht="15.75" hidden="false" customHeight="false" outlineLevel="0" collapsed="false">
      <c r="A56" s="8" t="n">
        <f aca="false">A55+1</f>
        <v>55</v>
      </c>
      <c r="B56" s="8" t="n">
        <v>4500</v>
      </c>
      <c r="C56" s="8" t="n">
        <v>4</v>
      </c>
      <c r="D56" s="0" t="n">
        <f aca="false">SUM(B$2:B55)</f>
        <v>101000</v>
      </c>
      <c r="E56" s="0" t="n">
        <f aca="false">SUM(C$2:C55)</f>
        <v>106</v>
      </c>
      <c r="F56" s="29" t="n">
        <v>0.70688421</v>
      </c>
      <c r="G56" s="24" t="n">
        <f aca="false">F56^2</f>
        <v>0.499685286347324</v>
      </c>
      <c r="H56" s="24" t="n">
        <f aca="false">G56-G55</f>
        <v>0.00892497360940159</v>
      </c>
      <c r="I56" s="8" t="n">
        <f aca="false">I54+1</f>
        <v>28</v>
      </c>
      <c r="J56" s="22"/>
      <c r="K56" s="26"/>
    </row>
    <row r="57" customFormat="false" ht="15.75" hidden="false" customHeight="false" outlineLevel="0" collapsed="false">
      <c r="A57" s="8" t="n">
        <f aca="false">A56+1</f>
        <v>56</v>
      </c>
      <c r="B57" s="8" t="n">
        <v>4500</v>
      </c>
      <c r="C57" s="8" t="n">
        <v>4</v>
      </c>
      <c r="D57" s="0" t="n">
        <f aca="false">SUM(B$2:B56)</f>
        <v>105500</v>
      </c>
      <c r="E57" s="0" t="n">
        <f aca="false">SUM(C$2:C56)</f>
        <v>110</v>
      </c>
      <c r="F57" s="23" t="n">
        <v>0.713169118968232</v>
      </c>
      <c r="G57" s="24" t="n">
        <f aca="false">F57^2</f>
        <v>0.508610192249924</v>
      </c>
      <c r="H57" s="24" t="n">
        <f aca="false">G57-G56</f>
        <v>0.00892490590259998</v>
      </c>
      <c r="I57" s="8" t="n">
        <f aca="false">I55+1</f>
        <v>28</v>
      </c>
      <c r="J57" s="30"/>
      <c r="K57" s="26"/>
    </row>
    <row r="58" customFormat="false" ht="15.75" hidden="false" customHeight="false" outlineLevel="0" collapsed="false">
      <c r="A58" s="8" t="n">
        <f aca="false">A57+1</f>
        <v>57</v>
      </c>
      <c r="B58" s="8" t="n">
        <v>5000</v>
      </c>
      <c r="C58" s="8" t="n">
        <v>4</v>
      </c>
      <c r="D58" s="0" t="n">
        <f aca="false">SUM(B$2:B57)</f>
        <v>110000</v>
      </c>
      <c r="E58" s="0" t="n">
        <f aca="false">SUM(C$2:C57)</f>
        <v>114</v>
      </c>
      <c r="F58" s="29" t="n">
        <v>0.71939909</v>
      </c>
      <c r="G58" s="24" t="n">
        <f aca="false">F58^2</f>
        <v>0.517535050692828</v>
      </c>
      <c r="H58" s="24" t="n">
        <f aca="false">G58-G57</f>
        <v>0.00892485844290403</v>
      </c>
      <c r="I58" s="8" t="n">
        <f aca="false">I56+1</f>
        <v>29</v>
      </c>
      <c r="J58" s="22"/>
      <c r="K58" s="26"/>
    </row>
    <row r="59" customFormat="false" ht="15.75" hidden="false" customHeight="false" outlineLevel="0" collapsed="false">
      <c r="A59" s="8" t="n">
        <f aca="false">A58+1</f>
        <v>58</v>
      </c>
      <c r="B59" s="8" t="n">
        <v>5000</v>
      </c>
      <c r="C59" s="8" t="n">
        <v>4</v>
      </c>
      <c r="D59" s="0" t="n">
        <f aca="false">SUM(B$2:B58)</f>
        <v>115000</v>
      </c>
      <c r="E59" s="0" t="n">
        <f aca="false">SUM(C$2:C58)</f>
        <v>118</v>
      </c>
      <c r="F59" s="23" t="n">
        <v>0.725575603638538</v>
      </c>
      <c r="G59" s="24" t="n">
        <f aca="false">F59^2</f>
        <v>0.526459956595428</v>
      </c>
      <c r="H59" s="24" t="n">
        <f aca="false">G59-G58</f>
        <v>0.00892490590260009</v>
      </c>
      <c r="I59" s="8" t="n">
        <f aca="false">I57+1</f>
        <v>29</v>
      </c>
      <c r="J59" s="30"/>
      <c r="K59" s="8"/>
    </row>
    <row r="60" customFormat="false" ht="15.75" hidden="false" customHeight="false" outlineLevel="0" collapsed="false">
      <c r="A60" s="8" t="n">
        <f aca="false">A59+1</f>
        <v>59</v>
      </c>
      <c r="B60" s="8" t="n">
        <v>5000</v>
      </c>
      <c r="C60" s="8" t="n">
        <v>4</v>
      </c>
      <c r="D60" s="0" t="n">
        <f aca="false">SUM(B$2:B59)</f>
        <v>120000</v>
      </c>
      <c r="E60" s="0" t="n">
        <f aca="false">SUM(C$2:C59)</f>
        <v>122</v>
      </c>
      <c r="F60" s="29" t="n">
        <v>0.7317</v>
      </c>
      <c r="G60" s="24" t="n">
        <f aca="false">F60^2</f>
        <v>0.53538489</v>
      </c>
      <c r="H60" s="24" t="n">
        <f aca="false">G60-G59</f>
        <v>0.00892493340457179</v>
      </c>
      <c r="I60" s="8" t="n">
        <f aca="false">I58+1</f>
        <v>30</v>
      </c>
      <c r="J60" s="22" t="s">
        <v>182</v>
      </c>
      <c r="K60" s="26"/>
    </row>
    <row r="61" customFormat="false" ht="15.75" hidden="false" customHeight="false" outlineLevel="0" collapsed="false">
      <c r="A61" s="8" t="n">
        <f aca="false">A60+1</f>
        <v>60</v>
      </c>
      <c r="B61" s="8" t="n">
        <v>5000</v>
      </c>
      <c r="C61" s="8" t="n">
        <v>4</v>
      </c>
      <c r="D61" s="0" t="n">
        <f aca="false">SUM(B$2:B60)</f>
        <v>125000</v>
      </c>
      <c r="E61" s="0" t="n">
        <f aca="false">SUM(C$2:C60)</f>
        <v>126</v>
      </c>
      <c r="F61" s="23" t="n">
        <v>0.734741042817127</v>
      </c>
      <c r="G61" s="24" t="n">
        <f aca="false">F61^2</f>
        <v>0.5398444</v>
      </c>
      <c r="H61" s="24" t="n">
        <f aca="false">G61-G60</f>
        <v>0.00445951</v>
      </c>
      <c r="I61" s="8" t="n">
        <f aca="false">I59+1</f>
        <v>30</v>
      </c>
      <c r="J61" s="22" t="s">
        <v>183</v>
      </c>
      <c r="K61" s="8"/>
    </row>
    <row r="62" customFormat="false" ht="15.75" hidden="false" customHeight="false" outlineLevel="0" collapsed="false">
      <c r="A62" s="8" t="n">
        <f aca="false">A61+1</f>
        <v>61</v>
      </c>
      <c r="B62" s="8" t="n">
        <v>6000</v>
      </c>
      <c r="C62" s="8" t="n">
        <v>6</v>
      </c>
      <c r="D62" s="0" t="n">
        <f aca="false">SUM(B$2:B61)</f>
        <v>130000</v>
      </c>
      <c r="E62" s="0" t="n">
        <f aca="false">SUM(C$2:C61)</f>
        <v>130</v>
      </c>
      <c r="F62" s="29" t="n">
        <v>0.73776948</v>
      </c>
      <c r="G62" s="24" t="n">
        <f aca="false">F62^2</f>
        <v>0.54430380561947</v>
      </c>
      <c r="H62" s="24" t="n">
        <f aca="false">G62-G61</f>
        <v>0.00445940561947034</v>
      </c>
      <c r="I62" s="8" t="n">
        <f aca="false">I60+1</f>
        <v>31</v>
      </c>
      <c r="K62" s="26"/>
    </row>
    <row r="63" customFormat="false" ht="15.75" hidden="false" customHeight="false" outlineLevel="0" collapsed="false">
      <c r="A63" s="8" t="n">
        <f aca="false">A62+1</f>
        <v>62</v>
      </c>
      <c r="B63" s="8" t="n">
        <v>6000</v>
      </c>
      <c r="C63" s="8" t="n">
        <v>6</v>
      </c>
      <c r="D63" s="0" t="n">
        <f aca="false">SUM(B$2:B62)</f>
        <v>136000</v>
      </c>
      <c r="E63" s="0" t="n">
        <f aca="false">SUM(C$2:C62)</f>
        <v>136</v>
      </c>
      <c r="F63" s="23" t="n">
        <v>0.740785573840211</v>
      </c>
      <c r="G63" s="24" t="n">
        <f aca="false">F63^2</f>
        <v>0.54876326640977</v>
      </c>
      <c r="H63" s="24" t="n">
        <f aca="false">G63-G62</f>
        <v>0.00445946079030013</v>
      </c>
      <c r="I63" s="8" t="n">
        <f aca="false">I61+1</f>
        <v>31</v>
      </c>
      <c r="K63" s="8"/>
    </row>
    <row r="64" customFormat="false" ht="15.75" hidden="false" customHeight="false" outlineLevel="0" collapsed="false">
      <c r="A64" s="8" t="n">
        <f aca="false">A63+1</f>
        <v>63</v>
      </c>
      <c r="B64" s="8" t="n">
        <v>6000</v>
      </c>
      <c r="C64" s="8" t="n">
        <v>6</v>
      </c>
      <c r="D64" s="0" t="n">
        <f aca="false">SUM(B$2:B63)</f>
        <v>142000</v>
      </c>
      <c r="E64" s="0" t="n">
        <f aca="false">SUM(C$2:C63)</f>
        <v>142</v>
      </c>
      <c r="F64" s="29" t="n">
        <v>0.74378943</v>
      </c>
      <c r="G64" s="24" t="n">
        <f aca="false">F64^2</f>
        <v>0.553222716179725</v>
      </c>
      <c r="H64" s="24" t="n">
        <f aca="false">G64-G63</f>
        <v>0.00445944976995438</v>
      </c>
      <c r="I64" s="8" t="n">
        <f aca="false">I62+1</f>
        <v>32</v>
      </c>
      <c r="J64" s="22"/>
      <c r="K64" s="26"/>
    </row>
    <row r="65" customFormat="false" ht="15.75" hidden="false" customHeight="false" outlineLevel="0" collapsed="false">
      <c r="A65" s="8" t="n">
        <f aca="false">A64+1</f>
        <v>64</v>
      </c>
      <c r="B65" s="8" t="n">
        <v>6000</v>
      </c>
      <c r="C65" s="8" t="n">
        <v>6</v>
      </c>
      <c r="D65" s="0" t="n">
        <f aca="false">SUM(B$2:B64)</f>
        <v>148000</v>
      </c>
      <c r="E65" s="0" t="n">
        <f aca="false">SUM(C$2:C64)</f>
        <v>148</v>
      </c>
      <c r="F65" s="23" t="n">
        <v>0.746781210911218</v>
      </c>
      <c r="G65" s="24" t="n">
        <f aca="false">F65^2</f>
        <v>0.557682176970025</v>
      </c>
      <c r="H65" s="24" t="n">
        <f aca="false">G65-G64</f>
        <v>0.00445946079030002</v>
      </c>
      <c r="I65" s="8" t="n">
        <f aca="false">I63+1</f>
        <v>32</v>
      </c>
      <c r="J65" s="22"/>
      <c r="K65" s="8"/>
    </row>
    <row r="66" customFormat="false" ht="15.75" hidden="false" customHeight="false" outlineLevel="0" collapsed="false">
      <c r="A66" s="8" t="n">
        <f aca="false">A65+1</f>
        <v>65</v>
      </c>
      <c r="B66" s="8" t="n">
        <v>7000</v>
      </c>
      <c r="C66" s="8" t="n">
        <v>8</v>
      </c>
      <c r="D66" s="0" t="n">
        <f aca="false">SUM(B$2:B65)</f>
        <v>154000</v>
      </c>
      <c r="E66" s="0" t="n">
        <f aca="false">SUM(C$2:C65)</f>
        <v>154</v>
      </c>
      <c r="F66" s="29" t="n">
        <v>0.74976104</v>
      </c>
      <c r="G66" s="24" t="n">
        <f aca="false">F66^2</f>
        <v>0.562141617101882</v>
      </c>
      <c r="H66" s="24" t="n">
        <f aca="false">G66-G65</f>
        <v>0.00445944013185673</v>
      </c>
      <c r="I66" s="8" t="n">
        <f aca="false">I64+1</f>
        <v>33</v>
      </c>
      <c r="J66" s="22"/>
      <c r="K66" s="26"/>
    </row>
    <row r="67" customFormat="false" ht="15.75" hidden="false" customHeight="false" outlineLevel="0" collapsed="false">
      <c r="A67" s="8" t="n">
        <f aca="false">A66+1</f>
        <v>66</v>
      </c>
      <c r="B67" s="8" t="n">
        <v>7000</v>
      </c>
      <c r="C67" s="8" t="n">
        <v>8</v>
      </c>
      <c r="D67" s="0" t="n">
        <f aca="false">SUM(B$2:B66)</f>
        <v>161000</v>
      </c>
      <c r="E67" s="0" t="n">
        <f aca="false">SUM(C$2:C66)</f>
        <v>162</v>
      </c>
      <c r="F67" s="23" t="n">
        <v>0.752729086652151</v>
      </c>
      <c r="G67" s="24" t="n">
        <f aca="false">F67^2</f>
        <v>0.566601077892182</v>
      </c>
      <c r="H67" s="24" t="n">
        <f aca="false">G67-G66</f>
        <v>0.00445946079030002</v>
      </c>
      <c r="I67" s="8" t="n">
        <f aca="false">I65+1</f>
        <v>33</v>
      </c>
      <c r="J67" s="30"/>
      <c r="K67" s="8"/>
    </row>
    <row r="68" customFormat="false" ht="15.75" hidden="false" customHeight="false" outlineLevel="0" collapsed="false">
      <c r="A68" s="8" t="n">
        <f aca="false">A67+1</f>
        <v>67</v>
      </c>
      <c r="B68" s="8" t="n">
        <v>7000</v>
      </c>
      <c r="C68" s="8" t="n">
        <v>8</v>
      </c>
      <c r="D68" s="0" t="n">
        <f aca="false">SUM(B$2:B67)</f>
        <v>168000</v>
      </c>
      <c r="E68" s="0" t="n">
        <f aca="false">SUM(C$2:C67)</f>
        <v>170</v>
      </c>
      <c r="F68" s="29" t="n">
        <v>0.75568551</v>
      </c>
      <c r="G68" s="24" t="n">
        <f aca="false">F68^2</f>
        <v>0.57106059002396</v>
      </c>
      <c r="H68" s="24" t="n">
        <f aca="false">G68-G67</f>
        <v>0.00445951213177853</v>
      </c>
      <c r="I68" s="8" t="n">
        <f aca="false">I66+1</f>
        <v>34</v>
      </c>
      <c r="J68" s="22"/>
      <c r="K68" s="26"/>
    </row>
    <row r="69" customFormat="false" ht="15.75" hidden="false" customHeight="false" outlineLevel="0" collapsed="false">
      <c r="A69" s="8" t="n">
        <f aca="false">A68+1</f>
        <v>68</v>
      </c>
      <c r="B69" s="8" t="n">
        <v>7000</v>
      </c>
      <c r="C69" s="8" t="n">
        <v>8</v>
      </c>
      <c r="D69" s="0" t="n">
        <f aca="false">SUM(B$2:B68)</f>
        <v>175000</v>
      </c>
      <c r="E69" s="0" t="n">
        <f aca="false">SUM(C$2:C68)</f>
        <v>178</v>
      </c>
      <c r="F69" s="23" t="n">
        <v>0.758630378256935</v>
      </c>
      <c r="G69" s="24" t="n">
        <f aca="false">F69^2</f>
        <v>0.57552005081426</v>
      </c>
      <c r="H69" s="24" t="n">
        <f aca="false">G69-G68</f>
        <v>0.0044594607902998</v>
      </c>
      <c r="I69" s="8" t="n">
        <f aca="false">I67+1</f>
        <v>34</v>
      </c>
      <c r="J69" s="30"/>
      <c r="K69" s="8"/>
    </row>
    <row r="70" customFormat="false" ht="15.75" hidden="false" customHeight="false" outlineLevel="0" collapsed="false">
      <c r="A70" s="8" t="n">
        <f aca="false">A69+1</f>
        <v>69</v>
      </c>
      <c r="B70" s="8" t="n">
        <v>8000</v>
      </c>
      <c r="C70" s="8" t="n">
        <v>10</v>
      </c>
      <c r="D70" s="0" t="n">
        <f aca="false">SUM(B$2:B69)</f>
        <v>182000</v>
      </c>
      <c r="E70" s="0" t="n">
        <f aca="false">SUM(C$2:C69)</f>
        <v>186</v>
      </c>
      <c r="F70" s="29" t="n">
        <v>0.76156384</v>
      </c>
      <c r="G70" s="24" t="n">
        <f aca="false">F70^2</f>
        <v>0.579979482395546</v>
      </c>
      <c r="H70" s="24" t="n">
        <f aca="false">G70-G69</f>
        <v>0.0044594315812857</v>
      </c>
      <c r="I70" s="8" t="n">
        <f aca="false">I68+1</f>
        <v>35</v>
      </c>
      <c r="J70" s="22"/>
      <c r="K70" s="26"/>
    </row>
    <row r="71" customFormat="false" ht="15.75" hidden="false" customHeight="false" outlineLevel="0" collapsed="false">
      <c r="A71" s="8" t="n">
        <f aca="false">A70+1</f>
        <v>70</v>
      </c>
      <c r="B71" s="8" t="n">
        <v>8000</v>
      </c>
      <c r="C71" s="8" t="n">
        <v>10</v>
      </c>
      <c r="D71" s="0" t="n">
        <f aca="false">SUM(B$2:B70)</f>
        <v>190000</v>
      </c>
      <c r="E71" s="0" t="n">
        <f aca="false">SUM(C$2:C70)</f>
        <v>196</v>
      </c>
      <c r="F71" s="23" t="n">
        <v>0.764486064742743</v>
      </c>
      <c r="G71" s="24" t="n">
        <f aca="false">F71^2</f>
        <v>0.584438943185846</v>
      </c>
      <c r="H71" s="24" t="n">
        <f aca="false">G71-G70</f>
        <v>0.00445946079030002</v>
      </c>
      <c r="I71" s="8" t="n">
        <f aca="false">I69+1</f>
        <v>35</v>
      </c>
      <c r="J71" s="30"/>
    </row>
    <row r="72" customFormat="false" ht="15.75" hidden="false" customHeight="false" outlineLevel="0" collapsed="false">
      <c r="A72" s="8" t="n">
        <f aca="false">A71+1</f>
        <v>71</v>
      </c>
      <c r="B72" s="8" t="n">
        <v>8000</v>
      </c>
      <c r="C72" s="8" t="n">
        <v>10</v>
      </c>
      <c r="D72" s="0" t="n">
        <f aca="false">SUM(B$2:B71)</f>
        <v>198000</v>
      </c>
      <c r="E72" s="0" t="n">
        <f aca="false">SUM(C$2:C71)</f>
        <v>206</v>
      </c>
      <c r="F72" s="29" t="n">
        <v>0.76739717</v>
      </c>
      <c r="G72" s="24" t="n">
        <f aca="false">F72^2</f>
        <v>0.588898416524009</v>
      </c>
      <c r="H72" s="24" t="n">
        <f aca="false">G72-G71</f>
        <v>0.00445947333816321</v>
      </c>
      <c r="I72" s="8" t="n">
        <f aca="false">I70+1</f>
        <v>36</v>
      </c>
      <c r="J72" s="22"/>
      <c r="K72" s="26"/>
    </row>
    <row r="73" customFormat="false" ht="15.75" hidden="false" customHeight="false" outlineLevel="0" collapsed="false">
      <c r="A73" s="8" t="n">
        <f aca="false">A72+1</f>
        <v>72</v>
      </c>
      <c r="B73" s="8" t="n">
        <v>8000</v>
      </c>
      <c r="C73" s="8" t="n">
        <v>10</v>
      </c>
      <c r="D73" s="0" t="n">
        <f aca="false">SUM(B$2:B72)</f>
        <v>206000</v>
      </c>
      <c r="E73" s="0" t="n">
        <f aca="false">SUM(C$2:C72)</f>
        <v>216</v>
      </c>
      <c r="F73" s="23" t="n">
        <v>0.770297265550326</v>
      </c>
      <c r="G73" s="24" t="n">
        <f aca="false">F73^2</f>
        <v>0.593357877314309</v>
      </c>
      <c r="H73" s="24" t="n">
        <f aca="false">G73-G72</f>
        <v>0.00445946079030002</v>
      </c>
      <c r="I73" s="8" t="n">
        <f aca="false">I71+1</f>
        <v>36</v>
      </c>
      <c r="J73" s="30"/>
    </row>
    <row r="74" customFormat="false" ht="15.75" hidden="false" customHeight="false" outlineLevel="0" collapsed="false">
      <c r="A74" s="8" t="n">
        <f aca="false">A73+1</f>
        <v>73</v>
      </c>
      <c r="B74" s="8" t="n">
        <v>9000</v>
      </c>
      <c r="C74" s="8" t="n">
        <v>12</v>
      </c>
      <c r="D74" s="0" t="n">
        <f aca="false">SUM(B$2:B73)</f>
        <v>214000</v>
      </c>
      <c r="E74" s="0" t="n">
        <f aca="false">SUM(C$2:C73)</f>
        <v>226</v>
      </c>
      <c r="F74" s="29" t="n">
        <v>0.7731865</v>
      </c>
      <c r="G74" s="24" t="n">
        <f aca="false">F74^2</f>
        <v>0.59781736378225</v>
      </c>
      <c r="H74" s="24" t="n">
        <f aca="false">G74-G73</f>
        <v>0.00445948646794114</v>
      </c>
      <c r="I74" s="8" t="n">
        <f aca="false">I72+1</f>
        <v>37</v>
      </c>
      <c r="J74" s="22"/>
      <c r="K74" s="26"/>
    </row>
    <row r="75" customFormat="false" ht="15.75" hidden="false" customHeight="false" outlineLevel="0" collapsed="false">
      <c r="A75" s="8" t="n">
        <f aca="false">A74+1</f>
        <v>74</v>
      </c>
      <c r="B75" s="8" t="n">
        <v>9000</v>
      </c>
      <c r="C75" s="8" t="n">
        <v>12</v>
      </c>
      <c r="D75" s="0" t="n">
        <f aca="false">SUM(B$2:B74)</f>
        <v>223000</v>
      </c>
      <c r="E75" s="0" t="n">
        <f aca="false">SUM(C$2:C74)</f>
        <v>238</v>
      </c>
      <c r="F75" s="23" t="n">
        <v>0.776064961567361</v>
      </c>
      <c r="G75" s="24" t="n">
        <f aca="false">F75^2</f>
        <v>0.60227682457255</v>
      </c>
      <c r="H75" s="24" t="n">
        <f aca="false">G75-G74</f>
        <v>0.00445946079030002</v>
      </c>
      <c r="I75" s="8" t="n">
        <f aca="false">I73+1</f>
        <v>37</v>
      </c>
      <c r="J75" s="30"/>
    </row>
    <row r="76" customFormat="false" ht="15.75" hidden="false" customHeight="false" outlineLevel="0" collapsed="false">
      <c r="A76" s="8" t="n">
        <f aca="false">A75+1</f>
        <v>75</v>
      </c>
      <c r="B76" s="8" t="n">
        <v>9000</v>
      </c>
      <c r="C76" s="8" t="n">
        <v>12</v>
      </c>
      <c r="D76" s="0" t="n">
        <f aca="false">SUM(B$2:B75)</f>
        <v>232000</v>
      </c>
      <c r="E76" s="0" t="n">
        <f aca="false">SUM(C$2:C75)</f>
        <v>250</v>
      </c>
      <c r="F76" s="29" t="n">
        <v>0.77893275</v>
      </c>
      <c r="G76" s="24" t="n">
        <f aca="false">F76^2</f>
        <v>0.606736229022563</v>
      </c>
      <c r="H76" s="24" t="n">
        <f aca="false">G76-G75</f>
        <v>0.00445940445001258</v>
      </c>
      <c r="I76" s="8" t="n">
        <f aca="false">I74+1</f>
        <v>38</v>
      </c>
      <c r="J76" s="22"/>
      <c r="K76" s="26"/>
    </row>
    <row r="77" customFormat="false" ht="15.75" hidden="false" customHeight="false" outlineLevel="0" collapsed="false">
      <c r="A77" s="8" t="n">
        <f aca="false">A76+1</f>
        <v>76</v>
      </c>
      <c r="B77" s="8" t="n">
        <v>9000</v>
      </c>
      <c r="C77" s="8" t="n">
        <v>12</v>
      </c>
      <c r="D77" s="0" t="n">
        <f aca="false">SUM(B$2:B76)</f>
        <v>241000</v>
      </c>
      <c r="E77" s="0" t="n">
        <f aca="false">SUM(C$2:C76)</f>
        <v>262</v>
      </c>
      <c r="F77" s="23" t="n">
        <v>0.78179005481834</v>
      </c>
      <c r="G77" s="24" t="n">
        <f aca="false">F77^2</f>
        <v>0.611195689812862</v>
      </c>
      <c r="H77" s="24" t="n">
        <f aca="false">G77-G76</f>
        <v>0.0044594607902998</v>
      </c>
      <c r="I77" s="8" t="n">
        <f aca="false">I75+1</f>
        <v>38</v>
      </c>
      <c r="J77" s="30"/>
    </row>
    <row r="78" customFormat="false" ht="15.75" hidden="false" customHeight="false" outlineLevel="0" collapsed="false">
      <c r="A78" s="8" t="n">
        <f aca="false">A77+1</f>
        <v>77</v>
      </c>
      <c r="B78" s="8" t="n">
        <v>10000</v>
      </c>
      <c r="C78" s="8" t="n">
        <v>15</v>
      </c>
      <c r="D78" s="0" t="n">
        <f aca="false">SUM(B$2:B77)</f>
        <v>250000</v>
      </c>
      <c r="E78" s="0" t="n">
        <f aca="false">SUM(C$2:C77)</f>
        <v>274</v>
      </c>
      <c r="F78" s="29" t="n">
        <v>0.78463697</v>
      </c>
      <c r="G78" s="24" t="n">
        <f aca="false">F78^2</f>
        <v>0.615655174690781</v>
      </c>
      <c r="H78" s="24" t="n">
        <f aca="false">G78-G77</f>
        <v>0.00445948487791847</v>
      </c>
      <c r="I78" s="8" t="n">
        <f aca="false">I76+1</f>
        <v>39</v>
      </c>
      <c r="J78" s="22"/>
      <c r="K78" s="26"/>
    </row>
    <row r="79" customFormat="false" ht="15.75" hidden="false" customHeight="false" outlineLevel="0" collapsed="false">
      <c r="A79" s="8" t="n">
        <f aca="false">A78+1</f>
        <v>78</v>
      </c>
      <c r="B79" s="8" t="n">
        <v>10000</v>
      </c>
      <c r="C79" s="8" t="n">
        <v>15</v>
      </c>
      <c r="D79" s="0" t="n">
        <f aca="false">SUM(B$2:B78)</f>
        <v>260000</v>
      </c>
      <c r="E79" s="0" t="n">
        <f aca="false">SUM(C$2:C78)</f>
        <v>289</v>
      </c>
      <c r="F79" s="23" t="n">
        <v>0.787473577639962</v>
      </c>
      <c r="G79" s="24" t="n">
        <f aca="false">F79^2</f>
        <v>0.620114635481081</v>
      </c>
      <c r="H79" s="24" t="n">
        <f aca="false">G79-G78</f>
        <v>0.00445946079029991</v>
      </c>
      <c r="I79" s="8" t="n">
        <f aca="false">I77+1</f>
        <v>39</v>
      </c>
      <c r="J79" s="30"/>
    </row>
    <row r="80" customFormat="false" ht="15.75" hidden="false" customHeight="false" outlineLevel="0" collapsed="false">
      <c r="A80" s="8" t="n">
        <f aca="false">A79+1</f>
        <v>79</v>
      </c>
      <c r="B80" s="8" t="n">
        <v>10000</v>
      </c>
      <c r="C80" s="8" t="n">
        <v>15</v>
      </c>
      <c r="D80" s="0" t="n">
        <f aca="false">SUM(B$2:B79)</f>
        <v>270000</v>
      </c>
      <c r="E80" s="0" t="n">
        <f aca="false">SUM(C$2:C79)</f>
        <v>304</v>
      </c>
      <c r="F80" s="29" t="n">
        <v>0.79030001</v>
      </c>
      <c r="G80" s="24" t="n">
        <f aca="false">F80^2</f>
        <v>0.624574105806</v>
      </c>
      <c r="H80" s="24" t="n">
        <f aca="false">G80-G79</f>
        <v>0.00445947032491933</v>
      </c>
      <c r="I80" s="8" t="n">
        <f aca="false">I78+1</f>
        <v>40</v>
      </c>
      <c r="J80" s="22" t="s">
        <v>184</v>
      </c>
      <c r="K80" s="26"/>
    </row>
    <row r="81" customFormat="false" ht="15.75" hidden="false" customHeight="false" outlineLevel="0" collapsed="false">
      <c r="A81" s="8" t="n">
        <f aca="false">A80+1</f>
        <v>80</v>
      </c>
      <c r="B81" s="8" t="n">
        <v>10000</v>
      </c>
      <c r="C81" s="8" t="n">
        <v>15</v>
      </c>
      <c r="D81" s="0" t="n">
        <f aca="false">SUM(B$2:B80)</f>
        <v>280000</v>
      </c>
      <c r="E81" s="0" t="n">
        <f aca="false">SUM(C$2:C80)</f>
        <v>319</v>
      </c>
      <c r="F81" s="24" t="n">
        <v>0.793116384901989</v>
      </c>
      <c r="G81" s="0" t="n">
        <f aca="false">F81^2</f>
        <v>0.6290336</v>
      </c>
      <c r="H81" s="24" t="n">
        <f aca="false">G81-G80</f>
        <v>0.00445949419399994</v>
      </c>
      <c r="I81" s="8" t="n">
        <f aca="false">I79+1</f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1" t="s">
        <v>185</v>
      </c>
      <c r="B1" s="31" t="s">
        <v>1</v>
      </c>
      <c r="C1" s="31" t="s">
        <v>186</v>
      </c>
      <c r="D1" s="31" t="s">
        <v>187</v>
      </c>
      <c r="E1" s="31" t="s">
        <v>188</v>
      </c>
      <c r="F1" s="31"/>
      <c r="G1" s="31"/>
      <c r="H1" s="31"/>
      <c r="I1" s="31"/>
      <c r="J1" s="31"/>
      <c r="K1" s="8"/>
      <c r="L1" s="8"/>
      <c r="M1" s="8"/>
      <c r="N1" s="8"/>
    </row>
    <row r="2" customFormat="false" ht="15.75" hidden="false" customHeight="false" outlineLevel="0" collapsed="false">
      <c r="A2" s="10" t="n">
        <v>1</v>
      </c>
      <c r="B2" s="31" t="s">
        <v>20</v>
      </c>
      <c r="C2" s="10" t="n">
        <v>90</v>
      </c>
      <c r="D2" s="10" t="n">
        <v>126</v>
      </c>
      <c r="E2" s="10" t="n">
        <v>126</v>
      </c>
      <c r="F2" s="10"/>
      <c r="G2" s="10"/>
      <c r="H2" s="10"/>
      <c r="I2" s="10"/>
      <c r="J2" s="10"/>
      <c r="K2" s="10"/>
      <c r="L2" s="8"/>
      <c r="M2" s="8"/>
      <c r="N2" s="8"/>
    </row>
    <row r="3" customFormat="false" ht="15.75" hidden="false" customHeight="false" outlineLevel="0" collapsed="false">
      <c r="A3" s="10" t="n">
        <v>2</v>
      </c>
      <c r="B3" s="31" t="s">
        <v>21</v>
      </c>
      <c r="C3" s="10" t="n">
        <v>120</v>
      </c>
      <c r="D3" s="10" t="n">
        <v>156</v>
      </c>
      <c r="E3" s="10" t="n">
        <v>158</v>
      </c>
      <c r="F3" s="10"/>
      <c r="G3" s="10"/>
      <c r="H3" s="10"/>
      <c r="I3" s="10"/>
      <c r="J3" s="10"/>
      <c r="K3" s="10"/>
      <c r="L3" s="8"/>
      <c r="M3" s="8"/>
      <c r="N3" s="8"/>
    </row>
    <row r="4" customFormat="false" ht="15.75" hidden="false" customHeight="false" outlineLevel="0" collapsed="false">
      <c r="A4" s="10" t="n">
        <v>3</v>
      </c>
      <c r="B4" s="31" t="s">
        <v>22</v>
      </c>
      <c r="C4" s="10" t="n">
        <v>160</v>
      </c>
      <c r="D4" s="10" t="n">
        <v>198</v>
      </c>
      <c r="E4" s="10" t="n">
        <v>200</v>
      </c>
      <c r="F4" s="10"/>
      <c r="G4" s="10"/>
      <c r="H4" s="10"/>
      <c r="I4" s="10"/>
      <c r="J4" s="10"/>
      <c r="K4" s="10"/>
      <c r="L4" s="8"/>
      <c r="M4" s="8"/>
      <c r="N4" s="8"/>
    </row>
    <row r="5" customFormat="false" ht="15.75" hidden="false" customHeight="false" outlineLevel="0" collapsed="false">
      <c r="A5" s="10" t="n">
        <v>4</v>
      </c>
      <c r="B5" s="31" t="s">
        <v>23</v>
      </c>
      <c r="C5" s="10" t="n">
        <v>78</v>
      </c>
      <c r="D5" s="10" t="n">
        <v>128</v>
      </c>
      <c r="E5" s="10" t="n">
        <v>108</v>
      </c>
      <c r="F5" s="10"/>
      <c r="G5" s="10"/>
      <c r="H5" s="10"/>
      <c r="I5" s="10"/>
      <c r="J5" s="10"/>
      <c r="K5" s="10"/>
      <c r="L5" s="8"/>
      <c r="M5" s="8"/>
      <c r="N5" s="8"/>
    </row>
    <row r="6" customFormat="false" ht="15.75" hidden="false" customHeight="false" outlineLevel="0" collapsed="false">
      <c r="A6" s="10" t="n">
        <v>5</v>
      </c>
      <c r="B6" s="31" t="s">
        <v>24</v>
      </c>
      <c r="C6" s="10" t="n">
        <v>116</v>
      </c>
      <c r="D6" s="10" t="n">
        <v>160</v>
      </c>
      <c r="E6" s="10" t="n">
        <v>140</v>
      </c>
      <c r="F6" s="10"/>
      <c r="G6" s="10"/>
      <c r="H6" s="10"/>
      <c r="I6" s="10"/>
      <c r="J6" s="10"/>
      <c r="K6" s="10"/>
      <c r="L6" s="8"/>
      <c r="M6" s="8"/>
      <c r="N6" s="8"/>
    </row>
    <row r="7" customFormat="false" ht="15.75" hidden="false" customHeight="false" outlineLevel="0" collapsed="false">
      <c r="A7" s="10" t="n">
        <v>6</v>
      </c>
      <c r="B7" s="31" t="s">
        <v>25</v>
      </c>
      <c r="C7" s="10" t="n">
        <v>156</v>
      </c>
      <c r="D7" s="10" t="n">
        <v>212</v>
      </c>
      <c r="E7" s="10" t="n">
        <v>182</v>
      </c>
      <c r="F7" s="10"/>
      <c r="G7" s="10"/>
      <c r="H7" s="10"/>
      <c r="I7" s="10"/>
      <c r="J7" s="10"/>
      <c r="K7" s="10"/>
      <c r="L7" s="8"/>
      <c r="M7" s="8"/>
      <c r="N7" s="8"/>
    </row>
    <row r="8" customFormat="false" ht="15.75" hidden="false" customHeight="false" outlineLevel="0" collapsed="false">
      <c r="A8" s="10" t="n">
        <v>7</v>
      </c>
      <c r="B8" s="31" t="s">
        <v>26</v>
      </c>
      <c r="C8" s="10" t="n">
        <v>88</v>
      </c>
      <c r="D8" s="10" t="n">
        <v>112</v>
      </c>
      <c r="E8" s="10" t="n">
        <v>142</v>
      </c>
      <c r="F8" s="10"/>
      <c r="G8" s="10"/>
      <c r="H8" s="10"/>
      <c r="I8" s="10"/>
      <c r="J8" s="10"/>
      <c r="K8" s="10"/>
      <c r="L8" s="8"/>
      <c r="M8" s="8"/>
      <c r="N8" s="8"/>
    </row>
    <row r="9" customFormat="false" ht="15.75" hidden="false" customHeight="false" outlineLevel="0" collapsed="false">
      <c r="A9" s="10" t="n">
        <v>8</v>
      </c>
      <c r="B9" s="31" t="s">
        <v>27</v>
      </c>
      <c r="C9" s="10" t="n">
        <v>118</v>
      </c>
      <c r="D9" s="10" t="n">
        <v>144</v>
      </c>
      <c r="E9" s="10" t="n">
        <v>176</v>
      </c>
      <c r="F9" s="10"/>
      <c r="G9" s="10"/>
      <c r="H9" s="10"/>
      <c r="I9" s="10"/>
      <c r="J9" s="10"/>
      <c r="K9" s="10"/>
      <c r="L9" s="8"/>
      <c r="M9" s="8"/>
      <c r="N9" s="8"/>
    </row>
    <row r="10" customFormat="false" ht="15.75" hidden="false" customHeight="false" outlineLevel="0" collapsed="false">
      <c r="A10" s="10" t="n">
        <v>9</v>
      </c>
      <c r="B10" s="31" t="s">
        <v>28</v>
      </c>
      <c r="C10" s="10" t="n">
        <v>158</v>
      </c>
      <c r="D10" s="10" t="n">
        <v>186</v>
      </c>
      <c r="E10" s="10" t="n">
        <v>222</v>
      </c>
      <c r="F10" s="10"/>
      <c r="G10" s="10"/>
      <c r="H10" s="10"/>
      <c r="I10" s="10"/>
      <c r="J10" s="10"/>
      <c r="K10" s="10"/>
      <c r="L10" s="8"/>
      <c r="M10" s="8"/>
      <c r="N10" s="8"/>
    </row>
    <row r="11" customFormat="false" ht="15.75" hidden="false" customHeight="false" outlineLevel="0" collapsed="false">
      <c r="A11" s="10" t="n">
        <v>10</v>
      </c>
      <c r="B11" s="31" t="s">
        <v>29</v>
      </c>
      <c r="C11" s="10" t="n">
        <v>90</v>
      </c>
      <c r="D11" s="10" t="n">
        <v>62</v>
      </c>
      <c r="E11" s="10" t="n">
        <v>66</v>
      </c>
      <c r="F11" s="10"/>
      <c r="G11" s="10"/>
      <c r="H11" s="10"/>
      <c r="I11" s="10"/>
      <c r="J11" s="10"/>
      <c r="K11" s="10"/>
      <c r="L11" s="8"/>
      <c r="M11" s="8"/>
      <c r="N11" s="8"/>
    </row>
    <row r="12" customFormat="false" ht="15.75" hidden="false" customHeight="false" outlineLevel="0" collapsed="false">
      <c r="A12" s="10" t="n">
        <v>11</v>
      </c>
      <c r="B12" s="31" t="s">
        <v>30</v>
      </c>
      <c r="C12" s="10" t="n">
        <v>100</v>
      </c>
      <c r="D12" s="10" t="n">
        <v>56</v>
      </c>
      <c r="E12" s="10" t="n">
        <v>86</v>
      </c>
      <c r="F12" s="10"/>
      <c r="G12" s="10"/>
      <c r="H12" s="10"/>
      <c r="I12" s="10"/>
      <c r="J12" s="10"/>
      <c r="K12" s="10"/>
      <c r="L12" s="8"/>
      <c r="M12" s="8"/>
      <c r="N12" s="8"/>
    </row>
    <row r="13" customFormat="false" ht="15.75" hidden="false" customHeight="false" outlineLevel="0" collapsed="false">
      <c r="A13" s="10" t="n">
        <v>12</v>
      </c>
      <c r="B13" s="31" t="s">
        <v>31</v>
      </c>
      <c r="C13" s="10" t="n">
        <v>120</v>
      </c>
      <c r="D13" s="10" t="n">
        <v>144</v>
      </c>
      <c r="E13" s="10" t="n">
        <v>144</v>
      </c>
      <c r="F13" s="10"/>
      <c r="G13" s="10"/>
      <c r="H13" s="10"/>
      <c r="I13" s="10"/>
      <c r="J13" s="10"/>
      <c r="K13" s="10"/>
      <c r="L13" s="8"/>
      <c r="M13" s="8"/>
      <c r="N13" s="8"/>
    </row>
    <row r="14" customFormat="false" ht="15.75" hidden="false" customHeight="false" outlineLevel="0" collapsed="false">
      <c r="A14" s="10" t="n">
        <v>13</v>
      </c>
      <c r="B14" s="31" t="s">
        <v>32</v>
      </c>
      <c r="C14" s="10" t="n">
        <v>80</v>
      </c>
      <c r="D14" s="10" t="n">
        <v>68</v>
      </c>
      <c r="E14" s="10" t="n">
        <v>64</v>
      </c>
      <c r="F14" s="10"/>
      <c r="G14" s="10"/>
      <c r="H14" s="10"/>
      <c r="I14" s="10"/>
      <c r="J14" s="10"/>
      <c r="K14" s="10"/>
      <c r="L14" s="8"/>
      <c r="M14" s="8"/>
      <c r="N14" s="8"/>
    </row>
    <row r="15" customFormat="false" ht="15.75" hidden="false" customHeight="false" outlineLevel="0" collapsed="false">
      <c r="A15" s="10" t="n">
        <v>14</v>
      </c>
      <c r="B15" s="31" t="s">
        <v>33</v>
      </c>
      <c r="C15" s="10" t="n">
        <v>90</v>
      </c>
      <c r="D15" s="10" t="n">
        <v>62</v>
      </c>
      <c r="E15" s="10" t="n">
        <v>82</v>
      </c>
      <c r="F15" s="10"/>
      <c r="G15" s="10"/>
      <c r="H15" s="10"/>
      <c r="I15" s="10"/>
      <c r="J15" s="10"/>
      <c r="K15" s="10"/>
      <c r="L15" s="8"/>
      <c r="M15" s="8"/>
      <c r="N15" s="8"/>
    </row>
    <row r="16" customFormat="false" ht="15.75" hidden="false" customHeight="false" outlineLevel="0" collapsed="false">
      <c r="A16" s="10" t="n">
        <v>15</v>
      </c>
      <c r="B16" s="31" t="s">
        <v>34</v>
      </c>
      <c r="C16" s="10" t="n">
        <v>130</v>
      </c>
      <c r="D16" s="10" t="n">
        <v>144</v>
      </c>
      <c r="E16" s="10" t="n">
        <v>130</v>
      </c>
      <c r="F16" s="10"/>
      <c r="G16" s="10"/>
      <c r="H16" s="10"/>
      <c r="I16" s="10"/>
      <c r="J16" s="10"/>
      <c r="K16" s="10"/>
      <c r="L16" s="8"/>
      <c r="M16" s="8"/>
      <c r="N16" s="8"/>
    </row>
    <row r="17" customFormat="false" ht="15.75" hidden="false" customHeight="false" outlineLevel="0" collapsed="false">
      <c r="A17" s="10" t="n">
        <v>16</v>
      </c>
      <c r="B17" s="31" t="s">
        <v>35</v>
      </c>
      <c r="C17" s="10" t="n">
        <v>80</v>
      </c>
      <c r="D17" s="10" t="n">
        <v>94</v>
      </c>
      <c r="E17" s="10" t="n">
        <v>90</v>
      </c>
      <c r="F17" s="10"/>
      <c r="G17" s="10"/>
      <c r="H17" s="10"/>
      <c r="I17" s="10"/>
      <c r="J17" s="10"/>
      <c r="K17" s="10"/>
      <c r="L17" s="8"/>
      <c r="M17" s="8"/>
      <c r="N17" s="8"/>
    </row>
    <row r="18" customFormat="false" ht="15.75" hidden="false" customHeight="false" outlineLevel="0" collapsed="false">
      <c r="A18" s="10" t="n">
        <v>17</v>
      </c>
      <c r="B18" s="31" t="s">
        <v>36</v>
      </c>
      <c r="C18" s="10" t="n">
        <v>126</v>
      </c>
      <c r="D18" s="10" t="n">
        <v>126</v>
      </c>
      <c r="E18" s="10" t="n">
        <v>122</v>
      </c>
      <c r="F18" s="10"/>
      <c r="G18" s="10"/>
      <c r="H18" s="10"/>
      <c r="I18" s="10"/>
      <c r="J18" s="10"/>
      <c r="K18" s="10"/>
      <c r="L18" s="8"/>
      <c r="M18" s="8"/>
      <c r="N18" s="8"/>
    </row>
    <row r="19" customFormat="false" ht="15.75" hidden="false" customHeight="false" outlineLevel="0" collapsed="false">
      <c r="A19" s="10" t="n">
        <v>18</v>
      </c>
      <c r="B19" s="31" t="s">
        <v>37</v>
      </c>
      <c r="C19" s="10" t="n">
        <v>166</v>
      </c>
      <c r="D19" s="10" t="n">
        <v>170</v>
      </c>
      <c r="E19" s="10" t="n">
        <v>166</v>
      </c>
      <c r="F19" s="10"/>
      <c r="G19" s="10"/>
      <c r="H19" s="10"/>
      <c r="I19" s="10"/>
      <c r="J19" s="10"/>
      <c r="K19" s="10"/>
      <c r="L19" s="8"/>
      <c r="M19" s="8"/>
      <c r="N19" s="8"/>
    </row>
    <row r="20" customFormat="false" ht="15.75" hidden="false" customHeight="false" outlineLevel="0" collapsed="false">
      <c r="A20" s="10" t="n">
        <v>19</v>
      </c>
      <c r="B20" s="31" t="s">
        <v>38</v>
      </c>
      <c r="C20" s="10" t="n">
        <v>60</v>
      </c>
      <c r="D20" s="10" t="n">
        <v>92</v>
      </c>
      <c r="E20" s="10" t="n">
        <v>86</v>
      </c>
      <c r="F20" s="10"/>
      <c r="G20" s="10"/>
      <c r="H20" s="10"/>
      <c r="I20" s="10"/>
      <c r="J20" s="10"/>
      <c r="K20" s="10"/>
      <c r="L20" s="8"/>
      <c r="M20" s="8"/>
      <c r="N20" s="8"/>
    </row>
    <row r="21" customFormat="false" ht="15.75" hidden="false" customHeight="false" outlineLevel="0" collapsed="false">
      <c r="A21" s="10" t="n">
        <v>20</v>
      </c>
      <c r="B21" s="31" t="s">
        <v>39</v>
      </c>
      <c r="C21" s="10" t="n">
        <v>110</v>
      </c>
      <c r="D21" s="10" t="n">
        <v>146</v>
      </c>
      <c r="E21" s="10" t="n">
        <v>150</v>
      </c>
      <c r="F21" s="10"/>
      <c r="G21" s="10"/>
      <c r="H21" s="10"/>
      <c r="I21" s="10"/>
      <c r="J21" s="10"/>
      <c r="K21" s="10"/>
      <c r="L21" s="8"/>
      <c r="M21" s="8"/>
      <c r="N21" s="8"/>
    </row>
    <row r="22" customFormat="false" ht="15.75" hidden="false" customHeight="false" outlineLevel="0" collapsed="false">
      <c r="A22" s="10" t="n">
        <v>21</v>
      </c>
      <c r="B22" s="31" t="s">
        <v>40</v>
      </c>
      <c r="C22" s="10" t="n">
        <v>80</v>
      </c>
      <c r="D22" s="10" t="n">
        <v>102</v>
      </c>
      <c r="E22" s="10" t="n">
        <v>78</v>
      </c>
      <c r="F22" s="10"/>
      <c r="G22" s="10"/>
      <c r="H22" s="10"/>
      <c r="I22" s="10"/>
      <c r="J22" s="10"/>
      <c r="K22" s="10"/>
      <c r="L22" s="8"/>
      <c r="M22" s="8"/>
      <c r="N22" s="8"/>
    </row>
    <row r="23" customFormat="false" ht="15.75" hidden="false" customHeight="false" outlineLevel="0" collapsed="false">
      <c r="A23" s="10" t="n">
        <v>22</v>
      </c>
      <c r="B23" s="31" t="s">
        <v>41</v>
      </c>
      <c r="C23" s="10" t="n">
        <v>130</v>
      </c>
      <c r="D23" s="10" t="n">
        <v>168</v>
      </c>
      <c r="E23" s="10" t="n">
        <v>146</v>
      </c>
      <c r="F23" s="10"/>
      <c r="G23" s="10"/>
      <c r="H23" s="10"/>
      <c r="I23" s="10"/>
      <c r="J23" s="10"/>
      <c r="K23" s="10"/>
      <c r="L23" s="8"/>
      <c r="M23" s="8"/>
      <c r="N23" s="8"/>
    </row>
    <row r="24" customFormat="false" ht="15.75" hidden="false" customHeight="false" outlineLevel="0" collapsed="false">
      <c r="A24" s="10" t="n">
        <v>23</v>
      </c>
      <c r="B24" s="31" t="s">
        <v>42</v>
      </c>
      <c r="C24" s="10" t="n">
        <v>70</v>
      </c>
      <c r="D24" s="10" t="n">
        <v>112</v>
      </c>
      <c r="E24" s="10" t="n">
        <v>112</v>
      </c>
      <c r="F24" s="10"/>
      <c r="G24" s="10"/>
      <c r="H24" s="10"/>
      <c r="I24" s="10"/>
      <c r="J24" s="10"/>
      <c r="K24" s="10"/>
      <c r="L24" s="8"/>
      <c r="M24" s="8"/>
      <c r="N24" s="8"/>
    </row>
    <row r="25" customFormat="false" ht="15.75" hidden="false" customHeight="false" outlineLevel="0" collapsed="false">
      <c r="A25" s="10" t="n">
        <v>24</v>
      </c>
      <c r="B25" s="31" t="s">
        <v>43</v>
      </c>
      <c r="C25" s="10" t="n">
        <v>120</v>
      </c>
      <c r="D25" s="10" t="n">
        <v>166</v>
      </c>
      <c r="E25" s="10" t="n">
        <v>166</v>
      </c>
      <c r="F25" s="10"/>
      <c r="G25" s="10"/>
      <c r="H25" s="10"/>
      <c r="I25" s="10"/>
      <c r="J25" s="10"/>
      <c r="K25" s="10"/>
      <c r="L25" s="8"/>
      <c r="M25" s="8"/>
      <c r="N25" s="8"/>
    </row>
    <row r="26" customFormat="false" ht="15.75" hidden="false" customHeight="false" outlineLevel="0" collapsed="false">
      <c r="A26" s="10" t="n">
        <v>25</v>
      </c>
      <c r="B26" s="31" t="s">
        <v>44</v>
      </c>
      <c r="C26" s="10" t="n">
        <v>70</v>
      </c>
      <c r="D26" s="10" t="n">
        <v>124</v>
      </c>
      <c r="E26" s="10" t="n">
        <v>108</v>
      </c>
      <c r="F26" s="10"/>
      <c r="G26" s="10"/>
      <c r="H26" s="10"/>
      <c r="I26" s="10"/>
      <c r="J26" s="10"/>
      <c r="K26" s="10"/>
      <c r="L26" s="8"/>
      <c r="M26" s="8"/>
      <c r="N26" s="8"/>
    </row>
    <row r="27" customFormat="false" ht="15.75" hidden="false" customHeight="false" outlineLevel="0" collapsed="false">
      <c r="A27" s="10" t="n">
        <v>26</v>
      </c>
      <c r="B27" s="31" t="s">
        <v>45</v>
      </c>
      <c r="C27" s="10" t="n">
        <v>120</v>
      </c>
      <c r="D27" s="10" t="n">
        <v>200</v>
      </c>
      <c r="E27" s="10" t="n">
        <v>154</v>
      </c>
      <c r="F27" s="10"/>
      <c r="G27" s="10"/>
      <c r="H27" s="10"/>
      <c r="I27" s="10"/>
      <c r="J27" s="10"/>
      <c r="K27" s="10"/>
      <c r="L27" s="8"/>
      <c r="M27" s="8"/>
      <c r="N27" s="8"/>
    </row>
    <row r="28" customFormat="false" ht="15.75" hidden="false" customHeight="false" outlineLevel="0" collapsed="false">
      <c r="A28" s="10" t="n">
        <v>27</v>
      </c>
      <c r="B28" s="31" t="s">
        <v>46</v>
      </c>
      <c r="C28" s="10" t="n">
        <v>100</v>
      </c>
      <c r="D28" s="10" t="n">
        <v>90</v>
      </c>
      <c r="E28" s="10" t="n">
        <v>114</v>
      </c>
      <c r="F28" s="10"/>
      <c r="G28" s="10"/>
      <c r="H28" s="10"/>
      <c r="I28" s="10"/>
      <c r="J28" s="10"/>
      <c r="K28" s="10"/>
      <c r="L28" s="8"/>
      <c r="M28" s="8"/>
      <c r="N28" s="8"/>
    </row>
    <row r="29" customFormat="false" ht="15.75" hidden="false" customHeight="false" outlineLevel="0" collapsed="false">
      <c r="A29" s="10" t="n">
        <v>28</v>
      </c>
      <c r="B29" s="31" t="s">
        <v>47</v>
      </c>
      <c r="C29" s="10" t="n">
        <v>150</v>
      </c>
      <c r="D29" s="10" t="n">
        <v>150</v>
      </c>
      <c r="E29" s="10" t="n">
        <v>172</v>
      </c>
      <c r="F29" s="10"/>
      <c r="G29" s="10"/>
      <c r="H29" s="10"/>
      <c r="I29" s="10"/>
      <c r="J29" s="10"/>
      <c r="K29" s="10"/>
      <c r="L29" s="8"/>
      <c r="M29" s="8"/>
      <c r="N29" s="8"/>
    </row>
    <row r="30" customFormat="false" ht="15.75" hidden="false" customHeight="false" outlineLevel="0" collapsed="false">
      <c r="A30" s="10" t="n">
        <v>29</v>
      </c>
      <c r="B30" s="31" t="s">
        <v>48</v>
      </c>
      <c r="C30" s="10" t="n">
        <v>110</v>
      </c>
      <c r="D30" s="10" t="n">
        <v>100</v>
      </c>
      <c r="E30" s="10" t="n">
        <v>104</v>
      </c>
      <c r="F30" s="10"/>
      <c r="G30" s="10"/>
      <c r="H30" s="10"/>
      <c r="I30" s="10"/>
      <c r="J30" s="10"/>
      <c r="K30" s="10"/>
      <c r="L30" s="8"/>
      <c r="M30" s="8"/>
      <c r="N30" s="8"/>
    </row>
    <row r="31" customFormat="false" ht="15.75" hidden="false" customHeight="false" outlineLevel="0" collapsed="false">
      <c r="A31" s="10" t="n">
        <v>30</v>
      </c>
      <c r="B31" s="31" t="s">
        <v>49</v>
      </c>
      <c r="C31" s="10" t="n">
        <v>140</v>
      </c>
      <c r="D31" s="10" t="n">
        <v>132</v>
      </c>
      <c r="E31" s="10" t="n">
        <v>136</v>
      </c>
      <c r="F31" s="10"/>
      <c r="G31" s="10"/>
      <c r="H31" s="10"/>
      <c r="I31" s="10"/>
      <c r="J31" s="10"/>
      <c r="K31" s="10"/>
      <c r="L31" s="8"/>
      <c r="M31" s="8"/>
      <c r="N31" s="8"/>
    </row>
    <row r="32" customFormat="false" ht="15.75" hidden="false" customHeight="false" outlineLevel="0" collapsed="false">
      <c r="A32" s="10" t="n">
        <v>31</v>
      </c>
      <c r="B32" s="31" t="s">
        <v>50</v>
      </c>
      <c r="C32" s="10" t="n">
        <v>180</v>
      </c>
      <c r="D32" s="10" t="n">
        <v>184</v>
      </c>
      <c r="E32" s="10" t="n">
        <v>190</v>
      </c>
      <c r="F32" s="10"/>
      <c r="G32" s="10"/>
      <c r="H32" s="10"/>
      <c r="I32" s="10"/>
      <c r="J32" s="10"/>
      <c r="K32" s="10"/>
      <c r="L32" s="8"/>
      <c r="M32" s="8"/>
      <c r="N32" s="8"/>
    </row>
    <row r="33" customFormat="false" ht="15.75" hidden="false" customHeight="false" outlineLevel="0" collapsed="false">
      <c r="A33" s="10" t="n">
        <v>32</v>
      </c>
      <c r="B33" s="31" t="s">
        <v>51</v>
      </c>
      <c r="C33" s="10" t="n">
        <v>92</v>
      </c>
      <c r="D33" s="10" t="n">
        <v>110</v>
      </c>
      <c r="E33" s="10" t="n">
        <v>94</v>
      </c>
      <c r="F33" s="10"/>
      <c r="G33" s="10"/>
      <c r="H33" s="10"/>
      <c r="I33" s="10"/>
      <c r="J33" s="10"/>
      <c r="K33" s="10"/>
      <c r="L33" s="8"/>
      <c r="M33" s="8"/>
      <c r="N33" s="8"/>
    </row>
    <row r="34" customFormat="false" ht="15.75" hidden="false" customHeight="false" outlineLevel="0" collapsed="false">
      <c r="A34" s="10" t="n">
        <v>33</v>
      </c>
      <c r="B34" s="31" t="s">
        <v>52</v>
      </c>
      <c r="C34" s="10" t="n">
        <v>122</v>
      </c>
      <c r="D34" s="10" t="n">
        <v>142</v>
      </c>
      <c r="E34" s="10" t="n">
        <v>128</v>
      </c>
      <c r="F34" s="10"/>
      <c r="G34" s="10"/>
      <c r="H34" s="10"/>
      <c r="I34" s="10"/>
      <c r="J34" s="10"/>
      <c r="K34" s="10"/>
      <c r="L34" s="8"/>
      <c r="M34" s="8"/>
      <c r="N34" s="8"/>
    </row>
    <row r="35" customFormat="false" ht="15.75" hidden="false" customHeight="false" outlineLevel="0" collapsed="false">
      <c r="A35" s="10" t="n">
        <v>34</v>
      </c>
      <c r="B35" s="31" t="s">
        <v>53</v>
      </c>
      <c r="C35" s="10" t="n">
        <v>162</v>
      </c>
      <c r="D35" s="10" t="n">
        <v>204</v>
      </c>
      <c r="E35" s="10" t="n">
        <v>170</v>
      </c>
      <c r="F35" s="10"/>
      <c r="G35" s="10"/>
      <c r="H35" s="10"/>
      <c r="I35" s="10"/>
      <c r="J35" s="10"/>
      <c r="K35" s="10"/>
      <c r="L35" s="8"/>
      <c r="M35" s="8"/>
      <c r="N35" s="8"/>
    </row>
    <row r="36" customFormat="false" ht="15.75" hidden="false" customHeight="false" outlineLevel="0" collapsed="false">
      <c r="A36" s="10" t="n">
        <v>35</v>
      </c>
      <c r="B36" s="31" t="s">
        <v>54</v>
      </c>
      <c r="C36" s="10" t="n">
        <v>140</v>
      </c>
      <c r="D36" s="10" t="n">
        <v>116</v>
      </c>
      <c r="E36" s="10" t="n">
        <v>124</v>
      </c>
      <c r="F36" s="10"/>
      <c r="G36" s="10"/>
      <c r="H36" s="10"/>
      <c r="I36" s="10"/>
      <c r="J36" s="10"/>
      <c r="K36" s="10"/>
      <c r="L36" s="8"/>
      <c r="M36" s="8"/>
      <c r="N36" s="8"/>
    </row>
    <row r="37" customFormat="false" ht="15.75" hidden="false" customHeight="false" outlineLevel="0" collapsed="false">
      <c r="A37" s="10" t="n">
        <v>36</v>
      </c>
      <c r="B37" s="31" t="s">
        <v>55</v>
      </c>
      <c r="C37" s="10" t="n">
        <v>190</v>
      </c>
      <c r="D37" s="10" t="n">
        <v>178</v>
      </c>
      <c r="E37" s="10" t="n">
        <v>178</v>
      </c>
      <c r="F37" s="10"/>
      <c r="G37" s="10"/>
      <c r="H37" s="10"/>
      <c r="I37" s="10"/>
      <c r="J37" s="10"/>
      <c r="K37" s="10"/>
      <c r="L37" s="8"/>
      <c r="M37" s="8"/>
      <c r="N37" s="8"/>
    </row>
    <row r="38" customFormat="false" ht="15.75" hidden="false" customHeight="false" outlineLevel="0" collapsed="false">
      <c r="A38" s="10" t="n">
        <v>37</v>
      </c>
      <c r="B38" s="31" t="s">
        <v>56</v>
      </c>
      <c r="C38" s="10" t="n">
        <v>76</v>
      </c>
      <c r="D38" s="10" t="n">
        <v>106</v>
      </c>
      <c r="E38" s="10" t="n">
        <v>118</v>
      </c>
      <c r="F38" s="10"/>
      <c r="G38" s="10"/>
      <c r="H38" s="10"/>
      <c r="I38" s="10"/>
      <c r="J38" s="10"/>
      <c r="K38" s="10"/>
      <c r="L38" s="8"/>
      <c r="M38" s="8"/>
      <c r="N38" s="8"/>
    </row>
    <row r="39" customFormat="false" ht="15.75" hidden="false" customHeight="false" outlineLevel="0" collapsed="false">
      <c r="A39" s="10" t="n">
        <v>38</v>
      </c>
      <c r="B39" s="31" t="s">
        <v>57</v>
      </c>
      <c r="C39" s="10" t="n">
        <v>146</v>
      </c>
      <c r="D39" s="10" t="n">
        <v>176</v>
      </c>
      <c r="E39" s="10" t="n">
        <v>194</v>
      </c>
      <c r="F39" s="10"/>
      <c r="G39" s="10"/>
      <c r="H39" s="10"/>
      <c r="I39" s="10"/>
      <c r="J39" s="10"/>
      <c r="K39" s="10"/>
      <c r="L39" s="8"/>
      <c r="M39" s="8"/>
      <c r="N39" s="8"/>
    </row>
    <row r="40" customFormat="false" ht="15.75" hidden="false" customHeight="false" outlineLevel="0" collapsed="false">
      <c r="A40" s="10" t="n">
        <v>39</v>
      </c>
      <c r="B40" s="31" t="s">
        <v>58</v>
      </c>
      <c r="C40" s="10" t="n">
        <v>230</v>
      </c>
      <c r="D40" s="10" t="n">
        <v>98</v>
      </c>
      <c r="E40" s="10" t="n">
        <v>54</v>
      </c>
      <c r="F40" s="10"/>
      <c r="G40" s="10"/>
      <c r="H40" s="10"/>
      <c r="I40" s="10"/>
      <c r="J40" s="10"/>
      <c r="K40" s="10"/>
      <c r="L40" s="8"/>
      <c r="M40" s="8"/>
      <c r="N40" s="8"/>
    </row>
    <row r="41" customFormat="false" ht="15.75" hidden="false" customHeight="false" outlineLevel="0" collapsed="false">
      <c r="A41" s="10" t="n">
        <v>40</v>
      </c>
      <c r="B41" s="31" t="s">
        <v>59</v>
      </c>
      <c r="C41" s="10" t="n">
        <v>280</v>
      </c>
      <c r="D41" s="10" t="n">
        <v>168</v>
      </c>
      <c r="E41" s="10" t="n">
        <v>108</v>
      </c>
      <c r="F41" s="10"/>
      <c r="G41" s="10"/>
      <c r="H41" s="10"/>
      <c r="I41" s="10"/>
      <c r="J41" s="10"/>
      <c r="K41" s="10"/>
      <c r="L41" s="8"/>
      <c r="M41" s="8"/>
      <c r="N41" s="8"/>
    </row>
    <row r="42" customFormat="false" ht="15.75" hidden="false" customHeight="false" outlineLevel="0" collapsed="false">
      <c r="A42" s="10" t="n">
        <v>41</v>
      </c>
      <c r="B42" s="31" t="s">
        <v>60</v>
      </c>
      <c r="C42" s="10" t="n">
        <v>80</v>
      </c>
      <c r="D42" s="10" t="n">
        <v>88</v>
      </c>
      <c r="E42" s="10" t="n">
        <v>90</v>
      </c>
      <c r="F42" s="10"/>
      <c r="G42" s="10"/>
      <c r="H42" s="10"/>
      <c r="I42" s="10"/>
      <c r="J42" s="10"/>
      <c r="K42" s="10"/>
      <c r="L42" s="8"/>
      <c r="M42" s="8"/>
      <c r="N42" s="8"/>
    </row>
    <row r="43" customFormat="false" ht="15.75" hidden="false" customHeight="false" outlineLevel="0" collapsed="false">
      <c r="A43" s="10" t="n">
        <v>42</v>
      </c>
      <c r="B43" s="31" t="s">
        <v>61</v>
      </c>
      <c r="C43" s="10" t="n">
        <v>150</v>
      </c>
      <c r="D43" s="10" t="n">
        <v>164</v>
      </c>
      <c r="E43" s="10" t="n">
        <v>164</v>
      </c>
      <c r="F43" s="10"/>
      <c r="G43" s="10"/>
      <c r="H43" s="10"/>
      <c r="I43" s="10"/>
      <c r="J43" s="10"/>
      <c r="K43" s="10"/>
      <c r="L43" s="8"/>
      <c r="M43" s="8"/>
      <c r="N43" s="8"/>
    </row>
    <row r="44" customFormat="false" ht="15.75" hidden="false" customHeight="false" outlineLevel="0" collapsed="false">
      <c r="A44" s="10" t="n">
        <v>43</v>
      </c>
      <c r="B44" s="31" t="s">
        <v>62</v>
      </c>
      <c r="C44" s="10" t="n">
        <v>90</v>
      </c>
      <c r="D44" s="10" t="n">
        <v>134</v>
      </c>
      <c r="E44" s="10" t="n">
        <v>130</v>
      </c>
      <c r="F44" s="10"/>
      <c r="G44" s="10"/>
      <c r="H44" s="10"/>
      <c r="I44" s="10"/>
      <c r="J44" s="10"/>
      <c r="K44" s="10"/>
      <c r="L44" s="8"/>
      <c r="M44" s="8"/>
      <c r="N44" s="8"/>
    </row>
    <row r="45" customFormat="false" ht="15.75" hidden="false" customHeight="false" outlineLevel="0" collapsed="false">
      <c r="A45" s="10" t="n">
        <v>44</v>
      </c>
      <c r="B45" s="31" t="s">
        <v>63</v>
      </c>
      <c r="C45" s="10" t="n">
        <v>120</v>
      </c>
      <c r="D45" s="10" t="n">
        <v>162</v>
      </c>
      <c r="E45" s="10" t="n">
        <v>158</v>
      </c>
      <c r="F45" s="10"/>
      <c r="G45" s="10"/>
      <c r="H45" s="10"/>
      <c r="I45" s="10"/>
      <c r="J45" s="10"/>
      <c r="K45" s="10"/>
      <c r="L45" s="8"/>
      <c r="M45" s="8"/>
      <c r="N45" s="8"/>
    </row>
    <row r="46" customFormat="false" ht="15.75" hidden="false" customHeight="false" outlineLevel="0" collapsed="false">
      <c r="A46" s="10" t="n">
        <v>45</v>
      </c>
      <c r="B46" s="31" t="s">
        <v>64</v>
      </c>
      <c r="C46" s="10" t="n">
        <v>150</v>
      </c>
      <c r="D46" s="10" t="n">
        <v>202</v>
      </c>
      <c r="E46" s="10" t="n">
        <v>190</v>
      </c>
      <c r="F46" s="10"/>
      <c r="G46" s="10"/>
      <c r="H46" s="10"/>
      <c r="I46" s="10"/>
      <c r="J46" s="10"/>
      <c r="K46" s="10"/>
      <c r="L46" s="8"/>
      <c r="M46" s="8"/>
      <c r="N46" s="8"/>
    </row>
    <row r="47" customFormat="false" ht="15.75" hidden="false" customHeight="false" outlineLevel="0" collapsed="false">
      <c r="A47" s="10" t="n">
        <v>46</v>
      </c>
      <c r="B47" s="31" t="s">
        <v>65</v>
      </c>
      <c r="C47" s="10" t="n">
        <v>70</v>
      </c>
      <c r="D47" s="10" t="n">
        <v>122</v>
      </c>
      <c r="E47" s="10" t="n">
        <v>120</v>
      </c>
      <c r="F47" s="10"/>
      <c r="G47" s="10"/>
      <c r="H47" s="10"/>
      <c r="I47" s="10"/>
      <c r="J47" s="10"/>
      <c r="K47" s="10"/>
      <c r="L47" s="8"/>
      <c r="M47" s="8"/>
      <c r="N47" s="8"/>
    </row>
    <row r="48" customFormat="false" ht="15.75" hidden="false" customHeight="false" outlineLevel="0" collapsed="false">
      <c r="A48" s="10" t="n">
        <v>47</v>
      </c>
      <c r="B48" s="31" t="s">
        <v>66</v>
      </c>
      <c r="C48" s="10" t="n">
        <v>120</v>
      </c>
      <c r="D48" s="10" t="n">
        <v>162</v>
      </c>
      <c r="E48" s="10" t="n">
        <v>170</v>
      </c>
      <c r="F48" s="10"/>
      <c r="G48" s="10"/>
      <c r="H48" s="10"/>
      <c r="I48" s="10"/>
      <c r="J48" s="10"/>
      <c r="K48" s="10"/>
      <c r="L48" s="8"/>
      <c r="M48" s="8"/>
      <c r="N48" s="8"/>
    </row>
    <row r="49" customFormat="false" ht="15.75" hidden="false" customHeight="false" outlineLevel="0" collapsed="false">
      <c r="A49" s="10" t="n">
        <v>48</v>
      </c>
      <c r="B49" s="31" t="s">
        <v>67</v>
      </c>
      <c r="C49" s="10" t="n">
        <v>120</v>
      </c>
      <c r="D49" s="10" t="n">
        <v>108</v>
      </c>
      <c r="E49" s="10" t="n">
        <v>118</v>
      </c>
      <c r="F49" s="10"/>
      <c r="G49" s="10"/>
      <c r="H49" s="10"/>
      <c r="I49" s="10"/>
      <c r="J49" s="10"/>
      <c r="K49" s="10"/>
      <c r="L49" s="8"/>
      <c r="M49" s="8"/>
      <c r="N49" s="8"/>
    </row>
    <row r="50" customFormat="false" ht="15.75" hidden="false" customHeight="false" outlineLevel="0" collapsed="false">
      <c r="A50" s="10" t="n">
        <v>49</v>
      </c>
      <c r="B50" s="31" t="s">
        <v>68</v>
      </c>
      <c r="C50" s="10" t="n">
        <v>140</v>
      </c>
      <c r="D50" s="10" t="n">
        <v>172</v>
      </c>
      <c r="E50" s="10" t="n">
        <v>154</v>
      </c>
      <c r="F50" s="10"/>
      <c r="G50" s="10"/>
      <c r="H50" s="10"/>
      <c r="I50" s="10"/>
      <c r="J50" s="10"/>
      <c r="K50" s="10"/>
      <c r="L50" s="8"/>
      <c r="M50" s="8"/>
      <c r="N50" s="8"/>
    </row>
    <row r="51" customFormat="false" ht="15.75" hidden="false" customHeight="false" outlineLevel="0" collapsed="false">
      <c r="A51" s="10" t="n">
        <v>50</v>
      </c>
      <c r="B51" s="31" t="s">
        <v>69</v>
      </c>
      <c r="C51" s="10" t="n">
        <v>20</v>
      </c>
      <c r="D51" s="10" t="n">
        <v>108</v>
      </c>
      <c r="E51" s="10" t="n">
        <v>86</v>
      </c>
      <c r="F51" s="10"/>
      <c r="G51" s="10"/>
      <c r="H51" s="10"/>
      <c r="I51" s="10"/>
      <c r="J51" s="10"/>
      <c r="K51" s="10"/>
      <c r="L51" s="8"/>
      <c r="M51" s="8"/>
      <c r="N51" s="8"/>
    </row>
    <row r="52" customFormat="false" ht="15.75" hidden="false" customHeight="false" outlineLevel="0" collapsed="false">
      <c r="A52" s="10" t="n">
        <v>51</v>
      </c>
      <c r="B52" s="31" t="s">
        <v>70</v>
      </c>
      <c r="C52" s="10" t="n">
        <v>70</v>
      </c>
      <c r="D52" s="10" t="n">
        <v>148</v>
      </c>
      <c r="E52" s="10" t="n">
        <v>140</v>
      </c>
      <c r="F52" s="10"/>
      <c r="G52" s="10"/>
      <c r="H52" s="10"/>
      <c r="I52" s="10"/>
      <c r="J52" s="10"/>
      <c r="K52" s="10"/>
      <c r="L52" s="8"/>
      <c r="M52" s="8"/>
      <c r="N52" s="8"/>
    </row>
    <row r="53" customFormat="false" ht="15.75" hidden="false" customHeight="false" outlineLevel="0" collapsed="false">
      <c r="A53" s="10" t="n">
        <v>52</v>
      </c>
      <c r="B53" s="31" t="s">
        <v>71</v>
      </c>
      <c r="C53" s="10" t="n">
        <v>80</v>
      </c>
      <c r="D53" s="10" t="n">
        <v>104</v>
      </c>
      <c r="E53" s="10" t="n">
        <v>94</v>
      </c>
      <c r="F53" s="10"/>
      <c r="G53" s="10"/>
      <c r="H53" s="10"/>
      <c r="I53" s="10"/>
      <c r="J53" s="10"/>
      <c r="K53" s="10"/>
      <c r="L53" s="8"/>
      <c r="M53" s="8"/>
      <c r="N53" s="8"/>
    </row>
    <row r="54" customFormat="false" ht="15.75" hidden="false" customHeight="false" outlineLevel="0" collapsed="false">
      <c r="A54" s="10" t="n">
        <v>53</v>
      </c>
      <c r="B54" s="31" t="s">
        <v>72</v>
      </c>
      <c r="C54" s="10" t="n">
        <v>130</v>
      </c>
      <c r="D54" s="10" t="n">
        <v>156</v>
      </c>
      <c r="E54" s="10" t="n">
        <v>146</v>
      </c>
      <c r="F54" s="10"/>
      <c r="G54" s="10"/>
      <c r="H54" s="10"/>
      <c r="I54" s="10"/>
      <c r="J54" s="10"/>
      <c r="K54" s="10"/>
      <c r="L54" s="8"/>
      <c r="M54" s="8"/>
      <c r="N54" s="8"/>
    </row>
    <row r="55" customFormat="false" ht="15.75" hidden="false" customHeight="false" outlineLevel="0" collapsed="false">
      <c r="A55" s="10" t="n">
        <v>54</v>
      </c>
      <c r="B55" s="31" t="s">
        <v>73</v>
      </c>
      <c r="C55" s="10" t="n">
        <v>100</v>
      </c>
      <c r="D55" s="10" t="n">
        <v>132</v>
      </c>
      <c r="E55" s="10" t="n">
        <v>112</v>
      </c>
      <c r="F55" s="10"/>
      <c r="G55" s="10"/>
      <c r="H55" s="10"/>
      <c r="I55" s="10"/>
      <c r="J55" s="10"/>
      <c r="K55" s="10"/>
      <c r="L55" s="8"/>
      <c r="M55" s="8"/>
      <c r="N55" s="8"/>
    </row>
    <row r="56" customFormat="false" ht="15.75" hidden="false" customHeight="false" outlineLevel="0" collapsed="false">
      <c r="A56" s="10" t="n">
        <v>55</v>
      </c>
      <c r="B56" s="31" t="s">
        <v>74</v>
      </c>
      <c r="C56" s="10" t="n">
        <v>160</v>
      </c>
      <c r="D56" s="10" t="n">
        <v>194</v>
      </c>
      <c r="E56" s="10" t="n">
        <v>176</v>
      </c>
      <c r="F56" s="10"/>
      <c r="G56" s="10"/>
      <c r="H56" s="10"/>
      <c r="I56" s="10"/>
      <c r="J56" s="10"/>
      <c r="K56" s="10"/>
      <c r="L56" s="8"/>
      <c r="M56" s="8"/>
      <c r="N56" s="8"/>
    </row>
    <row r="57" customFormat="false" ht="15.75" hidden="false" customHeight="false" outlineLevel="0" collapsed="false">
      <c r="A57" s="10" t="n">
        <v>56</v>
      </c>
      <c r="B57" s="31" t="s">
        <v>75</v>
      </c>
      <c r="C57" s="10" t="n">
        <v>80</v>
      </c>
      <c r="D57" s="10" t="n">
        <v>122</v>
      </c>
      <c r="E57" s="10" t="n">
        <v>96</v>
      </c>
      <c r="F57" s="10"/>
      <c r="G57" s="10"/>
      <c r="H57" s="10"/>
      <c r="I57" s="10"/>
      <c r="J57" s="10"/>
      <c r="K57" s="10"/>
      <c r="L57" s="8"/>
      <c r="M57" s="8"/>
      <c r="N57" s="8"/>
    </row>
    <row r="58" customFormat="false" ht="15.75" hidden="false" customHeight="false" outlineLevel="0" collapsed="false">
      <c r="A58" s="10" t="n">
        <v>57</v>
      </c>
      <c r="B58" s="31" t="s">
        <v>76</v>
      </c>
      <c r="C58" s="10" t="n">
        <v>130</v>
      </c>
      <c r="D58" s="10" t="n">
        <v>178</v>
      </c>
      <c r="E58" s="10" t="n">
        <v>150</v>
      </c>
      <c r="F58" s="10"/>
      <c r="G58" s="10"/>
      <c r="H58" s="10"/>
      <c r="I58" s="10"/>
      <c r="J58" s="10"/>
      <c r="K58" s="10"/>
      <c r="L58" s="8"/>
      <c r="M58" s="8"/>
      <c r="N58" s="8"/>
    </row>
    <row r="59" customFormat="false" ht="15.75" hidden="false" customHeight="false" outlineLevel="0" collapsed="false">
      <c r="A59" s="10" t="n">
        <v>58</v>
      </c>
      <c r="B59" s="31" t="s">
        <v>77</v>
      </c>
      <c r="C59" s="10" t="n">
        <v>110</v>
      </c>
      <c r="D59" s="10" t="n">
        <v>156</v>
      </c>
      <c r="E59" s="10" t="n">
        <v>110</v>
      </c>
      <c r="F59" s="10"/>
      <c r="G59" s="10"/>
      <c r="H59" s="10"/>
      <c r="I59" s="10"/>
      <c r="J59" s="10"/>
      <c r="K59" s="10"/>
      <c r="L59" s="8"/>
      <c r="M59" s="8"/>
      <c r="N59" s="8"/>
    </row>
    <row r="60" customFormat="false" ht="15.75" hidden="false" customHeight="false" outlineLevel="0" collapsed="false">
      <c r="A60" s="10" t="n">
        <v>59</v>
      </c>
      <c r="B60" s="31" t="s">
        <v>78</v>
      </c>
      <c r="C60" s="10" t="n">
        <v>180</v>
      </c>
      <c r="D60" s="10" t="n">
        <v>230</v>
      </c>
      <c r="E60" s="10" t="n">
        <v>180</v>
      </c>
      <c r="F60" s="10"/>
      <c r="G60" s="10"/>
      <c r="H60" s="10"/>
      <c r="I60" s="10"/>
      <c r="J60" s="10"/>
      <c r="K60" s="10"/>
      <c r="L60" s="8"/>
      <c r="M60" s="8"/>
      <c r="N60" s="8"/>
    </row>
    <row r="61" customFormat="false" ht="15.75" hidden="false" customHeight="false" outlineLevel="0" collapsed="false">
      <c r="A61" s="10" t="n">
        <v>60</v>
      </c>
      <c r="B61" s="31" t="s">
        <v>79</v>
      </c>
      <c r="C61" s="10" t="n">
        <v>80</v>
      </c>
      <c r="D61" s="10" t="n">
        <v>108</v>
      </c>
      <c r="E61" s="10" t="n">
        <v>98</v>
      </c>
      <c r="F61" s="10"/>
      <c r="G61" s="10"/>
      <c r="H61" s="10"/>
      <c r="I61" s="10"/>
      <c r="J61" s="10"/>
      <c r="K61" s="10"/>
      <c r="L61" s="8"/>
      <c r="M61" s="8"/>
      <c r="N61" s="8"/>
    </row>
    <row r="62" customFormat="false" ht="15.75" hidden="false" customHeight="false" outlineLevel="0" collapsed="false">
      <c r="A62" s="10" t="n">
        <v>61</v>
      </c>
      <c r="B62" s="31" t="s">
        <v>80</v>
      </c>
      <c r="C62" s="10" t="n">
        <v>130</v>
      </c>
      <c r="D62" s="10" t="n">
        <v>132</v>
      </c>
      <c r="E62" s="10" t="n">
        <v>132</v>
      </c>
      <c r="F62" s="10"/>
      <c r="G62" s="10"/>
      <c r="H62" s="10"/>
      <c r="I62" s="10"/>
      <c r="J62" s="10"/>
      <c r="K62" s="10"/>
      <c r="L62" s="8"/>
      <c r="M62" s="8"/>
      <c r="N62" s="8"/>
    </row>
    <row r="63" customFormat="false" ht="15.75" hidden="false" customHeight="false" outlineLevel="0" collapsed="false">
      <c r="A63" s="10" t="n">
        <v>62</v>
      </c>
      <c r="B63" s="31" t="s">
        <v>81</v>
      </c>
      <c r="C63" s="10" t="n">
        <v>180</v>
      </c>
      <c r="D63" s="10" t="n">
        <v>180</v>
      </c>
      <c r="E63" s="10" t="n">
        <v>202</v>
      </c>
      <c r="F63" s="10"/>
      <c r="G63" s="10"/>
      <c r="H63" s="10"/>
      <c r="I63" s="10"/>
      <c r="J63" s="10"/>
      <c r="K63" s="10"/>
      <c r="L63" s="8"/>
      <c r="M63" s="8"/>
      <c r="N63" s="8"/>
    </row>
    <row r="64" customFormat="false" ht="15.75" hidden="false" customHeight="false" outlineLevel="0" collapsed="false">
      <c r="A64" s="10" t="n">
        <v>63</v>
      </c>
      <c r="B64" s="31" t="s">
        <v>82</v>
      </c>
      <c r="C64" s="10" t="n">
        <v>50</v>
      </c>
      <c r="D64" s="10" t="n">
        <v>110</v>
      </c>
      <c r="E64" s="10" t="n">
        <v>76</v>
      </c>
      <c r="F64" s="10"/>
      <c r="G64" s="10"/>
      <c r="H64" s="10"/>
      <c r="I64" s="10"/>
      <c r="J64" s="10"/>
      <c r="K64" s="10"/>
      <c r="L64" s="8"/>
      <c r="M64" s="8"/>
      <c r="N64" s="8"/>
    </row>
    <row r="65" customFormat="false" ht="15.75" hidden="false" customHeight="false" outlineLevel="0" collapsed="false">
      <c r="A65" s="10" t="n">
        <v>64</v>
      </c>
      <c r="B65" s="31" t="s">
        <v>83</v>
      </c>
      <c r="C65" s="10" t="n">
        <v>80</v>
      </c>
      <c r="D65" s="10" t="n">
        <v>150</v>
      </c>
      <c r="E65" s="10" t="n">
        <v>112</v>
      </c>
      <c r="F65" s="10"/>
      <c r="G65" s="10"/>
      <c r="H65" s="10"/>
      <c r="I65" s="10"/>
      <c r="J65" s="10"/>
      <c r="K65" s="10"/>
      <c r="L65" s="8"/>
      <c r="M65" s="8"/>
      <c r="N65" s="8"/>
    </row>
    <row r="66" customFormat="false" ht="15.75" hidden="false" customHeight="false" outlineLevel="0" collapsed="false">
      <c r="A66" s="10" t="n">
        <v>65</v>
      </c>
      <c r="B66" s="31" t="s">
        <v>84</v>
      </c>
      <c r="C66" s="10" t="n">
        <v>110</v>
      </c>
      <c r="D66" s="10" t="n">
        <v>186</v>
      </c>
      <c r="E66" s="10" t="n">
        <v>152</v>
      </c>
      <c r="F66" s="10"/>
      <c r="G66" s="10"/>
      <c r="H66" s="10"/>
      <c r="I66" s="10"/>
      <c r="J66" s="10"/>
      <c r="K66" s="10"/>
      <c r="L66" s="8"/>
      <c r="M66" s="8"/>
      <c r="N66" s="8"/>
    </row>
    <row r="67" customFormat="false" ht="15.75" hidden="false" customHeight="false" outlineLevel="0" collapsed="false">
      <c r="A67" s="10" t="n">
        <v>66</v>
      </c>
      <c r="B67" s="31" t="s">
        <v>85</v>
      </c>
      <c r="C67" s="10" t="n">
        <v>140</v>
      </c>
      <c r="D67" s="10" t="n">
        <v>118</v>
      </c>
      <c r="E67" s="10" t="n">
        <v>96</v>
      </c>
      <c r="F67" s="10"/>
      <c r="G67" s="10"/>
      <c r="H67" s="10"/>
      <c r="I67" s="10"/>
      <c r="J67" s="10"/>
      <c r="K67" s="10"/>
      <c r="L67" s="8"/>
      <c r="M67" s="8"/>
      <c r="N67" s="8"/>
    </row>
    <row r="68" customFormat="false" ht="15.75" hidden="false" customHeight="false" outlineLevel="0" collapsed="false">
      <c r="A68" s="10" t="n">
        <v>67</v>
      </c>
      <c r="B68" s="31" t="s">
        <v>86</v>
      </c>
      <c r="C68" s="10" t="n">
        <v>160</v>
      </c>
      <c r="D68" s="10" t="n">
        <v>154</v>
      </c>
      <c r="E68" s="10" t="n">
        <v>144</v>
      </c>
      <c r="F68" s="10"/>
      <c r="G68" s="10"/>
      <c r="H68" s="10"/>
      <c r="I68" s="10"/>
      <c r="J68" s="10"/>
      <c r="K68" s="10"/>
      <c r="L68" s="8"/>
      <c r="M68" s="8"/>
      <c r="N68" s="8"/>
    </row>
    <row r="69" customFormat="false" ht="15.75" hidden="false" customHeight="false" outlineLevel="0" collapsed="false">
      <c r="A69" s="10" t="n">
        <v>68</v>
      </c>
      <c r="B69" s="31" t="s">
        <v>87</v>
      </c>
      <c r="C69" s="10" t="n">
        <v>180</v>
      </c>
      <c r="D69" s="10" t="n">
        <v>198</v>
      </c>
      <c r="E69" s="10" t="n">
        <v>180</v>
      </c>
      <c r="F69" s="10"/>
      <c r="G69" s="10"/>
      <c r="H69" s="10"/>
      <c r="I69" s="10"/>
      <c r="J69" s="10"/>
      <c r="K69" s="10"/>
      <c r="L69" s="8"/>
      <c r="M69" s="8"/>
      <c r="N69" s="8"/>
    </row>
    <row r="70" customFormat="false" ht="15.75" hidden="false" customHeight="false" outlineLevel="0" collapsed="false">
      <c r="A70" s="10" t="n">
        <v>69</v>
      </c>
      <c r="B70" s="31" t="s">
        <v>88</v>
      </c>
      <c r="C70" s="10" t="n">
        <v>100</v>
      </c>
      <c r="D70" s="10" t="n">
        <v>158</v>
      </c>
      <c r="E70" s="10" t="n">
        <v>78</v>
      </c>
      <c r="F70" s="10"/>
      <c r="G70" s="10"/>
      <c r="H70" s="10"/>
      <c r="I70" s="10"/>
      <c r="J70" s="10"/>
      <c r="K70" s="10"/>
      <c r="L70" s="8"/>
      <c r="M70" s="8"/>
      <c r="N70" s="8"/>
    </row>
    <row r="71" customFormat="false" ht="15.75" hidden="false" customHeight="false" outlineLevel="0" collapsed="false">
      <c r="A71" s="10" t="n">
        <v>70</v>
      </c>
      <c r="B71" s="31" t="s">
        <v>89</v>
      </c>
      <c r="C71" s="10" t="n">
        <v>130</v>
      </c>
      <c r="D71" s="10" t="n">
        <v>190</v>
      </c>
      <c r="E71" s="10" t="n">
        <v>110</v>
      </c>
      <c r="F71" s="10"/>
      <c r="G71" s="10"/>
      <c r="H71" s="10"/>
      <c r="I71" s="10"/>
      <c r="J71" s="10"/>
      <c r="K71" s="10"/>
      <c r="L71" s="8"/>
      <c r="M71" s="8"/>
      <c r="N71" s="8"/>
    </row>
    <row r="72" customFormat="false" ht="15.75" hidden="false" customHeight="false" outlineLevel="0" collapsed="false">
      <c r="A72" s="10" t="n">
        <v>71</v>
      </c>
      <c r="B72" s="31" t="s">
        <v>90</v>
      </c>
      <c r="C72" s="10" t="n">
        <v>160</v>
      </c>
      <c r="D72" s="10" t="n">
        <v>222</v>
      </c>
      <c r="E72" s="10" t="n">
        <v>152</v>
      </c>
      <c r="F72" s="10"/>
      <c r="G72" s="10"/>
      <c r="H72" s="10"/>
      <c r="I72" s="10"/>
      <c r="J72" s="10"/>
      <c r="K72" s="10"/>
      <c r="L72" s="8"/>
      <c r="M72" s="8"/>
      <c r="N72" s="8"/>
    </row>
    <row r="73" customFormat="false" ht="15.75" hidden="false" customHeight="false" outlineLevel="0" collapsed="false">
      <c r="A73" s="10" t="n">
        <v>72</v>
      </c>
      <c r="B73" s="31" t="s">
        <v>91</v>
      </c>
      <c r="C73" s="10" t="n">
        <v>80</v>
      </c>
      <c r="D73" s="10" t="n">
        <v>106</v>
      </c>
      <c r="E73" s="10" t="n">
        <v>136</v>
      </c>
      <c r="F73" s="10"/>
      <c r="G73" s="10"/>
      <c r="H73" s="10"/>
      <c r="I73" s="10"/>
      <c r="J73" s="10"/>
      <c r="K73" s="10"/>
      <c r="L73" s="8"/>
      <c r="M73" s="8"/>
      <c r="N73" s="8"/>
    </row>
    <row r="74" customFormat="false" ht="15.75" hidden="false" customHeight="false" outlineLevel="0" collapsed="false">
      <c r="A74" s="10" t="n">
        <v>73</v>
      </c>
      <c r="B74" s="31" t="s">
        <v>92</v>
      </c>
      <c r="C74" s="10" t="n">
        <v>160</v>
      </c>
      <c r="D74" s="10" t="n">
        <v>170</v>
      </c>
      <c r="E74" s="10" t="n">
        <v>196</v>
      </c>
      <c r="F74" s="10"/>
      <c r="G74" s="10"/>
      <c r="H74" s="10"/>
      <c r="I74" s="10"/>
      <c r="J74" s="10"/>
      <c r="K74" s="10"/>
      <c r="L74" s="8"/>
      <c r="M74" s="8"/>
      <c r="N74" s="8"/>
    </row>
    <row r="75" customFormat="false" ht="15.75" hidden="false" customHeight="false" outlineLevel="0" collapsed="false">
      <c r="A75" s="10" t="n">
        <v>74</v>
      </c>
      <c r="B75" s="31" t="s">
        <v>93</v>
      </c>
      <c r="C75" s="10" t="n">
        <v>80</v>
      </c>
      <c r="D75" s="10" t="n">
        <v>106</v>
      </c>
      <c r="E75" s="10" t="n">
        <v>118</v>
      </c>
      <c r="F75" s="10"/>
      <c r="G75" s="10"/>
      <c r="H75" s="10"/>
      <c r="I75" s="10"/>
      <c r="J75" s="10"/>
      <c r="K75" s="10"/>
      <c r="L75" s="8"/>
      <c r="M75" s="8"/>
      <c r="N75" s="8"/>
    </row>
    <row r="76" customFormat="false" ht="15.75" hidden="false" customHeight="false" outlineLevel="0" collapsed="false">
      <c r="A76" s="10" t="n">
        <v>75</v>
      </c>
      <c r="B76" s="31" t="s">
        <v>94</v>
      </c>
      <c r="C76" s="10" t="n">
        <v>110</v>
      </c>
      <c r="D76" s="10" t="n">
        <v>142</v>
      </c>
      <c r="E76" s="10" t="n">
        <v>156</v>
      </c>
      <c r="F76" s="10"/>
      <c r="G76" s="10"/>
      <c r="H76" s="10"/>
      <c r="I76" s="10"/>
      <c r="J76" s="10"/>
      <c r="K76" s="10"/>
      <c r="L76" s="8"/>
      <c r="M76" s="8"/>
      <c r="N76" s="8"/>
    </row>
    <row r="77" customFormat="false" ht="15.75" hidden="false" customHeight="false" outlineLevel="0" collapsed="false">
      <c r="A77" s="10" t="n">
        <v>76</v>
      </c>
      <c r="B77" s="31" t="s">
        <v>95</v>
      </c>
      <c r="C77" s="10" t="n">
        <v>160</v>
      </c>
      <c r="D77" s="10" t="n">
        <v>176</v>
      </c>
      <c r="E77" s="10" t="n">
        <v>198</v>
      </c>
      <c r="F77" s="10"/>
      <c r="G77" s="10"/>
      <c r="H77" s="10"/>
      <c r="I77" s="10"/>
      <c r="J77" s="10"/>
      <c r="K77" s="10"/>
      <c r="L77" s="8"/>
      <c r="M77" s="8"/>
      <c r="N77" s="8"/>
    </row>
    <row r="78" customFormat="false" ht="15.75" hidden="false" customHeight="false" outlineLevel="0" collapsed="false">
      <c r="A78" s="10" t="n">
        <v>77</v>
      </c>
      <c r="B78" s="31" t="s">
        <v>96</v>
      </c>
      <c r="C78" s="10" t="n">
        <v>100</v>
      </c>
      <c r="D78" s="10" t="n">
        <v>168</v>
      </c>
      <c r="E78" s="10" t="n">
        <v>138</v>
      </c>
      <c r="F78" s="10"/>
      <c r="G78" s="10"/>
      <c r="H78" s="10"/>
      <c r="I78" s="10"/>
      <c r="J78" s="10"/>
      <c r="K78" s="10"/>
      <c r="L78" s="8"/>
      <c r="M78" s="8"/>
      <c r="N78" s="8"/>
    </row>
    <row r="79" customFormat="false" ht="15.75" hidden="false" customHeight="false" outlineLevel="0" collapsed="false">
      <c r="A79" s="10" t="n">
        <v>78</v>
      </c>
      <c r="B79" s="31" t="s">
        <v>97</v>
      </c>
      <c r="C79" s="10" t="n">
        <v>130</v>
      </c>
      <c r="D79" s="10" t="n">
        <v>200</v>
      </c>
      <c r="E79" s="10" t="n">
        <v>170</v>
      </c>
      <c r="F79" s="10"/>
      <c r="G79" s="10"/>
      <c r="H79" s="10"/>
      <c r="I79" s="10"/>
      <c r="J79" s="10"/>
      <c r="K79" s="10"/>
      <c r="L79" s="8"/>
      <c r="M79" s="8"/>
      <c r="N79" s="8"/>
    </row>
    <row r="80" customFormat="false" ht="15.75" hidden="false" customHeight="false" outlineLevel="0" collapsed="false">
      <c r="A80" s="10" t="n">
        <v>79</v>
      </c>
      <c r="B80" s="31" t="s">
        <v>98</v>
      </c>
      <c r="C80" s="10" t="n">
        <v>180</v>
      </c>
      <c r="D80" s="10" t="n">
        <v>110</v>
      </c>
      <c r="E80" s="10" t="n">
        <v>110</v>
      </c>
      <c r="F80" s="10"/>
      <c r="G80" s="10"/>
      <c r="H80" s="10"/>
      <c r="I80" s="10"/>
      <c r="J80" s="10"/>
      <c r="K80" s="10"/>
      <c r="L80" s="8"/>
      <c r="M80" s="8"/>
      <c r="N80" s="8"/>
    </row>
    <row r="81" customFormat="false" ht="15.75" hidden="false" customHeight="false" outlineLevel="0" collapsed="false">
      <c r="A81" s="10" t="n">
        <v>80</v>
      </c>
      <c r="B81" s="31" t="s">
        <v>99</v>
      </c>
      <c r="C81" s="10" t="n">
        <v>190</v>
      </c>
      <c r="D81" s="10" t="n">
        <v>184</v>
      </c>
      <c r="E81" s="10" t="n">
        <v>198</v>
      </c>
      <c r="F81" s="10"/>
      <c r="G81" s="10"/>
      <c r="H81" s="10"/>
      <c r="I81" s="10"/>
      <c r="J81" s="10"/>
      <c r="K81" s="10"/>
      <c r="L81" s="8"/>
      <c r="M81" s="8"/>
      <c r="N81" s="8"/>
    </row>
    <row r="82" customFormat="false" ht="15.75" hidden="false" customHeight="false" outlineLevel="0" collapsed="false">
      <c r="A82" s="10" t="n">
        <v>81</v>
      </c>
      <c r="B82" s="31" t="s">
        <v>100</v>
      </c>
      <c r="C82" s="10" t="n">
        <v>50</v>
      </c>
      <c r="D82" s="10" t="n">
        <v>128</v>
      </c>
      <c r="E82" s="10" t="n">
        <v>138</v>
      </c>
      <c r="F82" s="10"/>
      <c r="G82" s="10"/>
      <c r="H82" s="10"/>
      <c r="I82" s="10"/>
      <c r="J82" s="10"/>
      <c r="K82" s="10"/>
      <c r="L82" s="8"/>
      <c r="M82" s="8"/>
      <c r="N82" s="8"/>
    </row>
    <row r="83" customFormat="false" ht="15.75" hidden="false" customHeight="false" outlineLevel="0" collapsed="false">
      <c r="A83" s="10" t="n">
        <v>82</v>
      </c>
      <c r="B83" s="31" t="s">
        <v>101</v>
      </c>
      <c r="C83" s="10" t="n">
        <v>100</v>
      </c>
      <c r="D83" s="10" t="n">
        <v>186</v>
      </c>
      <c r="E83" s="10" t="n">
        <v>180</v>
      </c>
      <c r="F83" s="10"/>
      <c r="G83" s="10"/>
      <c r="H83" s="10"/>
      <c r="I83" s="10"/>
      <c r="J83" s="10"/>
      <c r="K83" s="10"/>
      <c r="L83" s="8"/>
      <c r="M83" s="8"/>
      <c r="N83" s="8"/>
    </row>
    <row r="84" customFormat="false" ht="15.75" hidden="false" customHeight="false" outlineLevel="0" collapsed="false">
      <c r="A84" s="10" t="n">
        <v>83</v>
      </c>
      <c r="B84" s="31" t="s">
        <v>102</v>
      </c>
      <c r="C84" s="10" t="n">
        <v>104</v>
      </c>
      <c r="D84" s="10" t="n">
        <v>138</v>
      </c>
      <c r="E84" s="10" t="n">
        <v>132</v>
      </c>
      <c r="F84" s="10"/>
      <c r="G84" s="10"/>
      <c r="H84" s="10"/>
      <c r="I84" s="10"/>
      <c r="J84" s="10"/>
      <c r="K84" s="10"/>
      <c r="L84" s="8"/>
      <c r="M84" s="8"/>
      <c r="N84" s="8"/>
    </row>
    <row r="85" customFormat="false" ht="15.75" hidden="false" customHeight="false" outlineLevel="0" collapsed="false">
      <c r="A85" s="10" t="n">
        <v>84</v>
      </c>
      <c r="B85" s="31" t="s">
        <v>103</v>
      </c>
      <c r="C85" s="10" t="n">
        <v>70</v>
      </c>
      <c r="D85" s="10" t="n">
        <v>126</v>
      </c>
      <c r="E85" s="10" t="n">
        <v>96</v>
      </c>
      <c r="F85" s="10"/>
      <c r="G85" s="10"/>
      <c r="H85" s="10"/>
      <c r="I85" s="10"/>
      <c r="J85" s="10"/>
      <c r="K85" s="10"/>
      <c r="L85" s="8"/>
      <c r="M85" s="8"/>
      <c r="N85" s="8"/>
    </row>
    <row r="86" customFormat="false" ht="15.75" hidden="false" customHeight="false" outlineLevel="0" collapsed="false">
      <c r="A86" s="10" t="n">
        <v>85</v>
      </c>
      <c r="B86" s="31" t="s">
        <v>104</v>
      </c>
      <c r="C86" s="10" t="n">
        <v>120</v>
      </c>
      <c r="D86" s="10" t="n">
        <v>182</v>
      </c>
      <c r="E86" s="10" t="n">
        <v>150</v>
      </c>
      <c r="F86" s="10"/>
      <c r="G86" s="10"/>
      <c r="H86" s="10"/>
      <c r="I86" s="10"/>
      <c r="J86" s="10"/>
      <c r="K86" s="10"/>
      <c r="L86" s="8"/>
      <c r="M86" s="8"/>
      <c r="N86" s="8"/>
    </row>
    <row r="87" customFormat="false" ht="15.75" hidden="false" customHeight="false" outlineLevel="0" collapsed="false">
      <c r="A87" s="10" t="n">
        <v>86</v>
      </c>
      <c r="B87" s="31" t="s">
        <v>105</v>
      </c>
      <c r="C87" s="10" t="n">
        <v>130</v>
      </c>
      <c r="D87" s="10" t="n">
        <v>104</v>
      </c>
      <c r="E87" s="10" t="n">
        <v>138</v>
      </c>
      <c r="F87" s="10"/>
      <c r="G87" s="10"/>
      <c r="H87" s="10"/>
      <c r="I87" s="10"/>
      <c r="J87" s="10"/>
      <c r="K87" s="10"/>
      <c r="L87" s="8"/>
      <c r="M87" s="8"/>
      <c r="N87" s="8"/>
    </row>
    <row r="88" customFormat="false" ht="15.75" hidden="false" customHeight="false" outlineLevel="0" collapsed="false">
      <c r="A88" s="10" t="n">
        <v>87</v>
      </c>
      <c r="B88" s="31" t="s">
        <v>106</v>
      </c>
      <c r="C88" s="10" t="n">
        <v>180</v>
      </c>
      <c r="D88" s="10" t="n">
        <v>156</v>
      </c>
      <c r="E88" s="10" t="n">
        <v>192</v>
      </c>
      <c r="F88" s="10"/>
      <c r="G88" s="10"/>
      <c r="H88" s="10"/>
      <c r="I88" s="10"/>
      <c r="J88" s="10"/>
      <c r="K88" s="10"/>
      <c r="L88" s="8"/>
      <c r="M88" s="8"/>
      <c r="N88" s="8"/>
    </row>
    <row r="89" customFormat="false" ht="15.75" hidden="false" customHeight="false" outlineLevel="0" collapsed="false">
      <c r="A89" s="10" t="n">
        <v>88</v>
      </c>
      <c r="B89" s="31" t="s">
        <v>107</v>
      </c>
      <c r="C89" s="10" t="n">
        <v>160</v>
      </c>
      <c r="D89" s="10" t="n">
        <v>124</v>
      </c>
      <c r="E89" s="10" t="n">
        <v>110</v>
      </c>
      <c r="F89" s="10"/>
      <c r="G89" s="10"/>
      <c r="H89" s="10"/>
      <c r="I89" s="10"/>
      <c r="J89" s="10"/>
      <c r="K89" s="10"/>
      <c r="L89" s="8"/>
      <c r="M89" s="8"/>
      <c r="N89" s="8"/>
    </row>
    <row r="90" customFormat="false" ht="15.75" hidden="false" customHeight="false" outlineLevel="0" collapsed="false">
      <c r="A90" s="10" t="n">
        <v>89</v>
      </c>
      <c r="B90" s="31" t="s">
        <v>108</v>
      </c>
      <c r="C90" s="10" t="n">
        <v>210</v>
      </c>
      <c r="D90" s="10" t="n">
        <v>180</v>
      </c>
      <c r="E90" s="10" t="n">
        <v>188</v>
      </c>
      <c r="F90" s="10"/>
      <c r="G90" s="10"/>
      <c r="H90" s="10"/>
      <c r="I90" s="10"/>
      <c r="J90" s="10"/>
      <c r="K90" s="10"/>
      <c r="L90" s="8"/>
      <c r="M90" s="8"/>
      <c r="N90" s="8"/>
    </row>
    <row r="91" customFormat="false" ht="15.75" hidden="false" customHeight="false" outlineLevel="0" collapsed="false">
      <c r="A91" s="10" t="n">
        <v>90</v>
      </c>
      <c r="B91" s="31" t="s">
        <v>109</v>
      </c>
      <c r="C91" s="10" t="n">
        <v>60</v>
      </c>
      <c r="D91" s="10" t="n">
        <v>120</v>
      </c>
      <c r="E91" s="10" t="n">
        <v>112</v>
      </c>
      <c r="F91" s="10"/>
      <c r="G91" s="10"/>
      <c r="H91" s="10"/>
      <c r="I91" s="10"/>
      <c r="J91" s="10"/>
      <c r="K91" s="10"/>
      <c r="L91" s="8"/>
      <c r="M91" s="8"/>
      <c r="N91" s="8"/>
    </row>
    <row r="92" customFormat="false" ht="15.75" hidden="false" customHeight="false" outlineLevel="0" collapsed="false">
      <c r="A92" s="10" t="n">
        <v>91</v>
      </c>
      <c r="B92" s="31" t="s">
        <v>110</v>
      </c>
      <c r="C92" s="10" t="n">
        <v>100</v>
      </c>
      <c r="D92" s="10" t="n">
        <v>196</v>
      </c>
      <c r="E92" s="10" t="n">
        <v>196</v>
      </c>
      <c r="F92" s="10"/>
      <c r="G92" s="10"/>
      <c r="H92" s="10"/>
      <c r="I92" s="10"/>
      <c r="J92" s="10"/>
      <c r="K92" s="10"/>
      <c r="L92" s="8"/>
      <c r="M92" s="8"/>
      <c r="N92" s="8"/>
    </row>
    <row r="93" customFormat="false" ht="15.75" hidden="false" customHeight="false" outlineLevel="0" collapsed="false">
      <c r="A93" s="10" t="n">
        <v>92</v>
      </c>
      <c r="B93" s="31" t="s">
        <v>111</v>
      </c>
      <c r="C93" s="10" t="n">
        <v>60</v>
      </c>
      <c r="D93" s="10" t="n">
        <v>136</v>
      </c>
      <c r="E93" s="10" t="n">
        <v>82</v>
      </c>
      <c r="F93" s="10"/>
      <c r="G93" s="10"/>
      <c r="H93" s="10"/>
      <c r="I93" s="10"/>
      <c r="J93" s="10"/>
      <c r="K93" s="10"/>
      <c r="L93" s="8"/>
      <c r="M93" s="8"/>
      <c r="N93" s="8"/>
    </row>
    <row r="94" customFormat="false" ht="15.75" hidden="false" customHeight="false" outlineLevel="0" collapsed="false">
      <c r="A94" s="10" t="n">
        <v>93</v>
      </c>
      <c r="B94" s="31" t="s">
        <v>112</v>
      </c>
      <c r="C94" s="10" t="n">
        <v>90</v>
      </c>
      <c r="D94" s="10" t="n">
        <v>172</v>
      </c>
      <c r="E94" s="10" t="n">
        <v>118</v>
      </c>
      <c r="F94" s="10"/>
      <c r="G94" s="10"/>
      <c r="H94" s="10"/>
      <c r="I94" s="10"/>
      <c r="J94" s="10"/>
      <c r="K94" s="10"/>
      <c r="L94" s="8"/>
      <c r="M94" s="8"/>
      <c r="N94" s="8"/>
    </row>
    <row r="95" customFormat="false" ht="15.75" hidden="false" customHeight="false" outlineLevel="0" collapsed="false">
      <c r="A95" s="10" t="n">
        <v>94</v>
      </c>
      <c r="B95" s="31" t="s">
        <v>113</v>
      </c>
      <c r="C95" s="10" t="n">
        <v>120</v>
      </c>
      <c r="D95" s="10" t="n">
        <v>204</v>
      </c>
      <c r="E95" s="10" t="n">
        <v>156</v>
      </c>
      <c r="F95" s="10"/>
      <c r="G95" s="10"/>
      <c r="H95" s="10"/>
      <c r="I95" s="10"/>
      <c r="J95" s="10"/>
      <c r="K95" s="10"/>
      <c r="L95" s="8"/>
      <c r="M95" s="8"/>
      <c r="N95" s="8"/>
    </row>
    <row r="96" customFormat="false" ht="15.75" hidden="false" customHeight="false" outlineLevel="0" collapsed="false">
      <c r="A96" s="10" t="n">
        <v>95</v>
      </c>
      <c r="B96" s="31" t="s">
        <v>114</v>
      </c>
      <c r="C96" s="10" t="n">
        <v>70</v>
      </c>
      <c r="D96" s="10" t="n">
        <v>90</v>
      </c>
      <c r="E96" s="10" t="n">
        <v>186</v>
      </c>
      <c r="F96" s="10"/>
      <c r="G96" s="10"/>
      <c r="H96" s="10"/>
      <c r="I96" s="10"/>
      <c r="J96" s="10"/>
      <c r="K96" s="10"/>
      <c r="L96" s="8"/>
      <c r="M96" s="8"/>
      <c r="N96" s="8"/>
    </row>
    <row r="97" customFormat="false" ht="15.75" hidden="false" customHeight="false" outlineLevel="0" collapsed="false">
      <c r="A97" s="10" t="n">
        <v>96</v>
      </c>
      <c r="B97" s="31" t="s">
        <v>115</v>
      </c>
      <c r="C97" s="10" t="n">
        <v>120</v>
      </c>
      <c r="D97" s="10" t="n">
        <v>104</v>
      </c>
      <c r="E97" s="10" t="n">
        <v>140</v>
      </c>
      <c r="F97" s="10"/>
      <c r="G97" s="10"/>
      <c r="H97" s="10"/>
      <c r="I97" s="10"/>
      <c r="J97" s="10"/>
      <c r="K97" s="10"/>
      <c r="L97" s="8"/>
      <c r="M97" s="8"/>
      <c r="N97" s="8"/>
    </row>
    <row r="98" customFormat="false" ht="15.75" hidden="false" customHeight="false" outlineLevel="0" collapsed="false">
      <c r="A98" s="10" t="n">
        <v>97</v>
      </c>
      <c r="B98" s="31" t="s">
        <v>116</v>
      </c>
      <c r="C98" s="10" t="n">
        <v>170</v>
      </c>
      <c r="D98" s="10" t="n">
        <v>162</v>
      </c>
      <c r="E98" s="10" t="n">
        <v>196</v>
      </c>
      <c r="F98" s="10"/>
      <c r="G98" s="10"/>
      <c r="H98" s="10"/>
      <c r="I98" s="10"/>
      <c r="J98" s="10"/>
      <c r="K98" s="10"/>
      <c r="L98" s="8"/>
      <c r="M98" s="8"/>
      <c r="N98" s="8"/>
    </row>
    <row r="99" customFormat="false" ht="15.75" hidden="false" customHeight="false" outlineLevel="0" collapsed="false">
      <c r="A99" s="10" t="n">
        <v>98</v>
      </c>
      <c r="B99" s="31" t="s">
        <v>117</v>
      </c>
      <c r="C99" s="10" t="n">
        <v>60</v>
      </c>
      <c r="D99" s="10" t="n">
        <v>116</v>
      </c>
      <c r="E99" s="10" t="n">
        <v>110</v>
      </c>
      <c r="F99" s="10"/>
      <c r="G99" s="10"/>
      <c r="H99" s="10"/>
      <c r="I99" s="10"/>
      <c r="J99" s="10"/>
      <c r="K99" s="10"/>
      <c r="L99" s="8"/>
      <c r="M99" s="8"/>
      <c r="N99" s="8"/>
    </row>
    <row r="100" customFormat="false" ht="15.75" hidden="false" customHeight="false" outlineLevel="0" collapsed="false">
      <c r="A100" s="10" t="n">
        <v>99</v>
      </c>
      <c r="B100" s="31" t="s">
        <v>118</v>
      </c>
      <c r="C100" s="10" t="n">
        <v>110</v>
      </c>
      <c r="D100" s="10" t="n">
        <v>178</v>
      </c>
      <c r="E100" s="10" t="n">
        <v>168</v>
      </c>
      <c r="F100" s="10"/>
      <c r="G100" s="10"/>
      <c r="H100" s="10"/>
      <c r="I100" s="10"/>
      <c r="J100" s="10"/>
      <c r="K100" s="10"/>
      <c r="L100" s="8"/>
      <c r="M100" s="8"/>
      <c r="N100" s="8"/>
    </row>
    <row r="101" customFormat="false" ht="15.75" hidden="false" customHeight="false" outlineLevel="0" collapsed="false">
      <c r="A101" s="10" t="n">
        <v>100</v>
      </c>
      <c r="B101" s="31" t="s">
        <v>119</v>
      </c>
      <c r="C101" s="10" t="n">
        <v>80</v>
      </c>
      <c r="D101" s="10" t="n">
        <v>102</v>
      </c>
      <c r="E101" s="10" t="n">
        <v>124</v>
      </c>
      <c r="F101" s="10"/>
      <c r="G101" s="10"/>
      <c r="H101" s="10"/>
      <c r="I101" s="10"/>
      <c r="J101" s="10"/>
      <c r="K101" s="10"/>
      <c r="L101" s="8"/>
      <c r="M101" s="8"/>
      <c r="N101" s="8"/>
    </row>
    <row r="102" customFormat="false" ht="15.75" hidden="false" customHeight="false" outlineLevel="0" collapsed="false">
      <c r="A102" s="10" t="n">
        <v>101</v>
      </c>
      <c r="B102" s="31" t="s">
        <v>120</v>
      </c>
      <c r="C102" s="10" t="n">
        <v>120</v>
      </c>
      <c r="D102" s="10" t="n">
        <v>150</v>
      </c>
      <c r="E102" s="10" t="n">
        <v>174</v>
      </c>
      <c r="F102" s="10"/>
      <c r="G102" s="10"/>
      <c r="H102" s="10"/>
      <c r="I102" s="10"/>
      <c r="J102" s="10"/>
      <c r="K102" s="10"/>
      <c r="L102" s="8"/>
      <c r="M102" s="8"/>
      <c r="N102" s="8"/>
    </row>
    <row r="103" customFormat="false" ht="15.75" hidden="false" customHeight="false" outlineLevel="0" collapsed="false">
      <c r="A103" s="10" t="n">
        <v>102</v>
      </c>
      <c r="B103" s="31" t="s">
        <v>121</v>
      </c>
      <c r="C103" s="10" t="n">
        <v>120</v>
      </c>
      <c r="D103" s="10" t="n">
        <v>110</v>
      </c>
      <c r="E103" s="10" t="n">
        <v>132</v>
      </c>
      <c r="F103" s="10"/>
      <c r="G103" s="10"/>
      <c r="H103" s="10"/>
      <c r="I103" s="10"/>
      <c r="J103" s="10"/>
      <c r="K103" s="10"/>
      <c r="L103" s="8"/>
      <c r="M103" s="8"/>
      <c r="N103" s="8"/>
    </row>
    <row r="104" customFormat="false" ht="15.75" hidden="false" customHeight="false" outlineLevel="0" collapsed="false">
      <c r="A104" s="10" t="n">
        <v>103</v>
      </c>
      <c r="B104" s="31" t="s">
        <v>122</v>
      </c>
      <c r="C104" s="10" t="n">
        <v>190</v>
      </c>
      <c r="D104" s="10" t="n">
        <v>232</v>
      </c>
      <c r="E104" s="10" t="n">
        <v>164</v>
      </c>
      <c r="F104" s="10"/>
      <c r="G104" s="10"/>
      <c r="H104" s="10"/>
      <c r="I104" s="10"/>
      <c r="J104" s="10"/>
      <c r="K104" s="10"/>
      <c r="L104" s="8"/>
      <c r="M104" s="8"/>
      <c r="N104" s="8"/>
    </row>
    <row r="105" customFormat="false" ht="15.75" hidden="false" customHeight="false" outlineLevel="0" collapsed="false">
      <c r="A105" s="10" t="n">
        <v>104</v>
      </c>
      <c r="B105" s="31" t="s">
        <v>123</v>
      </c>
      <c r="C105" s="10" t="n">
        <v>100</v>
      </c>
      <c r="D105" s="10" t="n">
        <v>102</v>
      </c>
      <c r="E105" s="10" t="n">
        <v>150</v>
      </c>
      <c r="F105" s="10"/>
      <c r="G105" s="10"/>
      <c r="H105" s="10"/>
      <c r="I105" s="10"/>
      <c r="J105" s="10"/>
      <c r="K105" s="10"/>
      <c r="L105" s="8"/>
      <c r="M105" s="8"/>
      <c r="N105" s="8"/>
    </row>
    <row r="106" customFormat="false" ht="15.75" hidden="false" customHeight="false" outlineLevel="0" collapsed="false">
      <c r="A106" s="10" t="n">
        <v>105</v>
      </c>
      <c r="B106" s="31" t="s">
        <v>124</v>
      </c>
      <c r="C106" s="10" t="n">
        <v>120</v>
      </c>
      <c r="D106" s="10" t="n">
        <v>140</v>
      </c>
      <c r="E106" s="10" t="n">
        <v>202</v>
      </c>
      <c r="F106" s="10"/>
      <c r="G106" s="10"/>
      <c r="H106" s="10"/>
      <c r="I106" s="10"/>
      <c r="J106" s="10"/>
      <c r="K106" s="10"/>
      <c r="L106" s="8"/>
      <c r="M106" s="8"/>
      <c r="N106" s="8"/>
    </row>
    <row r="107" customFormat="false" ht="15.75" hidden="false" customHeight="false" outlineLevel="0" collapsed="false">
      <c r="A107" s="10" t="n">
        <v>106</v>
      </c>
      <c r="B107" s="31" t="s">
        <v>125</v>
      </c>
      <c r="C107" s="10" t="n">
        <v>100</v>
      </c>
      <c r="D107" s="10" t="n">
        <v>148</v>
      </c>
      <c r="E107" s="10" t="n">
        <v>172</v>
      </c>
      <c r="F107" s="10"/>
      <c r="G107" s="10"/>
      <c r="H107" s="10"/>
      <c r="I107" s="10"/>
      <c r="J107" s="10"/>
      <c r="K107" s="10"/>
      <c r="L107" s="8"/>
      <c r="M107" s="8"/>
      <c r="N107" s="8"/>
    </row>
    <row r="108" customFormat="false" ht="15.75" hidden="false" customHeight="false" outlineLevel="0" collapsed="false">
      <c r="A108" s="10" t="n">
        <v>107</v>
      </c>
      <c r="B108" s="31" t="s">
        <v>126</v>
      </c>
      <c r="C108" s="10" t="n">
        <v>100</v>
      </c>
      <c r="D108" s="10" t="n">
        <v>138</v>
      </c>
      <c r="E108" s="10" t="n">
        <v>204</v>
      </c>
      <c r="F108" s="10"/>
      <c r="G108" s="10"/>
      <c r="H108" s="10"/>
      <c r="I108" s="10"/>
      <c r="J108" s="10"/>
      <c r="K108" s="10"/>
      <c r="L108" s="8"/>
      <c r="M108" s="8"/>
      <c r="N108" s="8"/>
    </row>
    <row r="109" customFormat="false" ht="15.75" hidden="false" customHeight="false" outlineLevel="0" collapsed="false">
      <c r="A109" s="10" t="n">
        <v>108</v>
      </c>
      <c r="B109" s="31" t="s">
        <v>127</v>
      </c>
      <c r="C109" s="10" t="n">
        <v>180</v>
      </c>
      <c r="D109" s="10" t="n">
        <v>126</v>
      </c>
      <c r="E109" s="10" t="n">
        <v>160</v>
      </c>
      <c r="F109" s="10"/>
      <c r="G109" s="10"/>
      <c r="H109" s="10"/>
      <c r="I109" s="10"/>
      <c r="J109" s="10"/>
      <c r="K109" s="10"/>
      <c r="L109" s="8"/>
      <c r="M109" s="8"/>
      <c r="N109" s="8"/>
    </row>
    <row r="110" customFormat="false" ht="15.75" hidden="false" customHeight="false" outlineLevel="0" collapsed="false">
      <c r="A110" s="10" t="n">
        <v>109</v>
      </c>
      <c r="B110" s="31" t="s">
        <v>128</v>
      </c>
      <c r="C110" s="10" t="n">
        <v>80</v>
      </c>
      <c r="D110" s="10" t="n">
        <v>136</v>
      </c>
      <c r="E110" s="10" t="n">
        <v>142</v>
      </c>
      <c r="F110" s="10"/>
      <c r="G110" s="10"/>
      <c r="H110" s="10"/>
      <c r="I110" s="10"/>
      <c r="J110" s="10"/>
      <c r="K110" s="10"/>
      <c r="L110" s="8"/>
      <c r="M110" s="8"/>
      <c r="N110" s="8"/>
    </row>
    <row r="111" customFormat="false" ht="15.75" hidden="false" customHeight="false" outlineLevel="0" collapsed="false">
      <c r="A111" s="10" t="n">
        <v>110</v>
      </c>
      <c r="B111" s="31" t="s">
        <v>129</v>
      </c>
      <c r="C111" s="10" t="n">
        <v>130</v>
      </c>
      <c r="D111" s="10" t="n">
        <v>190</v>
      </c>
      <c r="E111" s="10" t="n">
        <v>198</v>
      </c>
      <c r="F111" s="10"/>
      <c r="G111" s="10"/>
      <c r="H111" s="10"/>
      <c r="I111" s="10"/>
      <c r="J111" s="10"/>
      <c r="K111" s="10"/>
      <c r="L111" s="8"/>
      <c r="M111" s="8"/>
      <c r="N111" s="8"/>
    </row>
    <row r="112" customFormat="false" ht="15.75" hidden="false" customHeight="false" outlineLevel="0" collapsed="false">
      <c r="A112" s="10" t="n">
        <v>111</v>
      </c>
      <c r="B112" s="31" t="s">
        <v>130</v>
      </c>
      <c r="C112" s="10" t="n">
        <v>160</v>
      </c>
      <c r="D112" s="10" t="n">
        <v>110</v>
      </c>
      <c r="E112" s="10" t="n">
        <v>116</v>
      </c>
      <c r="F112" s="10"/>
      <c r="G112" s="10"/>
      <c r="H112" s="10"/>
      <c r="I112" s="10"/>
      <c r="J112" s="10"/>
      <c r="K112" s="10"/>
      <c r="L112" s="8"/>
      <c r="M112" s="8"/>
      <c r="N112" s="8"/>
    </row>
    <row r="113" customFormat="false" ht="15.75" hidden="false" customHeight="false" outlineLevel="0" collapsed="false">
      <c r="A113" s="10" t="n">
        <v>112</v>
      </c>
      <c r="B113" s="31" t="s">
        <v>131</v>
      </c>
      <c r="C113" s="10" t="n">
        <v>210</v>
      </c>
      <c r="D113" s="10" t="n">
        <v>166</v>
      </c>
      <c r="E113" s="10" t="n">
        <v>160</v>
      </c>
      <c r="F113" s="10"/>
      <c r="G113" s="10"/>
      <c r="H113" s="10"/>
      <c r="I113" s="10"/>
      <c r="J113" s="10"/>
      <c r="K113" s="10"/>
      <c r="L113" s="8"/>
      <c r="M113" s="8"/>
      <c r="N113" s="8"/>
    </row>
    <row r="114" customFormat="false" ht="15.75" hidden="false" customHeight="false" outlineLevel="0" collapsed="false">
      <c r="A114" s="10" t="n">
        <v>113</v>
      </c>
      <c r="B114" s="31" t="s">
        <v>132</v>
      </c>
      <c r="C114" s="10" t="n">
        <v>500</v>
      </c>
      <c r="D114" s="10" t="n">
        <v>40</v>
      </c>
      <c r="E114" s="10" t="n">
        <v>60</v>
      </c>
      <c r="F114" s="10"/>
      <c r="G114" s="10"/>
      <c r="H114" s="10"/>
      <c r="I114" s="10"/>
      <c r="J114" s="10"/>
      <c r="K114" s="10"/>
      <c r="L114" s="8"/>
      <c r="M114" s="8"/>
      <c r="N114" s="8"/>
    </row>
    <row r="115" customFormat="false" ht="15.75" hidden="false" customHeight="false" outlineLevel="0" collapsed="false">
      <c r="A115" s="10" t="n">
        <v>114</v>
      </c>
      <c r="B115" s="31" t="s">
        <v>133</v>
      </c>
      <c r="C115" s="10" t="n">
        <v>130</v>
      </c>
      <c r="D115" s="10" t="n">
        <v>164</v>
      </c>
      <c r="E115" s="10" t="n">
        <v>152</v>
      </c>
      <c r="F115" s="10"/>
      <c r="G115" s="10"/>
      <c r="H115" s="10"/>
      <c r="I115" s="10"/>
      <c r="J115" s="10"/>
      <c r="K115" s="10"/>
      <c r="L115" s="8"/>
      <c r="M115" s="8"/>
      <c r="N115" s="8"/>
    </row>
    <row r="116" customFormat="false" ht="15.75" hidden="false" customHeight="false" outlineLevel="0" collapsed="false">
      <c r="A116" s="10" t="n">
        <v>115</v>
      </c>
      <c r="B116" s="31" t="s">
        <v>134</v>
      </c>
      <c r="C116" s="10" t="n">
        <v>210</v>
      </c>
      <c r="D116" s="10" t="n">
        <v>142</v>
      </c>
      <c r="E116" s="10" t="n">
        <v>178</v>
      </c>
      <c r="F116" s="10"/>
      <c r="G116" s="10"/>
      <c r="H116" s="10"/>
      <c r="I116" s="10"/>
      <c r="J116" s="10"/>
      <c r="K116" s="10"/>
      <c r="L116" s="8"/>
      <c r="M116" s="8"/>
      <c r="N116" s="8"/>
    </row>
    <row r="117" customFormat="false" ht="15.75" hidden="false" customHeight="false" outlineLevel="0" collapsed="false">
      <c r="A117" s="10" t="n">
        <v>116</v>
      </c>
      <c r="B117" s="31" t="s">
        <v>135</v>
      </c>
      <c r="C117" s="10" t="n">
        <v>60</v>
      </c>
      <c r="D117" s="10" t="n">
        <v>122</v>
      </c>
      <c r="E117" s="10" t="n">
        <v>100</v>
      </c>
      <c r="F117" s="10"/>
      <c r="G117" s="10"/>
      <c r="H117" s="10"/>
      <c r="I117" s="10"/>
      <c r="J117" s="10"/>
      <c r="K117" s="10"/>
      <c r="L117" s="8"/>
      <c r="M117" s="8"/>
      <c r="N117" s="8"/>
    </row>
    <row r="118" customFormat="false" ht="15.75" hidden="false" customHeight="false" outlineLevel="0" collapsed="false">
      <c r="A118" s="10" t="n">
        <v>117</v>
      </c>
      <c r="B118" s="31" t="s">
        <v>136</v>
      </c>
      <c r="C118" s="10" t="n">
        <v>110</v>
      </c>
      <c r="D118" s="10" t="n">
        <v>176</v>
      </c>
      <c r="E118" s="10" t="n">
        <v>150</v>
      </c>
      <c r="F118" s="10"/>
      <c r="G118" s="10"/>
      <c r="H118" s="10"/>
      <c r="I118" s="10"/>
      <c r="J118" s="10"/>
      <c r="K118" s="10"/>
      <c r="L118" s="8"/>
      <c r="M118" s="8"/>
      <c r="N118" s="8"/>
    </row>
    <row r="119" customFormat="false" ht="15.75" hidden="false" customHeight="false" outlineLevel="0" collapsed="false">
      <c r="A119" s="10" t="n">
        <v>118</v>
      </c>
      <c r="B119" s="31" t="s">
        <v>137</v>
      </c>
      <c r="C119" s="10" t="n">
        <v>90</v>
      </c>
      <c r="D119" s="10" t="n">
        <v>112</v>
      </c>
      <c r="E119" s="10" t="n">
        <v>126</v>
      </c>
      <c r="F119" s="10"/>
      <c r="G119" s="10"/>
      <c r="H119" s="10"/>
      <c r="I119" s="10"/>
      <c r="J119" s="10"/>
      <c r="K119" s="10"/>
      <c r="L119" s="8"/>
      <c r="M119" s="8"/>
      <c r="N119" s="8"/>
    </row>
    <row r="120" customFormat="false" ht="15.75" hidden="false" customHeight="false" outlineLevel="0" collapsed="false">
      <c r="A120" s="10" t="n">
        <v>119</v>
      </c>
      <c r="B120" s="31" t="s">
        <v>138</v>
      </c>
      <c r="C120" s="10" t="n">
        <v>160</v>
      </c>
      <c r="D120" s="10" t="n">
        <v>172</v>
      </c>
      <c r="E120" s="10" t="n">
        <v>160</v>
      </c>
      <c r="F120" s="10"/>
      <c r="G120" s="10"/>
      <c r="H120" s="10"/>
      <c r="I120" s="10"/>
      <c r="J120" s="10"/>
      <c r="K120" s="10"/>
      <c r="L120" s="8"/>
      <c r="M120" s="8"/>
      <c r="N120" s="8"/>
    </row>
    <row r="121" customFormat="false" ht="15.75" hidden="false" customHeight="false" outlineLevel="0" collapsed="false">
      <c r="A121" s="10" t="n">
        <v>120</v>
      </c>
      <c r="B121" s="31" t="s">
        <v>139</v>
      </c>
      <c r="C121" s="10" t="n">
        <v>60</v>
      </c>
      <c r="D121" s="10" t="n">
        <v>130</v>
      </c>
      <c r="E121" s="10" t="n">
        <v>128</v>
      </c>
      <c r="F121" s="10"/>
      <c r="G121" s="10"/>
      <c r="H121" s="10"/>
      <c r="I121" s="10"/>
      <c r="J121" s="10"/>
      <c r="K121" s="10"/>
      <c r="L121" s="8"/>
      <c r="M121" s="8"/>
      <c r="N121" s="8"/>
    </row>
    <row r="122" customFormat="false" ht="15.75" hidden="false" customHeight="false" outlineLevel="0" collapsed="false">
      <c r="A122" s="10" t="n">
        <v>121</v>
      </c>
      <c r="B122" s="31" t="s">
        <v>140</v>
      </c>
      <c r="C122" s="10" t="n">
        <v>120</v>
      </c>
      <c r="D122" s="10" t="n">
        <v>194</v>
      </c>
      <c r="E122" s="10" t="n">
        <v>192</v>
      </c>
      <c r="F122" s="10"/>
      <c r="G122" s="10"/>
      <c r="H122" s="10"/>
      <c r="I122" s="10"/>
      <c r="J122" s="10"/>
      <c r="K122" s="10"/>
      <c r="L122" s="8"/>
      <c r="M122" s="8"/>
      <c r="N122" s="8"/>
    </row>
    <row r="123" customFormat="false" ht="15.75" hidden="false" customHeight="false" outlineLevel="0" collapsed="false">
      <c r="A123" s="10" t="n">
        <v>122</v>
      </c>
      <c r="B123" s="31" t="s">
        <v>141</v>
      </c>
      <c r="C123" s="10" t="n">
        <v>80</v>
      </c>
      <c r="D123" s="10" t="n">
        <v>154</v>
      </c>
      <c r="E123" s="10" t="n">
        <v>196</v>
      </c>
      <c r="F123" s="10"/>
      <c r="G123" s="10"/>
      <c r="H123" s="10"/>
      <c r="I123" s="10"/>
      <c r="J123" s="10"/>
      <c r="K123" s="10"/>
      <c r="L123" s="8"/>
      <c r="M123" s="8"/>
      <c r="N123" s="8"/>
    </row>
    <row r="124" customFormat="false" ht="15.75" hidden="false" customHeight="false" outlineLevel="0" collapsed="false">
      <c r="A124" s="10" t="n">
        <v>123</v>
      </c>
      <c r="B124" s="31" t="s">
        <v>142</v>
      </c>
      <c r="C124" s="10" t="n">
        <v>140</v>
      </c>
      <c r="D124" s="10" t="n">
        <v>176</v>
      </c>
      <c r="E124" s="10" t="n">
        <v>180</v>
      </c>
      <c r="F124" s="10"/>
      <c r="G124" s="10"/>
      <c r="H124" s="10"/>
      <c r="I124" s="10"/>
      <c r="J124" s="10"/>
      <c r="K124" s="10"/>
      <c r="L124" s="8"/>
      <c r="M124" s="8"/>
      <c r="N124" s="8"/>
    </row>
    <row r="125" customFormat="false" ht="15.75" hidden="false" customHeight="false" outlineLevel="0" collapsed="false">
      <c r="A125" s="10" t="n">
        <v>124</v>
      </c>
      <c r="B125" s="31" t="s">
        <v>143</v>
      </c>
      <c r="C125" s="10" t="n">
        <v>130</v>
      </c>
      <c r="D125" s="10" t="n">
        <v>172</v>
      </c>
      <c r="E125" s="10" t="n">
        <v>134</v>
      </c>
      <c r="F125" s="10"/>
      <c r="G125" s="10"/>
      <c r="H125" s="10"/>
      <c r="I125" s="10"/>
      <c r="J125" s="10"/>
      <c r="K125" s="10"/>
      <c r="L125" s="8"/>
      <c r="M125" s="8"/>
      <c r="N125" s="8"/>
    </row>
    <row r="126" customFormat="false" ht="15.75" hidden="false" customHeight="false" outlineLevel="0" collapsed="false">
      <c r="A126" s="10" t="n">
        <v>125</v>
      </c>
      <c r="B126" s="31" t="s">
        <v>144</v>
      </c>
      <c r="C126" s="10" t="n">
        <v>130</v>
      </c>
      <c r="D126" s="10" t="n">
        <v>198</v>
      </c>
      <c r="E126" s="10" t="n">
        <v>160</v>
      </c>
      <c r="F126" s="10"/>
      <c r="G126" s="10"/>
      <c r="H126" s="10"/>
      <c r="I126" s="10"/>
      <c r="J126" s="10"/>
      <c r="K126" s="10"/>
      <c r="L126" s="8"/>
      <c r="M126" s="8"/>
      <c r="N126" s="8"/>
    </row>
    <row r="127" customFormat="false" ht="15.75" hidden="false" customHeight="false" outlineLevel="0" collapsed="false">
      <c r="A127" s="10" t="n">
        <v>126</v>
      </c>
      <c r="B127" s="31" t="s">
        <v>145</v>
      </c>
      <c r="C127" s="10" t="n">
        <v>130</v>
      </c>
      <c r="D127" s="10" t="n">
        <v>214</v>
      </c>
      <c r="E127" s="10" t="n">
        <v>158</v>
      </c>
      <c r="F127" s="10"/>
      <c r="G127" s="10"/>
      <c r="H127" s="10"/>
      <c r="I127" s="10"/>
      <c r="J127" s="10"/>
      <c r="K127" s="10"/>
      <c r="L127" s="8"/>
      <c r="M127" s="8"/>
      <c r="N127" s="8"/>
    </row>
    <row r="128" customFormat="false" ht="15.75" hidden="false" customHeight="false" outlineLevel="0" collapsed="false">
      <c r="A128" s="10" t="n">
        <v>127</v>
      </c>
      <c r="B128" s="31" t="s">
        <v>146</v>
      </c>
      <c r="C128" s="10" t="n">
        <v>130</v>
      </c>
      <c r="D128" s="10" t="n">
        <v>184</v>
      </c>
      <c r="E128" s="10" t="n">
        <v>186</v>
      </c>
      <c r="F128" s="10"/>
      <c r="G128" s="10"/>
      <c r="H128" s="10"/>
      <c r="I128" s="10"/>
      <c r="J128" s="10"/>
      <c r="K128" s="10"/>
      <c r="L128" s="8"/>
      <c r="M128" s="8"/>
      <c r="N128" s="8"/>
    </row>
    <row r="129" customFormat="false" ht="15.75" hidden="false" customHeight="false" outlineLevel="0" collapsed="false">
      <c r="A129" s="10" t="n">
        <v>128</v>
      </c>
      <c r="B129" s="31" t="s">
        <v>147</v>
      </c>
      <c r="C129" s="10" t="n">
        <v>150</v>
      </c>
      <c r="D129" s="10" t="n">
        <v>148</v>
      </c>
      <c r="E129" s="10" t="n">
        <v>184</v>
      </c>
      <c r="F129" s="10"/>
      <c r="G129" s="10"/>
      <c r="H129" s="10"/>
      <c r="I129" s="10"/>
      <c r="J129" s="10"/>
      <c r="K129" s="10"/>
      <c r="L129" s="8"/>
      <c r="M129" s="8"/>
      <c r="N129" s="8"/>
    </row>
    <row r="130" customFormat="false" ht="15.75" hidden="false" customHeight="false" outlineLevel="0" collapsed="false">
      <c r="A130" s="10" t="n">
        <v>129</v>
      </c>
      <c r="B130" s="31" t="s">
        <v>148</v>
      </c>
      <c r="C130" s="10" t="n">
        <v>40</v>
      </c>
      <c r="D130" s="10" t="n">
        <v>42</v>
      </c>
      <c r="E130" s="10" t="n">
        <v>84</v>
      </c>
      <c r="F130" s="10"/>
      <c r="G130" s="10"/>
      <c r="H130" s="10"/>
      <c r="I130" s="10"/>
      <c r="J130" s="10"/>
      <c r="K130" s="10"/>
      <c r="L130" s="8"/>
      <c r="M130" s="8"/>
      <c r="N130" s="8"/>
    </row>
    <row r="131" customFormat="false" ht="15.75" hidden="false" customHeight="false" outlineLevel="0" collapsed="false">
      <c r="A131" s="10" t="n">
        <v>130</v>
      </c>
      <c r="B131" s="31" t="s">
        <v>149</v>
      </c>
      <c r="C131" s="10" t="n">
        <v>190</v>
      </c>
      <c r="D131" s="10" t="n">
        <v>192</v>
      </c>
      <c r="E131" s="10" t="n">
        <v>196</v>
      </c>
      <c r="F131" s="10"/>
      <c r="G131" s="10"/>
      <c r="H131" s="10"/>
      <c r="I131" s="10"/>
      <c r="J131" s="10"/>
      <c r="K131" s="10"/>
      <c r="L131" s="8"/>
      <c r="M131" s="8"/>
      <c r="N131" s="8"/>
    </row>
    <row r="132" customFormat="false" ht="15.75" hidden="false" customHeight="false" outlineLevel="0" collapsed="false">
      <c r="A132" s="10" t="n">
        <v>131</v>
      </c>
      <c r="B132" s="31" t="s">
        <v>150</v>
      </c>
      <c r="C132" s="10" t="n">
        <v>260</v>
      </c>
      <c r="D132" s="10" t="n">
        <v>186</v>
      </c>
      <c r="E132" s="10" t="n">
        <v>190</v>
      </c>
      <c r="F132" s="10"/>
      <c r="G132" s="10"/>
      <c r="H132" s="10"/>
      <c r="I132" s="10"/>
      <c r="J132" s="10"/>
      <c r="K132" s="10"/>
      <c r="L132" s="8"/>
      <c r="M132" s="8"/>
      <c r="N132" s="8"/>
    </row>
    <row r="133" customFormat="false" ht="15.75" hidden="false" customHeight="false" outlineLevel="0" collapsed="false">
      <c r="A133" s="10" t="n">
        <v>132</v>
      </c>
      <c r="B133" s="31" t="s">
        <v>151</v>
      </c>
      <c r="C133" s="10" t="n">
        <v>96</v>
      </c>
      <c r="D133" s="10" t="n">
        <v>110</v>
      </c>
      <c r="E133" s="10" t="n">
        <v>110</v>
      </c>
      <c r="F133" s="10"/>
      <c r="G133" s="10"/>
      <c r="H133" s="10"/>
      <c r="I133" s="10"/>
      <c r="J133" s="10"/>
      <c r="K133" s="10"/>
      <c r="L133" s="8"/>
      <c r="M133" s="8"/>
      <c r="N133" s="8"/>
    </row>
    <row r="134" customFormat="false" ht="15.75" hidden="false" customHeight="false" outlineLevel="0" collapsed="false">
      <c r="A134" s="10" t="n">
        <v>133</v>
      </c>
      <c r="B134" s="31" t="s">
        <v>152</v>
      </c>
      <c r="C134" s="10" t="n">
        <v>110</v>
      </c>
      <c r="D134" s="10" t="n">
        <v>114</v>
      </c>
      <c r="E134" s="10" t="n">
        <v>128</v>
      </c>
      <c r="F134" s="10"/>
      <c r="G134" s="10"/>
      <c r="H134" s="10"/>
      <c r="I134" s="10"/>
      <c r="J134" s="10"/>
      <c r="K134" s="10"/>
      <c r="L134" s="8"/>
      <c r="M134" s="8"/>
      <c r="N134" s="8"/>
    </row>
    <row r="135" customFormat="false" ht="15.75" hidden="false" customHeight="false" outlineLevel="0" collapsed="false">
      <c r="A135" s="10" t="n">
        <v>134</v>
      </c>
      <c r="B135" s="31" t="s">
        <v>153</v>
      </c>
      <c r="C135" s="10" t="n">
        <v>260</v>
      </c>
      <c r="D135" s="10" t="n">
        <v>186</v>
      </c>
      <c r="E135" s="10" t="n">
        <v>168</v>
      </c>
      <c r="F135" s="10"/>
      <c r="G135" s="10"/>
      <c r="H135" s="10"/>
      <c r="I135" s="10"/>
      <c r="J135" s="10"/>
      <c r="K135" s="10"/>
      <c r="L135" s="8"/>
      <c r="M135" s="8"/>
      <c r="N135" s="8"/>
    </row>
    <row r="136" customFormat="false" ht="15.75" hidden="false" customHeight="false" outlineLevel="0" collapsed="false">
      <c r="A136" s="10" t="n">
        <v>135</v>
      </c>
      <c r="B136" s="31" t="s">
        <v>154</v>
      </c>
      <c r="C136" s="10" t="n">
        <v>130</v>
      </c>
      <c r="D136" s="10" t="n">
        <v>192</v>
      </c>
      <c r="E136" s="10" t="n">
        <v>174</v>
      </c>
      <c r="F136" s="10"/>
      <c r="G136" s="10"/>
      <c r="H136" s="10"/>
      <c r="I136" s="10"/>
      <c r="J136" s="10"/>
      <c r="K136" s="10"/>
      <c r="L136" s="8"/>
      <c r="M136" s="8"/>
      <c r="N136" s="8"/>
    </row>
    <row r="137" customFormat="false" ht="15.75" hidden="false" customHeight="false" outlineLevel="0" collapsed="false">
      <c r="A137" s="10" t="n">
        <v>136</v>
      </c>
      <c r="B137" s="31" t="s">
        <v>155</v>
      </c>
      <c r="C137" s="10" t="n">
        <v>130</v>
      </c>
      <c r="D137" s="10" t="n">
        <v>238</v>
      </c>
      <c r="E137" s="10" t="n">
        <v>178</v>
      </c>
      <c r="F137" s="10"/>
      <c r="G137" s="10"/>
      <c r="H137" s="10"/>
      <c r="I137" s="10"/>
      <c r="J137" s="10"/>
      <c r="K137" s="10"/>
      <c r="L137" s="8"/>
      <c r="M137" s="8"/>
      <c r="N137" s="8"/>
    </row>
    <row r="138" customFormat="false" ht="15.75" hidden="false" customHeight="false" outlineLevel="0" collapsed="false">
      <c r="A138" s="10" t="n">
        <v>137</v>
      </c>
      <c r="B138" s="31" t="s">
        <v>156</v>
      </c>
      <c r="C138" s="10" t="n">
        <v>130</v>
      </c>
      <c r="D138" s="10" t="n">
        <v>156</v>
      </c>
      <c r="E138" s="10" t="n">
        <v>158</v>
      </c>
      <c r="F138" s="10"/>
      <c r="G138" s="10"/>
      <c r="H138" s="10"/>
      <c r="I138" s="10"/>
      <c r="J138" s="10"/>
      <c r="K138" s="10"/>
      <c r="L138" s="8"/>
      <c r="M138" s="8"/>
      <c r="N138" s="8"/>
    </row>
    <row r="139" customFormat="false" ht="15.75" hidden="false" customHeight="false" outlineLevel="0" collapsed="false">
      <c r="A139" s="10" t="n">
        <v>138</v>
      </c>
      <c r="B139" s="31" t="s">
        <v>157</v>
      </c>
      <c r="C139" s="10" t="n">
        <v>70</v>
      </c>
      <c r="D139" s="10" t="n">
        <v>132</v>
      </c>
      <c r="E139" s="10" t="n">
        <v>160</v>
      </c>
      <c r="F139" s="10"/>
      <c r="G139" s="10"/>
      <c r="H139" s="10"/>
      <c r="I139" s="10"/>
      <c r="J139" s="10"/>
      <c r="K139" s="10"/>
      <c r="L139" s="8"/>
      <c r="M139" s="8"/>
      <c r="N139" s="8"/>
    </row>
    <row r="140" customFormat="false" ht="15.75" hidden="false" customHeight="false" outlineLevel="0" collapsed="false">
      <c r="A140" s="10" t="n">
        <v>139</v>
      </c>
      <c r="B140" s="31" t="s">
        <v>158</v>
      </c>
      <c r="C140" s="10" t="n">
        <v>140</v>
      </c>
      <c r="D140" s="10" t="n">
        <v>180</v>
      </c>
      <c r="E140" s="10" t="n">
        <v>202</v>
      </c>
      <c r="F140" s="10"/>
      <c r="G140" s="10"/>
      <c r="H140" s="10"/>
      <c r="I140" s="10"/>
      <c r="J140" s="10"/>
      <c r="K140" s="10"/>
      <c r="L140" s="8"/>
      <c r="M140" s="8"/>
      <c r="N140" s="8"/>
    </row>
    <row r="141" customFormat="false" ht="15.75" hidden="false" customHeight="false" outlineLevel="0" collapsed="false">
      <c r="A141" s="10" t="n">
        <v>140</v>
      </c>
      <c r="B141" s="31" t="s">
        <v>159</v>
      </c>
      <c r="C141" s="10" t="n">
        <v>60</v>
      </c>
      <c r="D141" s="10" t="n">
        <v>148</v>
      </c>
      <c r="E141" s="10" t="n">
        <v>142</v>
      </c>
      <c r="F141" s="10"/>
      <c r="G141" s="10"/>
      <c r="H141" s="10"/>
      <c r="I141" s="10"/>
      <c r="J141" s="10"/>
      <c r="K141" s="10"/>
      <c r="L141" s="8"/>
      <c r="M141" s="8"/>
      <c r="N141" s="8"/>
    </row>
    <row r="142" customFormat="false" ht="15.75" hidden="false" customHeight="false" outlineLevel="0" collapsed="false">
      <c r="A142" s="10" t="n">
        <v>141</v>
      </c>
      <c r="B142" s="31" t="s">
        <v>160</v>
      </c>
      <c r="C142" s="10" t="n">
        <v>120</v>
      </c>
      <c r="D142" s="10" t="n">
        <v>190</v>
      </c>
      <c r="E142" s="10" t="n">
        <v>190</v>
      </c>
      <c r="F142" s="10"/>
      <c r="G142" s="10"/>
      <c r="H142" s="10"/>
      <c r="I142" s="10"/>
      <c r="J142" s="10"/>
      <c r="K142" s="10"/>
      <c r="L142" s="8"/>
      <c r="M142" s="8"/>
      <c r="N142" s="8"/>
    </row>
    <row r="143" customFormat="false" ht="15.75" hidden="false" customHeight="false" outlineLevel="0" collapsed="false">
      <c r="A143" s="10" t="n">
        <v>142</v>
      </c>
      <c r="B143" s="31" t="s">
        <v>161</v>
      </c>
      <c r="C143" s="10" t="n">
        <v>160</v>
      </c>
      <c r="D143" s="10" t="n">
        <v>182</v>
      </c>
      <c r="E143" s="10" t="n">
        <v>162</v>
      </c>
      <c r="F143" s="10"/>
      <c r="G143" s="10"/>
      <c r="H143" s="10"/>
      <c r="I143" s="10"/>
      <c r="J143" s="10"/>
      <c r="K143" s="10"/>
      <c r="L143" s="8"/>
      <c r="M143" s="8"/>
      <c r="N143" s="8"/>
    </row>
    <row r="144" customFormat="false" ht="15.75" hidden="false" customHeight="false" outlineLevel="0" collapsed="false">
      <c r="A144" s="10" t="n">
        <v>143</v>
      </c>
      <c r="B144" s="31" t="s">
        <v>162</v>
      </c>
      <c r="C144" s="10" t="n">
        <v>320</v>
      </c>
      <c r="D144" s="10" t="n">
        <v>180</v>
      </c>
      <c r="E144" s="10" t="n">
        <v>180</v>
      </c>
      <c r="F144" s="10"/>
      <c r="G144" s="10"/>
      <c r="H144" s="10"/>
      <c r="I144" s="10"/>
      <c r="J144" s="10"/>
      <c r="K144" s="10"/>
      <c r="L144" s="8"/>
      <c r="M144" s="8"/>
      <c r="N144" s="8"/>
    </row>
    <row r="145" customFormat="false" ht="15.75" hidden="false" customHeight="false" outlineLevel="0" collapsed="false">
      <c r="A145" s="10" t="n">
        <v>144</v>
      </c>
      <c r="B145" s="31" t="s">
        <v>163</v>
      </c>
      <c r="C145" s="10" t="n">
        <v>180</v>
      </c>
      <c r="D145" s="10" t="n">
        <v>198</v>
      </c>
      <c r="E145" s="10" t="n">
        <v>242</v>
      </c>
      <c r="F145" s="10"/>
      <c r="G145" s="10"/>
      <c r="H145" s="10"/>
      <c r="I145" s="10"/>
      <c r="J145" s="10"/>
      <c r="K145" s="10"/>
      <c r="L145" s="8"/>
      <c r="M145" s="8"/>
      <c r="N145" s="8"/>
    </row>
    <row r="146" customFormat="false" ht="15.75" hidden="false" customHeight="false" outlineLevel="0" collapsed="false">
      <c r="A146" s="10" t="n">
        <v>145</v>
      </c>
      <c r="B146" s="31" t="s">
        <v>164</v>
      </c>
      <c r="C146" s="10" t="n">
        <v>180</v>
      </c>
      <c r="D146" s="10" t="n">
        <v>232</v>
      </c>
      <c r="E146" s="10" t="n">
        <v>194</v>
      </c>
      <c r="F146" s="10"/>
      <c r="G146" s="10"/>
      <c r="H146" s="10"/>
      <c r="I146" s="10"/>
      <c r="J146" s="10"/>
      <c r="K146" s="10"/>
      <c r="L146" s="8"/>
      <c r="M146" s="8"/>
      <c r="N146" s="8"/>
    </row>
    <row r="147" customFormat="false" ht="15.75" hidden="false" customHeight="false" outlineLevel="0" collapsed="false">
      <c r="A147" s="10" t="n">
        <v>146</v>
      </c>
      <c r="B147" s="31" t="s">
        <v>165</v>
      </c>
      <c r="C147" s="10" t="n">
        <v>180</v>
      </c>
      <c r="D147" s="10" t="n">
        <v>242</v>
      </c>
      <c r="E147" s="10" t="n">
        <v>194</v>
      </c>
      <c r="F147" s="10"/>
      <c r="G147" s="10"/>
      <c r="H147" s="10"/>
      <c r="I147" s="10"/>
      <c r="J147" s="10"/>
      <c r="K147" s="10"/>
      <c r="L147" s="8"/>
      <c r="M147" s="8"/>
      <c r="N147" s="8"/>
    </row>
    <row r="148" customFormat="false" ht="15.75" hidden="false" customHeight="false" outlineLevel="0" collapsed="false">
      <c r="A148" s="10" t="n">
        <v>147</v>
      </c>
      <c r="B148" s="31" t="s">
        <v>166</v>
      </c>
      <c r="C148" s="10" t="n">
        <v>82</v>
      </c>
      <c r="D148" s="10" t="n">
        <v>128</v>
      </c>
      <c r="E148" s="10" t="n">
        <v>110</v>
      </c>
      <c r="F148" s="10"/>
      <c r="G148" s="10"/>
      <c r="H148" s="10"/>
      <c r="I148" s="10"/>
      <c r="J148" s="10"/>
      <c r="K148" s="10"/>
      <c r="L148" s="8"/>
      <c r="M148" s="8"/>
      <c r="N148" s="8"/>
    </row>
    <row r="149" customFormat="false" ht="15.75" hidden="false" customHeight="false" outlineLevel="0" collapsed="false">
      <c r="A149" s="10" t="n">
        <v>148</v>
      </c>
      <c r="B149" s="31" t="s">
        <v>167</v>
      </c>
      <c r="C149" s="10" t="n">
        <v>122</v>
      </c>
      <c r="D149" s="10" t="n">
        <v>170</v>
      </c>
      <c r="E149" s="10" t="n">
        <v>152</v>
      </c>
      <c r="F149" s="10"/>
      <c r="G149" s="10"/>
      <c r="H149" s="10"/>
      <c r="I149" s="10"/>
      <c r="J149" s="10"/>
      <c r="K149" s="10"/>
      <c r="L149" s="8"/>
      <c r="M149" s="8"/>
      <c r="N149" s="8"/>
    </row>
    <row r="150" customFormat="false" ht="15.75" hidden="false" customHeight="false" outlineLevel="0" collapsed="false">
      <c r="A150" s="10" t="n">
        <v>149</v>
      </c>
      <c r="B150" s="31" t="s">
        <v>168</v>
      </c>
      <c r="C150" s="10" t="n">
        <v>182</v>
      </c>
      <c r="D150" s="10" t="n">
        <v>250</v>
      </c>
      <c r="E150" s="10" t="n">
        <v>212</v>
      </c>
      <c r="F150" s="10"/>
      <c r="G150" s="10"/>
      <c r="H150" s="10"/>
      <c r="I150" s="10"/>
      <c r="J150" s="10"/>
      <c r="K150" s="10"/>
      <c r="L150" s="8"/>
      <c r="M150" s="8"/>
      <c r="N150" s="8"/>
    </row>
    <row r="151" customFormat="false" ht="15.75" hidden="false" customHeight="false" outlineLevel="0" collapsed="false">
      <c r="A151" s="10" t="n">
        <v>150</v>
      </c>
      <c r="B151" s="31" t="s">
        <v>169</v>
      </c>
      <c r="C151" s="10" t="n">
        <v>212</v>
      </c>
      <c r="D151" s="10" t="n">
        <v>284</v>
      </c>
      <c r="E151" s="10" t="n">
        <v>202</v>
      </c>
      <c r="F151" s="10"/>
      <c r="G151" s="10"/>
      <c r="H151" s="10"/>
      <c r="I151" s="10"/>
      <c r="J151" s="10"/>
      <c r="K151" s="10"/>
      <c r="L151" s="8"/>
      <c r="M151" s="8"/>
      <c r="N151" s="8"/>
    </row>
    <row r="152" customFormat="false" ht="15.75" hidden="false" customHeight="false" outlineLevel="0" collapsed="false">
      <c r="A152" s="31" t="n">
        <v>151</v>
      </c>
      <c r="B152" s="31" t="s">
        <v>170</v>
      </c>
      <c r="C152" s="10" t="n">
        <v>200</v>
      </c>
      <c r="D152" s="10" t="n">
        <v>220</v>
      </c>
      <c r="E152" s="10" t="n">
        <v>220</v>
      </c>
      <c r="F152" s="10"/>
      <c r="G152" s="10"/>
      <c r="H152" s="10"/>
      <c r="I152" s="10"/>
      <c r="J152" s="10"/>
      <c r="K152" s="10"/>
      <c r="L152" s="8"/>
      <c r="M152" s="8"/>
      <c r="N15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75"/>
  <cols>
    <col collapsed="false" hidden="false" max="1" min="1" style="0" width="17.280612244898"/>
    <col collapsed="false" hidden="false" max="2" min="2" style="0" width="8.77551020408163"/>
    <col collapsed="false" hidden="false" max="3" min="3" style="0" width="9.71938775510204"/>
    <col collapsed="false" hidden="false" max="4" min="4" style="0" width="7.4234693877551"/>
    <col collapsed="false" hidden="false" max="5" min="5" style="0" width="8.10204081632653"/>
    <col collapsed="false" hidden="false" max="6" min="6" style="0" width="9.17857142857143"/>
    <col collapsed="false" hidden="false" max="7" min="7" style="0" width="6.3469387755102"/>
    <col collapsed="false" hidden="false" max="8" min="8" style="0" width="4.86224489795918"/>
    <col collapsed="false" hidden="false" max="9" min="9" style="0" width="7.4234693877551"/>
    <col collapsed="false" hidden="false" max="10" min="10" style="0" width="6.75"/>
    <col collapsed="false" hidden="false" max="11" min="11" style="0" width="5.12755102040816"/>
    <col collapsed="false" hidden="false" max="12" min="12" style="0" width="7.29081632653061"/>
    <col collapsed="false" hidden="false" max="13" min="13" style="0" width="7.4234693877551"/>
    <col collapsed="false" hidden="false" max="14" min="14" style="0" width="9.98979591836735"/>
    <col collapsed="false" hidden="false" max="15" min="15" style="0" width="9.17857142857143"/>
    <col collapsed="false" hidden="false" max="16" min="16" style="0" width="4.45408163265306"/>
    <col collapsed="false" hidden="false" max="17" min="17" style="0" width="9.04591836734694"/>
    <col collapsed="false" hidden="false" max="18" min="18" style="0" width="6.0765306122449"/>
    <col collapsed="false" hidden="false" max="19" min="19" style="0" width="6.20918367346939"/>
    <col collapsed="false" hidden="false" max="1025" min="20" style="0" width="14.1734693877551"/>
  </cols>
  <sheetData>
    <row r="1" customFormat="false" ht="13.8" hidden="false" customHeight="false" outlineLevel="0" collapsed="false">
      <c r="A1" s="8"/>
      <c r="B1" s="0" t="s">
        <v>189</v>
      </c>
      <c r="C1" s="0" t="s">
        <v>190</v>
      </c>
      <c r="D1" s="0" t="s">
        <v>191</v>
      </c>
      <c r="E1" s="0" t="s">
        <v>192</v>
      </c>
      <c r="F1" s="0" t="s">
        <v>193</v>
      </c>
      <c r="G1" s="0" t="s">
        <v>194</v>
      </c>
      <c r="H1" s="0" t="s">
        <v>195</v>
      </c>
      <c r="I1" s="0" t="s">
        <v>196</v>
      </c>
      <c r="J1" s="0" t="s">
        <v>197</v>
      </c>
      <c r="K1" s="0" t="s">
        <v>198</v>
      </c>
      <c r="L1" s="0" t="s">
        <v>199</v>
      </c>
      <c r="M1" s="0" t="s">
        <v>200</v>
      </c>
      <c r="N1" s="0" t="s">
        <v>201</v>
      </c>
      <c r="O1" s="0" t="s">
        <v>202</v>
      </c>
      <c r="P1" s="0" t="s">
        <v>203</v>
      </c>
      <c r="Q1" s="0" t="s">
        <v>204</v>
      </c>
      <c r="R1" s="0" t="s">
        <v>205</v>
      </c>
      <c r="S1" s="0" t="s">
        <v>206</v>
      </c>
    </row>
    <row r="2" customFormat="false" ht="15.75" hidden="false" customHeight="false" outlineLevel="0" collapsed="false">
      <c r="A2" s="8" t="s">
        <v>189</v>
      </c>
      <c r="B2" s="8" t="n">
        <v>1</v>
      </c>
      <c r="C2" s="8" t="n">
        <v>1</v>
      </c>
      <c r="D2" s="8" t="n">
        <v>1</v>
      </c>
      <c r="E2" s="8" t="n">
        <v>1</v>
      </c>
      <c r="F2" s="8" t="n">
        <v>1</v>
      </c>
      <c r="G2" s="8" t="n">
        <v>0.8</v>
      </c>
      <c r="H2" s="8" t="n">
        <v>1</v>
      </c>
      <c r="I2" s="8" t="n">
        <v>0.8</v>
      </c>
      <c r="J2" s="8" t="n">
        <v>0.8</v>
      </c>
      <c r="K2" s="8" t="n">
        <v>1</v>
      </c>
      <c r="L2" s="8" t="n">
        <v>1</v>
      </c>
      <c r="M2" s="8" t="n">
        <v>1</v>
      </c>
      <c r="N2" s="8" t="n">
        <v>1</v>
      </c>
      <c r="O2" s="8" t="n">
        <v>1</v>
      </c>
      <c r="P2" s="8" t="n">
        <v>1</v>
      </c>
      <c r="Q2" s="8" t="n">
        <v>1</v>
      </c>
      <c r="R2" s="8" t="n">
        <v>1</v>
      </c>
      <c r="S2" s="8" t="n">
        <v>1</v>
      </c>
    </row>
    <row r="3" customFormat="false" ht="15.75" hidden="false" customHeight="false" outlineLevel="0" collapsed="false">
      <c r="A3" s="8" t="s">
        <v>190</v>
      </c>
      <c r="B3" s="8" t="n">
        <v>1.25</v>
      </c>
      <c r="C3" s="8" t="n">
        <v>1</v>
      </c>
      <c r="D3" s="8" t="n">
        <v>0.8</v>
      </c>
      <c r="E3" s="8" t="n">
        <v>0.8</v>
      </c>
      <c r="F3" s="8" t="n">
        <v>1</v>
      </c>
      <c r="G3" s="8" t="n">
        <v>1.25</v>
      </c>
      <c r="H3" s="8" t="n">
        <v>0.8</v>
      </c>
      <c r="I3" s="8" t="n">
        <v>0.8</v>
      </c>
      <c r="J3" s="8" t="n">
        <v>1.25</v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0.8</v>
      </c>
      <c r="P3" s="8" t="n">
        <v>1.25</v>
      </c>
      <c r="Q3" s="8" t="n">
        <v>1</v>
      </c>
      <c r="R3" s="8" t="n">
        <v>1.25</v>
      </c>
      <c r="S3" s="8" t="n">
        <v>0.8</v>
      </c>
    </row>
    <row r="4" customFormat="false" ht="15.75" hidden="false" customHeight="false" outlineLevel="0" collapsed="false">
      <c r="A4" s="8" t="s">
        <v>191</v>
      </c>
      <c r="B4" s="8" t="n">
        <v>1</v>
      </c>
      <c r="C4" s="8" t="n">
        <v>1.25</v>
      </c>
      <c r="D4" s="8" t="n">
        <v>1</v>
      </c>
      <c r="E4" s="8" t="n">
        <v>1</v>
      </c>
      <c r="F4" s="8" t="n">
        <v>1</v>
      </c>
      <c r="G4" s="8" t="n">
        <v>0.8</v>
      </c>
      <c r="H4" s="8" t="n">
        <v>1.25</v>
      </c>
      <c r="I4" s="8" t="n">
        <v>1</v>
      </c>
      <c r="J4" s="8" t="n">
        <v>0.8</v>
      </c>
      <c r="K4" s="8" t="n">
        <v>1</v>
      </c>
      <c r="L4" s="8" t="n">
        <v>1</v>
      </c>
      <c r="M4" s="8" t="n">
        <v>1.25</v>
      </c>
      <c r="N4" s="8" t="n">
        <v>0.8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</v>
      </c>
    </row>
    <row r="5" customFormat="false" ht="15.75" hidden="false" customHeight="false" outlineLevel="0" collapsed="false">
      <c r="A5" s="8" t="s">
        <v>192</v>
      </c>
      <c r="B5" s="8" t="n">
        <v>1</v>
      </c>
      <c r="C5" s="8" t="n">
        <v>1</v>
      </c>
      <c r="D5" s="8" t="n">
        <v>1</v>
      </c>
      <c r="E5" s="8" t="n">
        <v>0.8</v>
      </c>
      <c r="F5" s="8" t="n">
        <v>0.8</v>
      </c>
      <c r="G5" s="8" t="n">
        <v>0.8</v>
      </c>
      <c r="H5" s="8" t="n">
        <v>1</v>
      </c>
      <c r="I5" s="8" t="n">
        <v>0.8</v>
      </c>
      <c r="J5" s="8" t="n">
        <v>0.8</v>
      </c>
      <c r="K5" s="8" t="n">
        <v>1</v>
      </c>
      <c r="L5" s="8" t="n">
        <v>1</v>
      </c>
      <c r="M5" s="8" t="n">
        <v>1.25</v>
      </c>
      <c r="N5" s="8" t="n">
        <v>1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1.25</v>
      </c>
    </row>
    <row r="6" customFormat="false" ht="15.75" hidden="false" customHeight="false" outlineLevel="0" collapsed="false">
      <c r="A6" s="8" t="s">
        <v>193</v>
      </c>
      <c r="B6" s="8" t="n">
        <v>1</v>
      </c>
      <c r="C6" s="8" t="n">
        <v>1</v>
      </c>
      <c r="D6" s="8" t="n">
        <v>0.8</v>
      </c>
      <c r="E6" s="8" t="n">
        <v>1.25</v>
      </c>
      <c r="F6" s="8" t="n">
        <v>1</v>
      </c>
      <c r="G6" s="8" t="n">
        <v>1.25</v>
      </c>
      <c r="H6" s="8" t="n">
        <v>0.8</v>
      </c>
      <c r="I6" s="8" t="n">
        <v>1</v>
      </c>
      <c r="J6" s="8" t="n">
        <v>1.25</v>
      </c>
      <c r="K6" s="8" t="n">
        <v>1.25</v>
      </c>
      <c r="L6" s="8" t="n">
        <v>1</v>
      </c>
      <c r="M6" s="8" t="n">
        <v>0.8</v>
      </c>
      <c r="N6" s="8" t="n">
        <v>1.25</v>
      </c>
      <c r="O6" s="8" t="n">
        <v>1</v>
      </c>
      <c r="P6" s="8" t="n">
        <v>1</v>
      </c>
      <c r="Q6" s="8" t="n">
        <v>1</v>
      </c>
      <c r="R6" s="8" t="n">
        <v>1</v>
      </c>
      <c r="S6" s="8" t="n">
        <v>1</v>
      </c>
    </row>
    <row r="7" customFormat="false" ht="15.75" hidden="false" customHeight="false" outlineLevel="0" collapsed="false">
      <c r="A7" s="8" t="s">
        <v>194</v>
      </c>
      <c r="B7" s="8" t="n">
        <v>1</v>
      </c>
      <c r="C7" s="8" t="n">
        <v>0.8</v>
      </c>
      <c r="D7" s="8" t="n">
        <v>1.25</v>
      </c>
      <c r="E7" s="8" t="n">
        <v>1</v>
      </c>
      <c r="F7" s="8" t="n">
        <v>0.8</v>
      </c>
      <c r="G7" s="8" t="n">
        <v>1</v>
      </c>
      <c r="H7" s="8" t="n">
        <v>1.25</v>
      </c>
      <c r="I7" s="8" t="n">
        <v>1</v>
      </c>
      <c r="J7" s="8" t="n">
        <v>0.8</v>
      </c>
      <c r="K7" s="8" t="n">
        <v>1.25</v>
      </c>
      <c r="L7" s="8" t="n">
        <v>1</v>
      </c>
      <c r="M7" s="8" t="n">
        <v>1</v>
      </c>
      <c r="N7" s="8" t="n">
        <v>1</v>
      </c>
      <c r="O7" s="8" t="n">
        <v>1</v>
      </c>
      <c r="P7" s="8" t="n">
        <v>1.25</v>
      </c>
      <c r="Q7" s="8" t="n">
        <v>1</v>
      </c>
      <c r="R7" s="8" t="n">
        <v>1</v>
      </c>
      <c r="S7" s="8" t="n">
        <v>1</v>
      </c>
    </row>
    <row r="8" customFormat="false" ht="15.75" hidden="false" customHeight="false" outlineLevel="0" collapsed="false">
      <c r="A8" s="8" t="s">
        <v>195</v>
      </c>
      <c r="B8" s="8" t="n">
        <v>1</v>
      </c>
      <c r="C8" s="8" t="n">
        <v>0.8</v>
      </c>
      <c r="D8" s="8" t="n">
        <v>0.8</v>
      </c>
      <c r="E8" s="8" t="n">
        <v>0.8</v>
      </c>
      <c r="F8" s="8" t="n">
        <v>1</v>
      </c>
      <c r="G8" s="8" t="n">
        <v>1</v>
      </c>
      <c r="H8" s="8" t="n">
        <v>1</v>
      </c>
      <c r="I8" s="8" t="n">
        <v>0.8</v>
      </c>
      <c r="J8" s="8" t="n">
        <v>0.8</v>
      </c>
      <c r="K8" s="8" t="n">
        <v>0.8</v>
      </c>
      <c r="L8" s="8" t="n">
        <v>1</v>
      </c>
      <c r="M8" s="8" t="n">
        <v>1.25</v>
      </c>
      <c r="N8" s="8" t="n">
        <v>1</v>
      </c>
      <c r="O8" s="8" t="n">
        <v>1.25</v>
      </c>
      <c r="P8" s="8" t="n">
        <v>1</v>
      </c>
      <c r="Q8" s="8" t="n">
        <v>1</v>
      </c>
      <c r="R8" s="8" t="n">
        <v>1.25</v>
      </c>
      <c r="S8" s="8" t="n">
        <v>0.8</v>
      </c>
    </row>
    <row r="9" customFormat="false" ht="15.75" hidden="false" customHeight="false" outlineLevel="0" collapsed="false">
      <c r="A9" s="8" t="s">
        <v>196</v>
      </c>
      <c r="B9" s="8" t="n">
        <v>0.8</v>
      </c>
      <c r="C9" s="8" t="n">
        <v>1</v>
      </c>
      <c r="D9" s="8" t="n">
        <v>1</v>
      </c>
      <c r="E9" s="8" t="n">
        <v>1</v>
      </c>
      <c r="F9" s="8" t="n">
        <v>1</v>
      </c>
      <c r="G9" s="8" t="n">
        <v>1</v>
      </c>
      <c r="H9" s="8" t="n">
        <v>1</v>
      </c>
      <c r="I9" s="8" t="n">
        <v>1.25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1.25</v>
      </c>
      <c r="P9" s="8" t="n">
        <v>1</v>
      </c>
      <c r="Q9" s="8" t="n">
        <v>1</v>
      </c>
      <c r="R9" s="8" t="n">
        <v>0.8</v>
      </c>
      <c r="S9" s="8" t="n">
        <v>1</v>
      </c>
    </row>
    <row r="10" customFormat="false" ht="15.75" hidden="false" customHeight="false" outlineLevel="0" collapsed="false">
      <c r="A10" s="8" t="s">
        <v>197</v>
      </c>
      <c r="B10" s="8" t="n">
        <v>1</v>
      </c>
      <c r="C10" s="8" t="n">
        <v>1</v>
      </c>
      <c r="D10" s="8" t="n">
        <v>1</v>
      </c>
      <c r="E10" s="8" t="n">
        <v>1</v>
      </c>
      <c r="F10" s="8" t="n">
        <v>1</v>
      </c>
      <c r="G10" s="8" t="n">
        <v>1.25</v>
      </c>
      <c r="H10" s="8" t="n">
        <v>1</v>
      </c>
      <c r="I10" s="8" t="n">
        <v>1</v>
      </c>
      <c r="J10" s="8" t="n">
        <v>0.8</v>
      </c>
      <c r="K10" s="8" t="n">
        <v>0.8</v>
      </c>
      <c r="L10" s="8" t="n">
        <v>0.8</v>
      </c>
      <c r="M10" s="8" t="n">
        <v>1</v>
      </c>
      <c r="N10" s="8" t="n">
        <v>0.8</v>
      </c>
      <c r="O10" s="8" t="n">
        <v>1</v>
      </c>
      <c r="P10" s="8" t="n">
        <v>1.25</v>
      </c>
      <c r="Q10" s="8" t="n">
        <v>1</v>
      </c>
      <c r="R10" s="8" t="n">
        <v>1</v>
      </c>
      <c r="S10" s="8" t="n">
        <v>1.25</v>
      </c>
    </row>
    <row r="11" customFormat="false" ht="15.75" hidden="false" customHeight="false" outlineLevel="0" collapsed="false">
      <c r="A11" s="8" t="s">
        <v>198</v>
      </c>
      <c r="B11" s="8" t="n">
        <v>1</v>
      </c>
      <c r="C11" s="8" t="n">
        <v>1</v>
      </c>
      <c r="D11" s="8" t="n">
        <v>1</v>
      </c>
      <c r="E11" s="8" t="n">
        <v>1</v>
      </c>
      <c r="F11" s="8" t="n">
        <v>1</v>
      </c>
      <c r="G11" s="8" t="n">
        <v>0.8</v>
      </c>
      <c r="H11" s="8" t="n">
        <v>1.25</v>
      </c>
      <c r="I11" s="8" t="n">
        <v>1</v>
      </c>
      <c r="J11" s="8" t="n">
        <v>1.25</v>
      </c>
      <c r="K11" s="8" t="n">
        <v>0.8</v>
      </c>
      <c r="L11" s="8" t="n">
        <v>0.8</v>
      </c>
      <c r="M11" s="8" t="n">
        <v>1.25</v>
      </c>
      <c r="N11" s="8" t="n">
        <v>1</v>
      </c>
      <c r="O11" s="8" t="n">
        <v>1</v>
      </c>
      <c r="P11" s="8" t="n">
        <v>1.25</v>
      </c>
      <c r="Q11" s="8" t="n">
        <v>0.8</v>
      </c>
      <c r="R11" s="8" t="n">
        <v>1</v>
      </c>
      <c r="S11" s="8" t="n">
        <v>1</v>
      </c>
    </row>
    <row r="12" customFormat="false" ht="15.75" hidden="false" customHeight="false" outlineLevel="0" collapsed="false">
      <c r="A12" s="8" t="s">
        <v>199</v>
      </c>
      <c r="B12" s="8" t="n">
        <v>1</v>
      </c>
      <c r="C12" s="8" t="n">
        <v>1</v>
      </c>
      <c r="D12" s="8" t="n">
        <v>1</v>
      </c>
      <c r="E12" s="8" t="n">
        <v>1</v>
      </c>
      <c r="F12" s="8" t="n">
        <v>1.25</v>
      </c>
      <c r="G12" s="8" t="n">
        <v>1.25</v>
      </c>
      <c r="H12" s="8" t="n">
        <v>1</v>
      </c>
      <c r="I12" s="8" t="n">
        <v>1</v>
      </c>
      <c r="J12" s="8" t="n">
        <v>1</v>
      </c>
      <c r="K12" s="8" t="n">
        <v>1.25</v>
      </c>
      <c r="L12" s="8" t="n">
        <v>0.8</v>
      </c>
      <c r="M12" s="8" t="n">
        <v>0.8</v>
      </c>
      <c r="N12" s="8" t="n">
        <v>1</v>
      </c>
      <c r="O12" s="8" t="n">
        <v>1</v>
      </c>
      <c r="P12" s="8" t="n">
        <v>1</v>
      </c>
      <c r="Q12" s="8" t="n">
        <v>0.8</v>
      </c>
      <c r="R12" s="8" t="n">
        <v>1</v>
      </c>
      <c r="S12" s="8" t="n">
        <v>1</v>
      </c>
    </row>
    <row r="13" customFormat="false" ht="15.75" hidden="false" customHeight="false" outlineLevel="0" collapsed="false">
      <c r="A13" s="8" t="s">
        <v>200</v>
      </c>
      <c r="B13" s="8" t="n">
        <v>1</v>
      </c>
      <c r="C13" s="8" t="n">
        <v>1</v>
      </c>
      <c r="D13" s="8" t="n">
        <v>0.8</v>
      </c>
      <c r="E13" s="8" t="n">
        <v>0.8</v>
      </c>
      <c r="F13" s="8" t="n">
        <v>1.25</v>
      </c>
      <c r="G13" s="8" t="n">
        <v>1.25</v>
      </c>
      <c r="H13" s="8" t="n">
        <v>0.8</v>
      </c>
      <c r="I13" s="8" t="n">
        <v>1</v>
      </c>
      <c r="J13" s="8" t="n">
        <v>0.8</v>
      </c>
      <c r="K13" s="8" t="n">
        <v>0.8</v>
      </c>
      <c r="L13" s="8" t="n">
        <v>1.25</v>
      </c>
      <c r="M13" s="8" t="n">
        <v>0.8</v>
      </c>
      <c r="N13" s="8" t="n">
        <v>1</v>
      </c>
      <c r="O13" s="8" t="n">
        <v>1</v>
      </c>
      <c r="P13" s="8" t="n">
        <v>1</v>
      </c>
      <c r="Q13" s="8" t="n">
        <v>0.8</v>
      </c>
      <c r="R13" s="8" t="n">
        <v>1</v>
      </c>
      <c r="S13" s="8" t="n">
        <v>1</v>
      </c>
    </row>
    <row r="14" customFormat="false" ht="15.75" hidden="false" customHeight="false" outlineLevel="0" collapsed="false">
      <c r="A14" s="8" t="s">
        <v>201</v>
      </c>
      <c r="B14" s="8" t="n">
        <v>1</v>
      </c>
      <c r="C14" s="8" t="n">
        <v>1</v>
      </c>
      <c r="D14" s="8" t="n">
        <v>1.25</v>
      </c>
      <c r="E14" s="8" t="n">
        <v>1</v>
      </c>
      <c r="F14" s="8" t="n">
        <v>0.8</v>
      </c>
      <c r="G14" s="8" t="n">
        <v>1</v>
      </c>
      <c r="H14" s="8" t="n">
        <v>1</v>
      </c>
      <c r="I14" s="8" t="n">
        <v>1</v>
      </c>
      <c r="J14" s="8" t="n">
        <v>1</v>
      </c>
      <c r="K14" s="8" t="n">
        <v>1</v>
      </c>
      <c r="L14" s="8" t="n">
        <v>1.25</v>
      </c>
      <c r="M14" s="8" t="n">
        <v>0.8</v>
      </c>
      <c r="N14" s="8" t="n">
        <v>0.8</v>
      </c>
      <c r="O14" s="8" t="n">
        <v>1</v>
      </c>
      <c r="P14" s="8" t="n">
        <v>1</v>
      </c>
      <c r="Q14" s="8" t="n">
        <v>0.8</v>
      </c>
      <c r="R14" s="8" t="n">
        <v>1</v>
      </c>
      <c r="S14" s="8" t="n">
        <v>1</v>
      </c>
    </row>
    <row r="15" customFormat="false" ht="15.75" hidden="false" customHeight="false" outlineLevel="0" collapsed="false">
      <c r="A15" s="8" t="s">
        <v>202</v>
      </c>
      <c r="B15" s="8" t="n">
        <v>1</v>
      </c>
      <c r="C15" s="8" t="n">
        <v>1.25</v>
      </c>
      <c r="D15" s="8" t="n">
        <v>1</v>
      </c>
      <c r="E15" s="8" t="n">
        <v>1.25</v>
      </c>
      <c r="F15" s="8" t="n">
        <v>1</v>
      </c>
      <c r="G15" s="8" t="n">
        <v>1</v>
      </c>
      <c r="H15" s="8" t="n">
        <v>1</v>
      </c>
      <c r="I15" s="8" t="n">
        <v>1</v>
      </c>
      <c r="J15" s="8" t="n">
        <v>0.8</v>
      </c>
      <c r="K15" s="8" t="n">
        <v>1</v>
      </c>
      <c r="L15" s="8" t="n">
        <v>1</v>
      </c>
      <c r="M15" s="8" t="n">
        <v>1</v>
      </c>
      <c r="N15" s="8" t="n">
        <v>1</v>
      </c>
      <c r="O15" s="8" t="n">
        <v>0.8</v>
      </c>
      <c r="P15" s="8" t="n">
        <v>1</v>
      </c>
      <c r="Q15" s="8" t="n">
        <v>1</v>
      </c>
      <c r="R15" s="8" t="n">
        <v>0.8</v>
      </c>
      <c r="S15" s="8" t="n">
        <v>1</v>
      </c>
    </row>
    <row r="16" customFormat="false" ht="15.75" hidden="false" customHeight="false" outlineLevel="0" collapsed="false">
      <c r="A16" s="8" t="s">
        <v>203</v>
      </c>
      <c r="B16" s="8" t="n">
        <v>1</v>
      </c>
      <c r="C16" s="8" t="n">
        <v>1</v>
      </c>
      <c r="D16" s="8" t="n">
        <v>1.25</v>
      </c>
      <c r="E16" s="8" t="n">
        <v>1</v>
      </c>
      <c r="F16" s="8" t="n">
        <v>1.25</v>
      </c>
      <c r="G16" s="8" t="n">
        <v>1</v>
      </c>
      <c r="H16" s="8" t="n">
        <v>1</v>
      </c>
      <c r="I16" s="8" t="n">
        <v>1</v>
      </c>
      <c r="J16" s="8" t="n">
        <v>0.8</v>
      </c>
      <c r="K16" s="8" t="n">
        <v>0.8</v>
      </c>
      <c r="L16" s="8" t="n">
        <v>0.8</v>
      </c>
      <c r="M16" s="8" t="n">
        <v>1.25</v>
      </c>
      <c r="N16" s="8" t="n">
        <v>1</v>
      </c>
      <c r="O16" s="8" t="n">
        <v>1</v>
      </c>
      <c r="P16" s="8" t="n">
        <v>0.8</v>
      </c>
      <c r="Q16" s="8" t="n">
        <v>1.25</v>
      </c>
      <c r="R16" s="8" t="n">
        <v>1</v>
      </c>
      <c r="S16" s="8" t="n">
        <v>1</v>
      </c>
    </row>
    <row r="17" customFormat="false" ht="15.75" hidden="false" customHeight="false" outlineLevel="0" collapsed="false">
      <c r="A17" s="8" t="s">
        <v>204</v>
      </c>
      <c r="B17" s="8" t="n">
        <v>1</v>
      </c>
      <c r="C17" s="8" t="n">
        <v>1</v>
      </c>
      <c r="D17" s="8" t="n">
        <v>1</v>
      </c>
      <c r="E17" s="8" t="n">
        <v>1</v>
      </c>
      <c r="F17" s="8" t="n">
        <v>1</v>
      </c>
      <c r="G17" s="8" t="n">
        <v>1</v>
      </c>
      <c r="H17" s="8" t="n">
        <v>1</v>
      </c>
      <c r="I17" s="8" t="n">
        <v>1</v>
      </c>
      <c r="J17" s="8" t="n">
        <v>0.8</v>
      </c>
      <c r="K17" s="8" t="n">
        <v>1</v>
      </c>
      <c r="L17" s="8" t="n">
        <v>1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1.25</v>
      </c>
      <c r="R17" s="8" t="n">
        <v>1</v>
      </c>
      <c r="S17" s="8" t="n">
        <v>0.8</v>
      </c>
    </row>
    <row r="18" customFormat="false" ht="15.75" hidden="false" customHeight="false" outlineLevel="0" collapsed="false">
      <c r="A18" s="8" t="s">
        <v>205</v>
      </c>
      <c r="B18" s="8" t="n">
        <v>1</v>
      </c>
      <c r="C18" s="8" t="n">
        <v>0.8</v>
      </c>
      <c r="D18" s="8" t="n">
        <v>1</v>
      </c>
      <c r="E18" s="8" t="n">
        <v>1</v>
      </c>
      <c r="F18" s="8" t="n">
        <v>1</v>
      </c>
      <c r="G18" s="8" t="n">
        <v>1</v>
      </c>
      <c r="H18" s="8" t="n">
        <v>1</v>
      </c>
      <c r="I18" s="8" t="n">
        <v>1.25</v>
      </c>
      <c r="J18" s="8" t="n">
        <v>1</v>
      </c>
      <c r="K18" s="8" t="n">
        <v>1</v>
      </c>
      <c r="L18" s="8" t="n">
        <v>1</v>
      </c>
      <c r="M18" s="8" t="n">
        <v>1</v>
      </c>
      <c r="N18" s="8" t="n">
        <v>1</v>
      </c>
      <c r="O18" s="8" t="n">
        <v>1.25</v>
      </c>
      <c r="P18" s="8" t="n">
        <v>1</v>
      </c>
      <c r="Q18" s="8" t="n">
        <v>1</v>
      </c>
      <c r="R18" s="8" t="n">
        <v>0.8</v>
      </c>
      <c r="S18" s="8" t="n">
        <v>0.8</v>
      </c>
    </row>
    <row r="19" customFormat="false" ht="15.75" hidden="false" customHeight="false" outlineLevel="0" collapsed="false">
      <c r="A19" s="8" t="s">
        <v>206</v>
      </c>
      <c r="B19" s="8" t="n">
        <v>1</v>
      </c>
      <c r="C19" s="8" t="n">
        <v>1.25</v>
      </c>
      <c r="D19" s="8" t="n">
        <v>1</v>
      </c>
      <c r="E19" s="8" t="n">
        <v>0.8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0.8</v>
      </c>
      <c r="K19" s="8" t="n">
        <v>0.8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1</v>
      </c>
      <c r="Q19" s="8" t="n">
        <v>1.25</v>
      </c>
      <c r="R19" s="8" t="n">
        <v>1.25</v>
      </c>
      <c r="S19" s="8" t="n">
        <v>1</v>
      </c>
    </row>
  </sheetData>
  <conditionalFormatting sqref="B2:S19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2" min="1" style="0" width="14.1734693877551"/>
    <col collapsed="false" hidden="false" max="3" min="3" style="0" width="24.7040816326531"/>
    <col collapsed="false" hidden="false" max="4" min="4" style="0" width="86.6632653061225"/>
    <col collapsed="false" hidden="false" max="1025" min="5" style="0" width="14.1734693877551"/>
  </cols>
  <sheetData>
    <row r="1" customFormat="false" ht="15.75" hidden="false" customHeight="false" outlineLevel="0" collapsed="false">
      <c r="A1" s="3" t="s">
        <v>0</v>
      </c>
      <c r="B1" s="3" t="s">
        <v>207</v>
      </c>
      <c r="C1" s="3" t="s">
        <v>208</v>
      </c>
      <c r="D1" s="3" t="s">
        <v>209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8" t="n">
        <v>1</v>
      </c>
      <c r="B2" s="8" t="s">
        <v>20</v>
      </c>
      <c r="C2" s="8" t="s">
        <v>210</v>
      </c>
      <c r="D2" s="8" t="s">
        <v>211</v>
      </c>
    </row>
    <row r="3" customFormat="false" ht="15.75" hidden="false" customHeight="false" outlineLevel="0" collapsed="false">
      <c r="A3" s="8" t="n">
        <v>2</v>
      </c>
      <c r="B3" s="8" t="s">
        <v>21</v>
      </c>
      <c r="C3" s="8" t="s">
        <v>212</v>
      </c>
      <c r="D3" s="8" t="s">
        <v>213</v>
      </c>
    </row>
    <row r="4" customFormat="false" ht="15.75" hidden="false" customHeight="false" outlineLevel="0" collapsed="false">
      <c r="A4" s="8" t="n">
        <v>3</v>
      </c>
      <c r="B4" s="8" t="s">
        <v>22</v>
      </c>
      <c r="C4" s="8" t="s">
        <v>212</v>
      </c>
      <c r="D4" s="8" t="s">
        <v>214</v>
      </c>
    </row>
    <row r="5" customFormat="false" ht="15.75" hidden="false" customHeight="false" outlineLevel="0" collapsed="false">
      <c r="A5" s="8" t="n">
        <v>4</v>
      </c>
      <c r="B5" s="8" t="s">
        <v>23</v>
      </c>
      <c r="C5" s="8" t="s">
        <v>215</v>
      </c>
      <c r="D5" s="8" t="s">
        <v>216</v>
      </c>
    </row>
    <row r="6" customFormat="false" ht="15.75" hidden="false" customHeight="false" outlineLevel="0" collapsed="false">
      <c r="A6" s="8" t="n">
        <v>5</v>
      </c>
      <c r="B6" s="8" t="s">
        <v>24</v>
      </c>
      <c r="C6" s="8" t="s">
        <v>215</v>
      </c>
      <c r="D6" s="8" t="s">
        <v>217</v>
      </c>
    </row>
    <row r="7" customFormat="false" ht="15.75" hidden="false" customHeight="false" outlineLevel="0" collapsed="false">
      <c r="A7" s="8" t="n">
        <v>6</v>
      </c>
      <c r="B7" s="8" t="s">
        <v>25</v>
      </c>
      <c r="C7" s="8" t="s">
        <v>218</v>
      </c>
      <c r="D7" s="8" t="s">
        <v>219</v>
      </c>
    </row>
    <row r="8" customFormat="false" ht="15.75" hidden="false" customHeight="false" outlineLevel="0" collapsed="false">
      <c r="A8" s="8" t="n">
        <v>7</v>
      </c>
      <c r="B8" s="8" t="s">
        <v>26</v>
      </c>
      <c r="C8" s="8" t="s">
        <v>220</v>
      </c>
      <c r="D8" s="8" t="s">
        <v>221</v>
      </c>
    </row>
    <row r="9" customFormat="false" ht="15.75" hidden="false" customHeight="false" outlineLevel="0" collapsed="false">
      <c r="A9" s="8" t="n">
        <v>8</v>
      </c>
      <c r="B9" s="8" t="s">
        <v>27</v>
      </c>
      <c r="C9" s="8" t="s">
        <v>222</v>
      </c>
      <c r="D9" s="8" t="s">
        <v>223</v>
      </c>
    </row>
    <row r="10" customFormat="false" ht="15.75" hidden="false" customHeight="false" outlineLevel="0" collapsed="false">
      <c r="A10" s="8" t="n">
        <v>9</v>
      </c>
      <c r="B10" s="8" t="s">
        <v>28</v>
      </c>
      <c r="C10" s="8" t="s">
        <v>222</v>
      </c>
      <c r="D10" s="8" t="s">
        <v>224</v>
      </c>
    </row>
    <row r="11" customFormat="false" ht="15.75" hidden="false" customHeight="false" outlineLevel="0" collapsed="false">
      <c r="A11" s="8" t="n">
        <v>10</v>
      </c>
      <c r="B11" s="8" t="s">
        <v>29</v>
      </c>
      <c r="C11" s="8" t="s">
        <v>225</v>
      </c>
      <c r="D11" s="8" t="s">
        <v>226</v>
      </c>
    </row>
    <row r="12" customFormat="false" ht="15.75" hidden="false" customHeight="false" outlineLevel="0" collapsed="false">
      <c r="A12" s="8" t="n">
        <v>11</v>
      </c>
      <c r="B12" s="8" t="s">
        <v>30</v>
      </c>
      <c r="C12" s="8" t="s">
        <v>225</v>
      </c>
      <c r="D12" s="8" t="s">
        <v>226</v>
      </c>
    </row>
    <row r="13" customFormat="false" ht="15.75" hidden="false" customHeight="false" outlineLevel="0" collapsed="false">
      <c r="A13" s="8" t="n">
        <v>12</v>
      </c>
      <c r="B13" s="8" t="s">
        <v>31</v>
      </c>
      <c r="C13" s="8" t="s">
        <v>227</v>
      </c>
      <c r="D13" s="8" t="s">
        <v>228</v>
      </c>
    </row>
    <row r="14" customFormat="false" ht="15.75" hidden="false" customHeight="false" outlineLevel="0" collapsed="false">
      <c r="A14" s="8" t="n">
        <v>13</v>
      </c>
      <c r="B14" s="8" t="s">
        <v>32</v>
      </c>
      <c r="C14" s="8" t="s">
        <v>229</v>
      </c>
      <c r="D14" s="8" t="s">
        <v>226</v>
      </c>
    </row>
    <row r="15" customFormat="false" ht="15.75" hidden="false" customHeight="false" outlineLevel="0" collapsed="false">
      <c r="A15" s="8" t="n">
        <v>14</v>
      </c>
      <c r="B15" s="8" t="s">
        <v>33</v>
      </c>
      <c r="C15" s="8" t="s">
        <v>229</v>
      </c>
      <c r="D15" s="8" t="s">
        <v>226</v>
      </c>
    </row>
    <row r="16" customFormat="false" ht="15.75" hidden="false" customHeight="false" outlineLevel="0" collapsed="false">
      <c r="A16" s="8" t="n">
        <v>15</v>
      </c>
      <c r="B16" s="8" t="s">
        <v>34</v>
      </c>
      <c r="C16" s="8" t="s">
        <v>230</v>
      </c>
      <c r="D16" s="8" t="s">
        <v>231</v>
      </c>
    </row>
    <row r="17" customFormat="false" ht="15.75" hidden="false" customHeight="false" outlineLevel="0" collapsed="false">
      <c r="A17" s="8" t="n">
        <v>16</v>
      </c>
      <c r="B17" s="8" t="s">
        <v>35</v>
      </c>
      <c r="C17" s="8" t="s">
        <v>232</v>
      </c>
      <c r="D17" s="8" t="s">
        <v>233</v>
      </c>
    </row>
    <row r="18" customFormat="false" ht="15.75" hidden="false" customHeight="false" outlineLevel="0" collapsed="false">
      <c r="A18" s="8" t="n">
        <v>17</v>
      </c>
      <c r="B18" s="8" t="s">
        <v>36</v>
      </c>
      <c r="C18" s="8" t="s">
        <v>234</v>
      </c>
      <c r="D18" s="8" t="s">
        <v>233</v>
      </c>
    </row>
    <row r="19" customFormat="false" ht="15.75" hidden="false" customHeight="false" outlineLevel="0" collapsed="false">
      <c r="A19" s="8" t="n">
        <v>18</v>
      </c>
      <c r="B19" s="8" t="s">
        <v>37</v>
      </c>
      <c r="C19" s="8" t="s">
        <v>234</v>
      </c>
      <c r="D19" s="8" t="s">
        <v>235</v>
      </c>
    </row>
    <row r="20" customFormat="false" ht="15.75" hidden="false" customHeight="false" outlineLevel="0" collapsed="false">
      <c r="A20" s="8" t="n">
        <v>19</v>
      </c>
      <c r="B20" s="8" t="s">
        <v>38</v>
      </c>
      <c r="C20" s="8" t="s">
        <v>236</v>
      </c>
      <c r="D20" s="8" t="s">
        <v>237</v>
      </c>
    </row>
    <row r="21" customFormat="false" ht="15.75" hidden="false" customHeight="false" outlineLevel="0" collapsed="false">
      <c r="A21" s="8" t="n">
        <v>20</v>
      </c>
      <c r="B21" s="8" t="s">
        <v>39</v>
      </c>
      <c r="C21" s="8" t="s">
        <v>238</v>
      </c>
      <c r="D21" s="8" t="s">
        <v>239</v>
      </c>
    </row>
    <row r="22" customFormat="false" ht="15.75" hidden="false" customHeight="false" outlineLevel="0" collapsed="false">
      <c r="A22" s="8" t="n">
        <v>21</v>
      </c>
      <c r="B22" s="8" t="s">
        <v>40</v>
      </c>
      <c r="C22" s="8" t="s">
        <v>240</v>
      </c>
      <c r="D22" s="8" t="s">
        <v>241</v>
      </c>
    </row>
    <row r="23" customFormat="false" ht="15.75" hidden="false" customHeight="false" outlineLevel="0" collapsed="false">
      <c r="A23" s="8" t="n">
        <v>22</v>
      </c>
      <c r="B23" s="8" t="s">
        <v>41</v>
      </c>
      <c r="C23" s="8" t="s">
        <v>242</v>
      </c>
      <c r="D23" s="8" t="s">
        <v>243</v>
      </c>
    </row>
    <row r="24" customFormat="false" ht="15.75" hidden="false" customHeight="false" outlineLevel="0" collapsed="false">
      <c r="A24" s="8" t="n">
        <v>23</v>
      </c>
      <c r="B24" s="8" t="s">
        <v>42</v>
      </c>
      <c r="C24" s="8" t="s">
        <v>244</v>
      </c>
      <c r="D24" s="8" t="s">
        <v>245</v>
      </c>
    </row>
    <row r="25" customFormat="false" ht="15.75" hidden="false" customHeight="false" outlineLevel="0" collapsed="false">
      <c r="A25" s="8" t="n">
        <v>24</v>
      </c>
      <c r="B25" s="8" t="s">
        <v>43</v>
      </c>
      <c r="C25" s="8" t="s">
        <v>246</v>
      </c>
      <c r="D25" s="8" t="s">
        <v>247</v>
      </c>
    </row>
    <row r="26" customFormat="false" ht="15.75" hidden="false" customHeight="false" outlineLevel="0" collapsed="false">
      <c r="A26" s="8" t="n">
        <v>25</v>
      </c>
      <c r="B26" s="8" t="s">
        <v>44</v>
      </c>
      <c r="C26" s="8" t="s">
        <v>248</v>
      </c>
      <c r="D26" s="8" t="s">
        <v>249</v>
      </c>
    </row>
    <row r="27" customFormat="false" ht="15.75" hidden="false" customHeight="false" outlineLevel="0" collapsed="false">
      <c r="A27" s="8" t="n">
        <v>26</v>
      </c>
      <c r="B27" s="8" t="s">
        <v>45</v>
      </c>
      <c r="C27" s="8" t="s">
        <v>250</v>
      </c>
      <c r="D27" s="8" t="s">
        <v>251</v>
      </c>
    </row>
    <row r="28" customFormat="false" ht="15.75" hidden="false" customHeight="false" outlineLevel="0" collapsed="false">
      <c r="A28" s="8" t="n">
        <v>27</v>
      </c>
      <c r="B28" s="8" t="s">
        <v>46</v>
      </c>
      <c r="C28" s="8" t="s">
        <v>252</v>
      </c>
      <c r="D28" s="8" t="s">
        <v>253</v>
      </c>
    </row>
    <row r="29" customFormat="false" ht="15.75" hidden="false" customHeight="false" outlineLevel="0" collapsed="false">
      <c r="A29" s="8" t="n">
        <v>28</v>
      </c>
      <c r="B29" s="8" t="s">
        <v>47</v>
      </c>
      <c r="C29" s="8" t="s">
        <v>254</v>
      </c>
      <c r="D29" s="8" t="s">
        <v>255</v>
      </c>
    </row>
    <row r="30" customFormat="false" ht="15.75" hidden="false" customHeight="false" outlineLevel="0" collapsed="false">
      <c r="A30" s="8" t="n">
        <v>29</v>
      </c>
      <c r="B30" s="8" t="s">
        <v>256</v>
      </c>
      <c r="C30" s="8" t="s">
        <v>257</v>
      </c>
      <c r="D30" s="8" t="s">
        <v>258</v>
      </c>
    </row>
    <row r="31" customFormat="false" ht="15.75" hidden="false" customHeight="false" outlineLevel="0" collapsed="false">
      <c r="A31" s="8" t="n">
        <v>30</v>
      </c>
      <c r="B31" s="8" t="s">
        <v>49</v>
      </c>
      <c r="C31" s="8" t="s">
        <v>257</v>
      </c>
      <c r="D31" s="8" t="s">
        <v>259</v>
      </c>
    </row>
    <row r="32" customFormat="false" ht="15.75" hidden="false" customHeight="false" outlineLevel="0" collapsed="false">
      <c r="A32" s="8" t="n">
        <v>31</v>
      </c>
      <c r="B32" s="8" t="s">
        <v>50</v>
      </c>
      <c r="C32" s="8" t="s">
        <v>260</v>
      </c>
      <c r="D32" s="8" t="s">
        <v>261</v>
      </c>
    </row>
    <row r="33" customFormat="false" ht="15.75" hidden="false" customHeight="false" outlineLevel="0" collapsed="false">
      <c r="A33" s="8" t="n">
        <v>32</v>
      </c>
      <c r="B33" s="8" t="s">
        <v>256</v>
      </c>
      <c r="C33" s="8" t="s">
        <v>262</v>
      </c>
      <c r="D33" s="8" t="s">
        <v>263</v>
      </c>
    </row>
    <row r="34" customFormat="false" ht="15.75" hidden="false" customHeight="false" outlineLevel="0" collapsed="false">
      <c r="A34" s="8" t="n">
        <v>33</v>
      </c>
      <c r="B34" s="8" t="s">
        <v>52</v>
      </c>
      <c r="C34" s="8" t="s">
        <v>264</v>
      </c>
      <c r="D34" s="8" t="s">
        <v>265</v>
      </c>
    </row>
    <row r="35" customFormat="false" ht="15.75" hidden="false" customHeight="false" outlineLevel="0" collapsed="false">
      <c r="A35" s="8" t="n">
        <v>34</v>
      </c>
      <c r="B35" s="8" t="s">
        <v>53</v>
      </c>
      <c r="C35" s="8" t="s">
        <v>266</v>
      </c>
      <c r="D35" s="8" t="s">
        <v>267</v>
      </c>
    </row>
    <row r="36" customFormat="false" ht="15.75" hidden="false" customHeight="false" outlineLevel="0" collapsed="false">
      <c r="A36" s="8" t="n">
        <v>35</v>
      </c>
      <c r="B36" s="8" t="s">
        <v>54</v>
      </c>
      <c r="C36" s="8" t="s">
        <v>268</v>
      </c>
      <c r="D36" s="8" t="s">
        <v>269</v>
      </c>
    </row>
    <row r="37" customFormat="false" ht="15.75" hidden="false" customHeight="false" outlineLevel="0" collapsed="false">
      <c r="A37" s="8" t="n">
        <v>36</v>
      </c>
      <c r="B37" s="8" t="s">
        <v>55</v>
      </c>
      <c r="C37" s="8" t="s">
        <v>268</v>
      </c>
      <c r="D37" s="8" t="s">
        <v>270</v>
      </c>
    </row>
    <row r="38" customFormat="false" ht="15.75" hidden="false" customHeight="false" outlineLevel="0" collapsed="false">
      <c r="A38" s="8" t="n">
        <v>37</v>
      </c>
      <c r="B38" s="8" t="s">
        <v>56</v>
      </c>
      <c r="C38" s="8" t="s">
        <v>271</v>
      </c>
      <c r="D38" s="8" t="s">
        <v>272</v>
      </c>
    </row>
    <row r="39" customFormat="false" ht="15.75" hidden="false" customHeight="false" outlineLevel="0" collapsed="false">
      <c r="A39" s="8" t="n">
        <v>38</v>
      </c>
      <c r="B39" s="8" t="s">
        <v>57</v>
      </c>
      <c r="C39" s="8" t="s">
        <v>273</v>
      </c>
      <c r="D39" s="8" t="s">
        <v>274</v>
      </c>
    </row>
    <row r="40" customFormat="false" ht="15.75" hidden="false" customHeight="false" outlineLevel="0" collapsed="false">
      <c r="A40" s="8" t="n">
        <v>39</v>
      </c>
      <c r="B40" s="8" t="s">
        <v>58</v>
      </c>
      <c r="C40" s="8" t="s">
        <v>275</v>
      </c>
      <c r="D40" s="8" t="s">
        <v>276</v>
      </c>
    </row>
    <row r="41" customFormat="false" ht="15.75" hidden="false" customHeight="false" outlineLevel="0" collapsed="false">
      <c r="A41" s="8" t="n">
        <v>40</v>
      </c>
      <c r="B41" s="8" t="s">
        <v>59</v>
      </c>
      <c r="C41" s="8" t="s">
        <v>275</v>
      </c>
      <c r="D41" s="8" t="s">
        <v>277</v>
      </c>
    </row>
    <row r="42" customFormat="false" ht="15.75" hidden="false" customHeight="false" outlineLevel="0" collapsed="false">
      <c r="A42" s="8" t="n">
        <v>41</v>
      </c>
      <c r="B42" s="8" t="s">
        <v>60</v>
      </c>
      <c r="C42" s="8" t="s">
        <v>278</v>
      </c>
      <c r="D42" s="8" t="s">
        <v>279</v>
      </c>
    </row>
    <row r="43" customFormat="false" ht="15.75" hidden="false" customHeight="false" outlineLevel="0" collapsed="false">
      <c r="A43" s="8" t="n">
        <v>42</v>
      </c>
      <c r="B43" s="8" t="s">
        <v>61</v>
      </c>
      <c r="C43" s="8" t="s">
        <v>280</v>
      </c>
      <c r="D43" s="8" t="s">
        <v>281</v>
      </c>
    </row>
    <row r="44" customFormat="false" ht="15.75" hidden="false" customHeight="false" outlineLevel="0" collapsed="false">
      <c r="A44" s="8" t="n">
        <v>43</v>
      </c>
      <c r="B44" s="8" t="s">
        <v>62</v>
      </c>
      <c r="C44" s="8" t="s">
        <v>282</v>
      </c>
      <c r="D44" s="8" t="s">
        <v>283</v>
      </c>
    </row>
    <row r="45" customFormat="false" ht="15.75" hidden="false" customHeight="false" outlineLevel="0" collapsed="false">
      <c r="A45" s="8" t="n">
        <v>44</v>
      </c>
      <c r="B45" s="8" t="s">
        <v>63</v>
      </c>
      <c r="C45" s="8" t="s">
        <v>282</v>
      </c>
      <c r="D45" s="8" t="s">
        <v>284</v>
      </c>
    </row>
    <row r="46" customFormat="false" ht="15.75" hidden="false" customHeight="false" outlineLevel="0" collapsed="false">
      <c r="A46" s="8" t="n">
        <v>45</v>
      </c>
      <c r="B46" s="8" t="s">
        <v>64</v>
      </c>
      <c r="C46" s="8" t="s">
        <v>282</v>
      </c>
      <c r="D46" s="8" t="s">
        <v>285</v>
      </c>
    </row>
    <row r="47" customFormat="false" ht="15.75" hidden="false" customHeight="false" outlineLevel="0" collapsed="false">
      <c r="A47" s="8" t="n">
        <v>46</v>
      </c>
      <c r="B47" s="8" t="s">
        <v>65</v>
      </c>
      <c r="C47" s="8" t="s">
        <v>286</v>
      </c>
      <c r="D47" s="8" t="s">
        <v>287</v>
      </c>
    </row>
    <row r="48" customFormat="false" ht="15.75" hidden="false" customHeight="false" outlineLevel="0" collapsed="false">
      <c r="A48" s="8" t="n">
        <v>47</v>
      </c>
      <c r="B48" s="8" t="s">
        <v>66</v>
      </c>
      <c r="C48" s="8" t="s">
        <v>288</v>
      </c>
      <c r="D48" s="8" t="s">
        <v>289</v>
      </c>
    </row>
    <row r="49" customFormat="false" ht="15.75" hidden="false" customHeight="false" outlineLevel="0" collapsed="false">
      <c r="A49" s="8" t="n">
        <v>48</v>
      </c>
      <c r="B49" s="8" t="s">
        <v>67</v>
      </c>
      <c r="C49" s="8" t="s">
        <v>227</v>
      </c>
      <c r="D49" s="8" t="s">
        <v>290</v>
      </c>
    </row>
    <row r="50" customFormat="false" ht="15.75" hidden="false" customHeight="false" outlineLevel="0" collapsed="false">
      <c r="A50" s="8" t="n">
        <v>49</v>
      </c>
      <c r="B50" s="8" t="s">
        <v>68</v>
      </c>
      <c r="C50" s="8" t="s">
        <v>227</v>
      </c>
      <c r="D50" s="8" t="s">
        <v>291</v>
      </c>
    </row>
    <row r="51" customFormat="false" ht="15.75" hidden="false" customHeight="false" outlineLevel="0" collapsed="false">
      <c r="A51" s="8" t="n">
        <v>50</v>
      </c>
      <c r="B51" s="8" t="s">
        <v>69</v>
      </c>
      <c r="C51" s="8" t="s">
        <v>292</v>
      </c>
      <c r="D51" s="8" t="s">
        <v>293</v>
      </c>
    </row>
    <row r="52" customFormat="false" ht="15.75" hidden="false" customHeight="false" outlineLevel="0" collapsed="false">
      <c r="A52" s="8" t="n">
        <v>51</v>
      </c>
      <c r="B52" s="8" t="s">
        <v>70</v>
      </c>
      <c r="C52" s="8" t="s">
        <v>294</v>
      </c>
      <c r="D52" s="8" t="s">
        <v>295</v>
      </c>
    </row>
    <row r="53" customFormat="false" ht="15.75" hidden="false" customHeight="false" outlineLevel="0" collapsed="false">
      <c r="A53" s="8" t="n">
        <v>52</v>
      </c>
      <c r="B53" s="8" t="s">
        <v>71</v>
      </c>
      <c r="C53" s="8" t="s">
        <v>296</v>
      </c>
      <c r="D53" s="8" t="s">
        <v>297</v>
      </c>
    </row>
    <row r="54" customFormat="false" ht="15.75" hidden="false" customHeight="false" outlineLevel="0" collapsed="false">
      <c r="A54" s="8" t="n">
        <v>53</v>
      </c>
      <c r="B54" s="8" t="s">
        <v>72</v>
      </c>
      <c r="C54" s="8" t="s">
        <v>298</v>
      </c>
      <c r="D54" s="8" t="s">
        <v>299</v>
      </c>
    </row>
    <row r="55" customFormat="false" ht="15.75" hidden="false" customHeight="false" outlineLevel="0" collapsed="false">
      <c r="A55" s="8" t="n">
        <v>54</v>
      </c>
      <c r="B55" s="8" t="s">
        <v>73</v>
      </c>
      <c r="C55" s="8" t="s">
        <v>300</v>
      </c>
      <c r="D55" s="8" t="s">
        <v>301</v>
      </c>
    </row>
    <row r="56" customFormat="false" ht="15.75" hidden="false" customHeight="false" outlineLevel="0" collapsed="false">
      <c r="A56" s="8" t="n">
        <v>55</v>
      </c>
      <c r="B56" s="8" t="s">
        <v>74</v>
      </c>
      <c r="C56" s="8" t="s">
        <v>302</v>
      </c>
      <c r="D56" s="8" t="s">
        <v>303</v>
      </c>
    </row>
    <row r="57" customFormat="false" ht="15.75" hidden="false" customHeight="false" outlineLevel="0" collapsed="false">
      <c r="A57" s="8" t="n">
        <v>56</v>
      </c>
      <c r="B57" s="8" t="s">
        <v>75</v>
      </c>
      <c r="C57" s="8" t="s">
        <v>304</v>
      </c>
      <c r="D57" s="8" t="s">
        <v>305</v>
      </c>
    </row>
    <row r="58" customFormat="false" ht="15.75" hidden="false" customHeight="false" outlineLevel="0" collapsed="false">
      <c r="A58" s="8" t="n">
        <v>57</v>
      </c>
      <c r="B58" s="8" t="s">
        <v>76</v>
      </c>
      <c r="C58" s="8" t="s">
        <v>306</v>
      </c>
      <c r="D58" s="8" t="s">
        <v>307</v>
      </c>
    </row>
    <row r="59" customFormat="false" ht="15.75" hidden="false" customHeight="false" outlineLevel="0" collapsed="false">
      <c r="A59" s="8" t="n">
        <v>58</v>
      </c>
      <c r="B59" s="8" t="s">
        <v>77</v>
      </c>
      <c r="C59" s="8" t="s">
        <v>308</v>
      </c>
      <c r="D59" s="8" t="s">
        <v>309</v>
      </c>
    </row>
    <row r="60" customFormat="false" ht="15.75" hidden="false" customHeight="false" outlineLevel="0" collapsed="false">
      <c r="A60" s="8" t="n">
        <v>59</v>
      </c>
      <c r="B60" s="8" t="s">
        <v>78</v>
      </c>
      <c r="C60" s="8" t="s">
        <v>310</v>
      </c>
      <c r="D60" s="8" t="s">
        <v>311</v>
      </c>
    </row>
    <row r="61" customFormat="false" ht="15.75" hidden="false" customHeight="false" outlineLevel="0" collapsed="false">
      <c r="A61" s="8" t="n">
        <v>60</v>
      </c>
      <c r="B61" s="8" t="s">
        <v>79</v>
      </c>
      <c r="C61" s="8" t="s">
        <v>312</v>
      </c>
      <c r="D61" s="8" t="s">
        <v>313</v>
      </c>
    </row>
    <row r="62" customFormat="false" ht="15.75" hidden="false" customHeight="false" outlineLevel="0" collapsed="false">
      <c r="A62" s="8" t="n">
        <v>61</v>
      </c>
      <c r="B62" s="8" t="s">
        <v>80</v>
      </c>
      <c r="C62" s="8" t="s">
        <v>312</v>
      </c>
      <c r="D62" s="8" t="s">
        <v>314</v>
      </c>
    </row>
    <row r="63" customFormat="false" ht="15.75" hidden="false" customHeight="false" outlineLevel="0" collapsed="false">
      <c r="A63" s="8" t="n">
        <v>62</v>
      </c>
      <c r="B63" s="8" t="s">
        <v>81</v>
      </c>
      <c r="C63" s="8" t="s">
        <v>312</v>
      </c>
      <c r="D63" s="8" t="s">
        <v>315</v>
      </c>
    </row>
    <row r="64" customFormat="false" ht="15.75" hidden="false" customHeight="false" outlineLevel="0" collapsed="false">
      <c r="A64" s="8" t="n">
        <v>63</v>
      </c>
      <c r="B64" s="8" t="s">
        <v>82</v>
      </c>
      <c r="C64" s="8" t="s">
        <v>316</v>
      </c>
      <c r="D64" s="8" t="s">
        <v>317</v>
      </c>
    </row>
    <row r="65" customFormat="false" ht="15.75" hidden="false" customHeight="false" outlineLevel="0" collapsed="false">
      <c r="A65" s="8" t="n">
        <v>64</v>
      </c>
      <c r="B65" s="8" t="s">
        <v>83</v>
      </c>
      <c r="C65" s="8" t="s">
        <v>318</v>
      </c>
      <c r="D65" s="8" t="s">
        <v>290</v>
      </c>
    </row>
    <row r="66" customFormat="false" ht="15.75" hidden="false" customHeight="false" outlineLevel="0" collapsed="false">
      <c r="A66" s="8" t="n">
        <v>65</v>
      </c>
      <c r="B66" s="8" t="s">
        <v>84</v>
      </c>
      <c r="C66" s="8" t="s">
        <v>318</v>
      </c>
      <c r="D66" s="8" t="s">
        <v>319</v>
      </c>
    </row>
    <row r="67" customFormat="false" ht="15.75" hidden="false" customHeight="false" outlineLevel="0" collapsed="false">
      <c r="A67" s="8" t="n">
        <v>66</v>
      </c>
      <c r="B67" s="8" t="s">
        <v>85</v>
      </c>
      <c r="C67" s="8" t="s">
        <v>306</v>
      </c>
      <c r="D67" s="8" t="s">
        <v>320</v>
      </c>
    </row>
    <row r="68" customFormat="false" ht="15.75" hidden="false" customHeight="false" outlineLevel="0" collapsed="false">
      <c r="A68" s="8" t="n">
        <v>67</v>
      </c>
      <c r="B68" s="8" t="s">
        <v>86</v>
      </c>
      <c r="C68" s="8" t="s">
        <v>306</v>
      </c>
      <c r="D68" s="8" t="s">
        <v>321</v>
      </c>
    </row>
    <row r="69" customFormat="false" ht="15.75" hidden="false" customHeight="false" outlineLevel="0" collapsed="false">
      <c r="A69" s="8" t="n">
        <v>68</v>
      </c>
      <c r="B69" s="8" t="s">
        <v>87</v>
      </c>
      <c r="C69" s="8" t="s">
        <v>322</v>
      </c>
      <c r="D69" s="8" t="s">
        <v>323</v>
      </c>
    </row>
    <row r="70" customFormat="false" ht="15.75" hidden="false" customHeight="false" outlineLevel="0" collapsed="false">
      <c r="A70" s="8" t="n">
        <v>69</v>
      </c>
      <c r="B70" s="8" t="s">
        <v>88</v>
      </c>
      <c r="C70" s="8" t="s">
        <v>324</v>
      </c>
      <c r="D70" s="8" t="s">
        <v>325</v>
      </c>
    </row>
    <row r="71" customFormat="false" ht="15.75" hidden="false" customHeight="false" outlineLevel="0" collapsed="false">
      <c r="A71" s="8" t="n">
        <v>70</v>
      </c>
      <c r="B71" s="8" t="s">
        <v>89</v>
      </c>
      <c r="C71" s="8" t="s">
        <v>282</v>
      </c>
      <c r="D71" s="8" t="s">
        <v>326</v>
      </c>
    </row>
    <row r="72" customFormat="false" ht="15.75" hidden="false" customHeight="false" outlineLevel="0" collapsed="false">
      <c r="A72" s="8" t="n">
        <v>71</v>
      </c>
      <c r="B72" s="8" t="s">
        <v>90</v>
      </c>
      <c r="C72" s="8" t="s">
        <v>282</v>
      </c>
      <c r="D72" s="8" t="s">
        <v>327</v>
      </c>
    </row>
    <row r="73" customFormat="false" ht="15.75" hidden="false" customHeight="false" outlineLevel="0" collapsed="false">
      <c r="A73" s="8" t="n">
        <v>72</v>
      </c>
      <c r="B73" s="8" t="s">
        <v>91</v>
      </c>
      <c r="C73" s="8" t="s">
        <v>328</v>
      </c>
      <c r="D73" s="8" t="s">
        <v>329</v>
      </c>
    </row>
    <row r="74" customFormat="false" ht="15.75" hidden="false" customHeight="false" outlineLevel="0" collapsed="false">
      <c r="A74" s="8" t="n">
        <v>73</v>
      </c>
      <c r="B74" s="8" t="s">
        <v>92</v>
      </c>
      <c r="C74" s="8" t="s">
        <v>330</v>
      </c>
      <c r="D74" s="8" t="s">
        <v>331</v>
      </c>
    </row>
    <row r="75" customFormat="false" ht="15.75" hidden="false" customHeight="false" outlineLevel="0" collapsed="false">
      <c r="A75" s="8" t="n">
        <v>74</v>
      </c>
      <c r="B75" s="8" t="s">
        <v>93</v>
      </c>
      <c r="C75" s="8" t="s">
        <v>332</v>
      </c>
      <c r="D75" s="8" t="s">
        <v>333</v>
      </c>
    </row>
    <row r="76" customFormat="false" ht="15.75" hidden="false" customHeight="false" outlineLevel="0" collapsed="false">
      <c r="A76" s="8" t="n">
        <v>75</v>
      </c>
      <c r="B76" s="8" t="s">
        <v>94</v>
      </c>
      <c r="C76" s="8" t="s">
        <v>334</v>
      </c>
      <c r="D76" s="8" t="s">
        <v>335</v>
      </c>
    </row>
    <row r="77" customFormat="false" ht="15.75" hidden="false" customHeight="false" outlineLevel="0" collapsed="false">
      <c r="A77" s="8" t="n">
        <v>76</v>
      </c>
      <c r="B77" s="8" t="s">
        <v>95</v>
      </c>
      <c r="C77" s="8" t="s">
        <v>334</v>
      </c>
      <c r="D77" s="8" t="s">
        <v>336</v>
      </c>
    </row>
    <row r="78" customFormat="false" ht="15.75" hidden="false" customHeight="false" outlineLevel="0" collapsed="false">
      <c r="A78" s="8" t="n">
        <v>77</v>
      </c>
      <c r="B78" s="8" t="s">
        <v>96</v>
      </c>
      <c r="C78" s="8" t="s">
        <v>337</v>
      </c>
      <c r="D78" s="8" t="s">
        <v>338</v>
      </c>
    </row>
    <row r="79" customFormat="false" ht="15.75" hidden="false" customHeight="false" outlineLevel="0" collapsed="false">
      <c r="A79" s="8" t="n">
        <v>78</v>
      </c>
      <c r="B79" s="8" t="s">
        <v>97</v>
      </c>
      <c r="C79" s="8" t="s">
        <v>339</v>
      </c>
      <c r="D79" s="8" t="s">
        <v>340</v>
      </c>
    </row>
    <row r="80" customFormat="false" ht="15.75" hidden="false" customHeight="false" outlineLevel="0" collapsed="false">
      <c r="A80" s="8" t="n">
        <v>79</v>
      </c>
      <c r="B80" s="8" t="s">
        <v>98</v>
      </c>
      <c r="C80" s="8" t="s">
        <v>302</v>
      </c>
      <c r="D80" s="8" t="s">
        <v>341</v>
      </c>
    </row>
    <row r="81" customFormat="false" ht="15.75" hidden="false" customHeight="false" outlineLevel="0" collapsed="false">
      <c r="A81" s="8" t="n">
        <v>80</v>
      </c>
      <c r="B81" s="8" t="s">
        <v>99</v>
      </c>
      <c r="C81" s="8" t="s">
        <v>302</v>
      </c>
      <c r="D81" s="8" t="s">
        <v>342</v>
      </c>
    </row>
    <row r="82" customFormat="false" ht="15.75" hidden="false" customHeight="false" outlineLevel="0" collapsed="false">
      <c r="A82" s="8" t="n">
        <v>81</v>
      </c>
      <c r="B82" s="8" t="s">
        <v>100</v>
      </c>
      <c r="C82" s="8" t="s">
        <v>343</v>
      </c>
      <c r="D82" s="8" t="s">
        <v>344</v>
      </c>
    </row>
    <row r="83" customFormat="false" ht="15.75" hidden="false" customHeight="false" outlineLevel="0" collapsed="false">
      <c r="A83" s="8" t="n">
        <v>82</v>
      </c>
      <c r="B83" s="8" t="s">
        <v>101</v>
      </c>
      <c r="C83" s="8" t="s">
        <v>343</v>
      </c>
      <c r="D83" s="8" t="s">
        <v>345</v>
      </c>
    </row>
    <row r="84" customFormat="false" ht="15.75" hidden="false" customHeight="false" outlineLevel="0" collapsed="false">
      <c r="A84" s="8" t="n">
        <v>83</v>
      </c>
      <c r="B84" s="8" t="s">
        <v>346</v>
      </c>
      <c r="C84" s="8" t="s">
        <v>347</v>
      </c>
      <c r="D84" s="8" t="s">
        <v>348</v>
      </c>
    </row>
    <row r="85" customFormat="false" ht="15.75" hidden="false" customHeight="false" outlineLevel="0" collapsed="false">
      <c r="A85" s="8" t="n">
        <v>84</v>
      </c>
      <c r="B85" s="8" t="s">
        <v>103</v>
      </c>
      <c r="C85" s="8" t="s">
        <v>240</v>
      </c>
      <c r="D85" s="8" t="s">
        <v>349</v>
      </c>
    </row>
    <row r="86" customFormat="false" ht="15.75" hidden="false" customHeight="false" outlineLevel="0" collapsed="false">
      <c r="A86" s="8" t="n">
        <v>85</v>
      </c>
      <c r="B86" s="8" t="s">
        <v>104</v>
      </c>
      <c r="C86" s="8" t="s">
        <v>350</v>
      </c>
      <c r="D86" s="8" t="s">
        <v>351</v>
      </c>
    </row>
    <row r="87" customFormat="false" ht="15.75" hidden="false" customHeight="false" outlineLevel="0" collapsed="false">
      <c r="A87" s="8" t="n">
        <v>86</v>
      </c>
      <c r="B87" s="8" t="s">
        <v>105</v>
      </c>
      <c r="C87" s="8" t="s">
        <v>352</v>
      </c>
      <c r="D87" s="8" t="s">
        <v>353</v>
      </c>
    </row>
    <row r="88" customFormat="false" ht="15.75" hidden="false" customHeight="false" outlineLevel="0" collapsed="false">
      <c r="A88" s="8" t="n">
        <v>87</v>
      </c>
      <c r="B88" s="8" t="s">
        <v>106</v>
      </c>
      <c r="C88" s="8" t="s">
        <v>354</v>
      </c>
      <c r="D88" s="8" t="s">
        <v>355</v>
      </c>
    </row>
    <row r="89" customFormat="false" ht="15.75" hidden="false" customHeight="false" outlineLevel="0" collapsed="false">
      <c r="A89" s="8" t="n">
        <v>88</v>
      </c>
      <c r="B89" s="8" t="s">
        <v>107</v>
      </c>
      <c r="C89" s="8" t="s">
        <v>356</v>
      </c>
      <c r="D89" s="8" t="s">
        <v>357</v>
      </c>
    </row>
    <row r="90" customFormat="false" ht="15.75" hidden="false" customHeight="false" outlineLevel="0" collapsed="false">
      <c r="A90" s="8" t="n">
        <v>89</v>
      </c>
      <c r="B90" s="8" t="s">
        <v>108</v>
      </c>
      <c r="C90" s="8" t="s">
        <v>330</v>
      </c>
      <c r="D90" s="8" t="s">
        <v>358</v>
      </c>
    </row>
    <row r="91" customFormat="false" ht="15.75" hidden="false" customHeight="false" outlineLevel="0" collapsed="false">
      <c r="A91" s="8" t="n">
        <v>90</v>
      </c>
      <c r="B91" s="8" t="s">
        <v>109</v>
      </c>
      <c r="C91" s="8" t="s">
        <v>359</v>
      </c>
      <c r="D91" s="8" t="s">
        <v>360</v>
      </c>
    </row>
    <row r="92" customFormat="false" ht="15.75" hidden="false" customHeight="false" outlineLevel="0" collapsed="false">
      <c r="A92" s="8" t="n">
        <v>91</v>
      </c>
      <c r="B92" s="8" t="s">
        <v>110</v>
      </c>
      <c r="C92" s="8" t="s">
        <v>354</v>
      </c>
      <c r="D92" s="8" t="s">
        <v>361</v>
      </c>
    </row>
    <row r="93" customFormat="false" ht="15.75" hidden="false" customHeight="false" outlineLevel="0" collapsed="false">
      <c r="A93" s="8" t="n">
        <v>92</v>
      </c>
      <c r="B93" s="8" t="s">
        <v>111</v>
      </c>
      <c r="C93" s="8" t="s">
        <v>362</v>
      </c>
      <c r="D93" s="8" t="s">
        <v>363</v>
      </c>
    </row>
    <row r="94" customFormat="false" ht="15.75" hidden="false" customHeight="false" outlineLevel="0" collapsed="false">
      <c r="A94" s="8" t="n">
        <v>93</v>
      </c>
      <c r="B94" s="8" t="s">
        <v>112</v>
      </c>
      <c r="C94" s="8" t="s">
        <v>364</v>
      </c>
      <c r="D94" s="8" t="s">
        <v>365</v>
      </c>
    </row>
    <row r="95" customFormat="false" ht="15.75" hidden="false" customHeight="false" outlineLevel="0" collapsed="false">
      <c r="A95" s="8" t="n">
        <v>94</v>
      </c>
      <c r="B95" s="8" t="s">
        <v>113</v>
      </c>
      <c r="C95" s="8" t="s">
        <v>366</v>
      </c>
      <c r="D95" s="8" t="s">
        <v>367</v>
      </c>
    </row>
    <row r="96" customFormat="false" ht="15.75" hidden="false" customHeight="false" outlineLevel="0" collapsed="false">
      <c r="A96" s="8" t="n">
        <v>95</v>
      </c>
      <c r="B96" s="8" t="s">
        <v>114</v>
      </c>
      <c r="C96" s="8" t="s">
        <v>332</v>
      </c>
      <c r="D96" s="8" t="s">
        <v>368</v>
      </c>
    </row>
    <row r="97" customFormat="false" ht="15.75" hidden="false" customHeight="false" outlineLevel="0" collapsed="false">
      <c r="A97" s="8" t="n">
        <v>96</v>
      </c>
      <c r="B97" s="8" t="s">
        <v>115</v>
      </c>
      <c r="C97" s="8" t="s">
        <v>369</v>
      </c>
      <c r="D97" s="8" t="s">
        <v>370</v>
      </c>
    </row>
    <row r="98" customFormat="false" ht="15.75" hidden="false" customHeight="false" outlineLevel="0" collapsed="false">
      <c r="A98" s="8" t="n">
        <v>97</v>
      </c>
      <c r="B98" s="8" t="s">
        <v>116</v>
      </c>
      <c r="C98" s="8" t="s">
        <v>371</v>
      </c>
      <c r="D98" s="8" t="s">
        <v>372</v>
      </c>
    </row>
    <row r="99" customFormat="false" ht="15.75" hidden="false" customHeight="false" outlineLevel="0" collapsed="false">
      <c r="A99" s="8" t="n">
        <v>98</v>
      </c>
      <c r="B99" s="8" t="s">
        <v>117</v>
      </c>
      <c r="C99" s="8" t="s">
        <v>312</v>
      </c>
      <c r="D99" s="8" t="s">
        <v>373</v>
      </c>
    </row>
    <row r="100" customFormat="false" ht="15.75" hidden="false" customHeight="false" outlineLevel="0" collapsed="false">
      <c r="A100" s="8" t="n">
        <v>99</v>
      </c>
      <c r="B100" s="8" t="s">
        <v>118</v>
      </c>
      <c r="C100" s="8" t="s">
        <v>254</v>
      </c>
      <c r="D100" s="8" t="s">
        <v>374</v>
      </c>
    </row>
    <row r="101" customFormat="false" ht="15.75" hidden="false" customHeight="false" outlineLevel="0" collapsed="false">
      <c r="A101" s="8" t="n">
        <v>100</v>
      </c>
      <c r="B101" s="8" t="s">
        <v>119</v>
      </c>
      <c r="C101" s="8" t="s">
        <v>375</v>
      </c>
      <c r="D101" s="8" t="s">
        <v>376</v>
      </c>
    </row>
    <row r="102" customFormat="false" ht="15.75" hidden="false" customHeight="false" outlineLevel="0" collapsed="false">
      <c r="A102" s="8" t="n">
        <v>101</v>
      </c>
      <c r="B102" s="8" t="s">
        <v>120</v>
      </c>
      <c r="C102" s="8" t="s">
        <v>375</v>
      </c>
      <c r="D102" s="8" t="s">
        <v>377</v>
      </c>
    </row>
    <row r="103" customFormat="false" ht="15.75" hidden="false" customHeight="false" outlineLevel="0" collapsed="false">
      <c r="A103" s="8" t="n">
        <v>102</v>
      </c>
      <c r="B103" s="8" t="s">
        <v>121</v>
      </c>
      <c r="C103" s="8" t="s">
        <v>378</v>
      </c>
      <c r="D103" s="8" t="s">
        <v>379</v>
      </c>
    </row>
    <row r="104" customFormat="false" ht="15.75" hidden="false" customHeight="false" outlineLevel="0" collapsed="false">
      <c r="A104" s="8" t="n">
        <v>103</v>
      </c>
      <c r="B104" s="8" t="s">
        <v>122</v>
      </c>
      <c r="C104" s="8" t="s">
        <v>380</v>
      </c>
      <c r="D104" s="8" t="s">
        <v>381</v>
      </c>
    </row>
    <row r="105" customFormat="false" ht="15.75" hidden="false" customHeight="false" outlineLevel="0" collapsed="false">
      <c r="A105" s="8" t="n">
        <v>104</v>
      </c>
      <c r="B105" s="8" t="s">
        <v>123</v>
      </c>
      <c r="C105" s="8" t="s">
        <v>382</v>
      </c>
      <c r="D105" s="8" t="s">
        <v>383</v>
      </c>
    </row>
    <row r="106" customFormat="false" ht="15.75" hidden="false" customHeight="false" outlineLevel="0" collapsed="false">
      <c r="A106" s="8" t="n">
        <v>105</v>
      </c>
      <c r="B106" s="8" t="s">
        <v>124</v>
      </c>
      <c r="C106" s="8" t="s">
        <v>382</v>
      </c>
      <c r="D106" s="8" t="s">
        <v>384</v>
      </c>
    </row>
    <row r="107" customFormat="false" ht="15.75" hidden="false" customHeight="false" outlineLevel="0" collapsed="false">
      <c r="A107" s="8" t="n">
        <v>106</v>
      </c>
      <c r="B107" s="8" t="s">
        <v>125</v>
      </c>
      <c r="C107" s="8" t="s">
        <v>385</v>
      </c>
      <c r="D107" s="8" t="s">
        <v>386</v>
      </c>
    </row>
    <row r="108" customFormat="false" ht="15.75" hidden="false" customHeight="false" outlineLevel="0" collapsed="false">
      <c r="A108" s="8" t="n">
        <v>107</v>
      </c>
      <c r="B108" s="8" t="s">
        <v>126</v>
      </c>
      <c r="C108" s="8" t="s">
        <v>387</v>
      </c>
      <c r="D108" s="8" t="s">
        <v>388</v>
      </c>
    </row>
    <row r="109" customFormat="false" ht="15.75" hidden="false" customHeight="false" outlineLevel="0" collapsed="false">
      <c r="A109" s="8" t="n">
        <v>108</v>
      </c>
      <c r="B109" s="8" t="s">
        <v>127</v>
      </c>
      <c r="C109" s="8" t="s">
        <v>389</v>
      </c>
      <c r="D109" s="8" t="s">
        <v>390</v>
      </c>
    </row>
    <row r="110" customFormat="false" ht="15.75" hidden="false" customHeight="false" outlineLevel="0" collapsed="false">
      <c r="A110" s="8" t="n">
        <v>109</v>
      </c>
      <c r="B110" s="8" t="s">
        <v>128</v>
      </c>
      <c r="C110" s="8" t="s">
        <v>391</v>
      </c>
      <c r="D110" s="8" t="s">
        <v>392</v>
      </c>
    </row>
    <row r="111" customFormat="false" ht="15.75" hidden="false" customHeight="false" outlineLevel="0" collapsed="false">
      <c r="A111" s="8" t="n">
        <v>110</v>
      </c>
      <c r="B111" s="8" t="s">
        <v>129</v>
      </c>
      <c r="C111" s="8" t="s">
        <v>391</v>
      </c>
      <c r="D111" s="8" t="s">
        <v>393</v>
      </c>
    </row>
    <row r="112" customFormat="false" ht="15.75" hidden="false" customHeight="false" outlineLevel="0" collapsed="false">
      <c r="A112" s="8" t="n">
        <v>111</v>
      </c>
      <c r="B112" s="8" t="s">
        <v>130</v>
      </c>
      <c r="C112" s="8" t="s">
        <v>382</v>
      </c>
      <c r="D112" s="8" t="s">
        <v>394</v>
      </c>
    </row>
    <row r="113" customFormat="false" ht="15.75" hidden="false" customHeight="false" outlineLevel="0" collapsed="false">
      <c r="A113" s="8" t="n">
        <v>112</v>
      </c>
      <c r="B113" s="8" t="s">
        <v>131</v>
      </c>
      <c r="C113" s="8" t="s">
        <v>382</v>
      </c>
      <c r="D113" s="8" t="s">
        <v>395</v>
      </c>
    </row>
    <row r="114" customFormat="false" ht="15.75" hidden="false" customHeight="false" outlineLevel="0" collapsed="false">
      <c r="A114" s="8" t="n">
        <v>113</v>
      </c>
      <c r="B114" s="8" t="s">
        <v>132</v>
      </c>
      <c r="C114" s="8" t="s">
        <v>268</v>
      </c>
      <c r="D114" s="8" t="s">
        <v>396</v>
      </c>
    </row>
    <row r="115" customFormat="false" ht="15.75" hidden="false" customHeight="false" outlineLevel="0" collapsed="false">
      <c r="A115" s="8" t="n">
        <v>114</v>
      </c>
      <c r="B115" s="8" t="s">
        <v>133</v>
      </c>
      <c r="C115" s="8" t="s">
        <v>397</v>
      </c>
      <c r="D115" s="8" t="s">
        <v>398</v>
      </c>
    </row>
    <row r="116" customFormat="false" ht="15.75" hidden="false" customHeight="false" outlineLevel="0" collapsed="false">
      <c r="A116" s="8" t="n">
        <v>115</v>
      </c>
      <c r="B116" s="8" t="s">
        <v>134</v>
      </c>
      <c r="C116" s="8" t="s">
        <v>399</v>
      </c>
      <c r="D116" s="8" t="s">
        <v>400</v>
      </c>
    </row>
    <row r="117" customFormat="false" ht="15.75" hidden="false" customHeight="false" outlineLevel="0" collapsed="false">
      <c r="A117" s="8" t="n">
        <v>116</v>
      </c>
      <c r="B117" s="8" t="s">
        <v>135</v>
      </c>
      <c r="C117" s="8" t="s">
        <v>401</v>
      </c>
      <c r="D117" s="8" t="s">
        <v>402</v>
      </c>
    </row>
    <row r="118" customFormat="false" ht="15.75" hidden="false" customHeight="false" outlineLevel="0" collapsed="false">
      <c r="A118" s="8" t="n">
        <v>117</v>
      </c>
      <c r="B118" s="8" t="s">
        <v>136</v>
      </c>
      <c r="C118" s="8" t="s">
        <v>403</v>
      </c>
      <c r="D118" s="8" t="s">
        <v>404</v>
      </c>
    </row>
    <row r="119" customFormat="false" ht="15.75" hidden="false" customHeight="false" outlineLevel="0" collapsed="false">
      <c r="A119" s="8" t="n">
        <v>118</v>
      </c>
      <c r="B119" s="8" t="s">
        <v>137</v>
      </c>
      <c r="C119" s="8" t="s">
        <v>405</v>
      </c>
      <c r="D119" s="8" t="s">
        <v>406</v>
      </c>
    </row>
    <row r="120" customFormat="false" ht="15.75" hidden="false" customHeight="false" outlineLevel="0" collapsed="false">
      <c r="A120" s="8" t="n">
        <v>119</v>
      </c>
      <c r="B120" s="8" t="s">
        <v>138</v>
      </c>
      <c r="C120" s="8" t="s">
        <v>407</v>
      </c>
      <c r="D120" s="8" t="s">
        <v>408</v>
      </c>
    </row>
    <row r="121" customFormat="false" ht="15.75" hidden="false" customHeight="false" outlineLevel="0" collapsed="false">
      <c r="A121" s="8" t="n">
        <v>120</v>
      </c>
      <c r="B121" s="8" t="s">
        <v>139</v>
      </c>
      <c r="C121" s="8" t="s">
        <v>409</v>
      </c>
      <c r="D121" s="8" t="s">
        <v>410</v>
      </c>
    </row>
    <row r="122" customFormat="false" ht="15.75" hidden="false" customHeight="false" outlineLevel="0" collapsed="false">
      <c r="A122" s="8" t="n">
        <v>121</v>
      </c>
      <c r="B122" s="8" t="s">
        <v>140</v>
      </c>
      <c r="C122" s="8" t="s">
        <v>409</v>
      </c>
      <c r="D122" s="8" t="s">
        <v>411</v>
      </c>
    </row>
    <row r="123" customFormat="false" ht="15.75" hidden="false" customHeight="false" outlineLevel="0" collapsed="false">
      <c r="A123" s="8" t="n">
        <v>122</v>
      </c>
      <c r="B123" s="8" t="s">
        <v>412</v>
      </c>
      <c r="C123" s="8" t="s">
        <v>380</v>
      </c>
      <c r="D123" s="8" t="s">
        <v>413</v>
      </c>
    </row>
    <row r="124" customFormat="false" ht="15.75" hidden="false" customHeight="false" outlineLevel="0" collapsed="false">
      <c r="A124" s="8" t="n">
        <v>123</v>
      </c>
      <c r="B124" s="8" t="s">
        <v>142</v>
      </c>
      <c r="C124" s="8" t="s">
        <v>414</v>
      </c>
      <c r="D124" s="8" t="s">
        <v>415</v>
      </c>
    </row>
    <row r="125" customFormat="false" ht="15.75" hidden="false" customHeight="false" outlineLevel="0" collapsed="false">
      <c r="A125" s="8" t="n">
        <v>124</v>
      </c>
      <c r="B125" s="8" t="s">
        <v>143</v>
      </c>
      <c r="C125" s="8" t="s">
        <v>416</v>
      </c>
      <c r="D125" s="8" t="s">
        <v>417</v>
      </c>
    </row>
    <row r="126" customFormat="false" ht="15.75" hidden="false" customHeight="false" outlineLevel="0" collapsed="false">
      <c r="A126" s="8" t="n">
        <v>125</v>
      </c>
      <c r="B126" s="8" t="s">
        <v>144</v>
      </c>
      <c r="C126" s="8" t="s">
        <v>418</v>
      </c>
      <c r="D126" s="8" t="s">
        <v>419</v>
      </c>
    </row>
    <row r="127" customFormat="false" ht="15.75" hidden="false" customHeight="false" outlineLevel="0" collapsed="false">
      <c r="A127" s="8" t="n">
        <v>126</v>
      </c>
      <c r="B127" s="8" t="s">
        <v>145</v>
      </c>
      <c r="C127" s="8" t="s">
        <v>420</v>
      </c>
      <c r="D127" s="8" t="s">
        <v>421</v>
      </c>
    </row>
    <row r="128" customFormat="false" ht="15.75" hidden="false" customHeight="false" outlineLevel="0" collapsed="false">
      <c r="A128" s="8" t="n">
        <v>127</v>
      </c>
      <c r="B128" s="8" t="s">
        <v>146</v>
      </c>
      <c r="C128" s="8" t="s">
        <v>422</v>
      </c>
      <c r="D128" s="8" t="s">
        <v>423</v>
      </c>
    </row>
    <row r="129" customFormat="false" ht="15.75" hidden="false" customHeight="false" outlineLevel="0" collapsed="false">
      <c r="A129" s="8" t="n">
        <v>128</v>
      </c>
      <c r="B129" s="8" t="s">
        <v>147</v>
      </c>
      <c r="C129" s="8" t="s">
        <v>424</v>
      </c>
      <c r="D129" s="8" t="s">
        <v>425</v>
      </c>
    </row>
    <row r="130" customFormat="false" ht="15.75" hidden="false" customHeight="false" outlineLevel="0" collapsed="false">
      <c r="A130" s="8" t="n">
        <v>129</v>
      </c>
      <c r="B130" s="8" t="s">
        <v>148</v>
      </c>
      <c r="C130" s="8" t="s">
        <v>426</v>
      </c>
      <c r="D130" s="8" t="s">
        <v>226</v>
      </c>
    </row>
    <row r="131" customFormat="false" ht="15.75" hidden="false" customHeight="false" outlineLevel="0" collapsed="false">
      <c r="A131" s="8" t="n">
        <v>130</v>
      </c>
      <c r="B131" s="8" t="s">
        <v>149</v>
      </c>
      <c r="C131" s="8" t="s">
        <v>427</v>
      </c>
      <c r="D131" s="8" t="s">
        <v>428</v>
      </c>
    </row>
    <row r="132" customFormat="false" ht="15.75" hidden="false" customHeight="false" outlineLevel="0" collapsed="false">
      <c r="A132" s="8" t="n">
        <v>131</v>
      </c>
      <c r="B132" s="8" t="s">
        <v>150</v>
      </c>
      <c r="C132" s="8" t="s">
        <v>354</v>
      </c>
      <c r="D132" s="8" t="s">
        <v>429</v>
      </c>
    </row>
    <row r="133" customFormat="false" ht="15.75" hidden="false" customHeight="false" outlineLevel="0" collapsed="false">
      <c r="A133" s="8" t="n">
        <v>132</v>
      </c>
      <c r="B133" s="8" t="s">
        <v>151</v>
      </c>
      <c r="C133" s="8" t="s">
        <v>430</v>
      </c>
      <c r="D133" s="8" t="s">
        <v>226</v>
      </c>
    </row>
    <row r="134" customFormat="false" ht="15.75" hidden="false" customHeight="false" outlineLevel="0" collapsed="false">
      <c r="A134" s="8" t="n">
        <v>133</v>
      </c>
      <c r="B134" s="8" t="s">
        <v>152</v>
      </c>
      <c r="C134" s="8" t="s">
        <v>232</v>
      </c>
      <c r="D134" s="8" t="s">
        <v>431</v>
      </c>
    </row>
    <row r="135" customFormat="false" ht="15.75" hidden="false" customHeight="false" outlineLevel="0" collapsed="false">
      <c r="A135" s="8" t="n">
        <v>134</v>
      </c>
      <c r="B135" s="8" t="s">
        <v>153</v>
      </c>
      <c r="C135" s="8" t="s">
        <v>432</v>
      </c>
      <c r="D135" s="8" t="s">
        <v>433</v>
      </c>
    </row>
    <row r="136" customFormat="false" ht="15.75" hidden="false" customHeight="false" outlineLevel="0" collapsed="false">
      <c r="A136" s="8" t="n">
        <v>135</v>
      </c>
      <c r="B136" s="8" t="s">
        <v>154</v>
      </c>
      <c r="C136" s="8" t="s">
        <v>434</v>
      </c>
      <c r="D136" s="8" t="s">
        <v>249</v>
      </c>
    </row>
    <row r="137" customFormat="false" ht="15.75" hidden="false" customHeight="false" outlineLevel="0" collapsed="false">
      <c r="A137" s="8" t="n">
        <v>136</v>
      </c>
      <c r="B137" s="8" t="s">
        <v>155</v>
      </c>
      <c r="C137" s="8" t="s">
        <v>435</v>
      </c>
      <c r="D137" s="8" t="s">
        <v>436</v>
      </c>
    </row>
    <row r="138" customFormat="false" ht="15.75" hidden="false" customHeight="false" outlineLevel="0" collapsed="false">
      <c r="A138" s="8" t="n">
        <v>137</v>
      </c>
      <c r="B138" s="8" t="s">
        <v>156</v>
      </c>
      <c r="C138" s="8" t="s">
        <v>232</v>
      </c>
      <c r="D138" s="8" t="s">
        <v>437</v>
      </c>
    </row>
    <row r="139" customFormat="false" ht="15.75" hidden="false" customHeight="false" outlineLevel="0" collapsed="false">
      <c r="A139" s="8" t="n">
        <v>138</v>
      </c>
      <c r="B139" s="8" t="s">
        <v>157</v>
      </c>
      <c r="C139" s="8" t="s">
        <v>438</v>
      </c>
      <c r="D139" s="8" t="s">
        <v>439</v>
      </c>
    </row>
    <row r="140" customFormat="false" ht="15.75" hidden="false" customHeight="false" outlineLevel="0" collapsed="false">
      <c r="A140" s="8" t="n">
        <v>139</v>
      </c>
      <c r="B140" s="8" t="s">
        <v>158</v>
      </c>
      <c r="C140" s="8" t="s">
        <v>440</v>
      </c>
      <c r="D140" s="8" t="s">
        <v>441</v>
      </c>
    </row>
    <row r="141" customFormat="false" ht="15.75" hidden="false" customHeight="false" outlineLevel="0" collapsed="false">
      <c r="A141" s="8" t="n">
        <v>140</v>
      </c>
      <c r="B141" s="8" t="s">
        <v>159</v>
      </c>
      <c r="C141" s="8" t="s">
        <v>252</v>
      </c>
      <c r="D141" s="8" t="s">
        <v>442</v>
      </c>
    </row>
    <row r="142" customFormat="false" ht="15.75" hidden="false" customHeight="false" outlineLevel="0" collapsed="false">
      <c r="A142" s="8" t="n">
        <v>141</v>
      </c>
      <c r="B142" s="8" t="s">
        <v>160</v>
      </c>
      <c r="C142" s="8" t="s">
        <v>443</v>
      </c>
      <c r="D142" s="8" t="s">
        <v>444</v>
      </c>
    </row>
    <row r="143" customFormat="false" ht="15.75" hidden="false" customHeight="false" outlineLevel="0" collapsed="false">
      <c r="A143" s="8" t="n">
        <v>142</v>
      </c>
      <c r="B143" s="8" t="s">
        <v>161</v>
      </c>
      <c r="C143" s="8" t="s">
        <v>445</v>
      </c>
      <c r="D143" s="8" t="s">
        <v>446</v>
      </c>
    </row>
    <row r="144" customFormat="false" ht="15.75" hidden="false" customHeight="false" outlineLevel="0" collapsed="false">
      <c r="A144" s="8" t="n">
        <v>143</v>
      </c>
      <c r="B144" s="8" t="s">
        <v>162</v>
      </c>
      <c r="C144" s="8" t="s">
        <v>447</v>
      </c>
      <c r="D144" s="8" t="s">
        <v>448</v>
      </c>
    </row>
    <row r="145" customFormat="false" ht="15.75" hidden="false" customHeight="false" outlineLevel="0" collapsed="false">
      <c r="A145" s="8" t="n">
        <v>144</v>
      </c>
      <c r="B145" s="8" t="s">
        <v>163</v>
      </c>
      <c r="C145" s="8" t="s">
        <v>449</v>
      </c>
      <c r="D145" s="8" t="s">
        <v>450</v>
      </c>
    </row>
    <row r="146" customFormat="false" ht="15.75" hidden="false" customHeight="false" outlineLevel="0" collapsed="false">
      <c r="A146" s="8" t="n">
        <v>145</v>
      </c>
      <c r="B146" s="8" t="s">
        <v>164</v>
      </c>
      <c r="C146" s="8" t="s">
        <v>434</v>
      </c>
      <c r="D146" s="8" t="s">
        <v>249</v>
      </c>
    </row>
    <row r="147" customFormat="false" ht="15.75" hidden="false" customHeight="false" outlineLevel="0" collapsed="false">
      <c r="A147" s="8" t="n">
        <v>146</v>
      </c>
      <c r="B147" s="8" t="s">
        <v>165</v>
      </c>
      <c r="C147" s="8" t="s">
        <v>435</v>
      </c>
      <c r="D147" s="8" t="s">
        <v>451</v>
      </c>
    </row>
    <row r="148" customFormat="false" ht="15.75" hidden="false" customHeight="false" outlineLevel="0" collapsed="false">
      <c r="A148" s="8" t="n">
        <v>147</v>
      </c>
      <c r="B148" s="8" t="s">
        <v>166</v>
      </c>
      <c r="C148" s="8" t="s">
        <v>452</v>
      </c>
      <c r="D148" s="8" t="s">
        <v>453</v>
      </c>
    </row>
    <row r="149" customFormat="false" ht="15.75" hidden="false" customHeight="false" outlineLevel="0" collapsed="false">
      <c r="A149" s="8" t="n">
        <v>148</v>
      </c>
      <c r="B149" s="8" t="s">
        <v>167</v>
      </c>
      <c r="C149" s="8" t="s">
        <v>452</v>
      </c>
      <c r="D149" s="8" t="s">
        <v>454</v>
      </c>
    </row>
    <row r="150" customFormat="false" ht="15.75" hidden="false" customHeight="false" outlineLevel="0" collapsed="false">
      <c r="A150" s="8" t="n">
        <v>149</v>
      </c>
      <c r="B150" s="8" t="s">
        <v>168</v>
      </c>
      <c r="C150" s="8" t="s">
        <v>455</v>
      </c>
      <c r="D150" s="8" t="s">
        <v>456</v>
      </c>
    </row>
    <row r="151" customFormat="false" ht="15.75" hidden="false" customHeight="false" outlineLevel="0" collapsed="false">
      <c r="A151" s="8" t="n">
        <v>150</v>
      </c>
      <c r="B151" s="8" t="s">
        <v>169</v>
      </c>
      <c r="C151" s="8" t="s">
        <v>318</v>
      </c>
      <c r="D151" s="8" t="s">
        <v>457</v>
      </c>
    </row>
    <row r="152" customFormat="false" ht="15.75" hidden="false" customHeight="false" outlineLevel="0" collapsed="false">
      <c r="A152" s="8" t="n">
        <v>151</v>
      </c>
      <c r="B152" s="8" t="s">
        <v>170</v>
      </c>
      <c r="C152" s="8" t="s">
        <v>430</v>
      </c>
      <c r="D152" s="8" t="s">
        <v>458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0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21.3265306122449"/>
    <col collapsed="false" hidden="false" max="2" min="2" style="0" width="24.9744897959184"/>
    <col collapsed="false" hidden="false" max="3" min="3" style="0" width="21.3265306122449"/>
    <col collapsed="false" hidden="false" max="4" min="4" style="0" width="12.4183673469388"/>
    <col collapsed="false" hidden="false" max="5" min="5" style="0" width="11.8775510204082"/>
    <col collapsed="false" hidden="false" max="6" min="6" style="0" width="15.2551020408163"/>
    <col collapsed="false" hidden="false" max="7" min="7" style="0" width="24.1632653061224"/>
    <col collapsed="false" hidden="false" max="10" min="8" style="0" width="21.3265306122449"/>
    <col collapsed="false" hidden="false" max="1025" min="11" style="0" width="14.1734693877551"/>
  </cols>
  <sheetData>
    <row r="1" customFormat="false" ht="15.75" hidden="false" customHeight="false" outlineLevel="0" collapsed="false">
      <c r="A1" s="0" t="s">
        <v>459</v>
      </c>
      <c r="B1" s="8" t="s">
        <v>460</v>
      </c>
      <c r="C1" s="8" t="s">
        <v>461</v>
      </c>
      <c r="D1" s="0" t="s">
        <v>462</v>
      </c>
      <c r="E1" s="0" t="s">
        <v>463</v>
      </c>
      <c r="F1" s="0" t="s">
        <v>464</v>
      </c>
      <c r="G1" s="33" t="s">
        <v>465</v>
      </c>
      <c r="H1" s="8" t="s">
        <v>460</v>
      </c>
      <c r="I1" s="8" t="s">
        <v>466</v>
      </c>
      <c r="J1" s="8"/>
      <c r="K1" s="8"/>
    </row>
    <row r="2" customFormat="false" ht="15.75" hidden="false" customHeight="false" outlineLevel="0" collapsed="false">
      <c r="A2" s="34" t="n">
        <v>42561.4788814468</v>
      </c>
      <c r="B2" s="8" t="s">
        <v>467</v>
      </c>
      <c r="F2" s="8" t="s">
        <v>35</v>
      </c>
      <c r="G2" s="8" t="n">
        <v>9</v>
      </c>
      <c r="H2" s="8"/>
      <c r="I2" s="8"/>
      <c r="J2" s="8"/>
    </row>
    <row r="3" customFormat="false" ht="15.75" hidden="false" customHeight="false" outlineLevel="0" collapsed="false">
      <c r="A3" s="34" t="n">
        <v>42561.4790453357</v>
      </c>
      <c r="B3" s="8" t="s">
        <v>467</v>
      </c>
      <c r="F3" s="8" t="s">
        <v>36</v>
      </c>
      <c r="G3" s="8" t="n">
        <v>17</v>
      </c>
      <c r="H3" s="8"/>
      <c r="I3" s="8"/>
      <c r="J3" s="8"/>
    </row>
    <row r="4" customFormat="false" ht="15.75" hidden="false" customHeight="false" outlineLevel="0" collapsed="false">
      <c r="A4" s="34" t="n">
        <v>42561.4836659722</v>
      </c>
      <c r="B4" s="8" t="s">
        <v>468</v>
      </c>
      <c r="C4" s="8" t="s">
        <v>153</v>
      </c>
      <c r="D4" s="8" t="n">
        <v>308</v>
      </c>
      <c r="E4" s="8" t="n">
        <v>836</v>
      </c>
      <c r="G4" s="33"/>
    </row>
    <row r="5" customFormat="false" ht="15.75" hidden="false" customHeight="false" outlineLevel="0" collapsed="false">
      <c r="A5" s="34" t="n">
        <v>42561.5353333218</v>
      </c>
      <c r="B5" s="8" t="s">
        <v>469</v>
      </c>
      <c r="C5" s="8" t="s">
        <v>37</v>
      </c>
      <c r="D5" s="8" t="n">
        <v>95</v>
      </c>
      <c r="E5" s="8" t="n">
        <v>316</v>
      </c>
      <c r="G5" s="33"/>
    </row>
    <row r="6" customFormat="false" ht="15.75" hidden="false" customHeight="false" outlineLevel="0" collapsed="false">
      <c r="A6" s="34" t="n">
        <v>42561.5537136806</v>
      </c>
      <c r="B6" s="8" t="s">
        <v>469</v>
      </c>
      <c r="C6" s="8" t="s">
        <v>39</v>
      </c>
      <c r="D6" s="8" t="n">
        <v>10</v>
      </c>
      <c r="E6" s="8" t="n">
        <v>18</v>
      </c>
      <c r="G6" s="33"/>
    </row>
    <row r="7" customFormat="false" ht="15.75" hidden="false" customHeight="false" outlineLevel="0" collapsed="false">
      <c r="A7" s="34" t="n">
        <v>42561.562454838</v>
      </c>
      <c r="B7" s="8" t="s">
        <v>469</v>
      </c>
      <c r="C7" s="8" t="s">
        <v>152</v>
      </c>
      <c r="D7" s="8" t="n">
        <v>170</v>
      </c>
      <c r="E7" s="8" t="n">
        <v>483</v>
      </c>
      <c r="G7" s="33"/>
    </row>
    <row r="8" customFormat="false" ht="15.75" hidden="false" customHeight="false" outlineLevel="0" collapsed="false">
      <c r="A8" s="34" t="n">
        <v>42561.5719719792</v>
      </c>
      <c r="B8" s="8" t="s">
        <v>467</v>
      </c>
      <c r="F8" s="8" t="s">
        <v>154</v>
      </c>
      <c r="G8" s="8" t="n">
        <v>31</v>
      </c>
      <c r="H8" s="8"/>
      <c r="I8" s="8"/>
      <c r="J8" s="8"/>
    </row>
    <row r="9" customFormat="false" ht="15.75" hidden="false" customHeight="false" outlineLevel="0" collapsed="false">
      <c r="A9" s="34" t="n">
        <v>42561.6887495023</v>
      </c>
      <c r="B9" s="8" t="s">
        <v>468</v>
      </c>
      <c r="C9" s="8" t="s">
        <v>61</v>
      </c>
      <c r="D9" s="8" t="n">
        <v>269</v>
      </c>
      <c r="E9" s="8" t="n">
        <v>859</v>
      </c>
      <c r="G9" s="33"/>
    </row>
    <row r="10" customFormat="false" ht="15.75" hidden="false" customHeight="false" outlineLevel="0" collapsed="false">
      <c r="A10" s="34" t="n">
        <v>42561.7262495255</v>
      </c>
      <c r="B10" s="8" t="s">
        <v>468</v>
      </c>
      <c r="C10" s="8" t="s">
        <v>36</v>
      </c>
      <c r="D10" s="8" t="n">
        <v>73</v>
      </c>
      <c r="E10" s="8" t="n">
        <v>140</v>
      </c>
      <c r="G10" s="33"/>
    </row>
    <row r="11" customFormat="false" ht="15.75" hidden="false" customHeight="false" outlineLevel="0" collapsed="false">
      <c r="A11" s="34" t="n">
        <v>42561.7591489583</v>
      </c>
      <c r="B11" s="8" t="s">
        <v>468</v>
      </c>
      <c r="C11" s="8" t="s">
        <v>61</v>
      </c>
      <c r="D11" s="8" t="n">
        <v>128</v>
      </c>
      <c r="E11" s="8" t="n">
        <v>403</v>
      </c>
      <c r="G11" s="33"/>
    </row>
    <row r="12" customFormat="false" ht="15.75" hidden="false" customHeight="false" outlineLevel="0" collapsed="false">
      <c r="A12" s="34" t="n">
        <v>42561.759309537</v>
      </c>
      <c r="B12" s="8" t="s">
        <v>468</v>
      </c>
      <c r="C12" s="8" t="s">
        <v>41</v>
      </c>
      <c r="D12" s="8" t="n">
        <v>143</v>
      </c>
      <c r="E12" s="8" t="n">
        <v>374</v>
      </c>
      <c r="G12" s="33"/>
    </row>
    <row r="13" customFormat="false" ht="15.75" hidden="false" customHeight="false" outlineLevel="0" collapsed="false">
      <c r="A13" s="34" t="n">
        <v>42561.759633669</v>
      </c>
      <c r="B13" s="8" t="s">
        <v>468</v>
      </c>
      <c r="C13" s="8" t="s">
        <v>37</v>
      </c>
      <c r="D13" s="8" t="n">
        <v>304</v>
      </c>
      <c r="E13" s="8" t="n">
        <v>541</v>
      </c>
      <c r="G13" s="33"/>
    </row>
    <row r="14" customFormat="false" ht="15.75" hidden="false" customHeight="false" outlineLevel="0" collapsed="false">
      <c r="A14" s="34" t="n">
        <v>42561.7600353125</v>
      </c>
      <c r="B14" s="8" t="s">
        <v>468</v>
      </c>
      <c r="C14" s="8" t="s">
        <v>36</v>
      </c>
      <c r="D14" s="8" t="n">
        <v>152</v>
      </c>
      <c r="E14" s="8" t="n">
        <v>290</v>
      </c>
      <c r="G14" s="33"/>
    </row>
    <row r="15" customFormat="false" ht="15.75" hidden="false" customHeight="false" outlineLevel="0" collapsed="false">
      <c r="A15" s="34" t="n">
        <v>42561.7602073843</v>
      </c>
      <c r="B15" s="8" t="s">
        <v>468</v>
      </c>
      <c r="C15" s="8" t="s">
        <v>39</v>
      </c>
      <c r="D15" s="8" t="n">
        <v>110</v>
      </c>
      <c r="E15" s="8" t="n">
        <v>293</v>
      </c>
      <c r="G15" s="33"/>
    </row>
    <row r="16" customFormat="false" ht="15.75" hidden="false" customHeight="false" outlineLevel="0" collapsed="false">
      <c r="A16" s="34" t="n">
        <v>42561.7605060417</v>
      </c>
      <c r="B16" s="8" t="s">
        <v>468</v>
      </c>
      <c r="C16" s="8" t="s">
        <v>33</v>
      </c>
      <c r="D16" s="8" t="n">
        <v>85</v>
      </c>
      <c r="E16" s="8" t="n">
        <v>92</v>
      </c>
      <c r="G16" s="33"/>
    </row>
    <row r="17" customFormat="false" ht="15.75" hidden="false" customHeight="false" outlineLevel="0" collapsed="false">
      <c r="A17" s="34" t="n">
        <v>42561.7614171412</v>
      </c>
      <c r="B17" s="8" t="s">
        <v>468</v>
      </c>
      <c r="C17" s="8" t="s">
        <v>34</v>
      </c>
      <c r="D17" s="8" t="n">
        <v>92</v>
      </c>
      <c r="E17" s="8" t="n">
        <v>277</v>
      </c>
      <c r="G17" s="33"/>
    </row>
    <row r="18" customFormat="false" ht="15.75" hidden="false" customHeight="false" outlineLevel="0" collapsed="false">
      <c r="A18" s="34" t="n">
        <v>42561.7616519444</v>
      </c>
      <c r="B18" s="8" t="s">
        <v>468</v>
      </c>
      <c r="C18" s="8" t="s">
        <v>153</v>
      </c>
      <c r="D18" s="8" t="n">
        <v>239</v>
      </c>
      <c r="E18" s="8" t="n">
        <v>627</v>
      </c>
      <c r="G18" s="33"/>
    </row>
    <row r="19" customFormat="false" ht="15.75" hidden="false" customHeight="false" outlineLevel="0" collapsed="false">
      <c r="A19" s="34" t="n">
        <v>42561.762948669</v>
      </c>
      <c r="B19" s="8" t="s">
        <v>468</v>
      </c>
      <c r="C19" s="8" t="s">
        <v>39</v>
      </c>
      <c r="D19" s="8" t="n">
        <v>172</v>
      </c>
      <c r="E19" s="8" t="n">
        <v>467</v>
      </c>
      <c r="G19" s="33"/>
    </row>
    <row r="20" customFormat="false" ht="15.75" hidden="false" customHeight="false" outlineLevel="0" collapsed="false">
      <c r="A20" s="34" t="n">
        <v>42561.7660644792</v>
      </c>
      <c r="B20" s="8"/>
      <c r="F20" s="8" t="s">
        <v>144</v>
      </c>
      <c r="G20" s="8" t="n">
        <v>30</v>
      </c>
      <c r="H20" s="8" t="s">
        <v>467</v>
      </c>
      <c r="I20" s="8"/>
    </row>
    <row r="21" customFormat="false" ht="15.75" hidden="false" customHeight="false" outlineLevel="0" collapsed="false">
      <c r="A21" s="34" t="n">
        <v>42561.7699269097</v>
      </c>
      <c r="B21" s="8"/>
      <c r="F21" s="8" t="s">
        <v>144</v>
      </c>
      <c r="G21" s="8" t="n">
        <v>29</v>
      </c>
      <c r="H21" s="8" t="s">
        <v>467</v>
      </c>
      <c r="I21" s="8"/>
    </row>
    <row r="22" customFormat="false" ht="15.75" hidden="false" customHeight="false" outlineLevel="0" collapsed="false">
      <c r="A22" s="34" t="n">
        <v>42561.7712701158</v>
      </c>
      <c r="F22" s="8" t="s">
        <v>147</v>
      </c>
      <c r="G22" s="8" t="n">
        <v>25</v>
      </c>
      <c r="H22" s="8" t="s">
        <v>467</v>
      </c>
      <c r="I22" s="8"/>
    </row>
    <row r="23" customFormat="false" ht="15.75" hidden="false" customHeight="false" outlineLevel="0" collapsed="false">
      <c r="A23" s="34" t="n">
        <v>42561.782625787</v>
      </c>
      <c r="F23" s="8" t="s">
        <v>154</v>
      </c>
      <c r="G23" s="8" t="n">
        <v>30</v>
      </c>
      <c r="H23" s="8" t="s">
        <v>467</v>
      </c>
      <c r="I23" s="8"/>
    </row>
    <row r="24" customFormat="false" ht="15.75" hidden="false" customHeight="false" outlineLevel="0" collapsed="false">
      <c r="A24" s="34" t="n">
        <v>42561.793497963</v>
      </c>
      <c r="F24" s="8" t="s">
        <v>116</v>
      </c>
      <c r="G24" s="8" t="n">
        <v>30</v>
      </c>
      <c r="H24" s="8" t="s">
        <v>467</v>
      </c>
      <c r="I24" s="8"/>
    </row>
    <row r="25" customFormat="false" ht="15.75" hidden="false" customHeight="false" outlineLevel="0" collapsed="false">
      <c r="A25" s="34" t="n">
        <v>42561.7983320023</v>
      </c>
      <c r="F25" s="8" t="s">
        <v>145</v>
      </c>
      <c r="G25" s="8" t="n">
        <v>33</v>
      </c>
      <c r="H25" s="8" t="s">
        <v>467</v>
      </c>
      <c r="I25" s="8"/>
    </row>
    <row r="26" customFormat="false" ht="15.75" hidden="false" customHeight="false" outlineLevel="0" collapsed="false">
      <c r="A26" s="34" t="n">
        <v>42561.7987712384</v>
      </c>
      <c r="F26" s="8" t="s">
        <v>145</v>
      </c>
      <c r="G26" s="8" t="n">
        <v>31</v>
      </c>
      <c r="H26" s="8" t="s">
        <v>467</v>
      </c>
      <c r="I26" s="8"/>
    </row>
    <row r="27" customFormat="false" ht="15.75" hidden="false" customHeight="false" outlineLevel="0" collapsed="false">
      <c r="A27" s="34" t="n">
        <v>42561.7997457986</v>
      </c>
      <c r="C27" s="8" t="s">
        <v>153</v>
      </c>
      <c r="D27" s="8" t="n">
        <v>396</v>
      </c>
      <c r="E27" s="8" t="n">
        <v>1099</v>
      </c>
      <c r="G27" s="33"/>
      <c r="H27" s="8" t="s">
        <v>468</v>
      </c>
      <c r="I27" s="8"/>
    </row>
    <row r="28" customFormat="false" ht="15.75" hidden="false" customHeight="false" outlineLevel="0" collapsed="false">
      <c r="A28" s="34" t="n">
        <v>42561.8189798148</v>
      </c>
      <c r="C28" s="8" t="s">
        <v>116</v>
      </c>
      <c r="D28" s="8" t="n">
        <v>133</v>
      </c>
      <c r="E28" s="8" t="n">
        <v>277</v>
      </c>
      <c r="G28" s="33"/>
      <c r="H28" s="8" t="s">
        <v>468</v>
      </c>
      <c r="I28" s="8"/>
    </row>
    <row r="29" customFormat="false" ht="15.75" hidden="false" customHeight="false" outlineLevel="0" collapsed="false">
      <c r="A29" s="34" t="n">
        <v>42561.8256085301</v>
      </c>
      <c r="F29" s="8" t="s">
        <v>144</v>
      </c>
      <c r="G29" s="8" t="n">
        <v>31</v>
      </c>
      <c r="H29" s="8" t="s">
        <v>467</v>
      </c>
      <c r="I29" s="8"/>
    </row>
    <row r="30" customFormat="false" ht="15.75" hidden="false" customHeight="false" outlineLevel="0" collapsed="false">
      <c r="A30" s="34" t="n">
        <v>42561.8394758681</v>
      </c>
      <c r="F30" s="8" t="s">
        <v>122</v>
      </c>
      <c r="G30" s="8" t="n">
        <v>38</v>
      </c>
      <c r="H30" s="8" t="s">
        <v>467</v>
      </c>
      <c r="I30" s="8"/>
    </row>
    <row r="31" customFormat="false" ht="15.75" hidden="false" customHeight="false" outlineLevel="0" collapsed="false">
      <c r="A31" s="34" t="n">
        <v>42561.9266530671</v>
      </c>
      <c r="C31" s="8" t="s">
        <v>153</v>
      </c>
      <c r="D31" s="8" t="n">
        <v>353</v>
      </c>
      <c r="E31" s="8" t="n">
        <v>933</v>
      </c>
      <c r="G31" s="33"/>
      <c r="H31" s="8" t="s">
        <v>468</v>
      </c>
      <c r="I31" s="8"/>
    </row>
    <row r="32" customFormat="false" ht="15.75" hidden="false" customHeight="false" outlineLevel="0" collapsed="false">
      <c r="A32" s="34" t="n">
        <v>42562.0532343171</v>
      </c>
      <c r="C32" s="8" t="s">
        <v>118</v>
      </c>
      <c r="D32" s="8" t="n">
        <v>348</v>
      </c>
      <c r="E32" s="8" t="n">
        <v>831</v>
      </c>
      <c r="G32" s="33"/>
      <c r="H32" s="8" t="s">
        <v>468</v>
      </c>
      <c r="I32" s="8"/>
    </row>
    <row r="33" customFormat="false" ht="15.75" hidden="false" customHeight="false" outlineLevel="0" collapsed="false">
      <c r="A33" s="34" t="n">
        <v>42562.0640247801</v>
      </c>
      <c r="F33" s="8" t="s">
        <v>61</v>
      </c>
      <c r="G33" s="8" t="n">
        <v>26</v>
      </c>
      <c r="H33" s="8" t="s">
        <v>467</v>
      </c>
      <c r="I33" s="8"/>
    </row>
    <row r="34" customFormat="false" ht="15.75" hidden="false" customHeight="false" outlineLevel="0" collapsed="false">
      <c r="A34" s="34" t="n">
        <v>42562.179117662</v>
      </c>
      <c r="C34" s="8" t="s">
        <v>86</v>
      </c>
      <c r="D34" s="8" t="n">
        <v>576</v>
      </c>
      <c r="E34" s="8" t="n">
        <v>888</v>
      </c>
      <c r="G34" s="33"/>
      <c r="H34" s="8" t="s">
        <v>469</v>
      </c>
      <c r="I34" s="8"/>
    </row>
    <row r="35" customFormat="false" ht="15.75" hidden="false" customHeight="false" outlineLevel="0" collapsed="false">
      <c r="A35" s="34" t="n">
        <v>42562.1799313542</v>
      </c>
      <c r="C35" s="8" t="s">
        <v>86</v>
      </c>
      <c r="D35" s="8" t="n">
        <v>253</v>
      </c>
      <c r="E35" s="8" t="n">
        <v>417</v>
      </c>
      <c r="G35" s="33"/>
      <c r="H35" s="8" t="s">
        <v>468</v>
      </c>
      <c r="I35" s="8"/>
    </row>
    <row r="36" customFormat="false" ht="15.75" hidden="false" customHeight="false" outlineLevel="0" collapsed="false">
      <c r="A36" s="34" t="n">
        <v>42562.1904158449</v>
      </c>
      <c r="F36" s="8" t="s">
        <v>41</v>
      </c>
      <c r="G36" s="8" t="n">
        <v>23</v>
      </c>
      <c r="H36" s="8" t="s">
        <v>467</v>
      </c>
      <c r="I36" s="8"/>
    </row>
    <row r="37" customFormat="false" ht="15.75" hidden="false" customHeight="false" outlineLevel="0" collapsed="false">
      <c r="A37" s="34" t="n">
        <v>42562.1915119097</v>
      </c>
      <c r="F37" s="8" t="s">
        <v>89</v>
      </c>
      <c r="G37" s="8" t="n">
        <v>21</v>
      </c>
      <c r="H37" s="8" t="s">
        <v>467</v>
      </c>
      <c r="I37" s="8"/>
    </row>
    <row r="38" customFormat="false" ht="15.75" hidden="false" customHeight="false" outlineLevel="0" collapsed="false">
      <c r="A38" s="34" t="n">
        <v>42562.1926641204</v>
      </c>
      <c r="C38" s="8" t="s">
        <v>112</v>
      </c>
      <c r="D38" s="8" t="n">
        <v>76</v>
      </c>
      <c r="E38" s="8" t="n">
        <v>133</v>
      </c>
      <c r="G38" s="33"/>
      <c r="H38" s="8" t="s">
        <v>468</v>
      </c>
      <c r="I38" s="8"/>
    </row>
    <row r="39" customFormat="false" ht="15.75" hidden="false" customHeight="false" outlineLevel="0" collapsed="false">
      <c r="A39" s="34" t="n">
        <v>42562.2065185764</v>
      </c>
      <c r="F39" s="8" t="s">
        <v>113</v>
      </c>
      <c r="G39" s="8" t="n">
        <v>29</v>
      </c>
      <c r="H39" s="8" t="s">
        <v>467</v>
      </c>
      <c r="I39" s="8"/>
    </row>
    <row r="40" customFormat="false" ht="15.75" hidden="false" customHeight="false" outlineLevel="0" collapsed="false">
      <c r="A40" s="34" t="n">
        <v>42562.2066193519</v>
      </c>
      <c r="F40" s="8" t="s">
        <v>113</v>
      </c>
      <c r="G40" s="8" t="n">
        <v>29</v>
      </c>
      <c r="H40" s="8" t="s">
        <v>467</v>
      </c>
      <c r="I40" s="8"/>
    </row>
    <row r="41" customFormat="false" ht="15.75" hidden="false" customHeight="false" outlineLevel="0" collapsed="false">
      <c r="A41" s="34" t="n">
        <v>42562.2087816319</v>
      </c>
      <c r="F41" s="8" t="s">
        <v>111</v>
      </c>
      <c r="G41" s="8" t="n">
        <v>12</v>
      </c>
      <c r="H41" s="8" t="s">
        <v>467</v>
      </c>
      <c r="I41" s="8"/>
    </row>
    <row r="42" customFormat="false" ht="15.75" hidden="false" customHeight="false" outlineLevel="0" collapsed="false">
      <c r="A42" s="34" t="n">
        <v>42562.2127289815</v>
      </c>
      <c r="F42" s="8" t="s">
        <v>118</v>
      </c>
      <c r="G42" s="8" t="n">
        <v>25</v>
      </c>
      <c r="H42" s="8" t="s">
        <v>467</v>
      </c>
      <c r="I42" s="8"/>
    </row>
    <row r="43" customFormat="false" ht="15.75" hidden="false" customHeight="false" outlineLevel="0" collapsed="false">
      <c r="A43" s="34" t="n">
        <v>42562.2603623148</v>
      </c>
      <c r="C43" s="8" t="s">
        <v>149</v>
      </c>
      <c r="D43" s="8" t="n">
        <v>63</v>
      </c>
      <c r="E43" s="8" t="n">
        <v>728</v>
      </c>
      <c r="G43" s="33"/>
      <c r="H43" s="8" t="s">
        <v>468</v>
      </c>
      <c r="I43" s="8"/>
    </row>
    <row r="44" customFormat="false" ht="15.75" hidden="false" customHeight="false" outlineLevel="0" collapsed="false">
      <c r="A44" s="34" t="n">
        <v>42562.3869970255</v>
      </c>
      <c r="F44" s="8" t="s">
        <v>37</v>
      </c>
      <c r="G44" s="8" t="n">
        <v>29</v>
      </c>
      <c r="H44" s="8" t="s">
        <v>467</v>
      </c>
      <c r="I44" s="8"/>
    </row>
    <row r="45" customFormat="false" ht="15.75" hidden="false" customHeight="false" outlineLevel="0" collapsed="false">
      <c r="A45" s="34" t="n">
        <v>42562.3919426852</v>
      </c>
      <c r="F45" s="8" t="s">
        <v>34</v>
      </c>
      <c r="G45" s="8" t="n">
        <v>21</v>
      </c>
      <c r="H45" s="8" t="s">
        <v>467</v>
      </c>
      <c r="I45" s="8"/>
    </row>
    <row r="46" customFormat="false" ht="15.75" hidden="false" customHeight="false" outlineLevel="0" collapsed="false">
      <c r="A46" s="34" t="n">
        <v>42562.3922999884</v>
      </c>
      <c r="F46" s="8" t="s">
        <v>61</v>
      </c>
      <c r="G46" s="8" t="n">
        <v>28</v>
      </c>
      <c r="H46" s="8" t="s">
        <v>467</v>
      </c>
      <c r="I46" s="8"/>
    </row>
    <row r="47" customFormat="false" ht="15.75" hidden="false" customHeight="false" outlineLevel="0" collapsed="false">
      <c r="A47" s="34" t="n">
        <v>42562.4030985069</v>
      </c>
      <c r="F47" s="8" t="s">
        <v>39</v>
      </c>
      <c r="G47" s="8" t="n">
        <v>20</v>
      </c>
      <c r="H47" s="8" t="s">
        <v>467</v>
      </c>
      <c r="I47" s="8"/>
    </row>
    <row r="48" customFormat="false" ht="15.75" hidden="false" customHeight="false" outlineLevel="0" collapsed="false">
      <c r="A48" s="34" t="n">
        <v>42562.4036005556</v>
      </c>
      <c r="F48" s="8" t="s">
        <v>162</v>
      </c>
      <c r="G48" s="8" t="n">
        <v>46</v>
      </c>
      <c r="H48" s="8" t="s">
        <v>467</v>
      </c>
      <c r="I48" s="8"/>
    </row>
    <row r="49" customFormat="false" ht="15.75" hidden="false" customHeight="false" outlineLevel="0" collapsed="false">
      <c r="A49" s="34" t="n">
        <v>42562.4052718866</v>
      </c>
      <c r="C49" s="8" t="s">
        <v>152</v>
      </c>
      <c r="D49" s="8" t="n">
        <v>230</v>
      </c>
      <c r="E49" s="8" t="n">
        <v>622</v>
      </c>
      <c r="G49" s="33"/>
      <c r="H49" s="8" t="s">
        <v>469</v>
      </c>
      <c r="I49" s="8"/>
    </row>
    <row r="50" customFormat="false" ht="15.75" hidden="false" customHeight="false" outlineLevel="0" collapsed="false">
      <c r="A50" s="34" t="n">
        <v>42562.412867662</v>
      </c>
      <c r="F50" s="8" t="s">
        <v>37</v>
      </c>
      <c r="G50" s="8" t="n">
        <v>31</v>
      </c>
      <c r="H50" s="8" t="s">
        <v>467</v>
      </c>
      <c r="I50" s="8"/>
    </row>
    <row r="51" customFormat="false" ht="15.75" hidden="false" customHeight="false" outlineLevel="0" collapsed="false">
      <c r="A51" s="34" t="n">
        <v>42562.4267393866</v>
      </c>
      <c r="C51" s="8" t="s">
        <v>149</v>
      </c>
      <c r="D51" s="8" t="n">
        <v>91</v>
      </c>
      <c r="E51" s="8" t="n">
        <v>1097</v>
      </c>
      <c r="G51" s="33"/>
      <c r="H51" s="8" t="s">
        <v>468</v>
      </c>
      <c r="I51" s="8"/>
    </row>
    <row r="52" customFormat="false" ht="15.75" hidden="false" customHeight="false" outlineLevel="0" collapsed="false">
      <c r="A52" s="34" t="n">
        <v>42562.4344043519</v>
      </c>
      <c r="F52" s="8" t="s">
        <v>144</v>
      </c>
      <c r="G52" s="8" t="n">
        <v>30</v>
      </c>
      <c r="H52" s="8" t="s">
        <v>467</v>
      </c>
      <c r="I52" s="8"/>
    </row>
    <row r="53" customFormat="false" ht="15.75" hidden="false" customHeight="false" outlineLevel="0" collapsed="false">
      <c r="A53" s="34" t="n">
        <v>42562.4700559607</v>
      </c>
      <c r="F53" s="8" t="s">
        <v>140</v>
      </c>
      <c r="G53" s="8" t="n">
        <v>736</v>
      </c>
      <c r="H53" s="8" t="s">
        <v>470</v>
      </c>
      <c r="I53" s="8"/>
    </row>
    <row r="54" customFormat="false" ht="15.75" hidden="false" customHeight="false" outlineLevel="0" collapsed="false">
      <c r="A54" s="34" t="n">
        <v>42562.5727148727</v>
      </c>
      <c r="F54" s="8" t="s">
        <v>38</v>
      </c>
      <c r="G54" s="8" t="n">
        <v>7</v>
      </c>
      <c r="H54" s="8" t="s">
        <v>467</v>
      </c>
      <c r="I54" s="8"/>
    </row>
    <row r="55" customFormat="false" ht="15.75" hidden="false" customHeight="false" outlineLevel="0" collapsed="false">
      <c r="A55" s="34" t="n">
        <v>42562.5776657986</v>
      </c>
      <c r="F55" s="8" t="s">
        <v>123</v>
      </c>
      <c r="G55" s="8" t="n">
        <v>13</v>
      </c>
      <c r="H55" s="8" t="s">
        <v>467</v>
      </c>
      <c r="I55" s="8"/>
    </row>
    <row r="56" customFormat="false" ht="15.75" hidden="false" customHeight="false" outlineLevel="0" collapsed="false">
      <c r="A56" s="34" t="n">
        <v>42562.586744456</v>
      </c>
      <c r="C56" s="8" t="s">
        <v>155</v>
      </c>
      <c r="D56" s="8" t="n">
        <v>169</v>
      </c>
      <c r="E56" s="8" t="n">
        <v>420</v>
      </c>
      <c r="G56" s="33"/>
      <c r="H56" s="8" t="s">
        <v>468</v>
      </c>
      <c r="I56" s="8"/>
    </row>
    <row r="57" customFormat="false" ht="15.75" hidden="false" customHeight="false" outlineLevel="0" collapsed="false">
      <c r="A57" s="34" t="n">
        <v>42562.5882049653</v>
      </c>
      <c r="C57" s="8" t="s">
        <v>89</v>
      </c>
      <c r="D57" s="8" t="n">
        <v>308</v>
      </c>
      <c r="E57" s="8" t="n">
        <v>491</v>
      </c>
      <c r="G57" s="33"/>
      <c r="H57" s="8" t="s">
        <v>468</v>
      </c>
      <c r="I57" s="8"/>
    </row>
    <row r="58" customFormat="false" ht="15.75" hidden="false" customHeight="false" outlineLevel="0" collapsed="false">
      <c r="A58" s="34" t="n">
        <v>42562.5886976505</v>
      </c>
      <c r="C58" s="8" t="s">
        <v>36</v>
      </c>
      <c r="D58" s="8" t="n">
        <v>10</v>
      </c>
      <c r="E58" s="8" t="n">
        <v>25</v>
      </c>
      <c r="G58" s="33"/>
      <c r="H58" s="8" t="s">
        <v>469</v>
      </c>
      <c r="I58" s="8"/>
    </row>
    <row r="59" customFormat="false" ht="15.75" hidden="false" customHeight="false" outlineLevel="0" collapsed="false">
      <c r="A59" s="34" t="n">
        <v>42562.5891487847</v>
      </c>
      <c r="C59" s="8" t="s">
        <v>36</v>
      </c>
      <c r="D59" s="8" t="n">
        <v>111</v>
      </c>
      <c r="E59" s="8" t="n">
        <v>209</v>
      </c>
      <c r="G59" s="33"/>
      <c r="H59" s="8" t="s">
        <v>468</v>
      </c>
      <c r="I59" s="8"/>
    </row>
    <row r="60" customFormat="false" ht="15.75" hidden="false" customHeight="false" outlineLevel="0" collapsed="false">
      <c r="A60" s="34" t="n">
        <v>42562.5915635648</v>
      </c>
      <c r="F60" s="8" t="s">
        <v>41</v>
      </c>
      <c r="G60" s="8" t="n">
        <v>23</v>
      </c>
      <c r="H60" s="8" t="s">
        <v>467</v>
      </c>
      <c r="I60" s="8"/>
    </row>
    <row r="61" customFormat="false" ht="15.75" hidden="false" customHeight="false" outlineLevel="0" collapsed="false">
      <c r="A61" s="34" t="n">
        <v>42562.592331169</v>
      </c>
      <c r="C61" s="8" t="s">
        <v>39</v>
      </c>
      <c r="D61" s="8" t="n">
        <v>112</v>
      </c>
      <c r="E61" s="8" t="n">
        <v>311</v>
      </c>
      <c r="G61" s="33"/>
      <c r="H61" s="8" t="s">
        <v>468</v>
      </c>
      <c r="I61" s="8"/>
    </row>
    <row r="62" customFormat="false" ht="15.75" hidden="false" customHeight="false" outlineLevel="0" collapsed="false">
      <c r="A62" s="34" t="n">
        <v>42562.5925367477</v>
      </c>
      <c r="F62" s="8" t="s">
        <v>147</v>
      </c>
      <c r="G62" s="8" t="n">
        <v>24</v>
      </c>
      <c r="H62" s="8" t="s">
        <v>467</v>
      </c>
      <c r="I62" s="8"/>
    </row>
    <row r="63" customFormat="false" ht="15.75" hidden="false" customHeight="false" outlineLevel="0" collapsed="false">
      <c r="A63" s="34" t="n">
        <v>42562.5964728125</v>
      </c>
      <c r="C63" s="8" t="s">
        <v>52</v>
      </c>
      <c r="D63" s="8" t="n">
        <v>217</v>
      </c>
      <c r="E63" s="8" t="n">
        <v>363</v>
      </c>
      <c r="G63" s="33"/>
      <c r="H63" s="8" t="s">
        <v>468</v>
      </c>
      <c r="I63" s="8"/>
    </row>
    <row r="64" customFormat="false" ht="15.75" hidden="false" customHeight="false" outlineLevel="0" collapsed="false">
      <c r="A64" s="34" t="n">
        <v>42562.6031279282</v>
      </c>
      <c r="C64" s="8" t="s">
        <v>36</v>
      </c>
      <c r="D64" s="8" t="n">
        <v>190</v>
      </c>
      <c r="E64" s="8" t="n">
        <v>352</v>
      </c>
      <c r="G64" s="33"/>
      <c r="H64" s="8" t="s">
        <v>468</v>
      </c>
      <c r="I64" s="8"/>
    </row>
    <row r="65" customFormat="false" ht="15.75" hidden="false" customHeight="false" outlineLevel="0" collapsed="false">
      <c r="A65" s="34" t="n">
        <v>42562.6218562847</v>
      </c>
      <c r="C65" s="8" t="s">
        <v>37</v>
      </c>
      <c r="D65" s="8" t="n">
        <v>250</v>
      </c>
      <c r="E65" s="8" t="n">
        <v>550</v>
      </c>
      <c r="G65" s="33"/>
      <c r="H65" s="8" t="s">
        <v>468</v>
      </c>
      <c r="I65" s="8"/>
    </row>
    <row r="66" customFormat="false" ht="15.75" hidden="false" customHeight="false" outlineLevel="0" collapsed="false">
      <c r="A66" s="34" t="n">
        <v>42562.6263203241</v>
      </c>
      <c r="C66" s="8" t="s">
        <v>82</v>
      </c>
      <c r="D66" s="8" t="n">
        <v>56</v>
      </c>
      <c r="E66" s="8" t="n">
        <v>65</v>
      </c>
      <c r="G66" s="8" t="n">
        <v>9</v>
      </c>
      <c r="H66" s="8" t="s">
        <v>467</v>
      </c>
      <c r="I66" s="8"/>
    </row>
    <row r="67" customFormat="false" ht="15.75" hidden="false" customHeight="false" outlineLevel="0" collapsed="false">
      <c r="A67" s="34" t="n">
        <v>42562.6320023495</v>
      </c>
      <c r="F67" s="8" t="s">
        <v>37</v>
      </c>
      <c r="G67" s="8" t="n">
        <v>2</v>
      </c>
      <c r="H67" s="8" t="s">
        <v>470</v>
      </c>
      <c r="I67" s="8"/>
    </row>
    <row r="68" customFormat="false" ht="15.75" hidden="false" customHeight="false" outlineLevel="0" collapsed="false">
      <c r="A68" s="34" t="n">
        <v>42562.6324742245</v>
      </c>
      <c r="F68" s="8" t="s">
        <v>116</v>
      </c>
      <c r="G68" s="8" t="n">
        <v>30</v>
      </c>
      <c r="H68" s="8" t="s">
        <v>467</v>
      </c>
      <c r="I68" s="8"/>
    </row>
    <row r="69" customFormat="false" ht="15.75" hidden="false" customHeight="false" outlineLevel="0" collapsed="false">
      <c r="A69" s="34" t="n">
        <v>42562.6556115625</v>
      </c>
      <c r="B69" s="8"/>
      <c r="C69" s="8" t="s">
        <v>152</v>
      </c>
      <c r="D69" s="8" t="n">
        <v>377</v>
      </c>
      <c r="E69" s="8" t="n">
        <v>394</v>
      </c>
      <c r="F69" s="8" t="s">
        <v>152</v>
      </c>
      <c r="G69" s="8" t="n">
        <v>17</v>
      </c>
      <c r="H69" s="8" t="s">
        <v>467</v>
      </c>
      <c r="I69" s="8"/>
    </row>
    <row r="70" customFormat="false" ht="15.75" hidden="false" customHeight="false" outlineLevel="0" collapsed="false">
      <c r="A70" s="34" t="n">
        <v>42562.6722280556</v>
      </c>
      <c r="F70" s="8" t="s">
        <v>162</v>
      </c>
      <c r="G70" s="8" t="n">
        <v>44</v>
      </c>
      <c r="H70" s="8" t="s">
        <v>467</v>
      </c>
      <c r="I70" s="8"/>
    </row>
    <row r="71" customFormat="false" ht="15.75" hidden="false" customHeight="false" outlineLevel="0" collapsed="false">
      <c r="A71" s="34" t="n">
        <v>42562.6730501505</v>
      </c>
      <c r="F71" s="8" t="s">
        <v>146</v>
      </c>
      <c r="G71" s="8" t="n">
        <v>29</v>
      </c>
      <c r="H71" s="8" t="s">
        <v>467</v>
      </c>
      <c r="I71" s="8"/>
    </row>
    <row r="72" customFormat="false" ht="15.75" hidden="false" customHeight="false" outlineLevel="0" collapsed="false">
      <c r="A72" s="34" t="n">
        <v>42562.6736496296</v>
      </c>
      <c r="F72" s="8" t="s">
        <v>61</v>
      </c>
      <c r="G72" s="8" t="n">
        <v>26</v>
      </c>
      <c r="H72" s="8" t="s">
        <v>467</v>
      </c>
      <c r="I72" s="8"/>
    </row>
    <row r="73" customFormat="false" ht="15.75" hidden="false" customHeight="false" outlineLevel="0" collapsed="false">
      <c r="A73" s="34" t="n">
        <v>42562.6835708218</v>
      </c>
      <c r="C73" s="8" t="s">
        <v>43</v>
      </c>
      <c r="D73" s="8" t="n">
        <v>278</v>
      </c>
      <c r="E73" s="8" t="n">
        <v>647</v>
      </c>
      <c r="G73" s="33"/>
      <c r="H73" s="8" t="s">
        <v>468</v>
      </c>
      <c r="I73" s="8"/>
    </row>
    <row r="74" customFormat="false" ht="15.75" hidden="false" customHeight="false" outlineLevel="0" collapsed="false">
      <c r="A74" s="34" t="n">
        <v>42562.7024484722</v>
      </c>
      <c r="F74" s="8" t="s">
        <v>116</v>
      </c>
      <c r="G74" s="8" t="n">
        <v>30</v>
      </c>
      <c r="H74" s="8" t="s">
        <v>467</v>
      </c>
      <c r="I74" s="8"/>
    </row>
    <row r="75" customFormat="false" ht="15.75" hidden="false" customHeight="false" outlineLevel="0" collapsed="false">
      <c r="A75" s="34" t="n">
        <v>42562.7102334606</v>
      </c>
      <c r="C75" s="8" t="s">
        <v>154</v>
      </c>
      <c r="D75" s="8" t="n">
        <v>291</v>
      </c>
      <c r="E75" s="8" t="n">
        <v>603</v>
      </c>
      <c r="G75" s="33"/>
      <c r="H75" s="8" t="s">
        <v>468</v>
      </c>
      <c r="I75" s="8"/>
    </row>
    <row r="76" customFormat="false" ht="15.75" hidden="false" customHeight="false" outlineLevel="0" collapsed="false">
      <c r="A76" s="34" t="n">
        <v>42562.7199926736</v>
      </c>
      <c r="F76" s="8" t="s">
        <v>152</v>
      </c>
      <c r="G76" s="8" t="n">
        <v>21</v>
      </c>
      <c r="H76" s="8" t="s">
        <v>467</v>
      </c>
      <c r="I76" s="8"/>
    </row>
    <row r="77" customFormat="false" ht="15.75" hidden="false" customHeight="false" outlineLevel="0" collapsed="false">
      <c r="A77" s="34" t="n">
        <v>42562.7458606944</v>
      </c>
      <c r="F77" s="8" t="s">
        <v>93</v>
      </c>
      <c r="G77" s="8" t="n">
        <v>11</v>
      </c>
      <c r="H77" s="8" t="s">
        <v>467</v>
      </c>
      <c r="I77" s="8"/>
    </row>
    <row r="78" customFormat="false" ht="15.75" hidden="false" customHeight="false" outlineLevel="0" collapsed="false">
      <c r="A78" s="34" t="n">
        <v>42562.7460095486</v>
      </c>
      <c r="F78" s="8" t="s">
        <v>82</v>
      </c>
      <c r="G78" s="8" t="n">
        <v>9</v>
      </c>
      <c r="H78" s="8" t="s">
        <v>467</v>
      </c>
      <c r="I78" s="8"/>
    </row>
    <row r="79" customFormat="false" ht="15.75" hidden="false" customHeight="false" outlineLevel="0" collapsed="false">
      <c r="A79" s="34" t="n">
        <v>42562.7461534028</v>
      </c>
      <c r="F79" s="8" t="s">
        <v>43</v>
      </c>
      <c r="G79" s="8" t="n">
        <v>24</v>
      </c>
      <c r="H79" s="8" t="s">
        <v>467</v>
      </c>
      <c r="I79" s="8"/>
    </row>
    <row r="80" customFormat="false" ht="15.75" hidden="false" customHeight="false" outlineLevel="0" collapsed="false">
      <c r="A80" s="34" t="n">
        <v>42562.7462599884</v>
      </c>
      <c r="F80" s="8" t="s">
        <v>42</v>
      </c>
      <c r="G80" s="8" t="n">
        <v>11</v>
      </c>
      <c r="H80" s="8" t="s">
        <v>467</v>
      </c>
      <c r="I80" s="8"/>
    </row>
    <row r="81" customFormat="false" ht="15.75" hidden="false" customHeight="false" outlineLevel="0" collapsed="false">
      <c r="A81" s="34" t="n">
        <v>42562.746493125</v>
      </c>
      <c r="F81" s="8" t="s">
        <v>121</v>
      </c>
      <c r="G81" s="8" t="n">
        <v>18</v>
      </c>
      <c r="H81" s="8" t="s">
        <v>467</v>
      </c>
      <c r="I81" s="8"/>
    </row>
    <row r="82" customFormat="false" ht="15.75" hidden="false" customHeight="false" outlineLevel="0" collapsed="false">
      <c r="A82" s="34" t="n">
        <v>42562.7466206713</v>
      </c>
      <c r="F82" s="8" t="s">
        <v>77</v>
      </c>
      <c r="G82" s="8" t="n">
        <v>19</v>
      </c>
      <c r="H82" s="8" t="s">
        <v>467</v>
      </c>
      <c r="I82" s="8"/>
    </row>
    <row r="83" customFormat="false" ht="15.75" hidden="false" customHeight="false" outlineLevel="0" collapsed="false">
      <c r="A83" s="34" t="n">
        <v>42562.7467900463</v>
      </c>
      <c r="F83" s="8" t="s">
        <v>128</v>
      </c>
      <c r="G83" s="8" t="n">
        <v>16</v>
      </c>
      <c r="H83" s="8" t="s">
        <v>467</v>
      </c>
      <c r="I83" s="8"/>
    </row>
    <row r="84" customFormat="false" ht="15.75" hidden="false" customHeight="false" outlineLevel="0" collapsed="false">
      <c r="A84" s="34" t="n">
        <v>42562.7522171065</v>
      </c>
      <c r="F84" s="8" t="s">
        <v>138</v>
      </c>
      <c r="G84" s="8" t="n">
        <v>29</v>
      </c>
      <c r="H84" s="8" t="s">
        <v>467</v>
      </c>
      <c r="I84" s="8"/>
    </row>
    <row r="85" customFormat="false" ht="15.75" hidden="false" customHeight="false" outlineLevel="0" collapsed="false">
      <c r="A85" s="34" t="n">
        <v>42562.7573575</v>
      </c>
      <c r="C85" s="8" t="s">
        <v>36</v>
      </c>
      <c r="D85" s="8" t="n">
        <v>232</v>
      </c>
      <c r="E85" s="8" t="n">
        <v>434</v>
      </c>
      <c r="G85" s="33"/>
      <c r="H85" s="8" t="s">
        <v>468</v>
      </c>
      <c r="I85" s="8"/>
    </row>
    <row r="86" customFormat="false" ht="15.75" hidden="false" customHeight="false" outlineLevel="0" collapsed="false">
      <c r="A86" s="34" t="n">
        <v>42562.7693265741</v>
      </c>
      <c r="F86" s="8" t="s">
        <v>115</v>
      </c>
      <c r="G86" s="8" t="n">
        <v>16</v>
      </c>
      <c r="H86" s="8" t="s">
        <v>467</v>
      </c>
      <c r="I86" s="8"/>
    </row>
    <row r="87" customFormat="false" ht="15.75" hidden="false" customHeight="false" outlineLevel="0" collapsed="false">
      <c r="A87" s="34" t="n">
        <v>42562.8105436574</v>
      </c>
      <c r="C87" s="8" t="s">
        <v>152</v>
      </c>
      <c r="D87" s="8" t="n">
        <v>358</v>
      </c>
      <c r="E87" s="8" t="n">
        <v>658</v>
      </c>
      <c r="G87" s="33"/>
      <c r="H87" s="8" t="s">
        <v>469</v>
      </c>
      <c r="I87" s="8"/>
    </row>
    <row r="88" customFormat="false" ht="15.75" hidden="false" customHeight="false" outlineLevel="0" collapsed="false">
      <c r="A88" s="34" t="n">
        <v>42562.8616591319</v>
      </c>
      <c r="F88" s="8" t="s">
        <v>136</v>
      </c>
      <c r="G88" s="8" t="n">
        <v>22</v>
      </c>
      <c r="H88" s="8" t="s">
        <v>467</v>
      </c>
      <c r="I88" s="8"/>
    </row>
    <row r="89" customFormat="false" ht="15.75" hidden="false" customHeight="false" outlineLevel="0" collapsed="false">
      <c r="A89" s="34" t="n">
        <v>42562.8786604282</v>
      </c>
      <c r="C89" s="8" t="s">
        <v>24</v>
      </c>
      <c r="D89" s="8" t="n">
        <v>288</v>
      </c>
      <c r="E89" s="8" t="n">
        <v>465</v>
      </c>
      <c r="G89" s="33"/>
      <c r="H89" s="8" t="s">
        <v>468</v>
      </c>
      <c r="I89" s="8"/>
    </row>
    <row r="90" customFormat="false" ht="15.75" hidden="false" customHeight="false" outlineLevel="0" collapsed="false">
      <c r="A90" s="34" t="n">
        <v>42562.882229294</v>
      </c>
      <c r="F90" s="8" t="s">
        <v>82</v>
      </c>
      <c r="G90" s="8" t="n">
        <v>4</v>
      </c>
      <c r="H90" s="8" t="s">
        <v>467</v>
      </c>
      <c r="I90" s="8"/>
    </row>
    <row r="91" customFormat="false" ht="15.75" hidden="false" customHeight="false" outlineLevel="0" collapsed="false">
      <c r="A91" s="34" t="n">
        <v>42562.8905188657</v>
      </c>
      <c r="F91" s="8" t="s">
        <v>150</v>
      </c>
      <c r="G91" s="8" t="n">
        <v>44</v>
      </c>
      <c r="H91" s="8" t="s">
        <v>467</v>
      </c>
      <c r="I91" s="8"/>
    </row>
    <row r="92" customFormat="false" ht="15.75" hidden="false" customHeight="false" outlineLevel="0" collapsed="false">
      <c r="A92" s="34" t="n">
        <v>42562.9127934375</v>
      </c>
      <c r="F92" s="8" t="s">
        <v>150</v>
      </c>
      <c r="G92" s="8" t="n">
        <v>42</v>
      </c>
      <c r="H92" s="8" t="s">
        <v>467</v>
      </c>
      <c r="I92" s="8"/>
    </row>
    <row r="93" customFormat="false" ht="15.75" hidden="false" customHeight="false" outlineLevel="0" collapsed="false">
      <c r="A93" s="34" t="n">
        <v>42562.917330787</v>
      </c>
      <c r="F93" s="8" t="s">
        <v>142</v>
      </c>
      <c r="G93" s="8" t="n">
        <v>29</v>
      </c>
      <c r="H93" s="8" t="s">
        <v>467</v>
      </c>
      <c r="I93" s="8"/>
    </row>
    <row r="94" customFormat="false" ht="15.75" hidden="false" customHeight="false" outlineLevel="0" collapsed="false">
      <c r="A94" s="34" t="n">
        <v>42562.9266129977</v>
      </c>
      <c r="C94" s="8" t="s">
        <v>28</v>
      </c>
      <c r="D94" s="8" t="n">
        <v>742</v>
      </c>
      <c r="E94" s="8" t="n">
        <v>1231</v>
      </c>
      <c r="G94" s="33"/>
      <c r="H94" s="8" t="s">
        <v>468</v>
      </c>
      <c r="I94" s="8"/>
    </row>
    <row r="95" customFormat="false" ht="15.75" hidden="false" customHeight="false" outlineLevel="0" collapsed="false">
      <c r="A95" s="34" t="n">
        <v>42562.9414980671</v>
      </c>
      <c r="F95" s="8" t="s">
        <v>82</v>
      </c>
      <c r="G95" s="8" t="n">
        <v>14</v>
      </c>
      <c r="H95" s="8" t="s">
        <v>467</v>
      </c>
      <c r="I95" s="8"/>
    </row>
    <row r="96" customFormat="false" ht="15.75" hidden="false" customHeight="false" outlineLevel="0" collapsed="false">
      <c r="A96" s="34" t="n">
        <v>42562.9528171875</v>
      </c>
      <c r="F96" s="8" t="s">
        <v>37</v>
      </c>
      <c r="G96" s="8" t="n">
        <v>28</v>
      </c>
      <c r="H96" s="8" t="s">
        <v>467</v>
      </c>
      <c r="I96" s="8"/>
    </row>
    <row r="97" customFormat="false" ht="15.75" hidden="false" customHeight="false" outlineLevel="0" collapsed="false">
      <c r="A97" s="34" t="n">
        <v>42562.9750484375</v>
      </c>
      <c r="F97" s="8" t="s">
        <v>116</v>
      </c>
      <c r="G97" s="8" t="n">
        <v>26</v>
      </c>
      <c r="H97" s="8" t="s">
        <v>467</v>
      </c>
      <c r="I97" s="8"/>
    </row>
    <row r="98" customFormat="false" ht="15.75" hidden="false" customHeight="false" outlineLevel="0" collapsed="false">
      <c r="A98" s="34" t="n">
        <v>42563.0015812963</v>
      </c>
      <c r="F98" s="8" t="s">
        <v>36</v>
      </c>
      <c r="G98" s="8" t="n">
        <v>17</v>
      </c>
      <c r="H98" s="8" t="s">
        <v>467</v>
      </c>
      <c r="I98" s="8"/>
    </row>
    <row r="99" customFormat="false" ht="15.75" hidden="false" customHeight="false" outlineLevel="0" collapsed="false">
      <c r="A99" s="34" t="n">
        <v>42563.0030507407</v>
      </c>
      <c r="F99" s="8" t="s">
        <v>36</v>
      </c>
      <c r="G99" s="8" t="n">
        <v>16</v>
      </c>
      <c r="H99" s="8" t="s">
        <v>467</v>
      </c>
      <c r="I99" s="8"/>
    </row>
    <row r="100" customFormat="false" ht="15.75" hidden="false" customHeight="false" outlineLevel="0" collapsed="false">
      <c r="A100" s="34" t="n">
        <v>42563.0036036806</v>
      </c>
      <c r="F100" s="8" t="s">
        <v>60</v>
      </c>
      <c r="G100" s="8" t="n">
        <v>13</v>
      </c>
      <c r="H100" s="8" t="s">
        <v>467</v>
      </c>
      <c r="I100" s="8"/>
    </row>
    <row r="101" customFormat="false" ht="15.75" hidden="false" customHeight="false" outlineLevel="0" collapsed="false">
      <c r="A101" s="34" t="n">
        <v>42563.0488124653</v>
      </c>
      <c r="F101" s="8" t="s">
        <v>81</v>
      </c>
      <c r="G101" s="8" t="n">
        <v>34</v>
      </c>
      <c r="H101" s="8" t="s">
        <v>467</v>
      </c>
      <c r="I101" s="8"/>
    </row>
    <row r="102" customFormat="false" ht="15.75" hidden="false" customHeight="false" outlineLevel="0" collapsed="false">
      <c r="A102" s="34" t="n">
        <v>42563.0629742708</v>
      </c>
      <c r="C102" s="8" t="s">
        <v>36</v>
      </c>
      <c r="D102" s="8" t="n">
        <v>256</v>
      </c>
      <c r="E102" s="8" t="n">
        <v>486</v>
      </c>
      <c r="G102" s="33"/>
      <c r="H102" s="8" t="s">
        <v>468</v>
      </c>
      <c r="I102" s="8"/>
    </row>
    <row r="103" customFormat="false" ht="15.75" hidden="false" customHeight="false" outlineLevel="0" collapsed="false">
      <c r="A103" s="34" t="n">
        <v>42563.0636572569</v>
      </c>
      <c r="C103" s="8" t="s">
        <v>36</v>
      </c>
      <c r="D103" s="8" t="n">
        <v>296</v>
      </c>
      <c r="E103" s="8" t="n">
        <v>566</v>
      </c>
      <c r="G103" s="33"/>
      <c r="H103" s="8" t="s">
        <v>468</v>
      </c>
      <c r="I103" s="8"/>
    </row>
    <row r="104" customFormat="false" ht="15.75" hidden="false" customHeight="false" outlineLevel="0" collapsed="false">
      <c r="A104" s="34" t="n">
        <v>42563.0637229514</v>
      </c>
      <c r="F104" s="8" t="s">
        <v>76</v>
      </c>
      <c r="G104" s="8" t="n">
        <v>27</v>
      </c>
      <c r="H104" s="8" t="s">
        <v>467</v>
      </c>
      <c r="I104" s="8"/>
    </row>
    <row r="105" customFormat="false" ht="15.75" hidden="false" customHeight="false" outlineLevel="0" collapsed="false">
      <c r="A105" s="34" t="n">
        <v>42563.0638298032</v>
      </c>
      <c r="F105" s="8" t="s">
        <v>132</v>
      </c>
      <c r="G105" s="8" t="n">
        <v>9</v>
      </c>
      <c r="H105" s="8" t="s">
        <v>467</v>
      </c>
      <c r="I105" s="8"/>
    </row>
    <row r="106" customFormat="false" ht="15.75" hidden="false" customHeight="false" outlineLevel="0" collapsed="false">
      <c r="A106" s="34" t="n">
        <v>42563.0643819329</v>
      </c>
      <c r="F106" s="8" t="s">
        <v>126</v>
      </c>
      <c r="G106" s="8" t="n">
        <v>21</v>
      </c>
      <c r="H106" s="8" t="s">
        <v>467</v>
      </c>
      <c r="I106" s="8"/>
    </row>
    <row r="107" customFormat="false" ht="15.75" hidden="false" customHeight="false" outlineLevel="0" collapsed="false">
      <c r="A107" s="34" t="n">
        <v>42563.0712799653</v>
      </c>
      <c r="F107" s="8" t="s">
        <v>132</v>
      </c>
      <c r="G107" s="8" t="n">
        <v>10</v>
      </c>
      <c r="H107" s="8" t="s">
        <v>467</v>
      </c>
      <c r="I107" s="8"/>
    </row>
    <row r="108" customFormat="false" ht="15.75" hidden="false" customHeight="false" outlineLevel="0" collapsed="false">
      <c r="A108" s="34" t="n">
        <v>42563.0750277431</v>
      </c>
      <c r="C108" s="8" t="s">
        <v>33</v>
      </c>
      <c r="D108" s="8" t="n">
        <v>129</v>
      </c>
      <c r="E108" s="8" t="n">
        <v>138</v>
      </c>
      <c r="G108" s="33"/>
      <c r="H108" s="8" t="s">
        <v>468</v>
      </c>
      <c r="I108" s="8"/>
    </row>
    <row r="109" customFormat="false" ht="15.75" hidden="false" customHeight="false" outlineLevel="0" collapsed="false">
      <c r="A109" s="34" t="n">
        <v>42563.078031875</v>
      </c>
      <c r="C109" s="8" t="s">
        <v>63</v>
      </c>
      <c r="D109" s="8" t="n">
        <v>290</v>
      </c>
      <c r="E109" s="8" t="n">
        <v>438</v>
      </c>
      <c r="G109" s="33"/>
      <c r="H109" s="8" t="s">
        <v>468</v>
      </c>
      <c r="I109" s="8"/>
    </row>
    <row r="110" customFormat="false" ht="15.75" hidden="false" customHeight="false" outlineLevel="0" collapsed="false">
      <c r="A110" s="34" t="n">
        <v>42563.0788762963</v>
      </c>
      <c r="C110" s="8" t="s">
        <v>39</v>
      </c>
      <c r="D110" s="8" t="n">
        <v>206</v>
      </c>
      <c r="E110" s="8" t="n">
        <v>535</v>
      </c>
      <c r="G110" s="33"/>
      <c r="H110" s="8" t="s">
        <v>468</v>
      </c>
      <c r="I110" s="8"/>
    </row>
    <row r="111" customFormat="false" ht="15.75" hidden="false" customHeight="false" outlineLevel="0" collapsed="false">
      <c r="A111" s="34" t="n">
        <v>42563.0839432755</v>
      </c>
      <c r="C111" s="8" t="s">
        <v>24</v>
      </c>
      <c r="D111" s="8" t="n">
        <v>19</v>
      </c>
      <c r="E111" s="8" t="n">
        <v>45</v>
      </c>
      <c r="G111" s="33"/>
      <c r="H111" s="8" t="s">
        <v>468</v>
      </c>
      <c r="I111" s="8"/>
    </row>
    <row r="112" customFormat="false" ht="15.75" hidden="false" customHeight="false" outlineLevel="0" collapsed="false">
      <c r="A112" s="34" t="n">
        <v>42563.1015951389</v>
      </c>
      <c r="C112" s="8" t="s">
        <v>36</v>
      </c>
      <c r="D112" s="8" t="n">
        <v>115</v>
      </c>
      <c r="E112" s="8" t="n">
        <v>215</v>
      </c>
      <c r="G112" s="33"/>
      <c r="H112" s="8" t="s">
        <v>468</v>
      </c>
      <c r="I112" s="8"/>
    </row>
    <row r="113" customFormat="false" ht="15.75" hidden="false" customHeight="false" outlineLevel="0" collapsed="false">
      <c r="A113" s="34" t="n">
        <v>42563.1071961111</v>
      </c>
      <c r="F113" s="8" t="s">
        <v>74</v>
      </c>
      <c r="G113" s="8" t="n">
        <v>32</v>
      </c>
      <c r="H113" s="8" t="s">
        <v>467</v>
      </c>
      <c r="I113" s="8"/>
    </row>
    <row r="114" customFormat="false" ht="15.75" hidden="false" customHeight="false" outlineLevel="0" collapsed="false">
      <c r="A114" s="34" t="n">
        <v>42563.1073227199</v>
      </c>
      <c r="F114" s="8" t="s">
        <v>80</v>
      </c>
      <c r="G114" s="8" t="n">
        <v>16</v>
      </c>
      <c r="H114" s="8" t="s">
        <v>467</v>
      </c>
      <c r="I114" s="8"/>
    </row>
    <row r="115" customFormat="false" ht="15.75" hidden="false" customHeight="false" outlineLevel="0" collapsed="false">
      <c r="A115" s="34" t="n">
        <v>42563.1154631019</v>
      </c>
      <c r="F115" s="8" t="s">
        <v>32</v>
      </c>
      <c r="G115" s="8" t="n">
        <v>147152</v>
      </c>
      <c r="H115" s="8" t="s">
        <v>470</v>
      </c>
      <c r="I115" s="8"/>
    </row>
    <row r="116" customFormat="false" ht="15.75" hidden="false" customHeight="false" outlineLevel="0" collapsed="false">
      <c r="A116" s="34" t="n">
        <v>42563.1157990741</v>
      </c>
      <c r="F116" s="8" t="s">
        <v>32</v>
      </c>
      <c r="G116" s="8" t="n">
        <v>5</v>
      </c>
      <c r="H116" s="8" t="s">
        <v>467</v>
      </c>
      <c r="I116" s="8"/>
    </row>
    <row r="117" customFormat="false" ht="15.75" hidden="false" customHeight="false" outlineLevel="0" collapsed="false">
      <c r="A117" s="34" t="n">
        <v>42563.1161293056</v>
      </c>
      <c r="F117" s="8" t="s">
        <v>37</v>
      </c>
      <c r="G117" s="8" t="n">
        <v>27</v>
      </c>
      <c r="H117" s="8" t="s">
        <v>467</v>
      </c>
      <c r="I117" s="8"/>
    </row>
    <row r="118" customFormat="false" ht="15.75" hidden="false" customHeight="false" outlineLevel="0" collapsed="false">
      <c r="A118" s="34" t="n">
        <v>42563.1231310532</v>
      </c>
      <c r="F118" s="8" t="s">
        <v>32</v>
      </c>
      <c r="G118" s="8" t="n">
        <v>6</v>
      </c>
      <c r="H118" s="8" t="s">
        <v>467</v>
      </c>
      <c r="I118" s="8"/>
    </row>
    <row r="119" customFormat="false" ht="15.75" hidden="false" customHeight="false" outlineLevel="0" collapsed="false">
      <c r="A119" s="34" t="n">
        <v>42563.1282546759</v>
      </c>
      <c r="F119" s="8" t="s">
        <v>146</v>
      </c>
      <c r="G119" s="8" t="n">
        <v>29</v>
      </c>
      <c r="H119" s="8" t="s">
        <v>467</v>
      </c>
      <c r="I119" s="8"/>
    </row>
    <row r="120" customFormat="false" ht="15.75" hidden="false" customHeight="false" outlineLevel="0" collapsed="false">
      <c r="A120" s="34" t="n">
        <v>42563.1380799537</v>
      </c>
      <c r="F120" s="8" t="s">
        <v>153</v>
      </c>
      <c r="G120" s="8" t="n">
        <v>38</v>
      </c>
      <c r="H120" s="8" t="s">
        <v>467</v>
      </c>
      <c r="I120" s="8"/>
    </row>
    <row r="121" customFormat="false" ht="15.75" hidden="false" customHeight="false" outlineLevel="0" collapsed="false">
      <c r="A121" s="34" t="n">
        <v>42563.1413807986</v>
      </c>
      <c r="F121" s="8" t="s">
        <v>59</v>
      </c>
      <c r="G121" s="8" t="n">
        <v>31</v>
      </c>
      <c r="H121" s="8" t="s">
        <v>467</v>
      </c>
      <c r="I121" s="8"/>
    </row>
    <row r="122" customFormat="false" ht="15.75" hidden="false" customHeight="false" outlineLevel="0" collapsed="false">
      <c r="A122" s="34" t="n">
        <v>42563.1419683796</v>
      </c>
      <c r="F122" s="8" t="s">
        <v>120</v>
      </c>
      <c r="G122" s="8" t="n">
        <v>21</v>
      </c>
      <c r="H122" s="8" t="s">
        <v>467</v>
      </c>
      <c r="I122" s="8"/>
    </row>
    <row r="123" customFormat="false" ht="15.75" hidden="false" customHeight="false" outlineLevel="0" collapsed="false">
      <c r="A123" s="34" t="n">
        <v>42563.14239875</v>
      </c>
      <c r="C123" s="8" t="s">
        <v>120</v>
      </c>
      <c r="D123" s="8" t="n">
        <v>227</v>
      </c>
      <c r="E123" s="8" t="n">
        <v>466</v>
      </c>
      <c r="G123" s="33"/>
      <c r="H123" s="8" t="s">
        <v>468</v>
      </c>
      <c r="I123" s="8"/>
    </row>
    <row r="124" customFormat="false" ht="15.75" hidden="false" customHeight="false" outlineLevel="0" collapsed="false">
      <c r="A124" s="34" t="n">
        <v>42563.1626857639</v>
      </c>
      <c r="F124" s="8" t="s">
        <v>155</v>
      </c>
      <c r="G124" s="8" t="n">
        <v>37</v>
      </c>
      <c r="H124" s="8" t="s">
        <v>467</v>
      </c>
      <c r="I124" s="8"/>
    </row>
    <row r="125" customFormat="false" ht="15.75" hidden="false" customHeight="false" outlineLevel="0" collapsed="false">
      <c r="A125" s="34" t="n">
        <v>42563.1631479282</v>
      </c>
      <c r="F125" s="8" t="s">
        <v>155</v>
      </c>
      <c r="G125" s="8" t="n">
        <v>38</v>
      </c>
      <c r="H125" s="8" t="s">
        <v>467</v>
      </c>
      <c r="I125" s="8"/>
    </row>
    <row r="126" customFormat="false" ht="15.75" hidden="false" customHeight="false" outlineLevel="0" collapsed="false">
      <c r="A126" s="34" t="n">
        <v>42563.1633839005</v>
      </c>
      <c r="F126" s="8" t="s">
        <v>155</v>
      </c>
      <c r="G126" s="8" t="n">
        <v>35</v>
      </c>
      <c r="H126" s="8" t="s">
        <v>467</v>
      </c>
      <c r="I126" s="8"/>
    </row>
    <row r="127" customFormat="false" ht="15.75" hidden="false" customHeight="false" outlineLevel="0" collapsed="false">
      <c r="A127" s="34" t="n">
        <v>42563.1636045949</v>
      </c>
      <c r="F127" s="8" t="s">
        <v>155</v>
      </c>
      <c r="G127" s="8" t="n">
        <v>36</v>
      </c>
      <c r="H127" s="8" t="s">
        <v>467</v>
      </c>
      <c r="I127" s="8"/>
    </row>
    <row r="128" customFormat="false" ht="15.75" hidden="false" customHeight="false" outlineLevel="0" collapsed="false">
      <c r="A128" s="34" t="n">
        <v>42563.16763</v>
      </c>
      <c r="F128" s="8" t="s">
        <v>66</v>
      </c>
      <c r="G128" s="8" t="n">
        <v>23</v>
      </c>
      <c r="H128" s="8" t="s">
        <v>467</v>
      </c>
      <c r="I128" s="8"/>
    </row>
    <row r="129" customFormat="false" ht="15.75" hidden="false" customHeight="false" outlineLevel="0" collapsed="false">
      <c r="A129" s="34" t="n">
        <v>42563.1677414931</v>
      </c>
      <c r="F129" s="8" t="s">
        <v>66</v>
      </c>
      <c r="G129" s="8" t="n">
        <v>23</v>
      </c>
      <c r="H129" s="8" t="s">
        <v>467</v>
      </c>
      <c r="I129" s="8"/>
    </row>
    <row r="130" customFormat="false" ht="15.75" hidden="false" customHeight="false" outlineLevel="0" collapsed="false">
      <c r="A130" s="34" t="n">
        <v>42563.1678573032</v>
      </c>
      <c r="F130" s="8" t="s">
        <v>66</v>
      </c>
      <c r="G130" s="8" t="n">
        <v>24</v>
      </c>
      <c r="H130" s="8" t="s">
        <v>467</v>
      </c>
      <c r="I130" s="8"/>
    </row>
    <row r="131" customFormat="false" ht="15.75" hidden="false" customHeight="false" outlineLevel="0" collapsed="false">
      <c r="A131" s="34" t="n">
        <v>42563.1724849306</v>
      </c>
      <c r="F131" s="8" t="s">
        <v>97</v>
      </c>
      <c r="G131" s="8" t="n">
        <v>30</v>
      </c>
      <c r="H131" s="8" t="s">
        <v>467</v>
      </c>
      <c r="I131" s="8"/>
    </row>
    <row r="132" customFormat="false" ht="15.75" hidden="false" customHeight="false" outlineLevel="0" collapsed="false">
      <c r="A132" s="34" t="n">
        <v>42563.1726039699</v>
      </c>
      <c r="F132" s="8" t="s">
        <v>97</v>
      </c>
      <c r="G132" s="8" t="n">
        <v>31</v>
      </c>
      <c r="H132" s="8" t="s">
        <v>467</v>
      </c>
      <c r="I132" s="8"/>
    </row>
    <row r="133" customFormat="false" ht="15.75" hidden="false" customHeight="false" outlineLevel="0" collapsed="false">
      <c r="A133" s="34" t="n">
        <v>42563.1799366204</v>
      </c>
      <c r="F133" s="8" t="s">
        <v>161</v>
      </c>
      <c r="G133" s="8" t="n">
        <v>31</v>
      </c>
      <c r="H133" s="8" t="s">
        <v>467</v>
      </c>
      <c r="I133" s="8"/>
    </row>
    <row r="134" customFormat="false" ht="15.75" hidden="false" customHeight="false" outlineLevel="0" collapsed="false">
      <c r="A134" s="34" t="n">
        <v>42563.1937558449</v>
      </c>
      <c r="F134" s="8" t="s">
        <v>99</v>
      </c>
      <c r="G134" s="8" t="n">
        <v>35</v>
      </c>
      <c r="H134" s="8" t="s">
        <v>467</v>
      </c>
      <c r="I134" s="8"/>
    </row>
    <row r="135" customFormat="false" ht="15.75" hidden="false" customHeight="false" outlineLevel="0" collapsed="false">
      <c r="A135" s="34" t="n">
        <v>42563.1938890625</v>
      </c>
      <c r="F135" s="8" t="s">
        <v>99</v>
      </c>
      <c r="G135" s="8" t="n">
        <v>35</v>
      </c>
      <c r="H135" s="8" t="s">
        <v>467</v>
      </c>
      <c r="I135" s="8"/>
    </row>
    <row r="136" customFormat="false" ht="15.75" hidden="false" customHeight="false" outlineLevel="0" collapsed="false">
      <c r="A136" s="34" t="n">
        <v>42563.1939844329</v>
      </c>
      <c r="F136" s="8" t="s">
        <v>99</v>
      </c>
      <c r="G136" s="8" t="n">
        <v>35</v>
      </c>
      <c r="H136" s="8" t="s">
        <v>467</v>
      </c>
      <c r="I136" s="8"/>
    </row>
    <row r="137" customFormat="false" ht="15.75" hidden="false" customHeight="false" outlineLevel="0" collapsed="false">
      <c r="A137" s="34" t="n">
        <v>42563.1943023958</v>
      </c>
      <c r="F137" s="8" t="s">
        <v>99</v>
      </c>
      <c r="G137" s="8" t="n">
        <v>34</v>
      </c>
      <c r="H137" s="8" t="s">
        <v>467</v>
      </c>
      <c r="I137" s="8"/>
    </row>
    <row r="138" customFormat="false" ht="15.75" hidden="false" customHeight="false" outlineLevel="0" collapsed="false">
      <c r="A138" s="34" t="n">
        <v>42563.1945947569</v>
      </c>
      <c r="F138" s="8" t="s">
        <v>99</v>
      </c>
      <c r="G138" s="8" t="n">
        <v>35</v>
      </c>
      <c r="H138" s="8" t="s">
        <v>467</v>
      </c>
      <c r="I138" s="8"/>
    </row>
    <row r="139" customFormat="false" ht="15.75" hidden="false" customHeight="false" outlineLevel="0" collapsed="false">
      <c r="A139" s="34" t="n">
        <v>42563.1953166551</v>
      </c>
      <c r="F139" s="8" t="s">
        <v>101</v>
      </c>
      <c r="G139" s="8" t="n">
        <v>26</v>
      </c>
      <c r="H139" s="8" t="s">
        <v>467</v>
      </c>
      <c r="I139" s="8"/>
    </row>
    <row r="140" customFormat="false" ht="15.75" hidden="false" customHeight="false" outlineLevel="0" collapsed="false">
      <c r="A140" s="34" t="n">
        <v>42563.195450787</v>
      </c>
      <c r="F140" s="8" t="s">
        <v>100</v>
      </c>
      <c r="G140" s="8" t="n">
        <v>12</v>
      </c>
      <c r="H140" s="8" t="s">
        <v>467</v>
      </c>
      <c r="I140" s="8"/>
    </row>
    <row r="141" customFormat="false" ht="15.75" hidden="false" customHeight="false" outlineLevel="0" collapsed="false">
      <c r="A141" s="34" t="n">
        <v>42563.2004024421</v>
      </c>
      <c r="F141" s="8" t="s">
        <v>78</v>
      </c>
      <c r="G141" s="8" t="n">
        <v>42</v>
      </c>
      <c r="H141" s="8" t="s">
        <v>467</v>
      </c>
      <c r="I141" s="8"/>
    </row>
    <row r="142" customFormat="false" ht="15.75" hidden="false" customHeight="false" outlineLevel="0" collapsed="false">
      <c r="A142" s="34" t="n">
        <v>42563.2033191204</v>
      </c>
      <c r="F142" s="8" t="s">
        <v>127</v>
      </c>
      <c r="G142" s="8" t="n">
        <v>21</v>
      </c>
      <c r="H142" s="8" t="s">
        <v>467</v>
      </c>
      <c r="I142" s="8"/>
    </row>
    <row r="143" customFormat="false" ht="15.75" hidden="false" customHeight="false" outlineLevel="0" collapsed="false">
      <c r="A143" s="34" t="n">
        <v>42563.2038975</v>
      </c>
      <c r="F143" s="8" t="s">
        <v>159</v>
      </c>
      <c r="G143" s="8" t="n">
        <v>16</v>
      </c>
      <c r="H143" s="8" t="s">
        <v>467</v>
      </c>
      <c r="I143" s="8"/>
    </row>
    <row r="144" customFormat="false" ht="15.75" hidden="false" customHeight="false" outlineLevel="0" collapsed="false">
      <c r="A144" s="34" t="n">
        <v>42563.2292315278</v>
      </c>
      <c r="F144" s="8" t="s">
        <v>41</v>
      </c>
      <c r="G144" s="8" t="n">
        <v>24</v>
      </c>
      <c r="H144" s="8" t="s">
        <v>467</v>
      </c>
      <c r="I144" s="8"/>
    </row>
    <row r="145" customFormat="false" ht="15.75" hidden="false" customHeight="false" outlineLevel="0" collapsed="false">
      <c r="A145" s="34" t="n">
        <v>42563.2346512616</v>
      </c>
      <c r="F145" s="8" t="s">
        <v>61</v>
      </c>
      <c r="G145" s="8" t="n">
        <v>300</v>
      </c>
      <c r="H145" s="8" t="s">
        <v>470</v>
      </c>
      <c r="I145" s="8"/>
    </row>
    <row r="146" customFormat="false" ht="15.75" hidden="false" customHeight="false" outlineLevel="0" collapsed="false">
      <c r="A146" s="34" t="n">
        <v>42563.2457125695</v>
      </c>
      <c r="F146" s="8" t="s">
        <v>31</v>
      </c>
      <c r="G146" s="8" t="n">
        <v>18</v>
      </c>
      <c r="H146" s="8" t="s">
        <v>467</v>
      </c>
      <c r="I146" s="8"/>
    </row>
    <row r="147" customFormat="false" ht="15.75" hidden="false" customHeight="false" outlineLevel="0" collapsed="false">
      <c r="A147" s="34" t="n">
        <v>42563.2458460532</v>
      </c>
      <c r="F147" s="8" t="s">
        <v>31</v>
      </c>
      <c r="G147" s="8" t="n">
        <v>18</v>
      </c>
      <c r="H147" s="8" t="s">
        <v>467</v>
      </c>
      <c r="I147" s="8"/>
    </row>
    <row r="148" customFormat="false" ht="15.75" hidden="false" customHeight="false" outlineLevel="0" collapsed="false">
      <c r="A148" s="34" t="n">
        <v>42563.2459493287</v>
      </c>
      <c r="F148" s="8" t="s">
        <v>31</v>
      </c>
      <c r="G148" s="8" t="n">
        <v>19</v>
      </c>
      <c r="H148" s="8" t="s">
        <v>467</v>
      </c>
      <c r="I148" s="8"/>
    </row>
    <row r="149" customFormat="false" ht="15.75" hidden="false" customHeight="false" outlineLevel="0" collapsed="false">
      <c r="A149" s="34" t="n">
        <v>42563.2468469097</v>
      </c>
      <c r="F149" s="8" t="s">
        <v>105</v>
      </c>
      <c r="G149" s="8" t="n">
        <v>16</v>
      </c>
      <c r="H149" s="8" t="s">
        <v>467</v>
      </c>
      <c r="I149" s="8"/>
    </row>
    <row r="150" customFormat="false" ht="15.75" hidden="false" customHeight="false" outlineLevel="0" collapsed="false">
      <c r="A150" s="34" t="n">
        <v>42563.2470276505</v>
      </c>
      <c r="F150" s="8" t="s">
        <v>105</v>
      </c>
      <c r="G150" s="8" t="n">
        <v>16</v>
      </c>
      <c r="H150" s="8" t="s">
        <v>467</v>
      </c>
      <c r="I150" s="8"/>
    </row>
    <row r="151" customFormat="false" ht="15.75" hidden="false" customHeight="false" outlineLevel="0" collapsed="false">
      <c r="A151" s="34" t="n">
        <v>42563.2471563079</v>
      </c>
      <c r="F151" s="8" t="s">
        <v>105</v>
      </c>
      <c r="G151" s="8" t="n">
        <v>16</v>
      </c>
      <c r="H151" s="8" t="s">
        <v>467</v>
      </c>
      <c r="I151" s="8"/>
    </row>
    <row r="152" customFormat="false" ht="15.75" hidden="false" customHeight="false" outlineLevel="0" collapsed="false">
      <c r="A152" s="34" t="n">
        <v>42563.2623342593</v>
      </c>
      <c r="F152" s="8" t="s">
        <v>140</v>
      </c>
      <c r="G152" s="8" t="n">
        <v>30</v>
      </c>
      <c r="H152" s="8" t="s">
        <v>467</v>
      </c>
      <c r="I152" s="8"/>
    </row>
    <row r="153" customFormat="false" ht="15.75" hidden="false" customHeight="false" outlineLevel="0" collapsed="false">
      <c r="A153" s="34" t="n">
        <v>42563.2633659722</v>
      </c>
      <c r="F153" s="8" t="s">
        <v>20</v>
      </c>
      <c r="G153" s="8" t="n">
        <v>15</v>
      </c>
      <c r="H153" s="8" t="s">
        <v>467</v>
      </c>
      <c r="I153" s="8"/>
    </row>
    <row r="154" customFormat="false" ht="15.75" hidden="false" customHeight="false" outlineLevel="0" collapsed="false">
      <c r="A154" s="34" t="n">
        <v>42563.2639431134</v>
      </c>
      <c r="F154" s="8" t="s">
        <v>114</v>
      </c>
      <c r="G154" s="8" t="n">
        <v>12</v>
      </c>
      <c r="H154" s="8" t="s">
        <v>467</v>
      </c>
      <c r="I154" s="8"/>
    </row>
    <row r="155" customFormat="false" ht="15.75" hidden="false" customHeight="false" outlineLevel="0" collapsed="false">
      <c r="A155" s="34" t="n">
        <v>42563.2651384954</v>
      </c>
      <c r="F155" s="8" t="s">
        <v>26</v>
      </c>
      <c r="G155" s="8" t="n">
        <v>13</v>
      </c>
      <c r="H155" s="8" t="s">
        <v>467</v>
      </c>
      <c r="I155" s="8"/>
    </row>
    <row r="156" customFormat="false" ht="15.75" hidden="false" customHeight="false" outlineLevel="0" collapsed="false">
      <c r="A156" s="34" t="n">
        <v>42563.2652586574</v>
      </c>
      <c r="F156" s="8" t="s">
        <v>26</v>
      </c>
      <c r="G156" s="8" t="n">
        <v>13</v>
      </c>
      <c r="H156" s="8" t="s">
        <v>467</v>
      </c>
      <c r="I156" s="8"/>
    </row>
    <row r="157" customFormat="false" ht="15.75" hidden="false" customHeight="false" outlineLevel="0" collapsed="false">
      <c r="A157" s="34" t="n">
        <v>42563.2662012153</v>
      </c>
      <c r="F157" s="8" t="s">
        <v>23</v>
      </c>
      <c r="G157" s="8" t="n">
        <v>13</v>
      </c>
      <c r="H157" s="8" t="s">
        <v>467</v>
      </c>
      <c r="I157" s="8"/>
    </row>
    <row r="158" customFormat="false" ht="15.75" hidden="false" customHeight="false" outlineLevel="0" collapsed="false">
      <c r="A158" s="34" t="n">
        <v>42563.2663153009</v>
      </c>
      <c r="F158" s="8" t="s">
        <v>23</v>
      </c>
      <c r="G158" s="8" t="n">
        <v>13</v>
      </c>
      <c r="H158" s="8" t="s">
        <v>467</v>
      </c>
      <c r="I158" s="8"/>
    </row>
    <row r="159" customFormat="false" ht="15.75" hidden="false" customHeight="false" outlineLevel="0" collapsed="false">
      <c r="A159" s="34" t="n">
        <v>42563.2664264005</v>
      </c>
      <c r="F159" s="8" t="s">
        <v>23</v>
      </c>
      <c r="G159" s="8" t="n">
        <v>14</v>
      </c>
      <c r="H159" s="8" t="s">
        <v>467</v>
      </c>
      <c r="I159" s="8"/>
    </row>
    <row r="160" customFormat="false" ht="15.75" hidden="false" customHeight="false" outlineLevel="0" collapsed="false">
      <c r="A160" s="34" t="n">
        <v>42563.303409375</v>
      </c>
      <c r="F160" s="8" t="s">
        <v>161</v>
      </c>
      <c r="G160" s="8" t="n">
        <v>32</v>
      </c>
      <c r="H160" s="8" t="s">
        <v>467</v>
      </c>
      <c r="I160" s="8"/>
    </row>
    <row r="161" customFormat="false" ht="15.75" hidden="false" customHeight="false" outlineLevel="0" collapsed="false">
      <c r="A161" s="34" t="n">
        <v>42563.3177054861</v>
      </c>
      <c r="F161" s="8" t="s">
        <v>101</v>
      </c>
      <c r="G161" s="8" t="n">
        <v>24</v>
      </c>
      <c r="H161" s="8" t="s">
        <v>467</v>
      </c>
      <c r="I161" s="8"/>
    </row>
    <row r="162" customFormat="false" ht="15.75" hidden="false" customHeight="false" outlineLevel="0" collapsed="false">
      <c r="A162" s="34" t="n">
        <v>42563.3190267245</v>
      </c>
      <c r="F162" s="8" t="s">
        <v>113</v>
      </c>
      <c r="G162" s="8" t="n">
        <v>30</v>
      </c>
      <c r="H162" s="8" t="s">
        <v>467</v>
      </c>
      <c r="I162" s="8"/>
    </row>
    <row r="163" customFormat="false" ht="15.75" hidden="false" customHeight="false" outlineLevel="0" collapsed="false">
      <c r="A163" s="34" t="n">
        <v>42563.3204086227</v>
      </c>
      <c r="F163" s="8" t="s">
        <v>54</v>
      </c>
      <c r="G163" s="8" t="n">
        <v>16</v>
      </c>
      <c r="H163" s="8" t="s">
        <v>467</v>
      </c>
      <c r="I163" s="8"/>
    </row>
    <row r="164" customFormat="false" ht="15.75" hidden="false" customHeight="false" outlineLevel="0" collapsed="false">
      <c r="A164" s="34" t="n">
        <v>42563.3225296412</v>
      </c>
      <c r="F164" s="8" t="s">
        <v>160</v>
      </c>
      <c r="G164" s="8" t="n">
        <v>30</v>
      </c>
      <c r="H164" s="8" t="s">
        <v>467</v>
      </c>
      <c r="I164" s="8"/>
    </row>
    <row r="165" customFormat="false" ht="15.75" hidden="false" customHeight="false" outlineLevel="0" collapsed="false">
      <c r="A165" s="34" t="n">
        <v>42563.3264947801</v>
      </c>
      <c r="F165" s="8" t="s">
        <v>130</v>
      </c>
      <c r="G165" s="8" t="n">
        <v>16</v>
      </c>
      <c r="H165" s="8" t="s">
        <v>467</v>
      </c>
      <c r="I165" s="8"/>
    </row>
    <row r="166" customFormat="false" ht="15.75" hidden="false" customHeight="false" outlineLevel="0" collapsed="false">
      <c r="A166" s="34" t="n">
        <v>42563.3268432176</v>
      </c>
      <c r="F166" s="8" t="s">
        <v>130</v>
      </c>
      <c r="G166" s="8" t="n">
        <v>16</v>
      </c>
      <c r="H166" s="8" t="s">
        <v>467</v>
      </c>
      <c r="I166" s="8"/>
    </row>
    <row r="167" customFormat="false" ht="15.75" hidden="false" customHeight="false" outlineLevel="0" collapsed="false">
      <c r="A167" s="34" t="n">
        <v>42563.3324738542</v>
      </c>
      <c r="F167" s="8" t="s">
        <v>37</v>
      </c>
      <c r="G167" s="8" t="n">
        <v>28</v>
      </c>
      <c r="H167" s="8" t="s">
        <v>467</v>
      </c>
      <c r="I167" s="8" t="n">
        <v>2</v>
      </c>
    </row>
    <row r="168" customFormat="false" ht="15.75" hidden="false" customHeight="false" outlineLevel="0" collapsed="false">
      <c r="A168" s="34" t="n">
        <v>42563.3375059375</v>
      </c>
      <c r="F168" s="8" t="s">
        <v>95</v>
      </c>
      <c r="G168" s="8" t="n">
        <v>31</v>
      </c>
      <c r="H168" s="8" t="s">
        <v>467</v>
      </c>
      <c r="I168" s="8" t="n">
        <v>1</v>
      </c>
    </row>
    <row r="169" customFormat="false" ht="15.75" hidden="false" customHeight="false" outlineLevel="0" collapsed="false">
      <c r="A169" s="34" t="n">
        <v>42563.3418762731</v>
      </c>
      <c r="F169" s="8" t="s">
        <v>47</v>
      </c>
      <c r="G169" s="8" t="n">
        <v>23</v>
      </c>
      <c r="H169" s="8" t="s">
        <v>467</v>
      </c>
      <c r="I169" s="8" t="n">
        <v>1</v>
      </c>
    </row>
    <row r="170" customFormat="false" ht="15.75" hidden="false" customHeight="false" outlineLevel="0" collapsed="false">
      <c r="A170" s="34" t="n">
        <v>42563.3501362731</v>
      </c>
      <c r="F170" s="8" t="s">
        <v>112</v>
      </c>
      <c r="G170" s="8" t="n">
        <v>18</v>
      </c>
      <c r="H170" s="8" t="s">
        <v>467</v>
      </c>
      <c r="I170" s="8" t="n">
        <v>2</v>
      </c>
    </row>
    <row r="171" customFormat="false" ht="15.75" hidden="false" customHeight="false" outlineLevel="0" collapsed="false">
      <c r="A171" s="34" t="n">
        <v>42563.3529865625</v>
      </c>
      <c r="F171" s="8" t="s">
        <v>154</v>
      </c>
      <c r="G171" s="8" t="n">
        <v>29</v>
      </c>
      <c r="H171" s="8" t="s">
        <v>467</v>
      </c>
      <c r="I171" s="8" t="n">
        <v>2</v>
      </c>
    </row>
    <row r="172" customFormat="false" ht="15.75" hidden="false" customHeight="false" outlineLevel="0" collapsed="false">
      <c r="A172" s="34" t="n">
        <v>42563.3706892477</v>
      </c>
      <c r="F172" s="8" t="s">
        <v>156</v>
      </c>
      <c r="G172" s="8" t="n">
        <v>20</v>
      </c>
      <c r="H172" s="8" t="s">
        <v>470</v>
      </c>
      <c r="I172" s="8" t="n">
        <v>2</v>
      </c>
    </row>
    <row r="173" customFormat="false" ht="15.75" hidden="false" customHeight="false" outlineLevel="0" collapsed="false">
      <c r="A173" s="34" t="n">
        <v>42563.3755642477</v>
      </c>
      <c r="F173" s="8" t="s">
        <v>22</v>
      </c>
      <c r="G173" s="8" t="n">
        <v>33</v>
      </c>
      <c r="H173" s="8" t="s">
        <v>467</v>
      </c>
      <c r="I173" s="8" t="n">
        <v>3</v>
      </c>
    </row>
    <row r="174" customFormat="false" ht="15.75" hidden="false" customHeight="false" outlineLevel="0" collapsed="false">
      <c r="A174" s="34" t="n">
        <v>42563.3796060764</v>
      </c>
      <c r="F174" s="8" t="s">
        <v>156</v>
      </c>
      <c r="G174" s="8" t="n">
        <v>23</v>
      </c>
      <c r="H174" s="8" t="s">
        <v>467</v>
      </c>
    </row>
    <row r="175" customFormat="false" ht="15.75" hidden="false" customHeight="false" outlineLevel="0" collapsed="false">
      <c r="A175" s="34" t="n">
        <v>42563.3801474306</v>
      </c>
      <c r="F175" s="8" t="s">
        <v>156</v>
      </c>
      <c r="G175" s="8" t="n">
        <v>24</v>
      </c>
      <c r="H175" s="8" t="s">
        <v>467</v>
      </c>
    </row>
    <row r="176" customFormat="false" ht="15.75" hidden="false" customHeight="false" outlineLevel="0" collapsed="false">
      <c r="A176" s="34" t="n">
        <v>42563.3806256482</v>
      </c>
      <c r="F176" s="8" t="s">
        <v>156</v>
      </c>
      <c r="G176" s="8" t="n">
        <v>24</v>
      </c>
      <c r="H176" s="8" t="s">
        <v>467</v>
      </c>
    </row>
    <row r="177" customFormat="false" ht="15.75" hidden="false" customHeight="false" outlineLevel="0" collapsed="false">
      <c r="A177" s="34" t="n">
        <v>42563.3813737731</v>
      </c>
      <c r="F177" s="8" t="s">
        <v>156</v>
      </c>
      <c r="G177" s="8" t="n">
        <v>24</v>
      </c>
      <c r="H177" s="8" t="s">
        <v>467</v>
      </c>
    </row>
    <row r="178" customFormat="false" ht="15.75" hidden="false" customHeight="false" outlineLevel="0" collapsed="false">
      <c r="A178" s="34" t="n">
        <v>42563.3819023611</v>
      </c>
      <c r="F178" s="8" t="s">
        <v>156</v>
      </c>
      <c r="G178" s="8" t="n">
        <v>16</v>
      </c>
      <c r="H178" s="8" t="s">
        <v>467</v>
      </c>
      <c r="I178" s="8" t="n">
        <v>1</v>
      </c>
    </row>
    <row r="179" customFormat="false" ht="15.75" hidden="false" customHeight="false" outlineLevel="0" collapsed="false">
      <c r="A179" s="34" t="n">
        <v>42563.3820729398</v>
      </c>
      <c r="F179" s="8" t="s">
        <v>156</v>
      </c>
      <c r="G179" s="8" t="n">
        <v>30</v>
      </c>
      <c r="H179" s="8" t="s">
        <v>467</v>
      </c>
      <c r="I179" s="8" t="n">
        <v>2</v>
      </c>
    </row>
    <row r="180" customFormat="false" ht="15.75" hidden="false" customHeight="false" outlineLevel="0" collapsed="false">
      <c r="A180" s="34" t="n">
        <v>42563.3824689468</v>
      </c>
      <c r="F180" s="8" t="s">
        <v>156</v>
      </c>
      <c r="G180" s="8" t="n">
        <v>24</v>
      </c>
      <c r="H180" s="8" t="s">
        <v>467</v>
      </c>
      <c r="I180" s="8" t="n">
        <v>1</v>
      </c>
    </row>
    <row r="181" customFormat="false" ht="15.75" hidden="false" customHeight="false" outlineLevel="0" collapsed="false">
      <c r="A181" s="34" t="n">
        <v>42563.3825036343</v>
      </c>
      <c r="F181" s="8" t="s">
        <v>156</v>
      </c>
      <c r="G181" s="8" t="n">
        <v>24</v>
      </c>
      <c r="H181" s="8" t="s">
        <v>470</v>
      </c>
      <c r="I181" s="8" t="n">
        <v>1</v>
      </c>
    </row>
    <row r="182" customFormat="false" ht="15.75" hidden="false" customHeight="false" outlineLevel="0" collapsed="false">
      <c r="A182" s="34" t="n">
        <v>42563.3852349769</v>
      </c>
      <c r="F182" s="8" t="s">
        <v>90</v>
      </c>
      <c r="G182" s="8" t="n">
        <v>34</v>
      </c>
      <c r="H182" s="8" t="s">
        <v>467</v>
      </c>
    </row>
    <row r="183" customFormat="false" ht="15.75" hidden="false" customHeight="false" outlineLevel="0" collapsed="false">
      <c r="A183" s="34" t="n">
        <v>42563.3853348495</v>
      </c>
      <c r="F183" s="8" t="s">
        <v>90</v>
      </c>
      <c r="G183" s="8" t="n">
        <v>36</v>
      </c>
      <c r="H183" s="8" t="s">
        <v>467</v>
      </c>
    </row>
    <row r="184" customFormat="false" ht="15.75" hidden="false" customHeight="false" outlineLevel="0" collapsed="false">
      <c r="A184" s="34" t="n">
        <v>42563.3889212731</v>
      </c>
      <c r="F184" s="8" t="s">
        <v>156</v>
      </c>
      <c r="G184" s="8" t="n">
        <v>25</v>
      </c>
      <c r="H184" s="8" t="s">
        <v>467</v>
      </c>
    </row>
    <row r="185" customFormat="false" ht="15.75" hidden="false" customHeight="false" outlineLevel="0" collapsed="false">
      <c r="A185" s="34" t="n">
        <v>42563.3898101389</v>
      </c>
      <c r="C185" s="8" t="s">
        <v>153</v>
      </c>
      <c r="D185" s="8" t="n">
        <v>450</v>
      </c>
      <c r="E185" s="8" t="n">
        <v>1227</v>
      </c>
      <c r="G185" s="33"/>
      <c r="H185" s="8" t="s">
        <v>468</v>
      </c>
    </row>
    <row r="186" customFormat="false" ht="15.75" hidden="false" customHeight="false" outlineLevel="0" collapsed="false">
      <c r="A186" s="34" t="n">
        <v>42563.394196713</v>
      </c>
      <c r="F186" s="8" t="s">
        <v>55</v>
      </c>
      <c r="G186" s="8" t="n">
        <v>33</v>
      </c>
      <c r="H186" s="8" t="s">
        <v>467</v>
      </c>
    </row>
    <row r="187" customFormat="false" ht="15.75" hidden="false" customHeight="false" outlineLevel="0" collapsed="false">
      <c r="A187" s="34" t="n">
        <v>42563.3957503357</v>
      </c>
      <c r="F187" s="8" t="s">
        <v>69</v>
      </c>
      <c r="G187" s="8" t="n">
        <v>7</v>
      </c>
      <c r="H187" s="8" t="s">
        <v>467</v>
      </c>
    </row>
    <row r="188" customFormat="false" ht="15.75" hidden="false" customHeight="false" outlineLevel="0" collapsed="false">
      <c r="A188" s="34" t="n">
        <v>42563.3964766435</v>
      </c>
      <c r="F188" s="8" t="s">
        <v>116</v>
      </c>
      <c r="G188" s="8" t="n">
        <v>29</v>
      </c>
      <c r="H188" s="8" t="s">
        <v>467</v>
      </c>
    </row>
    <row r="189" customFormat="false" ht="15.75" hidden="false" customHeight="false" outlineLevel="0" collapsed="false">
      <c r="A189" s="34" t="n">
        <v>42563.4030042824</v>
      </c>
      <c r="F189" s="8" t="s">
        <v>37</v>
      </c>
      <c r="G189" s="8" t="n">
        <v>28</v>
      </c>
      <c r="H189" s="8" t="s">
        <v>467</v>
      </c>
      <c r="I189" s="8" t="n">
        <v>2</v>
      </c>
    </row>
    <row r="190" customFormat="false" ht="15.75" hidden="false" customHeight="false" outlineLevel="0" collapsed="false">
      <c r="A190" s="34" t="n">
        <v>42563.4039185417</v>
      </c>
      <c r="F190" s="8" t="s">
        <v>155</v>
      </c>
      <c r="G190" s="8" t="n">
        <v>37</v>
      </c>
      <c r="H190" s="8" t="s">
        <v>467</v>
      </c>
      <c r="I190" s="8" t="n">
        <v>2</v>
      </c>
    </row>
    <row r="191" customFormat="false" ht="15.75" hidden="false" customHeight="false" outlineLevel="0" collapsed="false">
      <c r="A191" s="34" t="n">
        <v>42563.4088402431</v>
      </c>
      <c r="F191" s="8" t="s">
        <v>28</v>
      </c>
      <c r="G191" s="8" t="n">
        <v>33</v>
      </c>
      <c r="H191" s="8" t="s">
        <v>467</v>
      </c>
      <c r="I191" s="8" t="n">
        <v>2</v>
      </c>
    </row>
    <row r="192" customFormat="false" ht="15.75" hidden="false" customHeight="false" outlineLevel="0" collapsed="false">
      <c r="A192" s="34" t="n">
        <v>42563.4154044676</v>
      </c>
      <c r="F192" s="8" t="s">
        <v>92</v>
      </c>
      <c r="G192" s="8" t="n">
        <v>31</v>
      </c>
      <c r="H192" s="8" t="s">
        <v>467</v>
      </c>
      <c r="I192" s="8" t="n">
        <v>3</v>
      </c>
    </row>
    <row r="193" customFormat="false" ht="15.75" hidden="false" customHeight="false" outlineLevel="0" collapsed="false">
      <c r="A193" s="34" t="n">
        <v>42563.425853912</v>
      </c>
      <c r="F193" s="8" t="s">
        <v>92</v>
      </c>
      <c r="G193" s="8" t="n">
        <v>30</v>
      </c>
      <c r="H193" s="8" t="s">
        <v>467</v>
      </c>
      <c r="I193" s="8" t="n">
        <v>3</v>
      </c>
    </row>
    <row r="194" customFormat="false" ht="15.75" hidden="false" customHeight="false" outlineLevel="0" collapsed="false">
      <c r="A194" s="34" t="n">
        <v>42563.4270011111</v>
      </c>
      <c r="F194" s="8" t="s">
        <v>92</v>
      </c>
      <c r="G194" s="8" t="n">
        <v>30</v>
      </c>
      <c r="H194" s="8" t="s">
        <v>467</v>
      </c>
      <c r="I194" s="8" t="n">
        <v>4</v>
      </c>
    </row>
    <row r="195" customFormat="false" ht="15.75" hidden="false" customHeight="false" outlineLevel="0" collapsed="false">
      <c r="A195" s="34" t="n">
        <v>42563.440680463</v>
      </c>
      <c r="F195" s="8" t="s">
        <v>92</v>
      </c>
      <c r="G195" s="8" t="n">
        <v>373</v>
      </c>
      <c r="H195" s="8" t="s">
        <v>470</v>
      </c>
      <c r="I195" s="8" t="n">
        <v>57</v>
      </c>
    </row>
    <row r="196" customFormat="false" ht="15.75" hidden="false" customHeight="false" outlineLevel="0" collapsed="false">
      <c r="A196" s="34" t="n">
        <v>42563.4413089699</v>
      </c>
      <c r="F196" s="8" t="s">
        <v>92</v>
      </c>
      <c r="G196" s="8" t="n">
        <v>373342</v>
      </c>
      <c r="H196" s="8" t="s">
        <v>470</v>
      </c>
      <c r="I196" s="8" t="n">
        <v>5754</v>
      </c>
    </row>
    <row r="197" customFormat="false" ht="15.75" hidden="false" customHeight="false" outlineLevel="0" collapsed="false">
      <c r="A197" s="34" t="n">
        <v>42563.4454529861</v>
      </c>
      <c r="F197" s="8" t="s">
        <v>37</v>
      </c>
      <c r="G197" s="8" t="n">
        <v>29</v>
      </c>
      <c r="H197" s="8" t="s">
        <v>467</v>
      </c>
      <c r="I197" s="8" t="n">
        <v>2</v>
      </c>
    </row>
    <row r="198" customFormat="false" ht="15.75" hidden="false" customHeight="false" outlineLevel="0" collapsed="false">
      <c r="A198" s="34" t="n">
        <v>42563.4458229051</v>
      </c>
      <c r="F198" s="8" t="s">
        <v>37</v>
      </c>
      <c r="G198" s="8" t="n">
        <v>28</v>
      </c>
      <c r="H198" s="8" t="s">
        <v>467</v>
      </c>
      <c r="I198" s="8" t="n">
        <v>2</v>
      </c>
    </row>
    <row r="199" customFormat="false" ht="15.75" hidden="false" customHeight="false" outlineLevel="0" collapsed="false">
      <c r="A199" s="34" t="n">
        <v>42563.468747037</v>
      </c>
      <c r="C199" s="8" t="s">
        <v>33</v>
      </c>
      <c r="D199" s="8" t="n">
        <v>61</v>
      </c>
      <c r="E199" s="8" t="n">
        <v>205</v>
      </c>
      <c r="G199" s="33"/>
      <c r="H199" s="8" t="s">
        <v>468</v>
      </c>
    </row>
    <row r="200" customFormat="false" ht="15.75" hidden="false" customHeight="false" outlineLevel="0" collapsed="false">
      <c r="A200" s="34" t="n">
        <v>42563.4763983565</v>
      </c>
      <c r="F200" s="8" t="s">
        <v>116</v>
      </c>
      <c r="G200" s="8" t="n">
        <v>31</v>
      </c>
      <c r="H200" s="8" t="s">
        <v>467</v>
      </c>
      <c r="I200" s="8" t="n">
        <v>2</v>
      </c>
    </row>
    <row r="201" customFormat="false" ht="15.75" hidden="false" customHeight="false" outlineLevel="0" collapsed="false">
      <c r="A201" s="34" t="n">
        <v>42563.4985534028</v>
      </c>
      <c r="F201" s="8" t="s">
        <v>54</v>
      </c>
      <c r="G201" s="8" t="n">
        <v>16</v>
      </c>
      <c r="H201" s="8" t="s">
        <v>467</v>
      </c>
      <c r="I201" s="8" t="n">
        <v>3</v>
      </c>
    </row>
    <row r="202" customFormat="false" ht="15.75" hidden="false" customHeight="false" outlineLevel="0" collapsed="false">
      <c r="A202" s="34" t="n">
        <v>42563.4999494329</v>
      </c>
      <c r="F202" s="8" t="s">
        <v>152</v>
      </c>
      <c r="G202" s="8" t="n">
        <v>16</v>
      </c>
      <c r="H202" s="8" t="s">
        <v>467</v>
      </c>
    </row>
    <row r="203" customFormat="false" ht="15.75" hidden="false" customHeight="false" outlineLevel="0" collapsed="false">
      <c r="A203" s="34" t="n">
        <v>42563.5001396065</v>
      </c>
      <c r="F203" s="8" t="s">
        <v>154</v>
      </c>
      <c r="G203" s="8" t="n">
        <v>32</v>
      </c>
      <c r="H203" s="8" t="s">
        <v>467</v>
      </c>
    </row>
    <row r="204" customFormat="false" ht="15.75" hidden="false" customHeight="false" outlineLevel="0" collapsed="false">
      <c r="A204" s="34" t="n">
        <v>42563.5166585417</v>
      </c>
      <c r="C204" s="8" t="s">
        <v>153</v>
      </c>
      <c r="D204" s="8" t="n">
        <v>302</v>
      </c>
      <c r="E204" s="8" t="n">
        <v>792</v>
      </c>
      <c r="G204" s="33"/>
      <c r="H204" s="8" t="s">
        <v>468</v>
      </c>
    </row>
    <row r="205" customFormat="false" ht="15.75" hidden="false" customHeight="false" outlineLevel="0" collapsed="false">
      <c r="A205" s="34" t="n">
        <v>42563.5272815625</v>
      </c>
      <c r="F205" s="8" t="s">
        <v>74</v>
      </c>
      <c r="G205" s="8" t="n">
        <v>36</v>
      </c>
      <c r="H205" s="8" t="s">
        <v>467</v>
      </c>
      <c r="I205" s="8" t="n">
        <v>3</v>
      </c>
    </row>
    <row r="206" customFormat="false" ht="15.75" hidden="false" customHeight="false" outlineLevel="0" collapsed="false">
      <c r="A206" s="34" t="n">
        <v>42563.5314439352</v>
      </c>
      <c r="F206" s="8" t="s">
        <v>92</v>
      </c>
      <c r="G206" s="8" t="n">
        <v>30</v>
      </c>
      <c r="H206" s="8" t="s">
        <v>467</v>
      </c>
      <c r="I206" s="8" t="n">
        <v>1</v>
      </c>
    </row>
    <row r="207" customFormat="false" ht="15.75" hidden="false" customHeight="false" outlineLevel="0" collapsed="false">
      <c r="A207" s="34" t="n">
        <v>42563.532120382</v>
      </c>
      <c r="F207" s="8" t="s">
        <v>162</v>
      </c>
      <c r="G207" s="8" t="n">
        <v>45</v>
      </c>
      <c r="H207" s="8" t="s">
        <v>467</v>
      </c>
      <c r="I207" s="8" t="n">
        <v>3</v>
      </c>
    </row>
    <row r="208" customFormat="false" ht="15.75" hidden="false" customHeight="false" outlineLevel="0" collapsed="false">
      <c r="A208" s="34" t="n">
        <v>42563.5377499421</v>
      </c>
      <c r="C208" s="8" t="s">
        <v>36</v>
      </c>
      <c r="D208" s="8" t="n">
        <v>74</v>
      </c>
      <c r="E208" s="8" t="n">
        <v>141</v>
      </c>
      <c r="G208" s="33"/>
      <c r="H208" s="8" t="s">
        <v>468</v>
      </c>
    </row>
    <row r="209" customFormat="false" ht="15.75" hidden="false" customHeight="false" outlineLevel="0" collapsed="false">
      <c r="A209" s="34" t="n">
        <v>42563.5407598495</v>
      </c>
      <c r="F209" s="8" t="s">
        <v>75</v>
      </c>
      <c r="G209" s="8" t="n">
        <v>12</v>
      </c>
      <c r="H209" s="8" t="s">
        <v>467</v>
      </c>
    </row>
    <row r="210" customFormat="false" ht="15.75" hidden="false" customHeight="false" outlineLevel="0" collapsed="false">
      <c r="A210" s="34" t="n">
        <v>42563.5418117708</v>
      </c>
      <c r="C210" s="8" t="s">
        <v>36</v>
      </c>
      <c r="D210" s="8" t="n">
        <v>67</v>
      </c>
      <c r="E210" s="8" t="n">
        <v>128</v>
      </c>
      <c r="G210" s="33"/>
      <c r="H210" s="8" t="s">
        <v>468</v>
      </c>
    </row>
    <row r="211" customFormat="false" ht="15.75" hidden="false" customHeight="false" outlineLevel="0" collapsed="false">
      <c r="A211" s="34" t="n">
        <v>42563.5439597107</v>
      </c>
      <c r="F211" s="8" t="s">
        <v>81</v>
      </c>
      <c r="G211" s="8" t="n">
        <v>34</v>
      </c>
      <c r="H211" s="8" t="s">
        <v>467</v>
      </c>
      <c r="I211" s="8" t="n">
        <v>2</v>
      </c>
    </row>
    <row r="212" customFormat="false" ht="15.75" hidden="false" customHeight="false" outlineLevel="0" collapsed="false">
      <c r="A212" s="34" t="n">
        <v>42563.5439885995</v>
      </c>
      <c r="F212" s="8" t="s">
        <v>116</v>
      </c>
      <c r="G212" s="8" t="n">
        <v>32</v>
      </c>
      <c r="H212" s="8" t="s">
        <v>467</v>
      </c>
    </row>
    <row r="213" customFormat="false" ht="15.75" hidden="false" customHeight="false" outlineLevel="0" collapsed="false">
      <c r="A213" s="34" t="n">
        <v>42563.5442743287</v>
      </c>
      <c r="F213" s="8" t="s">
        <v>116</v>
      </c>
      <c r="G213" s="8" t="n">
        <v>29</v>
      </c>
      <c r="H213" s="8" t="s">
        <v>467</v>
      </c>
      <c r="I213" s="8" t="n">
        <v>1</v>
      </c>
    </row>
    <row r="214" customFormat="false" ht="15.75" hidden="false" customHeight="false" outlineLevel="0" collapsed="false">
      <c r="A214" s="34" t="n">
        <v>42563.5489458796</v>
      </c>
      <c r="C214" s="8" t="s">
        <v>39</v>
      </c>
      <c r="D214" s="8" t="n">
        <v>40</v>
      </c>
      <c r="E214" s="8" t="n">
        <v>234</v>
      </c>
      <c r="G214" s="33"/>
      <c r="H214" s="8" t="s">
        <v>468</v>
      </c>
    </row>
    <row r="215" customFormat="false" ht="15.75" hidden="false" customHeight="false" outlineLevel="0" collapsed="false">
      <c r="A215" s="34" t="n">
        <v>42563.5597601389</v>
      </c>
      <c r="C215" s="8" t="s">
        <v>154</v>
      </c>
      <c r="D215" s="8" t="n">
        <v>400</v>
      </c>
      <c r="E215" s="8" t="n">
        <v>537</v>
      </c>
      <c r="G215" s="33"/>
      <c r="H215" s="8" t="s">
        <v>468</v>
      </c>
    </row>
    <row r="216" customFormat="false" ht="15.75" hidden="false" customHeight="false" outlineLevel="0" collapsed="false">
      <c r="A216" s="34" t="n">
        <v>42563.5622301852</v>
      </c>
      <c r="F216" s="8" t="s">
        <v>64</v>
      </c>
      <c r="G216" s="8" t="n">
        <v>34</v>
      </c>
      <c r="H216" s="8" t="s">
        <v>467</v>
      </c>
      <c r="I216" s="8" t="n">
        <v>2</v>
      </c>
    </row>
    <row r="217" customFormat="false" ht="15.75" hidden="false" customHeight="false" outlineLevel="0" collapsed="false">
      <c r="A217" s="34" t="n">
        <v>42563.6029188194</v>
      </c>
      <c r="F217" s="8" t="s">
        <v>122</v>
      </c>
      <c r="G217" s="8" t="n">
        <v>42</v>
      </c>
      <c r="H217" s="8" t="s">
        <v>467</v>
      </c>
    </row>
    <row r="218" customFormat="false" ht="15.75" hidden="false" customHeight="false" outlineLevel="0" collapsed="false">
      <c r="A218" s="34" t="n">
        <v>42563.6029972454</v>
      </c>
      <c r="F218" s="8" t="s">
        <v>99</v>
      </c>
      <c r="G218" s="8" t="n">
        <v>37</v>
      </c>
      <c r="H218" s="8" t="s">
        <v>467</v>
      </c>
      <c r="I218" s="8" t="n">
        <v>3</v>
      </c>
    </row>
    <row r="219" customFormat="false" ht="15.75" hidden="false" customHeight="false" outlineLevel="0" collapsed="false">
      <c r="A219" s="34" t="n">
        <v>42563.6052889005</v>
      </c>
      <c r="C219" s="8" t="s">
        <v>36</v>
      </c>
      <c r="D219" s="8" t="n">
        <v>149</v>
      </c>
      <c r="E219" s="8" t="n">
        <v>278</v>
      </c>
      <c r="G219" s="33"/>
      <c r="H219" s="8" t="s">
        <v>468</v>
      </c>
    </row>
    <row r="220" customFormat="false" ht="15.75" hidden="false" customHeight="false" outlineLevel="0" collapsed="false">
      <c r="A220" s="34" t="n">
        <v>42563.6271910764</v>
      </c>
      <c r="C220" s="8" t="s">
        <v>70</v>
      </c>
      <c r="D220" s="8" t="n">
        <v>367</v>
      </c>
      <c r="E220" s="8" t="n">
        <v>600</v>
      </c>
      <c r="G220" s="33"/>
      <c r="H220" s="8" t="s">
        <v>468</v>
      </c>
    </row>
    <row r="221" customFormat="false" ht="15.75" hidden="false" customHeight="false" outlineLevel="0" collapsed="false">
      <c r="A221" s="34" t="n">
        <v>42563.6359661227</v>
      </c>
      <c r="F221" s="8" t="s">
        <v>143</v>
      </c>
      <c r="G221" s="8" t="n">
        <v>23</v>
      </c>
      <c r="H221" s="8" t="s">
        <v>467</v>
      </c>
      <c r="I221" s="8" t="n">
        <v>1</v>
      </c>
    </row>
    <row r="222" customFormat="false" ht="15.75" hidden="false" customHeight="false" outlineLevel="0" collapsed="false">
      <c r="A222" s="34" t="n">
        <v>42563.6364026273</v>
      </c>
      <c r="F222" s="8" t="s">
        <v>146</v>
      </c>
      <c r="G222" s="8" t="n">
        <v>29</v>
      </c>
      <c r="H222" s="8" t="s">
        <v>467</v>
      </c>
      <c r="I222" s="8" t="n">
        <v>1</v>
      </c>
    </row>
    <row r="223" customFormat="false" ht="15.75" hidden="false" customHeight="false" outlineLevel="0" collapsed="false">
      <c r="A223" s="34" t="n">
        <v>42563.6373492361</v>
      </c>
      <c r="F223" s="8" t="s">
        <v>168</v>
      </c>
      <c r="G223" s="8" t="n">
        <v>47</v>
      </c>
      <c r="H223" s="8" t="s">
        <v>467</v>
      </c>
    </row>
    <row r="224" customFormat="false" ht="15.75" hidden="false" customHeight="false" outlineLevel="0" collapsed="false">
      <c r="A224" s="34" t="n">
        <v>42563.6377644329</v>
      </c>
      <c r="F224" s="8" t="s">
        <v>146</v>
      </c>
      <c r="G224" s="8" t="n">
        <v>29</v>
      </c>
      <c r="H224" s="8" t="s">
        <v>467</v>
      </c>
      <c r="I224" s="8" t="n">
        <v>2</v>
      </c>
    </row>
    <row r="225" customFormat="false" ht="15.75" hidden="false" customHeight="false" outlineLevel="0" collapsed="false">
      <c r="A225" s="34" t="n">
        <v>42563.6606856944</v>
      </c>
      <c r="F225" s="8" t="s">
        <v>122</v>
      </c>
      <c r="G225" s="8" t="n">
        <v>41</v>
      </c>
      <c r="H225" s="8" t="s">
        <v>467</v>
      </c>
    </row>
    <row r="226" customFormat="false" ht="15.75" hidden="false" customHeight="false" outlineLevel="0" collapsed="false">
      <c r="A226" s="34" t="n">
        <v>42563.6625488889</v>
      </c>
      <c r="F226" s="8" t="s">
        <v>68</v>
      </c>
      <c r="G226" s="8" t="n">
        <v>7</v>
      </c>
      <c r="H226" s="8" t="s">
        <v>470</v>
      </c>
    </row>
    <row r="227" customFormat="false" ht="15.75" hidden="false" customHeight="false" outlineLevel="0" collapsed="false">
      <c r="A227" s="34" t="n">
        <v>42563.6706168171</v>
      </c>
      <c r="F227" s="8" t="s">
        <v>147</v>
      </c>
      <c r="G227" s="8" t="n">
        <v>26</v>
      </c>
      <c r="H227" s="8" t="s">
        <v>467</v>
      </c>
      <c r="I227" s="8" t="n">
        <v>4</v>
      </c>
    </row>
    <row r="228" customFormat="false" ht="15.75" hidden="false" customHeight="false" outlineLevel="0" collapsed="false">
      <c r="A228" s="34" t="n">
        <v>42563.6713529398</v>
      </c>
      <c r="F228" s="8" t="s">
        <v>129</v>
      </c>
      <c r="G228" s="8" t="n">
        <v>34</v>
      </c>
      <c r="H228" s="8" t="s">
        <v>467</v>
      </c>
      <c r="I228" s="8" t="n">
        <v>2</v>
      </c>
    </row>
    <row r="229" customFormat="false" ht="15.75" hidden="false" customHeight="false" outlineLevel="0" collapsed="false">
      <c r="A229" s="34" t="n">
        <v>42563.6717877546</v>
      </c>
      <c r="F229" s="8" t="s">
        <v>129</v>
      </c>
      <c r="G229" s="8" t="n">
        <v>34</v>
      </c>
      <c r="H229" s="8" t="s">
        <v>467</v>
      </c>
      <c r="I229" s="8" t="n">
        <v>3</v>
      </c>
    </row>
    <row r="230" customFormat="false" ht="15.75" hidden="false" customHeight="false" outlineLevel="0" collapsed="false">
      <c r="A230" s="34" t="n">
        <v>42563.6723909722</v>
      </c>
      <c r="F230" s="8" t="s">
        <v>25</v>
      </c>
      <c r="G230" s="8" t="n">
        <v>33</v>
      </c>
      <c r="H230" s="8" t="s">
        <v>467</v>
      </c>
      <c r="I230" s="8" t="n">
        <v>1</v>
      </c>
    </row>
    <row r="231" customFormat="false" ht="15.75" hidden="false" customHeight="false" outlineLevel="0" collapsed="false">
      <c r="A231" s="34" t="n">
        <v>42563.6728512269</v>
      </c>
      <c r="F231" s="8" t="s">
        <v>133</v>
      </c>
      <c r="G231" s="8" t="n">
        <v>25</v>
      </c>
      <c r="H231" s="8" t="s">
        <v>467</v>
      </c>
      <c r="I231" s="8" t="n">
        <v>5</v>
      </c>
    </row>
    <row r="232" customFormat="false" ht="15.75" hidden="false" customHeight="false" outlineLevel="0" collapsed="false">
      <c r="A232" s="34" t="n">
        <v>42563.6731681597</v>
      </c>
      <c r="F232" s="8" t="s">
        <v>133</v>
      </c>
      <c r="G232" s="8" t="n">
        <v>24</v>
      </c>
      <c r="H232" s="8" t="s">
        <v>467</v>
      </c>
      <c r="I232" s="8" t="n">
        <v>5</v>
      </c>
    </row>
    <row r="233" customFormat="false" ht="15.75" hidden="false" customHeight="false" outlineLevel="0" collapsed="false">
      <c r="A233" s="34" t="n">
        <v>42563.673403831</v>
      </c>
      <c r="F233" s="8" t="s">
        <v>133</v>
      </c>
      <c r="G233" s="8" t="n">
        <v>25</v>
      </c>
      <c r="H233" s="8" t="s">
        <v>467</v>
      </c>
      <c r="I233" s="8" t="n">
        <v>3</v>
      </c>
    </row>
    <row r="234" customFormat="false" ht="15.75" hidden="false" customHeight="false" outlineLevel="0" collapsed="false">
      <c r="A234" s="34" t="n">
        <v>42563.6734585417</v>
      </c>
      <c r="F234" s="8" t="s">
        <v>92</v>
      </c>
      <c r="G234" s="8" t="n">
        <v>30</v>
      </c>
      <c r="H234" s="8" t="s">
        <v>467</v>
      </c>
      <c r="I234" s="8" t="n">
        <v>6</v>
      </c>
    </row>
    <row r="235" customFormat="false" ht="15.75" hidden="false" customHeight="false" outlineLevel="0" collapsed="false">
      <c r="A235" s="34" t="n">
        <v>42563.6738167708</v>
      </c>
      <c r="F235" s="8" t="s">
        <v>142</v>
      </c>
      <c r="G235" s="8" t="n">
        <v>29</v>
      </c>
      <c r="H235" s="8" t="s">
        <v>467</v>
      </c>
      <c r="I235" s="8" t="n">
        <v>2</v>
      </c>
    </row>
    <row r="236" customFormat="false" ht="15.75" hidden="false" customHeight="false" outlineLevel="0" collapsed="false">
      <c r="A236" s="34" t="n">
        <v>42563.6742103125</v>
      </c>
      <c r="F236" s="8" t="s">
        <v>22</v>
      </c>
      <c r="G236" s="8" t="n">
        <v>559</v>
      </c>
      <c r="H236" s="8" t="s">
        <v>470</v>
      </c>
      <c r="I236" s="8" t="n">
        <v>563</v>
      </c>
    </row>
    <row r="237" customFormat="false" ht="15.75" hidden="false" customHeight="false" outlineLevel="0" collapsed="false">
      <c r="A237" s="34" t="n">
        <v>42563.6776644213</v>
      </c>
      <c r="F237" s="8" t="s">
        <v>154</v>
      </c>
      <c r="G237" s="8" t="n">
        <v>28</v>
      </c>
      <c r="H237" s="8" t="s">
        <v>467</v>
      </c>
      <c r="I237" s="8" t="n">
        <v>2</v>
      </c>
    </row>
    <row r="238" customFormat="false" ht="15.75" hidden="false" customHeight="false" outlineLevel="0" collapsed="false">
      <c r="A238" s="34" t="n">
        <v>42563.6784107986</v>
      </c>
      <c r="F238" s="8" t="s">
        <v>32</v>
      </c>
      <c r="G238" s="8" t="n">
        <v>5</v>
      </c>
      <c r="H238" s="8" t="s">
        <v>467</v>
      </c>
    </row>
    <row r="239" customFormat="false" ht="15.75" hidden="false" customHeight="false" outlineLevel="0" collapsed="false">
      <c r="A239" s="34" t="n">
        <v>42563.6823365046</v>
      </c>
      <c r="F239" s="8" t="s">
        <v>145</v>
      </c>
      <c r="G239" s="8" t="n">
        <v>32</v>
      </c>
      <c r="H239" s="8" t="s">
        <v>467</v>
      </c>
    </row>
    <row r="240" customFormat="false" ht="15.75" hidden="false" customHeight="false" outlineLevel="0" collapsed="false">
      <c r="A240" s="34" t="n">
        <v>42563.6870831713</v>
      </c>
      <c r="F240" s="8" t="s">
        <v>76</v>
      </c>
      <c r="G240" s="8" t="n">
        <v>24</v>
      </c>
      <c r="H240" s="8" t="s">
        <v>467</v>
      </c>
      <c r="I240" s="8" t="n">
        <v>1</v>
      </c>
    </row>
    <row r="241" customFormat="false" ht="15.75" hidden="false" customHeight="false" outlineLevel="0" collapsed="false">
      <c r="A241" s="34" t="n">
        <v>42563.6874308333</v>
      </c>
      <c r="F241" s="8" t="s">
        <v>76</v>
      </c>
      <c r="G241" s="8" t="n">
        <v>24</v>
      </c>
      <c r="H241" s="8" t="s">
        <v>467</v>
      </c>
      <c r="I241" s="8" t="n">
        <v>1</v>
      </c>
    </row>
    <row r="242" customFormat="false" ht="15.75" hidden="false" customHeight="false" outlineLevel="0" collapsed="false">
      <c r="A242" s="34" t="n">
        <v>42563.6909882755</v>
      </c>
      <c r="F242" s="8" t="s">
        <v>152</v>
      </c>
      <c r="G242" s="8" t="n">
        <v>36</v>
      </c>
      <c r="H242" s="8" t="s">
        <v>467</v>
      </c>
    </row>
    <row r="243" customFormat="false" ht="15.75" hidden="false" customHeight="false" outlineLevel="0" collapsed="false">
      <c r="A243" s="34" t="n">
        <v>42563.7069760764</v>
      </c>
      <c r="C243" s="8" t="s">
        <v>61</v>
      </c>
      <c r="D243" s="8" t="n">
        <v>249</v>
      </c>
      <c r="E243" s="8" t="n">
        <v>777</v>
      </c>
      <c r="G243" s="33"/>
      <c r="H243" s="8" t="s">
        <v>468</v>
      </c>
    </row>
    <row r="244" customFormat="false" ht="15.75" hidden="false" customHeight="false" outlineLevel="0" collapsed="false">
      <c r="A244" s="34" t="n">
        <v>42563.7132419792</v>
      </c>
      <c r="F244" s="8" t="s">
        <v>142</v>
      </c>
      <c r="G244" s="8" t="n">
        <v>30</v>
      </c>
      <c r="H244" s="8" t="s">
        <v>467</v>
      </c>
      <c r="I244" s="8" t="n">
        <v>3</v>
      </c>
    </row>
    <row r="245" customFormat="false" ht="15.75" hidden="false" customHeight="false" outlineLevel="0" collapsed="false">
      <c r="A245" s="34" t="n">
        <v>42563.7135564699</v>
      </c>
      <c r="F245" s="8" t="s">
        <v>142</v>
      </c>
      <c r="G245" s="8" t="n">
        <v>31</v>
      </c>
      <c r="H245" s="8" t="s">
        <v>467</v>
      </c>
      <c r="I245" s="8" t="n">
        <v>2</v>
      </c>
    </row>
    <row r="246" customFormat="false" ht="15.75" hidden="false" customHeight="false" outlineLevel="0" collapsed="false">
      <c r="A246" s="34" t="n">
        <v>42563.7136110533</v>
      </c>
      <c r="C246" s="8" t="s">
        <v>20</v>
      </c>
      <c r="D246" s="8" t="n">
        <v>154</v>
      </c>
      <c r="E246" s="8" t="n">
        <v>406</v>
      </c>
      <c r="G246" s="33"/>
      <c r="H246" s="8" t="s">
        <v>469</v>
      </c>
    </row>
    <row r="247" customFormat="false" ht="15.75" hidden="false" customHeight="false" outlineLevel="0" collapsed="false">
      <c r="A247" s="34" t="n">
        <v>42563.7138111806</v>
      </c>
      <c r="F247" s="8" t="s">
        <v>142</v>
      </c>
      <c r="G247" s="8" t="n">
        <v>31</v>
      </c>
      <c r="H247" s="8" t="s">
        <v>467</v>
      </c>
      <c r="I247" s="8" t="n">
        <v>3</v>
      </c>
    </row>
    <row r="248" customFormat="false" ht="15.75" hidden="false" customHeight="false" outlineLevel="0" collapsed="false">
      <c r="A248" s="34" t="n">
        <v>42563.7212120602</v>
      </c>
      <c r="F248" s="8" t="s">
        <v>110</v>
      </c>
      <c r="G248" s="8" t="n">
        <v>26</v>
      </c>
      <c r="H248" s="8" t="s">
        <v>467</v>
      </c>
    </row>
    <row r="249" customFormat="false" ht="15.75" hidden="false" customHeight="false" outlineLevel="0" collapsed="false">
      <c r="A249" s="34" t="n">
        <v>42563.7216307523</v>
      </c>
      <c r="F249" s="8" t="s">
        <v>92</v>
      </c>
      <c r="G249" s="8" t="n">
        <v>30</v>
      </c>
      <c r="H249" s="8" t="s">
        <v>467</v>
      </c>
    </row>
    <row r="250" customFormat="false" ht="15.75" hidden="false" customHeight="false" outlineLevel="0" collapsed="false">
      <c r="A250" s="34" t="n">
        <v>42563.7234009954</v>
      </c>
      <c r="F250" s="8" t="s">
        <v>158</v>
      </c>
      <c r="G250" s="8" t="n">
        <v>32</v>
      </c>
      <c r="H250" s="8" t="s">
        <v>467</v>
      </c>
    </row>
    <row r="251" customFormat="false" ht="15.75" hidden="false" customHeight="false" outlineLevel="0" collapsed="false">
      <c r="A251" s="34" t="n">
        <v>42563.7266627778</v>
      </c>
      <c r="F251" s="8" t="s">
        <v>57</v>
      </c>
      <c r="G251" s="8" t="n">
        <v>31</v>
      </c>
      <c r="H251" s="8" t="s">
        <v>467</v>
      </c>
    </row>
    <row r="252" customFormat="false" ht="15.75" hidden="false" customHeight="false" outlineLevel="0" collapsed="false">
      <c r="A252" s="34" t="n">
        <v>42563.7273489352</v>
      </c>
      <c r="F252" s="8" t="s">
        <v>150</v>
      </c>
      <c r="G252" s="8" t="n">
        <v>444</v>
      </c>
      <c r="H252" s="8" t="s">
        <v>470</v>
      </c>
      <c r="I252" s="8" t="n">
        <v>83</v>
      </c>
    </row>
    <row r="253" customFormat="false" ht="15.75" hidden="false" customHeight="false" outlineLevel="0" collapsed="false">
      <c r="A253" s="34" t="n">
        <v>42563.7281196528</v>
      </c>
      <c r="F253" s="8" t="s">
        <v>162</v>
      </c>
      <c r="G253" s="8" t="n">
        <v>43</v>
      </c>
      <c r="H253" s="8" t="s">
        <v>467</v>
      </c>
    </row>
    <row r="254" customFormat="false" ht="15.75" hidden="false" customHeight="false" outlineLevel="0" collapsed="false">
      <c r="A254" s="34" t="n">
        <v>42563.7352544444</v>
      </c>
      <c r="F254" s="8" t="s">
        <v>108</v>
      </c>
      <c r="G254" s="8" t="n">
        <v>38</v>
      </c>
      <c r="H254" s="8" t="s">
        <v>467</v>
      </c>
    </row>
    <row r="255" customFormat="false" ht="15.75" hidden="false" customHeight="false" outlineLevel="0" collapsed="false">
      <c r="A255" s="34" t="n">
        <v>42563.7440844329</v>
      </c>
      <c r="F255" s="8" t="s">
        <v>122</v>
      </c>
      <c r="G255" s="8" t="n">
        <v>40</v>
      </c>
      <c r="H255" s="8" t="s">
        <v>467</v>
      </c>
      <c r="I255" s="8" t="n">
        <v>2</v>
      </c>
    </row>
    <row r="256" customFormat="false" ht="15.75" hidden="false" customHeight="false" outlineLevel="0" collapsed="false">
      <c r="A256" s="34" t="n">
        <v>42563.7471891435</v>
      </c>
      <c r="F256" s="8" t="s">
        <v>106</v>
      </c>
      <c r="G256" s="8" t="n">
        <v>31</v>
      </c>
      <c r="H256" s="8" t="s">
        <v>467</v>
      </c>
    </row>
    <row r="257" customFormat="false" ht="15.75" hidden="false" customHeight="false" outlineLevel="0" collapsed="false">
      <c r="A257" s="34" t="n">
        <v>42563.7517778704</v>
      </c>
      <c r="F257" s="8" t="s">
        <v>113</v>
      </c>
      <c r="G257" s="8" t="n">
        <v>29</v>
      </c>
      <c r="H257" s="8" t="s">
        <v>467</v>
      </c>
      <c r="I257" s="8" t="n">
        <v>2</v>
      </c>
    </row>
    <row r="258" customFormat="false" ht="15.75" hidden="false" customHeight="false" outlineLevel="0" collapsed="false">
      <c r="A258" s="34" t="n">
        <v>42563.7530008796</v>
      </c>
      <c r="F258" s="8" t="s">
        <v>74</v>
      </c>
      <c r="G258" s="8" t="n">
        <v>30</v>
      </c>
      <c r="H258" s="8" t="s">
        <v>467</v>
      </c>
      <c r="I258" s="8" t="n">
        <v>1</v>
      </c>
    </row>
    <row r="259" customFormat="false" ht="15.75" hidden="false" customHeight="false" outlineLevel="0" collapsed="false">
      <c r="A259" s="34" t="n">
        <v>42563.7534284954</v>
      </c>
      <c r="F259" s="8" t="s">
        <v>124</v>
      </c>
      <c r="G259" s="8" t="n">
        <v>22</v>
      </c>
      <c r="H259" s="8" t="s">
        <v>467</v>
      </c>
    </row>
    <row r="260" customFormat="false" ht="15.75" hidden="false" customHeight="false" outlineLevel="0" collapsed="false">
      <c r="A260" s="34" t="n">
        <v>42563.7535267708</v>
      </c>
      <c r="F260" s="8" t="s">
        <v>124</v>
      </c>
      <c r="G260" s="8" t="n">
        <v>23</v>
      </c>
      <c r="H260" s="8" t="s">
        <v>467</v>
      </c>
    </row>
    <row r="261" customFormat="false" ht="15.75" hidden="false" customHeight="false" outlineLevel="0" collapsed="false">
      <c r="A261" s="34" t="n">
        <v>42563.7555128009</v>
      </c>
      <c r="C261" s="8" t="s">
        <v>41</v>
      </c>
      <c r="D261" s="8" t="n">
        <v>271</v>
      </c>
      <c r="E261" s="8" t="n">
        <v>713</v>
      </c>
      <c r="G261" s="33"/>
      <c r="H261" s="8" t="s">
        <v>468</v>
      </c>
    </row>
    <row r="262" customFormat="false" ht="15.75" hidden="false" customHeight="false" outlineLevel="0" collapsed="false">
      <c r="A262" s="34" t="n">
        <v>42563.7555737384</v>
      </c>
      <c r="C262" s="8" t="s">
        <v>68</v>
      </c>
      <c r="D262" s="8" t="n">
        <v>436</v>
      </c>
      <c r="E262" s="8" t="n">
        <v>815</v>
      </c>
      <c r="G262" s="33"/>
      <c r="H262" s="8" t="s">
        <v>468</v>
      </c>
    </row>
    <row r="263" customFormat="false" ht="15.75" hidden="false" customHeight="false" outlineLevel="0" collapsed="false">
      <c r="A263" s="34" t="n">
        <v>42563.7612941435</v>
      </c>
      <c r="F263" s="8" t="s">
        <v>84</v>
      </c>
      <c r="G263" s="8" t="n">
        <v>25</v>
      </c>
      <c r="H263" s="8" t="s">
        <v>467</v>
      </c>
    </row>
    <row r="264" customFormat="false" ht="15.75" hidden="false" customHeight="false" outlineLevel="0" collapsed="false">
      <c r="A264" s="34" t="n">
        <v>42563.7664282523</v>
      </c>
      <c r="F264" s="8" t="s">
        <v>85</v>
      </c>
      <c r="G264" s="8" t="n">
        <v>24</v>
      </c>
      <c r="H264" s="8" t="s">
        <v>467</v>
      </c>
    </row>
    <row r="265" customFormat="false" ht="15.75" hidden="false" customHeight="false" outlineLevel="0" collapsed="false">
      <c r="A265" s="34" t="n">
        <v>42563.7672754398</v>
      </c>
      <c r="F265" s="8" t="s">
        <v>168</v>
      </c>
      <c r="G265" s="8" t="n">
        <v>50</v>
      </c>
      <c r="H265" s="8" t="s">
        <v>467</v>
      </c>
    </row>
    <row r="266" customFormat="false" ht="15.75" hidden="false" customHeight="false" outlineLevel="0" collapsed="false">
      <c r="A266" s="34" t="n">
        <v>42563.7674128935</v>
      </c>
      <c r="F266" s="8" t="s">
        <v>168</v>
      </c>
      <c r="G266" s="8" t="n">
        <v>51</v>
      </c>
      <c r="H266" s="8" t="s">
        <v>467</v>
      </c>
    </row>
    <row r="267" customFormat="false" ht="15.75" hidden="false" customHeight="false" outlineLevel="0" collapsed="false">
      <c r="A267" s="34" t="n">
        <v>42563.7961151968</v>
      </c>
      <c r="F267" s="8" t="s">
        <v>36</v>
      </c>
      <c r="G267" s="8" t="n">
        <v>16</v>
      </c>
      <c r="H267" s="8" t="s">
        <v>467</v>
      </c>
      <c r="I267" s="8" t="n">
        <v>3</v>
      </c>
    </row>
    <row r="268" customFormat="false" ht="15.75" hidden="false" customHeight="false" outlineLevel="0" collapsed="false">
      <c r="A268" s="34" t="n">
        <v>42563.8076888773</v>
      </c>
      <c r="F268" s="8" t="s">
        <v>118</v>
      </c>
      <c r="G268" s="8" t="n">
        <v>26</v>
      </c>
      <c r="H268" s="8" t="s">
        <v>467</v>
      </c>
      <c r="I268" s="8" t="n">
        <v>3</v>
      </c>
    </row>
    <row r="269" customFormat="false" ht="15.75" hidden="false" customHeight="false" outlineLevel="0" collapsed="false">
      <c r="A269" s="34" t="n">
        <v>42563.8078722685</v>
      </c>
      <c r="F269" s="8" t="s">
        <v>118</v>
      </c>
      <c r="G269" s="8" t="n">
        <v>25</v>
      </c>
      <c r="H269" s="8" t="s">
        <v>467</v>
      </c>
      <c r="I269" s="8" t="n">
        <v>1</v>
      </c>
    </row>
    <row r="270" customFormat="false" ht="15.75" hidden="false" customHeight="false" outlineLevel="0" collapsed="false">
      <c r="A270" s="34" t="n">
        <v>42563.8105629977</v>
      </c>
      <c r="F270" s="8" t="s">
        <v>142</v>
      </c>
      <c r="G270" s="8" t="n">
        <v>30</v>
      </c>
      <c r="H270" s="8" t="s">
        <v>467</v>
      </c>
      <c r="I270" s="8" t="n">
        <v>2</v>
      </c>
    </row>
    <row r="271" customFormat="false" ht="15.75" hidden="false" customHeight="false" outlineLevel="0" collapsed="false">
      <c r="A271" s="34" t="n">
        <v>42563.8184734144</v>
      </c>
      <c r="F271" s="8" t="s">
        <v>148</v>
      </c>
      <c r="G271" s="8" t="n">
        <v>3</v>
      </c>
      <c r="H271" s="8" t="s">
        <v>467</v>
      </c>
    </row>
    <row r="272" customFormat="false" ht="15.75" hidden="false" customHeight="false" outlineLevel="0" collapsed="false">
      <c r="A272" s="34" t="n">
        <v>42563.8185816204</v>
      </c>
      <c r="F272" s="8" t="s">
        <v>70</v>
      </c>
      <c r="G272" s="8" t="n">
        <v>15</v>
      </c>
      <c r="H272" s="8" t="s">
        <v>467</v>
      </c>
      <c r="I272" s="8" t="n">
        <v>1</v>
      </c>
    </row>
    <row r="273" customFormat="false" ht="15.75" hidden="false" customHeight="false" outlineLevel="0" collapsed="false">
      <c r="A273" s="34" t="n">
        <v>42563.8208927894</v>
      </c>
      <c r="F273" s="8" t="s">
        <v>35</v>
      </c>
      <c r="G273" s="8" t="n">
        <v>14</v>
      </c>
      <c r="H273" s="8" t="s">
        <v>467</v>
      </c>
      <c r="I273" s="8" t="n">
        <v>15</v>
      </c>
    </row>
    <row r="274" customFormat="false" ht="15.75" hidden="false" customHeight="false" outlineLevel="0" collapsed="false">
      <c r="A274" s="34" t="n">
        <v>42563.8285752778</v>
      </c>
      <c r="F274" s="8" t="s">
        <v>77</v>
      </c>
      <c r="G274" s="8" t="n">
        <v>29</v>
      </c>
      <c r="H274" s="8" t="s">
        <v>471</v>
      </c>
    </row>
    <row r="275" customFormat="false" ht="15.75" hidden="false" customHeight="false" outlineLevel="0" collapsed="false">
      <c r="A275" s="34" t="n">
        <v>42563.8300111921</v>
      </c>
      <c r="F275" s="8" t="s">
        <v>116</v>
      </c>
      <c r="G275" s="8" t="n">
        <v>31</v>
      </c>
      <c r="H275" s="8" t="s">
        <v>467</v>
      </c>
    </row>
    <row r="276" customFormat="false" ht="15.75" hidden="false" customHeight="false" outlineLevel="0" collapsed="false">
      <c r="A276" s="34" t="n">
        <v>42563.8444235532</v>
      </c>
      <c r="F276" s="8" t="s">
        <v>96</v>
      </c>
      <c r="G276" s="8" t="n">
        <v>20</v>
      </c>
      <c r="H276" s="8" t="s">
        <v>467</v>
      </c>
      <c r="I276" s="8" t="n">
        <v>2</v>
      </c>
    </row>
    <row r="277" customFormat="false" ht="15.75" hidden="false" customHeight="false" outlineLevel="0" collapsed="false">
      <c r="A277" s="34" t="n">
        <v>42563.8522096759</v>
      </c>
      <c r="F277" s="8" t="s">
        <v>166</v>
      </c>
      <c r="G277" s="8" t="n">
        <v>13</v>
      </c>
      <c r="H277" s="8" t="s">
        <v>467</v>
      </c>
      <c r="I277" s="8" t="n">
        <v>1</v>
      </c>
    </row>
    <row r="278" customFormat="false" ht="15.75" hidden="false" customHeight="false" outlineLevel="0" collapsed="false">
      <c r="A278" s="34" t="n">
        <v>42563.854436956</v>
      </c>
      <c r="F278" s="8" t="s">
        <v>122</v>
      </c>
      <c r="G278" s="8" t="n">
        <v>41</v>
      </c>
      <c r="H278" s="8" t="s">
        <v>467</v>
      </c>
    </row>
    <row r="279" customFormat="false" ht="15.75" hidden="false" customHeight="false" outlineLevel="0" collapsed="false">
      <c r="A279" s="34" t="n">
        <v>42563.8558062037</v>
      </c>
      <c r="F279" s="8" t="s">
        <v>82</v>
      </c>
      <c r="G279" s="8" t="n">
        <v>100</v>
      </c>
      <c r="H279" s="8" t="s">
        <v>470</v>
      </c>
      <c r="I279" s="8" t="n">
        <v>5</v>
      </c>
    </row>
    <row r="280" customFormat="false" ht="15.75" hidden="false" customHeight="false" outlineLevel="0" collapsed="false">
      <c r="A280" s="34" t="n">
        <v>42563.9006021759</v>
      </c>
      <c r="C280" s="8" t="s">
        <v>153</v>
      </c>
      <c r="D280" s="8" t="n">
        <v>1626</v>
      </c>
      <c r="E280" s="8" t="n">
        <v>1667</v>
      </c>
      <c r="G280" s="33"/>
      <c r="H280" s="8" t="s">
        <v>469</v>
      </c>
    </row>
    <row r="281" customFormat="false" ht="15.75" hidden="false" customHeight="false" outlineLevel="0" collapsed="false">
      <c r="A281" s="34" t="n">
        <v>42563.9062832986</v>
      </c>
      <c r="C281" s="8" t="s">
        <v>37</v>
      </c>
      <c r="D281" s="8" t="n">
        <v>406</v>
      </c>
      <c r="E281" s="8" t="n">
        <v>726</v>
      </c>
      <c r="G281" s="33"/>
      <c r="H281" s="8" t="s">
        <v>468</v>
      </c>
    </row>
    <row r="282" customFormat="false" ht="15.75" hidden="false" customHeight="false" outlineLevel="0" collapsed="false">
      <c r="A282" s="34" t="n">
        <v>42563.9097068287</v>
      </c>
      <c r="C282" s="8" t="s">
        <v>39</v>
      </c>
      <c r="D282" s="8" t="n">
        <v>143</v>
      </c>
      <c r="E282" s="8" t="n">
        <v>376</v>
      </c>
      <c r="G282" s="33"/>
      <c r="H282" s="8" t="s">
        <v>468</v>
      </c>
    </row>
    <row r="283" customFormat="false" ht="15.75" hidden="false" customHeight="false" outlineLevel="0" collapsed="false">
      <c r="A283" s="34" t="n">
        <v>42563.9122940394</v>
      </c>
      <c r="C283" s="8" t="s">
        <v>74</v>
      </c>
      <c r="D283" s="8" t="n">
        <v>107</v>
      </c>
      <c r="E283" s="8" t="n">
        <v>285</v>
      </c>
      <c r="G283" s="33"/>
      <c r="H283" s="8" t="s">
        <v>468</v>
      </c>
    </row>
    <row r="284" customFormat="false" ht="15.75" hidden="false" customHeight="false" outlineLevel="0" collapsed="false">
      <c r="A284" s="34" t="n">
        <v>42563.9141297222</v>
      </c>
      <c r="F284" s="8" t="s">
        <v>153</v>
      </c>
      <c r="G284" s="8" t="n">
        <v>40</v>
      </c>
      <c r="H284" s="8" t="s">
        <v>467</v>
      </c>
    </row>
    <row r="285" customFormat="false" ht="15.75" hidden="false" customHeight="false" outlineLevel="0" collapsed="false">
      <c r="A285" s="34" t="n">
        <v>42563.9145597801</v>
      </c>
      <c r="F285" s="8" t="s">
        <v>118</v>
      </c>
      <c r="G285" s="8" t="n">
        <v>25</v>
      </c>
      <c r="H285" s="8" t="s">
        <v>467</v>
      </c>
    </row>
    <row r="286" customFormat="false" ht="15.75" hidden="false" customHeight="false" outlineLevel="0" collapsed="false">
      <c r="A286" s="34" t="n">
        <v>42563.9150334954</v>
      </c>
      <c r="F286" s="8" t="s">
        <v>155</v>
      </c>
      <c r="G286" s="8" t="n">
        <v>36</v>
      </c>
      <c r="H286" s="8" t="s">
        <v>467</v>
      </c>
    </row>
    <row r="287" customFormat="false" ht="15.75" hidden="false" customHeight="false" outlineLevel="0" collapsed="false">
      <c r="A287" s="34" t="n">
        <v>42563.9154151736</v>
      </c>
      <c r="F287" s="8" t="s">
        <v>61</v>
      </c>
      <c r="G287" s="8" t="n">
        <v>27</v>
      </c>
      <c r="H287" s="8" t="s">
        <v>467</v>
      </c>
    </row>
    <row r="288" customFormat="false" ht="15.75" hidden="false" customHeight="false" outlineLevel="0" collapsed="false">
      <c r="A288" s="34" t="n">
        <v>42563.9157219907</v>
      </c>
      <c r="F288" s="8" t="s">
        <v>72</v>
      </c>
      <c r="G288" s="8" t="n">
        <v>23</v>
      </c>
      <c r="H288" s="8" t="s">
        <v>467</v>
      </c>
    </row>
    <row r="289" customFormat="false" ht="15.75" hidden="false" customHeight="false" outlineLevel="0" collapsed="false">
      <c r="A289" s="34" t="n">
        <v>42563.916169537</v>
      </c>
      <c r="F289" s="8" t="s">
        <v>143</v>
      </c>
      <c r="G289" s="8" t="n">
        <v>23</v>
      </c>
      <c r="H289" s="8" t="s">
        <v>467</v>
      </c>
    </row>
    <row r="290" customFormat="false" ht="15.75" hidden="false" customHeight="false" outlineLevel="0" collapsed="false">
      <c r="A290" s="34" t="n">
        <v>42563.9279636921</v>
      </c>
      <c r="C290" s="8" t="s">
        <v>154</v>
      </c>
      <c r="D290" s="8" t="n">
        <v>150</v>
      </c>
      <c r="E290" s="8" t="n">
        <v>313</v>
      </c>
      <c r="G290" s="33"/>
      <c r="H290" s="8" t="s">
        <v>468</v>
      </c>
    </row>
    <row r="291" customFormat="false" ht="15.75" hidden="false" customHeight="false" outlineLevel="0" collapsed="false">
      <c r="A291" s="34" t="n">
        <v>42563.9407534954</v>
      </c>
      <c r="C291" s="8" t="s">
        <v>122</v>
      </c>
      <c r="D291" s="8" t="n">
        <v>499</v>
      </c>
      <c r="E291" s="8" t="n">
        <v>1370</v>
      </c>
      <c r="G291" s="33"/>
      <c r="H291" s="8" t="s">
        <v>468</v>
      </c>
    </row>
    <row r="292" customFormat="false" ht="15.75" hidden="false" customHeight="false" outlineLevel="0" collapsed="false">
      <c r="A292" s="34" t="n">
        <v>42563.9412419097</v>
      </c>
      <c r="F292" s="8" t="s">
        <v>50</v>
      </c>
      <c r="G292" s="8" t="n">
        <v>35</v>
      </c>
      <c r="H292" s="8" t="s">
        <v>467</v>
      </c>
      <c r="I292" s="8" t="n">
        <v>2</v>
      </c>
    </row>
    <row r="293" customFormat="false" ht="15.75" hidden="false" customHeight="false" outlineLevel="0" collapsed="false">
      <c r="A293" s="34" t="n">
        <v>42563.9415655787</v>
      </c>
      <c r="F293" s="8" t="s">
        <v>50</v>
      </c>
      <c r="G293" s="8" t="n">
        <v>35</v>
      </c>
      <c r="H293" s="8" t="s">
        <v>467</v>
      </c>
      <c r="I293" s="8" t="n">
        <v>2</v>
      </c>
    </row>
    <row r="294" customFormat="false" ht="15.75" hidden="false" customHeight="false" outlineLevel="0" collapsed="false">
      <c r="A294" s="34" t="n">
        <v>42563.9444073032</v>
      </c>
      <c r="C294" s="8" t="s">
        <v>36</v>
      </c>
      <c r="D294" s="8" t="n">
        <v>260</v>
      </c>
      <c r="E294" s="8" t="n">
        <v>489</v>
      </c>
      <c r="G294" s="33"/>
      <c r="H294" s="8" t="s">
        <v>468</v>
      </c>
    </row>
    <row r="295" customFormat="false" ht="15.75" hidden="false" customHeight="false" outlineLevel="0" collapsed="false">
      <c r="A295" s="34" t="n">
        <v>42563.9458270949</v>
      </c>
      <c r="C295" s="8" t="s">
        <v>68</v>
      </c>
      <c r="D295" s="8" t="n">
        <v>455</v>
      </c>
      <c r="E295" s="8" t="n">
        <v>845</v>
      </c>
      <c r="G295" s="33"/>
      <c r="H295" s="8" t="s">
        <v>468</v>
      </c>
    </row>
    <row r="296" customFormat="false" ht="15.75" hidden="false" customHeight="false" outlineLevel="0" collapsed="false">
      <c r="A296" s="34" t="n">
        <v>42563.9486253009</v>
      </c>
      <c r="F296" s="8" t="s">
        <v>115</v>
      </c>
      <c r="G296" s="8" t="n">
        <v>13</v>
      </c>
      <c r="H296" s="8" t="s">
        <v>467</v>
      </c>
      <c r="I296" s="8" t="n">
        <v>1</v>
      </c>
    </row>
    <row r="297" customFormat="false" ht="15.75" hidden="false" customHeight="false" outlineLevel="0" collapsed="false">
      <c r="A297" s="34" t="n">
        <v>42563.9539895949</v>
      </c>
      <c r="F297" s="8" t="s">
        <v>143</v>
      </c>
      <c r="G297" s="8" t="n">
        <v>20</v>
      </c>
      <c r="H297" s="8" t="s">
        <v>467</v>
      </c>
      <c r="I297" s="8" t="n">
        <v>1</v>
      </c>
    </row>
    <row r="298" customFormat="false" ht="15.75" hidden="false" customHeight="false" outlineLevel="0" collapsed="false">
      <c r="A298" s="34" t="n">
        <v>42563.9579010301</v>
      </c>
      <c r="C298" s="8" t="s">
        <v>154</v>
      </c>
      <c r="D298" s="8" t="n">
        <v>447</v>
      </c>
      <c r="E298" s="8" t="n">
        <v>892</v>
      </c>
      <c r="G298" s="33"/>
      <c r="H298" s="8" t="s">
        <v>468</v>
      </c>
    </row>
    <row r="299" customFormat="false" ht="15.75" hidden="false" customHeight="false" outlineLevel="0" collapsed="false">
      <c r="A299" s="34" t="n">
        <v>42563.9679620255</v>
      </c>
      <c r="F299" s="8" t="s">
        <v>53</v>
      </c>
      <c r="G299" s="8" t="n">
        <v>34</v>
      </c>
      <c r="H299" s="8" t="s">
        <v>467</v>
      </c>
      <c r="I299" s="8" t="n">
        <v>2</v>
      </c>
    </row>
    <row r="300" customFormat="false" ht="15.75" hidden="false" customHeight="false" outlineLevel="0" collapsed="false">
      <c r="A300" s="34" t="n">
        <v>42563.974162963</v>
      </c>
      <c r="F300" s="8" t="s">
        <v>31</v>
      </c>
      <c r="G300" s="8" t="n">
        <v>18</v>
      </c>
      <c r="H300" s="8" t="s">
        <v>467</v>
      </c>
      <c r="I300" s="8" t="n">
        <v>2</v>
      </c>
    </row>
    <row r="301" customFormat="false" ht="15.75" hidden="false" customHeight="false" outlineLevel="0" collapsed="false">
      <c r="A301" s="34" t="n">
        <v>42563.9886940393</v>
      </c>
      <c r="C301" s="8" t="s">
        <v>154</v>
      </c>
      <c r="D301" s="8" t="n">
        <v>506</v>
      </c>
      <c r="E301" s="8" t="n">
        <v>1020</v>
      </c>
      <c r="G301" s="33"/>
      <c r="H301" s="8" t="s">
        <v>468</v>
      </c>
    </row>
    <row r="302" customFormat="false" ht="15.75" hidden="false" customHeight="false" outlineLevel="0" collapsed="false">
      <c r="A302" s="34" t="n">
        <v>42564.0067078241</v>
      </c>
      <c r="F302" s="8" t="s">
        <v>143</v>
      </c>
      <c r="G302" s="8" t="n">
        <v>25</v>
      </c>
      <c r="H302" s="8" t="s">
        <v>467</v>
      </c>
      <c r="I302" s="8" t="n">
        <v>2</v>
      </c>
    </row>
    <row r="303" customFormat="false" ht="15.75" hidden="false" customHeight="false" outlineLevel="0" collapsed="false">
      <c r="A303" s="34" t="n">
        <v>42564.0121974884</v>
      </c>
      <c r="C303" s="8" t="s">
        <v>41</v>
      </c>
      <c r="D303" s="8" t="n">
        <v>164</v>
      </c>
      <c r="E303" s="8" t="n">
        <v>428</v>
      </c>
      <c r="G303" s="33"/>
      <c r="H303" s="8" t="s">
        <v>468</v>
      </c>
    </row>
    <row r="304" customFormat="false" ht="15.75" hidden="false" customHeight="false" outlineLevel="0" collapsed="false">
      <c r="A304" s="34" t="n">
        <v>42564.0128054514</v>
      </c>
      <c r="F304" s="8" t="s">
        <v>41</v>
      </c>
      <c r="G304" s="8" t="n">
        <v>26</v>
      </c>
      <c r="H304" s="8" t="s">
        <v>467</v>
      </c>
      <c r="I304" s="8" t="n">
        <v>2</v>
      </c>
    </row>
    <row r="305" customFormat="false" ht="15.75" hidden="false" customHeight="false" outlineLevel="0" collapsed="false">
      <c r="A305" s="34" t="n">
        <v>42564.0162928241</v>
      </c>
      <c r="F305" s="8" t="s">
        <v>70</v>
      </c>
      <c r="G305" s="8" t="n">
        <v>16</v>
      </c>
      <c r="H305" s="8" t="s">
        <v>467</v>
      </c>
    </row>
    <row r="306" customFormat="false" ht="15.75" hidden="false" customHeight="false" outlineLevel="0" collapsed="false">
      <c r="A306" s="34" t="n">
        <v>42564.0388572222</v>
      </c>
      <c r="F306" s="8" t="s">
        <v>36</v>
      </c>
      <c r="G306" s="8" t="n">
        <v>16</v>
      </c>
      <c r="H306" s="8" t="s">
        <v>467</v>
      </c>
      <c r="I306" s="8" t="n">
        <v>2</v>
      </c>
    </row>
    <row r="307" customFormat="false" ht="15.75" hidden="false" customHeight="false" outlineLevel="0" collapsed="false">
      <c r="A307" s="34" t="n">
        <v>42564.0390433796</v>
      </c>
      <c r="F307" s="8" t="s">
        <v>152</v>
      </c>
      <c r="G307" s="8" t="n">
        <v>14</v>
      </c>
      <c r="H307" s="8" t="s">
        <v>467</v>
      </c>
      <c r="I307" s="8" t="n">
        <v>1</v>
      </c>
    </row>
    <row r="308" customFormat="false" ht="15.75" hidden="false" customHeight="false" outlineLevel="0" collapsed="false">
      <c r="A308" s="34" t="n">
        <v>42564.0394918519</v>
      </c>
      <c r="C308" s="8" t="s">
        <v>37</v>
      </c>
      <c r="D308" s="8" t="n">
        <v>226</v>
      </c>
      <c r="E308" s="8" t="n">
        <v>400</v>
      </c>
      <c r="G308" s="33"/>
      <c r="H308" s="8" t="s">
        <v>468</v>
      </c>
    </row>
    <row r="309" customFormat="false" ht="15.75" hidden="false" customHeight="false" outlineLevel="0" collapsed="false">
      <c r="A309" s="34" t="n">
        <v>42564.0396881366</v>
      </c>
      <c r="F309" s="8" t="s">
        <v>152</v>
      </c>
      <c r="G309" s="8" t="n">
        <v>15</v>
      </c>
      <c r="H309" s="8" t="s">
        <v>467</v>
      </c>
      <c r="I309" s="8" t="n">
        <v>1</v>
      </c>
    </row>
    <row r="310" customFormat="false" ht="15.75" hidden="false" customHeight="false" outlineLevel="0" collapsed="false">
      <c r="A310" s="34" t="n">
        <v>42564.0400704398</v>
      </c>
      <c r="F310" s="8" t="s">
        <v>152</v>
      </c>
      <c r="G310" s="8" t="n">
        <v>14</v>
      </c>
      <c r="H310" s="8" t="s">
        <v>467</v>
      </c>
      <c r="I310" s="8" t="n">
        <v>1</v>
      </c>
    </row>
    <row r="311" customFormat="false" ht="15.75" hidden="false" customHeight="false" outlineLevel="0" collapsed="false">
      <c r="A311" s="34" t="n">
        <v>42564.0401314583</v>
      </c>
      <c r="F311" s="8" t="s">
        <v>37</v>
      </c>
      <c r="G311" s="8" t="n">
        <v>29</v>
      </c>
      <c r="H311" s="8" t="s">
        <v>467</v>
      </c>
      <c r="I311" s="8" t="n">
        <v>2</v>
      </c>
    </row>
    <row r="312" customFormat="false" ht="15.75" hidden="false" customHeight="false" outlineLevel="0" collapsed="false">
      <c r="A312" s="34" t="n">
        <v>42564.0404076389</v>
      </c>
      <c r="F312" s="8" t="s">
        <v>152</v>
      </c>
      <c r="G312" s="8" t="n">
        <v>14</v>
      </c>
      <c r="H312" s="8" t="s">
        <v>467</v>
      </c>
      <c r="I312" s="8" t="n">
        <v>1</v>
      </c>
    </row>
    <row r="313" customFormat="false" ht="15.75" hidden="false" customHeight="false" outlineLevel="0" collapsed="false">
      <c r="A313" s="34" t="n">
        <v>42564.0405754282</v>
      </c>
      <c r="F313" s="8" t="s">
        <v>37</v>
      </c>
      <c r="G313" s="8" t="n">
        <v>29</v>
      </c>
      <c r="H313" s="8" t="s">
        <v>467</v>
      </c>
      <c r="I313" s="8" t="n">
        <v>2</v>
      </c>
    </row>
    <row r="314" customFormat="false" ht="15.75" hidden="false" customHeight="false" outlineLevel="0" collapsed="false">
      <c r="A314" s="34" t="n">
        <v>42564.0406818171</v>
      </c>
      <c r="F314" s="8" t="s">
        <v>152</v>
      </c>
      <c r="G314" s="8" t="n">
        <v>15</v>
      </c>
      <c r="H314" s="8" t="s">
        <v>467</v>
      </c>
      <c r="I314" s="8" t="n">
        <v>1</v>
      </c>
    </row>
    <row r="315" customFormat="false" ht="15.75" hidden="false" customHeight="false" outlineLevel="0" collapsed="false">
      <c r="A315" s="34" t="n">
        <v>42564.0409901157</v>
      </c>
      <c r="F315" s="8" t="s">
        <v>152</v>
      </c>
      <c r="G315" s="8" t="n">
        <v>14</v>
      </c>
      <c r="H315" s="8" t="s">
        <v>467</v>
      </c>
      <c r="I315" s="8" t="n">
        <v>1</v>
      </c>
    </row>
    <row r="316" customFormat="false" ht="15.75" hidden="false" customHeight="false" outlineLevel="0" collapsed="false">
      <c r="A316" s="34" t="n">
        <v>42564.0412587963</v>
      </c>
      <c r="F316" s="8" t="s">
        <v>152</v>
      </c>
      <c r="G316" s="8" t="n">
        <v>14</v>
      </c>
      <c r="H316" s="8" t="s">
        <v>467</v>
      </c>
      <c r="I316" s="8" t="n">
        <v>1</v>
      </c>
    </row>
    <row r="317" customFormat="false" ht="15.75" hidden="false" customHeight="false" outlineLevel="0" collapsed="false">
      <c r="A317" s="34" t="n">
        <v>42564.0422390509</v>
      </c>
      <c r="C317" s="8" t="s">
        <v>154</v>
      </c>
      <c r="D317" s="8" t="n">
        <v>473</v>
      </c>
      <c r="E317" s="8" t="n">
        <v>952</v>
      </c>
      <c r="G317" s="33"/>
      <c r="H317" s="8" t="s">
        <v>468</v>
      </c>
    </row>
    <row r="318" customFormat="false" ht="15.75" hidden="false" customHeight="false" outlineLevel="0" collapsed="false">
      <c r="A318" s="34" t="n">
        <v>42564.0529321875</v>
      </c>
      <c r="F318" s="8" t="s">
        <v>153</v>
      </c>
      <c r="G318" s="8" t="n">
        <v>748</v>
      </c>
      <c r="H318" s="8" t="s">
        <v>470</v>
      </c>
      <c r="I318" s="8" t="n">
        <v>787</v>
      </c>
    </row>
    <row r="319" customFormat="false" ht="15.75" hidden="false" customHeight="false" outlineLevel="0" collapsed="false">
      <c r="A319" s="34" t="n">
        <v>42564.0594781366</v>
      </c>
      <c r="F319" s="8" t="s">
        <v>96</v>
      </c>
      <c r="G319" s="8" t="n">
        <v>320</v>
      </c>
      <c r="H319" s="8" t="s">
        <v>470</v>
      </c>
      <c r="I319" s="8" t="n">
        <v>42</v>
      </c>
    </row>
    <row r="320" customFormat="false" ht="15.75" hidden="false" customHeight="false" outlineLevel="0" collapsed="false">
      <c r="A320" s="34" t="n">
        <v>42564.0685691667</v>
      </c>
      <c r="C320" s="8" t="s">
        <v>153</v>
      </c>
      <c r="D320" s="8" t="n">
        <v>407</v>
      </c>
      <c r="E320" s="8" t="n">
        <v>1128</v>
      </c>
      <c r="G320" s="33"/>
      <c r="H320" s="8" t="s">
        <v>468</v>
      </c>
    </row>
    <row r="321" customFormat="false" ht="15.75" hidden="false" customHeight="false" outlineLevel="0" collapsed="false">
      <c r="A321" s="34" t="n">
        <v>42564.0697446412</v>
      </c>
      <c r="F321" s="8" t="s">
        <v>83</v>
      </c>
      <c r="G321" s="8" t="n">
        <v>16</v>
      </c>
      <c r="H321" s="8" t="s">
        <v>467</v>
      </c>
      <c r="I321" s="8" t="n">
        <v>1</v>
      </c>
    </row>
    <row r="322" customFormat="false" ht="15.75" hidden="false" customHeight="false" outlineLevel="0" collapsed="false">
      <c r="A322" s="34" t="n">
        <v>42564.0952568634</v>
      </c>
      <c r="C322" s="8" t="s">
        <v>155</v>
      </c>
      <c r="D322" s="8" t="n">
        <v>457</v>
      </c>
      <c r="E322" s="8" t="n">
        <v>1138</v>
      </c>
      <c r="G322" s="33"/>
      <c r="H322" s="8" t="s">
        <v>468</v>
      </c>
    </row>
    <row r="323" customFormat="false" ht="15.75" hidden="false" customHeight="false" outlineLevel="0" collapsed="false">
      <c r="A323" s="34" t="n">
        <v>42564.1016825463</v>
      </c>
      <c r="F323" s="8" t="s">
        <v>78</v>
      </c>
      <c r="G323" s="8" t="n">
        <v>43</v>
      </c>
      <c r="H323" s="8" t="s">
        <v>467</v>
      </c>
      <c r="I323" s="8" t="n">
        <v>3</v>
      </c>
    </row>
    <row r="324" customFormat="false" ht="15.75" hidden="false" customHeight="false" outlineLevel="0" collapsed="false">
      <c r="A324" s="34" t="n">
        <v>42564.1021193981</v>
      </c>
      <c r="F324" s="8" t="s">
        <v>162</v>
      </c>
      <c r="G324" s="8" t="n">
        <v>43</v>
      </c>
      <c r="H324" s="8" t="s">
        <v>467</v>
      </c>
      <c r="I324" s="8" t="n">
        <v>2</v>
      </c>
    </row>
    <row r="325" customFormat="false" ht="15.75" hidden="false" customHeight="false" outlineLevel="0" collapsed="false">
      <c r="A325" s="34" t="n">
        <v>42564.1022379051</v>
      </c>
      <c r="C325" s="8" t="s">
        <v>36</v>
      </c>
      <c r="D325" s="8" t="n">
        <v>10</v>
      </c>
      <c r="E325" s="8" t="n">
        <v>15</v>
      </c>
      <c r="G325" s="33"/>
      <c r="H325" s="8" t="s">
        <v>469</v>
      </c>
    </row>
    <row r="326" customFormat="false" ht="15.75" hidden="false" customHeight="false" outlineLevel="0" collapsed="false">
      <c r="A326" s="34" t="n">
        <v>42564.1072173611</v>
      </c>
      <c r="C326" s="8" t="s">
        <v>153</v>
      </c>
      <c r="D326" s="8" t="n">
        <v>456</v>
      </c>
      <c r="E326" s="8" t="n">
        <v>1199</v>
      </c>
      <c r="G326" s="33"/>
      <c r="H326" s="8" t="s">
        <v>468</v>
      </c>
    </row>
    <row r="327" customFormat="false" ht="15.75" hidden="false" customHeight="false" outlineLevel="0" collapsed="false">
      <c r="A327" s="34" t="n">
        <v>42564.1100191319</v>
      </c>
      <c r="F327" s="8" t="s">
        <v>167</v>
      </c>
      <c r="G327" s="8" t="n">
        <v>25</v>
      </c>
      <c r="H327" s="8" t="s">
        <v>467</v>
      </c>
      <c r="I327" s="8" t="n">
        <v>2</v>
      </c>
    </row>
    <row r="328" customFormat="false" ht="15.75" hidden="false" customHeight="false" outlineLevel="0" collapsed="false">
      <c r="A328" s="34" t="n">
        <v>42564.124324537</v>
      </c>
      <c r="F328" s="8" t="s">
        <v>37</v>
      </c>
      <c r="G328" s="8" t="n">
        <v>29</v>
      </c>
      <c r="H328" s="8" t="s">
        <v>467</v>
      </c>
      <c r="I328" s="8" t="n">
        <v>1</v>
      </c>
    </row>
    <row r="329" customFormat="false" ht="15.75" hidden="false" customHeight="false" outlineLevel="0" collapsed="false">
      <c r="A329" s="34" t="n">
        <v>42564.1431879167</v>
      </c>
      <c r="C329" s="8" t="s">
        <v>39</v>
      </c>
      <c r="D329" s="8" t="n">
        <v>191</v>
      </c>
      <c r="E329" s="8" t="n">
        <v>478</v>
      </c>
      <c r="G329" s="33"/>
      <c r="H329" s="8" t="s">
        <v>468</v>
      </c>
    </row>
    <row r="330" customFormat="false" ht="15.75" hidden="false" customHeight="false" outlineLevel="0" collapsed="false">
      <c r="A330" s="34" t="n">
        <v>42564.1506371065</v>
      </c>
      <c r="F330" s="8" t="s">
        <v>44</v>
      </c>
      <c r="G330" s="8" t="n">
        <v>65</v>
      </c>
      <c r="H330" s="8" t="s">
        <v>470</v>
      </c>
      <c r="I330" s="8" t="n">
        <v>17</v>
      </c>
    </row>
    <row r="331" customFormat="false" ht="15.75" hidden="false" customHeight="false" outlineLevel="0" collapsed="false">
      <c r="A331" s="34" t="n">
        <v>42564.1699645718</v>
      </c>
      <c r="C331" s="8" t="s">
        <v>36</v>
      </c>
      <c r="D331" s="8" t="n">
        <v>72</v>
      </c>
      <c r="E331" s="8" t="n">
        <v>125</v>
      </c>
      <c r="G331" s="33"/>
      <c r="H331" s="8" t="s">
        <v>468</v>
      </c>
    </row>
    <row r="332" customFormat="false" ht="15.75" hidden="false" customHeight="false" outlineLevel="0" collapsed="false">
      <c r="A332" s="34" t="n">
        <v>42564.179223044</v>
      </c>
      <c r="F332" s="8" t="s">
        <v>37</v>
      </c>
      <c r="G332" s="8" t="n">
        <v>194</v>
      </c>
      <c r="H332" s="8" t="s">
        <v>470</v>
      </c>
    </row>
    <row r="333" customFormat="false" ht="15.75" hidden="false" customHeight="false" outlineLevel="0" collapsed="false">
      <c r="A333" s="34" t="n">
        <v>42564.2933067824</v>
      </c>
      <c r="C333" s="8" t="s">
        <v>78</v>
      </c>
      <c r="D333" s="8" t="n">
        <v>340</v>
      </c>
      <c r="E333" s="8" t="n">
        <v>500</v>
      </c>
      <c r="G333" s="33"/>
      <c r="H333" s="8" t="s">
        <v>468</v>
      </c>
    </row>
    <row r="334" customFormat="false" ht="15.75" hidden="false" customHeight="false" outlineLevel="0" collapsed="false">
      <c r="A334" s="34" t="n">
        <v>42564.3143051389</v>
      </c>
      <c r="F334" s="8" t="s">
        <v>87</v>
      </c>
      <c r="G334" s="8" t="n">
        <v>36</v>
      </c>
      <c r="H334" s="8" t="s">
        <v>467</v>
      </c>
    </row>
    <row r="335" customFormat="false" ht="15.75" hidden="false" customHeight="false" outlineLevel="0" collapsed="false">
      <c r="A335" s="34" t="n">
        <v>42564.3150648264</v>
      </c>
      <c r="F335" s="8" t="s">
        <v>114</v>
      </c>
      <c r="G335" s="8" t="n">
        <v>11</v>
      </c>
      <c r="H335" s="8" t="s">
        <v>467</v>
      </c>
      <c r="I335" s="8" t="n">
        <v>1</v>
      </c>
    </row>
    <row r="336" customFormat="false" ht="15.75" hidden="false" customHeight="false" outlineLevel="0" collapsed="false">
      <c r="A336" s="34" t="n">
        <v>42564.3355420602</v>
      </c>
      <c r="F336" s="8" t="s">
        <v>95</v>
      </c>
      <c r="G336" s="8" t="n">
        <v>474</v>
      </c>
      <c r="H336" s="8" t="s">
        <v>470</v>
      </c>
      <c r="I336" s="8" t="n">
        <v>508</v>
      </c>
    </row>
    <row r="337" customFormat="false" ht="15.75" hidden="false" customHeight="false" outlineLevel="0" collapsed="false">
      <c r="A337" s="34" t="n">
        <v>42564.3587526736</v>
      </c>
      <c r="C337" s="8" t="s">
        <v>104</v>
      </c>
      <c r="D337" s="8" t="n">
        <v>190</v>
      </c>
      <c r="E337" s="8" t="n">
        <v>318</v>
      </c>
      <c r="G337" s="33"/>
      <c r="H337" s="8" t="s">
        <v>468</v>
      </c>
    </row>
    <row r="338" customFormat="false" ht="15.75" hidden="false" customHeight="false" outlineLevel="0" collapsed="false">
      <c r="A338" s="34" t="n">
        <v>42564.3614370718</v>
      </c>
      <c r="F338" s="8" t="s">
        <v>153</v>
      </c>
      <c r="G338" s="8" t="n">
        <v>42</v>
      </c>
      <c r="H338" s="8" t="s">
        <v>467</v>
      </c>
      <c r="I338" s="8" t="n">
        <v>3</v>
      </c>
    </row>
    <row r="339" customFormat="false" ht="15.75" hidden="false" customHeight="false" outlineLevel="0" collapsed="false">
      <c r="A339" s="34" t="n">
        <v>42564.3695365856</v>
      </c>
      <c r="F339" s="8" t="s">
        <v>127</v>
      </c>
      <c r="G339" s="8" t="n">
        <v>23</v>
      </c>
      <c r="H339" s="8" t="s">
        <v>467</v>
      </c>
      <c r="I339" s="8" t="n">
        <v>3</v>
      </c>
    </row>
    <row r="340" customFormat="false" ht="15.75" hidden="false" customHeight="false" outlineLevel="0" collapsed="false">
      <c r="A340" s="34" t="n">
        <v>42564.3703013542</v>
      </c>
      <c r="F340" s="8" t="s">
        <v>116</v>
      </c>
      <c r="G340" s="8" t="n">
        <v>31</v>
      </c>
      <c r="H340" s="8" t="s">
        <v>467</v>
      </c>
      <c r="I340" s="8" t="n">
        <v>2</v>
      </c>
    </row>
    <row r="341" customFormat="false" ht="15.75" hidden="false" customHeight="false" outlineLevel="0" collapsed="false">
      <c r="A341" s="34" t="n">
        <v>42564.3830043866</v>
      </c>
      <c r="F341" s="8" t="s">
        <v>68</v>
      </c>
      <c r="G341" s="8" t="n">
        <v>27</v>
      </c>
      <c r="H341" s="8" t="s">
        <v>467</v>
      </c>
      <c r="I341" s="8" t="n">
        <v>2</v>
      </c>
    </row>
    <row r="342" customFormat="false" ht="15.75" hidden="false" customHeight="false" outlineLevel="0" collapsed="false">
      <c r="A342" s="34" t="n">
        <v>42564.3898365162</v>
      </c>
      <c r="F342" s="8" t="s">
        <v>22</v>
      </c>
      <c r="G342" s="8" t="n">
        <v>34</v>
      </c>
      <c r="H342" s="8" t="s">
        <v>467</v>
      </c>
      <c r="I342" s="8" t="n">
        <v>2</v>
      </c>
    </row>
    <row r="343" customFormat="false" ht="15.75" hidden="false" customHeight="false" outlineLevel="0" collapsed="false">
      <c r="A343" s="34" t="n">
        <v>42564.3983876852</v>
      </c>
      <c r="C343" s="8" t="s">
        <v>153</v>
      </c>
      <c r="D343" s="8" t="n">
        <v>368</v>
      </c>
      <c r="E343" s="8" t="n">
        <v>998</v>
      </c>
      <c r="G343" s="33"/>
      <c r="H343" s="8" t="s">
        <v>468</v>
      </c>
    </row>
    <row r="344" customFormat="false" ht="15.75" hidden="false" customHeight="false" outlineLevel="0" collapsed="false">
      <c r="A344" s="34" t="n">
        <v>42564.4221705324</v>
      </c>
      <c r="F344" s="8" t="s">
        <v>37</v>
      </c>
      <c r="G344" s="8" t="n">
        <v>28</v>
      </c>
      <c r="H344" s="8" t="s">
        <v>467</v>
      </c>
      <c r="I344" s="8" t="n">
        <v>2</v>
      </c>
    </row>
    <row r="345" customFormat="false" ht="15.75" hidden="false" customHeight="false" outlineLevel="0" collapsed="false">
      <c r="A345" s="34" t="n">
        <v>42564.4277970718</v>
      </c>
      <c r="F345" s="8" t="s">
        <v>134</v>
      </c>
      <c r="G345" s="8" t="n">
        <v>29</v>
      </c>
      <c r="H345" s="8" t="s">
        <v>467</v>
      </c>
      <c r="I345" s="8" t="n">
        <v>2</v>
      </c>
    </row>
    <row r="346" customFormat="false" ht="15.75" hidden="false" customHeight="false" outlineLevel="0" collapsed="false">
      <c r="A346" s="34" t="n">
        <v>42564.4307051968</v>
      </c>
      <c r="C346" s="8" t="s">
        <v>154</v>
      </c>
      <c r="D346" s="8" t="n">
        <v>800</v>
      </c>
      <c r="E346" s="8" t="n">
        <v>828</v>
      </c>
      <c r="G346" s="33"/>
      <c r="H346" s="8" t="s">
        <v>469</v>
      </c>
    </row>
    <row r="347" customFormat="false" ht="15.75" hidden="false" customHeight="false" outlineLevel="0" collapsed="false">
      <c r="A347" s="34" t="n">
        <v>42564.4362954977</v>
      </c>
      <c r="C347" s="8" t="s">
        <v>121</v>
      </c>
      <c r="D347" s="8" t="n">
        <v>13</v>
      </c>
      <c r="E347" s="8" t="n">
        <v>20</v>
      </c>
      <c r="G347" s="33"/>
      <c r="H347" s="8" t="s">
        <v>469</v>
      </c>
    </row>
    <row r="348" customFormat="false" ht="15.75" hidden="false" customHeight="false" outlineLevel="0" collapsed="false">
      <c r="A348" s="34" t="n">
        <v>42564.4422674884</v>
      </c>
      <c r="F348" s="8" t="s">
        <v>111</v>
      </c>
      <c r="G348" s="8" t="n">
        <v>10</v>
      </c>
      <c r="H348" s="8" t="s">
        <v>467</v>
      </c>
      <c r="I348" s="8" t="n">
        <v>0</v>
      </c>
    </row>
    <row r="349" customFormat="false" ht="15.75" hidden="false" customHeight="false" outlineLevel="0" collapsed="false">
      <c r="A349" s="34" t="n">
        <v>42564.4600589931</v>
      </c>
      <c r="F349" s="8" t="s">
        <v>136</v>
      </c>
      <c r="G349" s="8" t="n">
        <v>25</v>
      </c>
      <c r="H349" s="8" t="s">
        <v>467</v>
      </c>
      <c r="I349" s="8" t="n">
        <v>2</v>
      </c>
    </row>
    <row r="350" customFormat="false" ht="15.75" hidden="false" customHeight="false" outlineLevel="0" collapsed="false">
      <c r="A350" s="34" t="n">
        <v>42564.4623299074</v>
      </c>
      <c r="F350" s="8" t="s">
        <v>129</v>
      </c>
      <c r="G350" s="8" t="n">
        <v>31</v>
      </c>
      <c r="H350" s="8" t="s">
        <v>467</v>
      </c>
      <c r="I350" s="8" t="n">
        <v>1</v>
      </c>
    </row>
    <row r="351" customFormat="false" ht="15.75" hidden="false" customHeight="false" outlineLevel="0" collapsed="false">
      <c r="A351" s="34" t="n">
        <v>42564.4625285417</v>
      </c>
      <c r="F351" s="8" t="s">
        <v>129</v>
      </c>
      <c r="G351" s="8" t="n">
        <v>32</v>
      </c>
      <c r="H351" s="8" t="s">
        <v>467</v>
      </c>
      <c r="I351" s="8" t="n">
        <v>1</v>
      </c>
    </row>
    <row r="352" customFormat="false" ht="15.75" hidden="false" customHeight="false" outlineLevel="0" collapsed="false">
      <c r="A352" s="34" t="n">
        <v>42564.4627176273</v>
      </c>
      <c r="F352" s="8" t="s">
        <v>47</v>
      </c>
      <c r="G352" s="8" t="n">
        <v>22</v>
      </c>
      <c r="H352" s="8" t="s">
        <v>467</v>
      </c>
    </row>
    <row r="353" customFormat="false" ht="15.75" hidden="false" customHeight="false" outlineLevel="0" collapsed="false">
      <c r="A353" s="34" t="n">
        <v>42564.4628360069</v>
      </c>
      <c r="F353" s="8" t="s">
        <v>47</v>
      </c>
      <c r="G353" s="8" t="n">
        <v>22</v>
      </c>
      <c r="H353" s="8" t="s">
        <v>467</v>
      </c>
    </row>
    <row r="354" customFormat="false" ht="15.75" hidden="false" customHeight="false" outlineLevel="0" collapsed="false">
      <c r="A354" s="34" t="n">
        <v>42564.4629575694</v>
      </c>
      <c r="F354" s="8" t="s">
        <v>76</v>
      </c>
      <c r="G354" s="8" t="n">
        <v>25</v>
      </c>
      <c r="H354" s="8" t="s">
        <v>467</v>
      </c>
    </row>
    <row r="355" customFormat="false" ht="15.75" hidden="false" customHeight="false" outlineLevel="0" collapsed="false">
      <c r="A355" s="34" t="n">
        <v>42564.4630870718</v>
      </c>
      <c r="F355" s="8" t="s">
        <v>76</v>
      </c>
      <c r="G355" s="8" t="n">
        <v>25</v>
      </c>
      <c r="H355" s="8" t="s">
        <v>467</v>
      </c>
    </row>
    <row r="356" customFormat="false" ht="15.75" hidden="false" customHeight="false" outlineLevel="0" collapsed="false">
      <c r="A356" s="34" t="n">
        <v>42564.4632098495</v>
      </c>
      <c r="F356" s="8" t="s">
        <v>76</v>
      </c>
      <c r="G356" s="8" t="n">
        <v>25</v>
      </c>
      <c r="H356" s="8" t="s">
        <v>467</v>
      </c>
    </row>
    <row r="357" customFormat="false" ht="15.75" hidden="false" customHeight="false" outlineLevel="0" collapsed="false">
      <c r="A357" s="34" t="n">
        <v>42564.4633435532</v>
      </c>
      <c r="F357" s="8" t="s">
        <v>76</v>
      </c>
      <c r="G357" s="8" t="n">
        <v>25</v>
      </c>
      <c r="H357" s="8" t="s">
        <v>467</v>
      </c>
    </row>
    <row r="358" customFormat="false" ht="15.75" hidden="false" customHeight="false" outlineLevel="0" collapsed="false">
      <c r="A358" s="34" t="n">
        <v>42564.4634866088</v>
      </c>
      <c r="F358" s="8" t="s">
        <v>78</v>
      </c>
      <c r="G358" s="8" t="n">
        <v>43</v>
      </c>
      <c r="H358" s="8" t="s">
        <v>467</v>
      </c>
    </row>
    <row r="359" customFormat="false" ht="15.75" hidden="false" customHeight="false" outlineLevel="0" collapsed="false">
      <c r="A359" s="34" t="n">
        <v>42564.4636598611</v>
      </c>
      <c r="F359" s="8" t="s">
        <v>78</v>
      </c>
      <c r="G359" s="8" t="n">
        <v>42</v>
      </c>
      <c r="H359" s="8" t="s">
        <v>467</v>
      </c>
    </row>
    <row r="360" customFormat="false" ht="15.75" hidden="false" customHeight="false" outlineLevel="0" collapsed="false">
      <c r="A360" s="34" t="n">
        <v>42564.4637758565</v>
      </c>
      <c r="F360" s="8" t="s">
        <v>78</v>
      </c>
      <c r="G360" s="8" t="n">
        <v>40</v>
      </c>
      <c r="H360" s="8" t="s">
        <v>467</v>
      </c>
    </row>
    <row r="361" customFormat="false" ht="15.75" hidden="false" customHeight="false" outlineLevel="0" collapsed="false">
      <c r="A361" s="34" t="n">
        <v>42564.4639028009</v>
      </c>
      <c r="F361" s="8" t="s">
        <v>78</v>
      </c>
      <c r="G361" s="8" t="n">
        <v>40</v>
      </c>
      <c r="H361" s="8" t="s">
        <v>467</v>
      </c>
    </row>
    <row r="362" customFormat="false" ht="15.75" hidden="false" customHeight="false" outlineLevel="0" collapsed="false">
      <c r="A362" s="34" t="n">
        <v>42564.4743239815</v>
      </c>
      <c r="F362" s="8" t="s">
        <v>116</v>
      </c>
      <c r="G362" s="8" t="n">
        <v>979</v>
      </c>
      <c r="H362" s="8" t="s">
        <v>470</v>
      </c>
      <c r="I362" s="8" t="n">
        <v>1009</v>
      </c>
    </row>
    <row r="363" customFormat="false" ht="15.75" hidden="false" customHeight="false" outlineLevel="0" collapsed="false">
      <c r="A363" s="34" t="n">
        <v>42564.4812605093</v>
      </c>
      <c r="F363" s="8" t="s">
        <v>20</v>
      </c>
      <c r="G363" s="8" t="n">
        <v>12</v>
      </c>
      <c r="H363" s="8" t="s">
        <v>467</v>
      </c>
      <c r="I363" s="8" t="n">
        <v>1</v>
      </c>
    </row>
    <row r="364" customFormat="false" ht="15.75" hidden="false" customHeight="false" outlineLevel="0" collapsed="false">
      <c r="A364" s="34" t="n">
        <v>42564.484494375</v>
      </c>
      <c r="F364" s="8" t="s">
        <v>153</v>
      </c>
      <c r="G364" s="8" t="n">
        <v>42</v>
      </c>
      <c r="H364" s="8" t="s">
        <v>467</v>
      </c>
      <c r="I364" s="8" t="n">
        <v>2</v>
      </c>
    </row>
    <row r="365" customFormat="false" ht="15.75" hidden="false" customHeight="false" outlineLevel="0" collapsed="false">
      <c r="A365" s="34" t="n">
        <v>42564.484698125</v>
      </c>
      <c r="F365" s="8" t="s">
        <v>28</v>
      </c>
      <c r="G365" s="8" t="n">
        <v>30</v>
      </c>
      <c r="H365" s="8" t="s">
        <v>467</v>
      </c>
      <c r="I365" s="8" t="n">
        <v>1</v>
      </c>
    </row>
    <row r="366" customFormat="false" ht="15.75" hidden="false" customHeight="false" outlineLevel="0" collapsed="false">
      <c r="A366" s="34" t="n">
        <v>42564.4849051273</v>
      </c>
      <c r="C366" s="8" t="s">
        <v>53</v>
      </c>
      <c r="D366" s="8" t="n">
        <v>35</v>
      </c>
      <c r="E366" s="8" t="n">
        <v>1</v>
      </c>
      <c r="G366" s="33"/>
      <c r="H366" s="8" t="s">
        <v>469</v>
      </c>
    </row>
    <row r="367" customFormat="false" ht="15.75" hidden="false" customHeight="false" outlineLevel="0" collapsed="false">
      <c r="A367" s="34" t="n">
        <v>42564.4898563426</v>
      </c>
      <c r="F367" s="8" t="s">
        <v>155</v>
      </c>
      <c r="G367" s="8" t="n">
        <v>36</v>
      </c>
      <c r="H367" s="8" t="s">
        <v>467</v>
      </c>
    </row>
    <row r="368" customFormat="false" ht="15.75" hidden="false" customHeight="false" outlineLevel="0" collapsed="false">
      <c r="A368" s="34" t="n">
        <v>42564.4900485301</v>
      </c>
      <c r="F368" s="8" t="s">
        <v>153</v>
      </c>
      <c r="G368" s="8" t="n">
        <v>40</v>
      </c>
      <c r="H368" s="8" t="s">
        <v>467</v>
      </c>
    </row>
    <row r="369" customFormat="false" ht="15.75" hidden="false" customHeight="false" outlineLevel="0" collapsed="false">
      <c r="A369" s="34" t="n">
        <v>42564.4926547801</v>
      </c>
      <c r="F369" s="8" t="s">
        <v>153</v>
      </c>
      <c r="G369" s="8" t="n">
        <v>41</v>
      </c>
      <c r="H369" s="8" t="s">
        <v>467</v>
      </c>
    </row>
    <row r="370" customFormat="false" ht="15.75" hidden="false" customHeight="false" outlineLevel="0" collapsed="false">
      <c r="A370" s="34" t="n">
        <v>42564.5546689352</v>
      </c>
      <c r="F370" s="8" t="s">
        <v>37</v>
      </c>
      <c r="G370" s="8" t="n">
        <v>26</v>
      </c>
      <c r="H370" s="8" t="s">
        <v>467</v>
      </c>
      <c r="I370" s="8" t="n">
        <v>2</v>
      </c>
    </row>
    <row r="371" customFormat="false" ht="15.75" hidden="false" customHeight="false" outlineLevel="0" collapsed="false">
      <c r="A371" s="34" t="n">
        <v>42564.5600114005</v>
      </c>
      <c r="C371" s="8" t="s">
        <v>34</v>
      </c>
      <c r="D371" s="8" t="n">
        <v>97</v>
      </c>
      <c r="E371" s="8" t="n">
        <v>327</v>
      </c>
      <c r="G371" s="33"/>
      <c r="H371" s="8" t="s">
        <v>468</v>
      </c>
    </row>
    <row r="372" customFormat="false" ht="15.75" hidden="false" customHeight="false" outlineLevel="0" collapsed="false">
      <c r="A372" s="34" t="n">
        <v>42564.5642861458</v>
      </c>
      <c r="C372" s="8" t="s">
        <v>149</v>
      </c>
      <c r="D372" s="8" t="n">
        <v>166</v>
      </c>
      <c r="E372" s="8" t="n">
        <v>1745</v>
      </c>
      <c r="G372" s="33"/>
      <c r="H372" s="8" t="s">
        <v>468</v>
      </c>
    </row>
    <row r="373" customFormat="false" ht="15.75" hidden="false" customHeight="false" outlineLevel="0" collapsed="false">
      <c r="A373" s="34" t="n">
        <v>42564.5771479514</v>
      </c>
      <c r="F373" s="8" t="s">
        <v>142</v>
      </c>
      <c r="G373" s="8" t="n">
        <v>34</v>
      </c>
      <c r="H373" s="8" t="s">
        <v>467</v>
      </c>
      <c r="I373" s="8" t="n">
        <v>4</v>
      </c>
    </row>
    <row r="374" customFormat="false" ht="15.75" hidden="false" customHeight="false" outlineLevel="0" collapsed="false">
      <c r="A374" s="34" t="n">
        <v>42564.5853613773</v>
      </c>
      <c r="F374" s="8" t="s">
        <v>162</v>
      </c>
      <c r="G374" s="8" t="n">
        <v>309</v>
      </c>
      <c r="H374" s="8" t="s">
        <v>470</v>
      </c>
      <c r="I374" s="8" t="n">
        <v>353</v>
      </c>
    </row>
    <row r="375" customFormat="false" ht="15.75" hidden="false" customHeight="false" outlineLevel="0" collapsed="false">
      <c r="A375" s="34" t="n">
        <v>42564.5952466088</v>
      </c>
      <c r="F375" s="8" t="s">
        <v>87</v>
      </c>
      <c r="G375" s="8" t="n">
        <v>37</v>
      </c>
      <c r="H375" s="8" t="s">
        <v>467</v>
      </c>
      <c r="I375" s="8" t="n">
        <v>3</v>
      </c>
    </row>
    <row r="376" customFormat="false" ht="15.75" hidden="false" customHeight="false" outlineLevel="0" collapsed="false">
      <c r="A376" s="34" t="n">
        <v>42564.6213015394</v>
      </c>
      <c r="F376" s="8" t="s">
        <v>103</v>
      </c>
      <c r="G376" s="8" t="n">
        <v>10</v>
      </c>
      <c r="H376" s="8" t="s">
        <v>467</v>
      </c>
    </row>
    <row r="377" customFormat="false" ht="15.75" hidden="false" customHeight="false" outlineLevel="0" collapsed="false">
      <c r="A377" s="34" t="n">
        <v>42564.6215558565</v>
      </c>
      <c r="F377" s="8" t="s">
        <v>103</v>
      </c>
      <c r="G377" s="8" t="n">
        <v>11</v>
      </c>
      <c r="H377" s="8" t="s">
        <v>467</v>
      </c>
    </row>
    <row r="378" customFormat="false" ht="15.75" hidden="false" customHeight="false" outlineLevel="0" collapsed="false">
      <c r="A378" s="34" t="n">
        <v>42564.6242612963</v>
      </c>
      <c r="F378" s="8" t="s">
        <v>154</v>
      </c>
      <c r="G378" s="8" t="n">
        <v>29</v>
      </c>
      <c r="H378" s="8" t="s">
        <v>467</v>
      </c>
      <c r="I378" s="8" t="n">
        <v>2</v>
      </c>
    </row>
    <row r="379" customFormat="false" ht="15.75" hidden="false" customHeight="false" outlineLevel="0" collapsed="false">
      <c r="A379" s="34" t="n">
        <v>42564.6333963657</v>
      </c>
      <c r="F379" s="8" t="s">
        <v>161</v>
      </c>
      <c r="G379" s="8" t="n">
        <v>30</v>
      </c>
      <c r="H379" s="8" t="s">
        <v>467</v>
      </c>
      <c r="I379" s="8" t="n">
        <v>10</v>
      </c>
    </row>
    <row r="380" customFormat="false" ht="15.75" hidden="false" customHeight="false" outlineLevel="0" collapsed="false">
      <c r="A380" s="34" t="n">
        <v>42564.6360583796</v>
      </c>
      <c r="C380" s="8" t="s">
        <v>153</v>
      </c>
      <c r="D380" s="8" t="n">
        <v>242</v>
      </c>
      <c r="E380" s="8" t="n">
        <v>655</v>
      </c>
      <c r="G380" s="33"/>
      <c r="H380" s="8" t="s">
        <v>468</v>
      </c>
    </row>
    <row r="381" customFormat="false" ht="15.75" hidden="false" customHeight="false" outlineLevel="0" collapsed="false">
      <c r="A381" s="34" t="n">
        <v>42564.6384340509</v>
      </c>
      <c r="C381" s="8" t="s">
        <v>36</v>
      </c>
      <c r="D381" s="8" t="n">
        <v>309</v>
      </c>
      <c r="E381" s="8" t="n">
        <v>574</v>
      </c>
      <c r="G381" s="33"/>
      <c r="H381" s="8" t="s">
        <v>468</v>
      </c>
    </row>
    <row r="382" customFormat="false" ht="15.75" hidden="false" customHeight="false" outlineLevel="0" collapsed="false">
      <c r="A382" s="34" t="n">
        <v>42564.650027419</v>
      </c>
      <c r="C382" s="8" t="s">
        <v>154</v>
      </c>
      <c r="D382" s="8" t="n">
        <v>450</v>
      </c>
      <c r="E382" s="8" t="n">
        <v>900</v>
      </c>
      <c r="G382" s="33"/>
      <c r="H382" s="8" t="s">
        <v>468</v>
      </c>
    </row>
    <row r="383" customFormat="false" ht="15.75" hidden="false" customHeight="false" outlineLevel="0" collapsed="false">
      <c r="A383" s="34" t="n">
        <v>42564.6514682407</v>
      </c>
      <c r="F383" s="8" t="s">
        <v>43</v>
      </c>
      <c r="G383" s="8" t="n">
        <v>23</v>
      </c>
      <c r="H383" s="8" t="s">
        <v>467</v>
      </c>
      <c r="I383" s="8" t="n">
        <v>2</v>
      </c>
    </row>
    <row r="384" customFormat="false" ht="15.75" hidden="false" customHeight="false" outlineLevel="0" collapsed="false">
      <c r="A384" s="34" t="n">
        <v>42564.6532024306</v>
      </c>
      <c r="F384" s="8" t="s">
        <v>43</v>
      </c>
      <c r="G384" s="8" t="n">
        <v>22</v>
      </c>
      <c r="H384" s="8" t="s">
        <v>467</v>
      </c>
      <c r="I384" s="8" t="n">
        <v>2</v>
      </c>
    </row>
    <row r="385" customFormat="false" ht="15.75" hidden="false" customHeight="false" outlineLevel="0" collapsed="false">
      <c r="A385" s="34" t="n">
        <v>42564.6545421181</v>
      </c>
      <c r="F385" s="8" t="s">
        <v>144</v>
      </c>
      <c r="G385" s="8" t="n">
        <v>31</v>
      </c>
      <c r="H385" s="8" t="s">
        <v>467</v>
      </c>
      <c r="I385" s="8" t="n">
        <v>6</v>
      </c>
    </row>
    <row r="386" customFormat="false" ht="15.75" hidden="false" customHeight="false" outlineLevel="0" collapsed="false">
      <c r="A386" s="34" t="n">
        <v>42564.6551604861</v>
      </c>
      <c r="F386" s="8" t="s">
        <v>144</v>
      </c>
      <c r="G386" s="8" t="n">
        <v>31</v>
      </c>
      <c r="H386" s="8" t="s">
        <v>467</v>
      </c>
      <c r="I386" s="8" t="n">
        <v>4</v>
      </c>
    </row>
    <row r="387" customFormat="false" ht="15.75" hidden="false" customHeight="false" outlineLevel="0" collapsed="false">
      <c r="A387" s="34" t="n">
        <v>42564.661580544</v>
      </c>
      <c r="F387" s="8" t="s">
        <v>168</v>
      </c>
      <c r="G387" s="8" t="n">
        <v>52</v>
      </c>
      <c r="H387" s="8" t="s">
        <v>467</v>
      </c>
      <c r="I387" s="8" t="n">
        <v>3</v>
      </c>
    </row>
    <row r="388" customFormat="false" ht="15.75" hidden="false" customHeight="false" outlineLevel="0" collapsed="false">
      <c r="A388" s="34" t="n">
        <v>42564.6875121528</v>
      </c>
      <c r="F388" s="8" t="s">
        <v>145</v>
      </c>
      <c r="G388" s="8" t="n">
        <v>565</v>
      </c>
      <c r="H388" s="8" t="s">
        <v>470</v>
      </c>
      <c r="I388" s="8" t="n">
        <v>55</v>
      </c>
    </row>
    <row r="389" customFormat="false" ht="15.75" hidden="false" customHeight="false" outlineLevel="0" collapsed="false">
      <c r="A389" s="34" t="n">
        <v>42564.6974345023</v>
      </c>
      <c r="F389" s="8" t="s">
        <v>21</v>
      </c>
      <c r="G389" s="8" t="n">
        <v>22</v>
      </c>
      <c r="H389" s="8" t="s">
        <v>467</v>
      </c>
      <c r="I389" s="8" t="n">
        <v>2</v>
      </c>
    </row>
    <row r="390" customFormat="false" ht="15.75" hidden="false" customHeight="false" outlineLevel="0" collapsed="false">
      <c r="A390" s="34" t="n">
        <v>42564.7028253241</v>
      </c>
      <c r="F390" s="8" t="s">
        <v>37</v>
      </c>
      <c r="G390" s="8" t="n">
        <v>25</v>
      </c>
      <c r="H390" s="8" t="s">
        <v>467</v>
      </c>
      <c r="I390" s="8" t="n">
        <v>1</v>
      </c>
    </row>
    <row r="391" customFormat="false" ht="15.75" hidden="false" customHeight="false" outlineLevel="0" collapsed="false">
      <c r="A391" s="34" t="n">
        <v>42564.7058321181</v>
      </c>
      <c r="C391" s="8" t="s">
        <v>34</v>
      </c>
      <c r="D391" s="8" t="n">
        <v>158</v>
      </c>
      <c r="E391" s="8" t="n">
        <v>355</v>
      </c>
      <c r="G391" s="33"/>
      <c r="H391" s="8" t="s">
        <v>468</v>
      </c>
    </row>
    <row r="392" customFormat="false" ht="15.75" hidden="false" customHeight="false" outlineLevel="0" collapsed="false">
      <c r="A392" s="34" t="n">
        <v>42564.7097537616</v>
      </c>
      <c r="C392" s="8" t="s">
        <v>154</v>
      </c>
      <c r="D392" s="8" t="n">
        <v>565</v>
      </c>
      <c r="E392" s="8" t="n">
        <v>1171</v>
      </c>
      <c r="G392" s="33"/>
      <c r="H392" s="8" t="s">
        <v>468</v>
      </c>
    </row>
    <row r="393" customFormat="false" ht="15.75" hidden="false" customHeight="false" outlineLevel="0" collapsed="false">
      <c r="A393" s="34" t="n">
        <v>42564.7258600116</v>
      </c>
      <c r="F393" s="8" t="s">
        <v>43</v>
      </c>
      <c r="G393" s="8" t="n">
        <v>23</v>
      </c>
      <c r="H393" s="8" t="s">
        <v>467</v>
      </c>
      <c r="I393" s="8" t="n">
        <v>1</v>
      </c>
    </row>
    <row r="394" customFormat="false" ht="15.75" hidden="false" customHeight="false" outlineLevel="0" collapsed="false">
      <c r="A394" s="34" t="n">
        <v>42564.7366103704</v>
      </c>
      <c r="F394" s="8" t="s">
        <v>161</v>
      </c>
      <c r="G394" s="8" t="n">
        <v>40</v>
      </c>
      <c r="H394" s="8" t="s">
        <v>467</v>
      </c>
    </row>
    <row r="395" customFormat="false" ht="15.75" hidden="false" customHeight="false" outlineLevel="0" collapsed="false">
      <c r="A395" s="34" t="n">
        <v>42564.7422962153</v>
      </c>
      <c r="C395" s="8" t="s">
        <v>43</v>
      </c>
      <c r="D395" s="8" t="n">
        <v>323</v>
      </c>
      <c r="E395" s="8" t="n">
        <v>712</v>
      </c>
      <c r="G395" s="33"/>
      <c r="H395" s="8" t="s">
        <v>468</v>
      </c>
    </row>
    <row r="396" customFormat="false" ht="15.75" hidden="false" customHeight="false" outlineLevel="0" collapsed="false">
      <c r="A396" s="34" t="n">
        <v>42564.7426125926</v>
      </c>
      <c r="C396" s="8" t="s">
        <v>48</v>
      </c>
      <c r="D396" s="8" t="n">
        <v>283</v>
      </c>
      <c r="E396" s="8" t="n">
        <v>460</v>
      </c>
      <c r="G396" s="33"/>
      <c r="H396" s="8" t="s">
        <v>468</v>
      </c>
    </row>
    <row r="397" customFormat="false" ht="15.75" hidden="false" customHeight="false" outlineLevel="0" collapsed="false">
      <c r="A397" s="34" t="n">
        <v>42564.7430147569</v>
      </c>
      <c r="C397" s="8" t="s">
        <v>52</v>
      </c>
      <c r="D397" s="8" t="n">
        <v>270</v>
      </c>
      <c r="E397" s="8" t="n">
        <v>388</v>
      </c>
      <c r="G397" s="33"/>
      <c r="H397" s="8" t="s">
        <v>468</v>
      </c>
    </row>
    <row r="398" customFormat="false" ht="15.75" hidden="false" customHeight="false" outlineLevel="0" collapsed="false">
      <c r="A398" s="34" t="n">
        <v>42564.743409213</v>
      </c>
      <c r="C398" s="8" t="s">
        <v>36</v>
      </c>
      <c r="D398" s="8" t="n">
        <v>257</v>
      </c>
      <c r="E398" s="8" t="n">
        <v>485</v>
      </c>
      <c r="G398" s="33"/>
      <c r="H398" s="8" t="s">
        <v>468</v>
      </c>
    </row>
    <row r="399" customFormat="false" ht="15.75" hidden="false" customHeight="false" outlineLevel="0" collapsed="false">
      <c r="A399" s="34" t="n">
        <v>42564.7438778356</v>
      </c>
      <c r="C399" s="8" t="s">
        <v>36</v>
      </c>
      <c r="D399" s="8" t="n">
        <v>208</v>
      </c>
      <c r="E399" s="8" t="n">
        <v>399</v>
      </c>
      <c r="G399" s="33"/>
      <c r="H399" s="8" t="s">
        <v>468</v>
      </c>
    </row>
    <row r="400" customFormat="false" ht="15.75" hidden="false" customHeight="false" outlineLevel="0" collapsed="false">
      <c r="A400" s="34" t="n">
        <v>42564.7445809491</v>
      </c>
      <c r="C400" s="8" t="s">
        <v>36</v>
      </c>
      <c r="D400" s="8" t="n">
        <v>206</v>
      </c>
      <c r="E400" s="8" t="n">
        <v>392</v>
      </c>
      <c r="G400" s="33"/>
      <c r="H400" s="8" t="s">
        <v>468</v>
      </c>
    </row>
    <row r="401" customFormat="false" ht="15.75" hidden="false" customHeight="false" outlineLevel="0" collapsed="false">
      <c r="A401" s="34" t="n">
        <v>42564.7448300463</v>
      </c>
      <c r="C401" s="8" t="s">
        <v>36</v>
      </c>
      <c r="D401" s="8" t="n">
        <v>189</v>
      </c>
      <c r="E401" s="8" t="n">
        <v>343</v>
      </c>
      <c r="G401" s="33"/>
      <c r="H401" s="8" t="s">
        <v>468</v>
      </c>
    </row>
    <row r="402" customFormat="false" ht="15.75" hidden="false" customHeight="false" outlineLevel="0" collapsed="false">
      <c r="A402" s="34" t="n">
        <v>42564.7452878819</v>
      </c>
      <c r="C402" s="8" t="s">
        <v>41</v>
      </c>
      <c r="D402" s="8" t="n">
        <v>270</v>
      </c>
      <c r="E402" s="8" t="n">
        <v>726</v>
      </c>
      <c r="G402" s="33"/>
      <c r="H402" s="8" t="s">
        <v>468</v>
      </c>
    </row>
    <row r="403" customFormat="false" ht="15.75" hidden="false" customHeight="false" outlineLevel="0" collapsed="false">
      <c r="A403" s="34" t="n">
        <v>42564.7458709606</v>
      </c>
      <c r="C403" s="8" t="s">
        <v>61</v>
      </c>
      <c r="D403" s="8" t="n">
        <v>237</v>
      </c>
      <c r="E403" s="8" t="n">
        <v>734</v>
      </c>
      <c r="G403" s="33"/>
      <c r="H403" s="8" t="s">
        <v>468</v>
      </c>
    </row>
    <row r="404" customFormat="false" ht="15.75" hidden="false" customHeight="false" outlineLevel="0" collapsed="false">
      <c r="A404" s="34" t="n">
        <v>42564.7465591088</v>
      </c>
      <c r="C404" s="8" t="s">
        <v>66</v>
      </c>
      <c r="D404" s="8" t="n">
        <v>374</v>
      </c>
      <c r="E404" s="8" t="n">
        <v>737</v>
      </c>
      <c r="G404" s="33"/>
      <c r="H404" s="8" t="s">
        <v>468</v>
      </c>
    </row>
    <row r="405" customFormat="false" ht="15.75" hidden="false" customHeight="false" outlineLevel="0" collapsed="false">
      <c r="A405" s="34" t="n">
        <v>42564.746809213</v>
      </c>
      <c r="C405" s="8" t="s">
        <v>45</v>
      </c>
      <c r="D405" s="8" t="n">
        <v>305</v>
      </c>
      <c r="E405" s="8" t="n">
        <v>717</v>
      </c>
      <c r="G405" s="33"/>
      <c r="H405" s="8" t="s">
        <v>468</v>
      </c>
    </row>
    <row r="406" customFormat="false" ht="15.75" hidden="false" customHeight="false" outlineLevel="0" collapsed="false">
      <c r="A406" s="34" t="n">
        <v>42564.7471605208</v>
      </c>
      <c r="C406" s="8" t="s">
        <v>124</v>
      </c>
      <c r="D406" s="8" t="n">
        <v>404</v>
      </c>
      <c r="E406" s="8" t="n">
        <v>676</v>
      </c>
      <c r="G406" s="33"/>
      <c r="H406" s="8" t="s">
        <v>468</v>
      </c>
    </row>
    <row r="407" customFormat="false" ht="15.75" hidden="false" customHeight="false" outlineLevel="0" collapsed="false">
      <c r="A407" s="34" t="n">
        <v>42564.7474704514</v>
      </c>
      <c r="C407" s="8" t="s">
        <v>76</v>
      </c>
      <c r="D407" s="8" t="n">
        <v>329</v>
      </c>
      <c r="E407" s="8" t="n">
        <v>713</v>
      </c>
      <c r="G407" s="33"/>
      <c r="H407" s="8" t="s">
        <v>468</v>
      </c>
    </row>
    <row r="408" customFormat="false" ht="15.75" hidden="false" customHeight="false" outlineLevel="0" collapsed="false">
      <c r="A408" s="34" t="n">
        <v>42564.7476991319</v>
      </c>
      <c r="C408" s="8" t="s">
        <v>94</v>
      </c>
      <c r="D408" s="8" t="n">
        <v>173</v>
      </c>
      <c r="E408" s="8" t="n">
        <v>299</v>
      </c>
      <c r="G408" s="33"/>
      <c r="H408" s="8" t="s">
        <v>468</v>
      </c>
    </row>
    <row r="409" customFormat="false" ht="15.75" hidden="false" customHeight="false" outlineLevel="0" collapsed="false">
      <c r="A409" s="34" t="n">
        <v>42564.7480358449</v>
      </c>
      <c r="C409" s="8" t="s">
        <v>66</v>
      </c>
      <c r="D409" s="8" t="n">
        <v>340</v>
      </c>
      <c r="E409" s="8" t="n">
        <v>662</v>
      </c>
      <c r="G409" s="33"/>
      <c r="H409" s="8" t="s">
        <v>468</v>
      </c>
    </row>
    <row r="410" customFormat="false" ht="15.75" hidden="false" customHeight="false" outlineLevel="0" collapsed="false">
      <c r="A410" s="34" t="n">
        <v>42564.7493483565</v>
      </c>
      <c r="F410" s="8" t="s">
        <v>61</v>
      </c>
      <c r="G410" s="8" t="n">
        <v>28</v>
      </c>
      <c r="H410" s="8" t="s">
        <v>467</v>
      </c>
      <c r="I410" s="8" t="n">
        <v>2</v>
      </c>
    </row>
    <row r="411" customFormat="false" ht="15.75" hidden="false" customHeight="false" outlineLevel="0" collapsed="false">
      <c r="A411" s="34" t="n">
        <v>42564.7497021991</v>
      </c>
      <c r="F411" s="8" t="s">
        <v>153</v>
      </c>
      <c r="G411" s="8" t="n">
        <v>38</v>
      </c>
      <c r="H411" s="8" t="s">
        <v>467</v>
      </c>
      <c r="I411" s="8" t="n">
        <v>2</v>
      </c>
    </row>
    <row r="412" customFormat="false" ht="15.75" hidden="false" customHeight="false" outlineLevel="0" collapsed="false">
      <c r="A412" s="34" t="n">
        <v>42564.7498738194</v>
      </c>
      <c r="F412" s="8" t="s">
        <v>153</v>
      </c>
      <c r="G412" s="8" t="n">
        <v>39</v>
      </c>
      <c r="H412" s="8" t="s">
        <v>467</v>
      </c>
      <c r="I412" s="8" t="n">
        <v>3</v>
      </c>
    </row>
    <row r="413" customFormat="false" ht="15.75" hidden="false" customHeight="false" outlineLevel="0" collapsed="false">
      <c r="A413" s="34" t="n">
        <v>42564.7520316319</v>
      </c>
      <c r="F413" s="8" t="s">
        <v>41</v>
      </c>
      <c r="G413" s="8" t="n">
        <v>23</v>
      </c>
      <c r="H413" s="8" t="s">
        <v>467</v>
      </c>
      <c r="I413" s="8" t="n">
        <v>2</v>
      </c>
    </row>
    <row r="414" customFormat="false" ht="15.75" hidden="false" customHeight="false" outlineLevel="0" collapsed="false">
      <c r="A414" s="34" t="n">
        <v>42564.7522451736</v>
      </c>
      <c r="F414" s="8" t="s">
        <v>41</v>
      </c>
      <c r="G414" s="8" t="n">
        <v>24</v>
      </c>
      <c r="H414" s="8" t="s">
        <v>467</v>
      </c>
    </row>
    <row r="415" customFormat="false" ht="15.75" hidden="false" customHeight="false" outlineLevel="0" collapsed="false">
      <c r="A415" s="34" t="n">
        <v>42564.7655560301</v>
      </c>
      <c r="F415" s="8" t="s">
        <v>78</v>
      </c>
      <c r="G415" s="8" t="n">
        <v>1082</v>
      </c>
      <c r="H415" s="8" t="s">
        <v>470</v>
      </c>
      <c r="I415" s="8" t="n">
        <v>89</v>
      </c>
    </row>
    <row r="416" customFormat="false" ht="15.75" hidden="false" customHeight="false" outlineLevel="0" collapsed="false">
      <c r="A416" s="34" t="n">
        <v>42564.76905625</v>
      </c>
      <c r="C416" s="8" t="s">
        <v>153</v>
      </c>
      <c r="D416" s="8" t="n">
        <v>424</v>
      </c>
      <c r="E416" s="8" t="n">
        <v>1217</v>
      </c>
      <c r="G416" s="33"/>
      <c r="H416" s="8" t="s">
        <v>468</v>
      </c>
    </row>
    <row r="417" customFormat="false" ht="15.75" hidden="false" customHeight="false" outlineLevel="0" collapsed="false">
      <c r="A417" s="34" t="n">
        <v>42564.7713548148</v>
      </c>
      <c r="F417" s="8" t="s">
        <v>153</v>
      </c>
      <c r="G417" s="8" t="n">
        <v>40</v>
      </c>
      <c r="H417" s="8" t="s">
        <v>467</v>
      </c>
      <c r="I417" s="8" t="n">
        <v>2</v>
      </c>
    </row>
    <row r="418" customFormat="false" ht="15.75" hidden="false" customHeight="false" outlineLevel="0" collapsed="false">
      <c r="A418" s="34" t="n">
        <v>42564.779321007</v>
      </c>
      <c r="C418" s="8" t="s">
        <v>36</v>
      </c>
      <c r="D418" s="8" t="n">
        <v>47</v>
      </c>
      <c r="E418" s="8" t="n">
        <v>87</v>
      </c>
      <c r="G418" s="33"/>
      <c r="H418" s="8" t="s">
        <v>468</v>
      </c>
    </row>
    <row r="419" customFormat="false" ht="15.75" hidden="false" customHeight="false" outlineLevel="0" collapsed="false">
      <c r="A419" s="34" t="n">
        <v>42564.8010086458</v>
      </c>
      <c r="F419" s="8" t="s">
        <v>103</v>
      </c>
      <c r="G419" s="8" t="n">
        <v>10</v>
      </c>
      <c r="H419" s="8" t="s">
        <v>467</v>
      </c>
      <c r="I419" s="8" t="n">
        <v>1</v>
      </c>
    </row>
    <row r="420" customFormat="false" ht="15.75" hidden="false" customHeight="false" outlineLevel="0" collapsed="false">
      <c r="A420" s="34" t="n">
        <v>42564.8047118171</v>
      </c>
      <c r="F420" s="8" t="s">
        <v>56</v>
      </c>
      <c r="G420" s="8" t="n">
        <v>12</v>
      </c>
      <c r="H420" s="8" t="s">
        <v>467</v>
      </c>
    </row>
    <row r="421" customFormat="false" ht="15.75" hidden="false" customHeight="false" outlineLevel="0" collapsed="false">
      <c r="A421" s="34" t="n">
        <v>42564.806378912</v>
      </c>
      <c r="F421" s="8" t="s">
        <v>62</v>
      </c>
      <c r="G421" s="8" t="n">
        <v>15</v>
      </c>
      <c r="H421" s="8" t="s">
        <v>467</v>
      </c>
      <c r="I421" s="8" t="n">
        <v>1</v>
      </c>
    </row>
    <row r="422" customFormat="false" ht="15.75" hidden="false" customHeight="false" outlineLevel="0" collapsed="false">
      <c r="A422" s="34" t="n">
        <v>42564.8073745139</v>
      </c>
      <c r="F422" s="8" t="s">
        <v>65</v>
      </c>
      <c r="G422" s="8" t="n">
        <v>12</v>
      </c>
      <c r="H422" s="8" t="s">
        <v>467</v>
      </c>
      <c r="I422" s="8" t="n">
        <v>1</v>
      </c>
    </row>
    <row r="423" customFormat="false" ht="15.75" hidden="false" customHeight="false" outlineLevel="0" collapsed="false">
      <c r="A423" s="34" t="n">
        <v>42564.8211989352</v>
      </c>
      <c r="F423" s="8" t="s">
        <v>37</v>
      </c>
      <c r="G423" s="8" t="n">
        <v>29</v>
      </c>
      <c r="H423" s="8" t="s">
        <v>467</v>
      </c>
      <c r="I423" s="8" t="n">
        <v>3</v>
      </c>
    </row>
    <row r="424" customFormat="false" ht="15.75" hidden="false" customHeight="false" outlineLevel="0" collapsed="false">
      <c r="A424" s="34" t="n">
        <v>42564.8368854514</v>
      </c>
      <c r="C424" s="8" t="s">
        <v>36</v>
      </c>
      <c r="D424" s="8" t="n">
        <v>154</v>
      </c>
      <c r="E424" s="8" t="n">
        <v>286</v>
      </c>
      <c r="G424" s="33"/>
      <c r="H424" s="8" t="s">
        <v>468</v>
      </c>
    </row>
    <row r="425" customFormat="false" ht="15.75" hidden="false" customHeight="false" outlineLevel="0" collapsed="false">
      <c r="A425" s="34" t="n">
        <v>42564.8509046065</v>
      </c>
      <c r="F425" s="8" t="s">
        <v>133</v>
      </c>
      <c r="G425" s="8" t="n">
        <v>26</v>
      </c>
      <c r="H425" s="8" t="s">
        <v>467</v>
      </c>
      <c r="I425" s="8" t="n">
        <v>2</v>
      </c>
    </row>
    <row r="426" customFormat="false" ht="15.75" hidden="false" customHeight="false" outlineLevel="0" collapsed="false">
      <c r="A426" s="34" t="n">
        <v>42564.8585334606</v>
      </c>
      <c r="C426" s="8" t="s">
        <v>37</v>
      </c>
      <c r="D426" s="8" t="n">
        <v>349</v>
      </c>
      <c r="E426" s="8" t="n">
        <v>607</v>
      </c>
      <c r="G426" s="33"/>
      <c r="H426" s="8" t="s">
        <v>468</v>
      </c>
    </row>
    <row r="427" customFormat="false" ht="15.75" hidden="false" customHeight="false" outlineLevel="0" collapsed="false">
      <c r="A427" s="34" t="n">
        <v>42564.8595273495</v>
      </c>
      <c r="C427" s="8" t="s">
        <v>37</v>
      </c>
      <c r="D427" s="8" t="n">
        <v>235</v>
      </c>
      <c r="E427" s="8" t="n">
        <v>508</v>
      </c>
      <c r="G427" s="33"/>
      <c r="H427" s="8" t="s">
        <v>468</v>
      </c>
    </row>
    <row r="428" customFormat="false" ht="15.75" hidden="false" customHeight="false" outlineLevel="0" collapsed="false">
      <c r="A428" s="34" t="n">
        <v>42564.8615684607</v>
      </c>
      <c r="C428" s="8" t="s">
        <v>39</v>
      </c>
      <c r="D428" s="8" t="n">
        <v>183</v>
      </c>
      <c r="E428" s="8" t="n">
        <v>469</v>
      </c>
      <c r="G428" s="33"/>
      <c r="H428" s="8" t="s">
        <v>468</v>
      </c>
    </row>
    <row r="429" customFormat="false" ht="15.75" hidden="false" customHeight="false" outlineLevel="0" collapsed="false">
      <c r="A429" s="34" t="n">
        <v>42564.8619014815</v>
      </c>
      <c r="C429" s="8" t="s">
        <v>39</v>
      </c>
      <c r="D429" s="8" t="n">
        <v>179</v>
      </c>
      <c r="E429" s="8" t="n">
        <v>463</v>
      </c>
      <c r="G429" s="33"/>
      <c r="H429" s="8" t="s">
        <v>468</v>
      </c>
    </row>
    <row r="430" customFormat="false" ht="15.75" hidden="false" customHeight="false" outlineLevel="0" collapsed="false">
      <c r="A430" s="34" t="n">
        <v>42564.8622734838</v>
      </c>
      <c r="C430" s="8" t="s">
        <v>39</v>
      </c>
      <c r="D430" s="8" t="n">
        <v>147</v>
      </c>
      <c r="E430" s="8" t="n">
        <v>398</v>
      </c>
      <c r="G430" s="33"/>
      <c r="H430" s="8" t="s">
        <v>468</v>
      </c>
    </row>
    <row r="431" customFormat="false" ht="15.75" hidden="false" customHeight="false" outlineLevel="0" collapsed="false">
      <c r="A431" s="34" t="n">
        <v>42564.8625349421</v>
      </c>
      <c r="C431" s="8" t="s">
        <v>39</v>
      </c>
      <c r="D431" s="8" t="n">
        <v>67</v>
      </c>
      <c r="E431" s="8" t="n">
        <v>178</v>
      </c>
      <c r="G431" s="33"/>
      <c r="H431" s="8" t="s">
        <v>468</v>
      </c>
    </row>
    <row r="432" customFormat="false" ht="15.75" hidden="false" customHeight="false" outlineLevel="0" collapsed="false">
      <c r="A432" s="34" t="n">
        <v>42564.8652158218</v>
      </c>
      <c r="C432" s="8" t="s">
        <v>33</v>
      </c>
      <c r="D432" s="8" t="n">
        <v>93</v>
      </c>
      <c r="E432" s="8" t="n">
        <v>102</v>
      </c>
      <c r="G432" s="33"/>
      <c r="H432" s="8" t="s">
        <v>468</v>
      </c>
    </row>
    <row r="433" customFormat="false" ht="15.75" hidden="false" customHeight="false" outlineLevel="0" collapsed="false">
      <c r="A433" s="34" t="n">
        <v>42564.8653943287</v>
      </c>
      <c r="C433" s="8" t="s">
        <v>33</v>
      </c>
      <c r="D433" s="8" t="n">
        <v>92</v>
      </c>
      <c r="E433" s="8" t="n">
        <v>100</v>
      </c>
      <c r="G433" s="33"/>
      <c r="H433" s="8" t="s">
        <v>468</v>
      </c>
    </row>
    <row r="434" customFormat="false" ht="15.75" hidden="false" customHeight="false" outlineLevel="0" collapsed="false">
      <c r="A434" s="34" t="n">
        <v>42564.8657404398</v>
      </c>
      <c r="C434" s="8" t="s">
        <v>33</v>
      </c>
      <c r="D434" s="8" t="n">
        <v>78</v>
      </c>
      <c r="E434" s="8" t="n">
        <v>85</v>
      </c>
      <c r="G434" s="33"/>
      <c r="H434" s="8" t="s">
        <v>468</v>
      </c>
    </row>
    <row r="435" customFormat="false" ht="15.75" hidden="false" customHeight="false" outlineLevel="0" collapsed="false">
      <c r="A435" s="34" t="n">
        <v>42564.8659502083</v>
      </c>
      <c r="C435" s="8" t="s">
        <v>33</v>
      </c>
      <c r="D435" s="8" t="n">
        <v>68</v>
      </c>
      <c r="E435" s="8" t="n">
        <v>73</v>
      </c>
      <c r="G435" s="33"/>
      <c r="H435" s="8" t="s">
        <v>468</v>
      </c>
    </row>
    <row r="436" customFormat="false" ht="15.75" hidden="false" customHeight="false" outlineLevel="0" collapsed="false">
      <c r="A436" s="34" t="n">
        <v>42564.8663594097</v>
      </c>
      <c r="C436" s="8" t="s">
        <v>68</v>
      </c>
      <c r="D436" s="8" t="n">
        <v>216</v>
      </c>
      <c r="E436" s="8" t="n">
        <v>401</v>
      </c>
      <c r="G436" s="33"/>
      <c r="H436" s="8" t="s">
        <v>468</v>
      </c>
    </row>
    <row r="437" customFormat="false" ht="15.75" hidden="false" customHeight="false" outlineLevel="0" collapsed="false">
      <c r="A437" s="34" t="n">
        <v>42564.8666481713</v>
      </c>
      <c r="C437" s="8" t="s">
        <v>41</v>
      </c>
      <c r="D437" s="8" t="n">
        <v>190</v>
      </c>
      <c r="E437" s="8" t="n">
        <v>511</v>
      </c>
      <c r="G437" s="33"/>
      <c r="H437" s="8" t="s">
        <v>468</v>
      </c>
    </row>
    <row r="438" customFormat="false" ht="15.75" hidden="false" customHeight="false" outlineLevel="0" collapsed="false">
      <c r="A438" s="34" t="n">
        <v>42564.8668527662</v>
      </c>
      <c r="C438" s="8" t="s">
        <v>152</v>
      </c>
      <c r="D438" s="8" t="n">
        <v>359</v>
      </c>
      <c r="E438" s="8" t="n">
        <v>886</v>
      </c>
      <c r="G438" s="33"/>
      <c r="H438" s="8" t="s">
        <v>469</v>
      </c>
    </row>
    <row r="439" customFormat="false" ht="15.75" hidden="false" customHeight="false" outlineLevel="0" collapsed="false">
      <c r="A439" s="34" t="n">
        <v>42564.8670664815</v>
      </c>
      <c r="C439" s="8" t="s">
        <v>152</v>
      </c>
      <c r="D439" s="8" t="n">
        <v>194</v>
      </c>
      <c r="E439" s="8" t="n">
        <v>484</v>
      </c>
      <c r="G439" s="33"/>
      <c r="H439" s="8" t="s">
        <v>469</v>
      </c>
    </row>
    <row r="440" customFormat="false" ht="15.75" hidden="false" customHeight="false" outlineLevel="0" collapsed="false">
      <c r="A440" s="34" t="n">
        <v>42564.8673311227</v>
      </c>
      <c r="C440" s="8" t="s">
        <v>52</v>
      </c>
      <c r="D440" s="8" t="n">
        <v>148</v>
      </c>
      <c r="E440" s="8" t="n">
        <v>248</v>
      </c>
      <c r="G440" s="33"/>
      <c r="H440" s="8" t="s">
        <v>468</v>
      </c>
    </row>
    <row r="441" customFormat="false" ht="15.75" hidden="false" customHeight="false" outlineLevel="0" collapsed="false">
      <c r="A441" s="34" t="n">
        <v>42564.8675276505</v>
      </c>
      <c r="C441" s="8" t="s">
        <v>49</v>
      </c>
      <c r="D441" s="8" t="n">
        <v>233</v>
      </c>
      <c r="E441" s="8" t="n">
        <v>380</v>
      </c>
      <c r="G441" s="33"/>
      <c r="H441" s="8" t="s">
        <v>468</v>
      </c>
    </row>
    <row r="442" customFormat="false" ht="15.75" hidden="false" customHeight="false" outlineLevel="0" collapsed="false">
      <c r="A442" s="34" t="n">
        <v>42564.8677752199</v>
      </c>
      <c r="C442" s="8" t="s">
        <v>116</v>
      </c>
      <c r="D442" s="8" t="n">
        <v>286</v>
      </c>
      <c r="E442" s="8" t="n">
        <v>595</v>
      </c>
      <c r="G442" s="33"/>
      <c r="H442" s="8" t="s">
        <v>468</v>
      </c>
    </row>
    <row r="443" customFormat="false" ht="15.75" hidden="false" customHeight="false" outlineLevel="0" collapsed="false">
      <c r="A443" s="34" t="n">
        <v>42564.8679703241</v>
      </c>
      <c r="C443" s="8" t="s">
        <v>30</v>
      </c>
      <c r="D443" s="8" t="n">
        <v>95</v>
      </c>
      <c r="E443" s="8" t="n">
        <v>100</v>
      </c>
      <c r="G443" s="33"/>
      <c r="H443" s="8" t="s">
        <v>468</v>
      </c>
    </row>
    <row r="444" customFormat="false" ht="15.75" hidden="false" customHeight="false" outlineLevel="0" collapsed="false">
      <c r="A444" s="34" t="n">
        <v>42564.8682126968</v>
      </c>
      <c r="C444" s="8" t="s">
        <v>36</v>
      </c>
      <c r="D444" s="8" t="n">
        <v>215</v>
      </c>
      <c r="E444" s="8" t="n">
        <v>403</v>
      </c>
      <c r="G444" s="33"/>
      <c r="H444" s="8" t="s">
        <v>468</v>
      </c>
    </row>
    <row r="445" customFormat="false" ht="15.75" hidden="false" customHeight="false" outlineLevel="0" collapsed="false">
      <c r="A445" s="34" t="n">
        <v>42564.8684335185</v>
      </c>
      <c r="C445" s="8" t="s">
        <v>36</v>
      </c>
      <c r="D445" s="8" t="n">
        <v>182</v>
      </c>
      <c r="E445" s="8" t="n">
        <v>341</v>
      </c>
      <c r="G445" s="33"/>
      <c r="H445" s="8" t="s">
        <v>468</v>
      </c>
    </row>
    <row r="446" customFormat="false" ht="15.75" hidden="false" customHeight="false" outlineLevel="0" collapsed="false">
      <c r="A446" s="34" t="n">
        <v>42564.8686700463</v>
      </c>
      <c r="C446" s="8" t="s">
        <v>36</v>
      </c>
      <c r="D446" s="8" t="n">
        <v>179</v>
      </c>
      <c r="E446" s="8" t="n">
        <v>339</v>
      </c>
      <c r="G446" s="33"/>
      <c r="H446" s="8" t="s">
        <v>468</v>
      </c>
    </row>
    <row r="447" customFormat="false" ht="15.75" hidden="false" customHeight="false" outlineLevel="0" collapsed="false">
      <c r="A447" s="34" t="n">
        <v>42564.8689926389</v>
      </c>
      <c r="C447" s="8" t="s">
        <v>37</v>
      </c>
      <c r="D447" s="8" t="n">
        <v>403</v>
      </c>
      <c r="E447" s="8" t="n">
        <v>710</v>
      </c>
      <c r="G447" s="33"/>
      <c r="H447" s="8" t="s">
        <v>468</v>
      </c>
    </row>
    <row r="448" customFormat="false" ht="15.75" hidden="false" customHeight="false" outlineLevel="0" collapsed="false">
      <c r="A448" s="34" t="n">
        <v>42564.9125484259</v>
      </c>
      <c r="F448" s="8" t="s">
        <v>82</v>
      </c>
      <c r="G448" s="8" t="n">
        <v>0</v>
      </c>
      <c r="H448" s="8" t="s">
        <v>470</v>
      </c>
      <c r="I448" s="8" t="n">
        <v>0</v>
      </c>
    </row>
    <row r="449" customFormat="false" ht="15.75" hidden="false" customHeight="false" outlineLevel="0" collapsed="false">
      <c r="A449" s="34" t="n">
        <v>42564.9163675926</v>
      </c>
      <c r="C449" s="8" t="s">
        <v>37</v>
      </c>
      <c r="D449" s="8" t="n">
        <v>217</v>
      </c>
      <c r="E449" s="8" t="n">
        <v>379</v>
      </c>
      <c r="G449" s="33"/>
      <c r="H449" s="8" t="s">
        <v>468</v>
      </c>
    </row>
    <row r="450" customFormat="false" ht="15.75" hidden="false" customHeight="false" outlineLevel="0" collapsed="false">
      <c r="A450" s="34" t="n">
        <v>42564.919271088</v>
      </c>
      <c r="F450" s="8" t="s">
        <v>88</v>
      </c>
      <c r="G450" s="8" t="n">
        <v>352</v>
      </c>
      <c r="H450" s="8" t="s">
        <v>470</v>
      </c>
      <c r="I450" s="8" t="n">
        <v>3</v>
      </c>
    </row>
    <row r="451" customFormat="false" ht="15.75" hidden="false" customHeight="false" outlineLevel="0" collapsed="false">
      <c r="A451" s="34" t="n">
        <v>42564.9437528009</v>
      </c>
      <c r="F451" s="8" t="s">
        <v>96</v>
      </c>
      <c r="G451" s="8" t="n">
        <v>21</v>
      </c>
      <c r="H451" s="8" t="s">
        <v>467</v>
      </c>
      <c r="I451" s="8" t="n">
        <v>2</v>
      </c>
    </row>
    <row r="452" customFormat="false" ht="15.75" hidden="false" customHeight="false" outlineLevel="0" collapsed="false">
      <c r="A452" s="34" t="n">
        <v>42564.9592521759</v>
      </c>
      <c r="F452" s="8" t="s">
        <v>96</v>
      </c>
      <c r="G452" s="8" t="n">
        <v>21</v>
      </c>
      <c r="H452" s="8" t="s">
        <v>467</v>
      </c>
      <c r="I452" s="8" t="n">
        <v>2</v>
      </c>
    </row>
    <row r="453" customFormat="false" ht="15.75" hidden="false" customHeight="false" outlineLevel="0" collapsed="false">
      <c r="A453" s="34" t="n">
        <v>42564.9595120023</v>
      </c>
      <c r="F453" s="8" t="s">
        <v>96</v>
      </c>
      <c r="G453" s="8" t="n">
        <v>22</v>
      </c>
      <c r="H453" s="8" t="s">
        <v>467</v>
      </c>
      <c r="I453" s="8" t="n">
        <v>3</v>
      </c>
    </row>
    <row r="454" customFormat="false" ht="15.75" hidden="false" customHeight="false" outlineLevel="0" collapsed="false">
      <c r="A454" s="34" t="n">
        <v>42564.9597325231</v>
      </c>
      <c r="F454" s="8" t="s">
        <v>96</v>
      </c>
      <c r="G454" s="8" t="n">
        <v>20</v>
      </c>
      <c r="H454" s="8" t="s">
        <v>467</v>
      </c>
      <c r="I454" s="8" t="n">
        <v>2</v>
      </c>
    </row>
    <row r="455" customFormat="false" ht="15.75" hidden="false" customHeight="false" outlineLevel="0" collapsed="false">
      <c r="A455" s="34" t="n">
        <v>42564.9675531019</v>
      </c>
      <c r="C455" s="8" t="s">
        <v>43</v>
      </c>
      <c r="D455" s="8" t="n">
        <v>332</v>
      </c>
      <c r="E455" s="8" t="n">
        <v>742</v>
      </c>
      <c r="G455" s="33"/>
      <c r="H455" s="8" t="s">
        <v>468</v>
      </c>
    </row>
    <row r="456" customFormat="false" ht="15.75" hidden="false" customHeight="false" outlineLevel="0" collapsed="false">
      <c r="A456" s="34" t="n">
        <v>42564.9711628009</v>
      </c>
      <c r="F456" s="8" t="s">
        <v>35</v>
      </c>
      <c r="G456" s="8" t="n">
        <v>92</v>
      </c>
      <c r="H456" s="8" t="s">
        <v>470</v>
      </c>
      <c r="I456" s="8" t="n">
        <v>20</v>
      </c>
    </row>
    <row r="457" customFormat="false" ht="15.75" hidden="false" customHeight="false" outlineLevel="0" collapsed="false">
      <c r="A457" s="34" t="n">
        <v>42564.9759653704</v>
      </c>
      <c r="C457" s="8" t="s">
        <v>154</v>
      </c>
      <c r="D457" s="8" t="n">
        <v>271</v>
      </c>
      <c r="E457" s="8" t="n">
        <v>540</v>
      </c>
      <c r="G457" s="33"/>
      <c r="H457" s="8" t="s">
        <v>468</v>
      </c>
    </row>
    <row r="458" customFormat="false" ht="15.75" hidden="false" customHeight="false" outlineLevel="0" collapsed="false">
      <c r="A458" s="34" t="n">
        <v>42564.9985957986</v>
      </c>
      <c r="C458" s="8" t="s">
        <v>116</v>
      </c>
      <c r="D458" s="8" t="n">
        <v>190</v>
      </c>
      <c r="E458" s="8" t="n">
        <v>398</v>
      </c>
      <c r="G458" s="33"/>
      <c r="H458" s="8" t="s">
        <v>468</v>
      </c>
    </row>
    <row r="459" customFormat="false" ht="15.75" hidden="false" customHeight="false" outlineLevel="0" collapsed="false">
      <c r="A459" s="34" t="n">
        <v>42565.0095879861</v>
      </c>
      <c r="F459" s="8" t="s">
        <v>43</v>
      </c>
      <c r="G459" s="8" t="n">
        <v>22</v>
      </c>
      <c r="H459" s="8" t="s">
        <v>467</v>
      </c>
      <c r="I459" s="8" t="n">
        <v>2</v>
      </c>
    </row>
    <row r="460" customFormat="false" ht="15.75" hidden="false" customHeight="false" outlineLevel="0" collapsed="false">
      <c r="A460" s="34" t="n">
        <v>42565.0121092593</v>
      </c>
      <c r="C460" s="8" t="s">
        <v>82</v>
      </c>
      <c r="D460" s="8" t="n">
        <v>3</v>
      </c>
      <c r="E460" s="8" t="n">
        <v>44</v>
      </c>
      <c r="G460" s="33"/>
      <c r="H460" s="8" t="s">
        <v>469</v>
      </c>
    </row>
    <row r="461" customFormat="false" ht="15.75" hidden="false" customHeight="false" outlineLevel="0" collapsed="false">
      <c r="A461" s="34" t="n">
        <v>42565.0219163079</v>
      </c>
      <c r="F461" s="8" t="s">
        <v>87</v>
      </c>
      <c r="G461" s="8" t="n">
        <v>36</v>
      </c>
      <c r="H461" s="8" t="s">
        <v>467</v>
      </c>
    </row>
    <row r="462" customFormat="false" ht="15.75" hidden="false" customHeight="false" outlineLevel="0" collapsed="false">
      <c r="A462" s="34" t="n">
        <v>42565.0386078241</v>
      </c>
      <c r="C462" s="8" t="s">
        <v>131</v>
      </c>
      <c r="D462" s="8" t="n">
        <v>514</v>
      </c>
      <c r="E462" s="8" t="n">
        <v>987</v>
      </c>
      <c r="G462" s="33"/>
      <c r="H462" s="8" t="s">
        <v>468</v>
      </c>
    </row>
    <row r="463" customFormat="false" ht="15.75" hidden="false" customHeight="false" outlineLevel="0" collapsed="false">
      <c r="A463" s="34" t="n">
        <v>42565.0667249421</v>
      </c>
      <c r="F463" s="8" t="s">
        <v>88</v>
      </c>
      <c r="G463" s="8" t="n">
        <v>16</v>
      </c>
      <c r="H463" s="8" t="s">
        <v>467</v>
      </c>
    </row>
    <row r="464" customFormat="false" ht="15.75" hidden="false" customHeight="false" outlineLevel="0" collapsed="false">
      <c r="A464" s="34" t="n">
        <v>42565.0710331944</v>
      </c>
      <c r="F464" s="8" t="s">
        <v>63</v>
      </c>
      <c r="G464" s="8" t="n">
        <v>21</v>
      </c>
      <c r="H464" s="8" t="s">
        <v>467</v>
      </c>
    </row>
    <row r="465" customFormat="false" ht="15.75" hidden="false" customHeight="false" outlineLevel="0" collapsed="false">
      <c r="A465" s="34" t="n">
        <v>42565.071519919</v>
      </c>
      <c r="F465" s="8" t="s">
        <v>162</v>
      </c>
      <c r="G465" s="8" t="n">
        <v>46</v>
      </c>
      <c r="H465" s="8" t="s">
        <v>467</v>
      </c>
    </row>
    <row r="466" customFormat="false" ht="15.75" hidden="false" customHeight="false" outlineLevel="0" collapsed="false">
      <c r="A466" s="34" t="n">
        <v>42565.0767851389</v>
      </c>
      <c r="C466" s="8" t="s">
        <v>90</v>
      </c>
      <c r="D466" s="8" t="n">
        <v>200</v>
      </c>
      <c r="E466" s="8" t="n">
        <v>526</v>
      </c>
      <c r="G466" s="33"/>
      <c r="H466" s="8" t="s">
        <v>468</v>
      </c>
    </row>
    <row r="467" customFormat="false" ht="15.75" hidden="false" customHeight="false" outlineLevel="0" collapsed="false">
      <c r="A467" s="34" t="n">
        <v>42565.0790253935</v>
      </c>
      <c r="F467" s="8" t="s">
        <v>87</v>
      </c>
      <c r="G467" s="8" t="n">
        <v>34</v>
      </c>
      <c r="H467" s="8" t="s">
        <v>467</v>
      </c>
    </row>
    <row r="468" customFormat="false" ht="15.75" hidden="false" customHeight="false" outlineLevel="0" collapsed="false">
      <c r="A468" s="34" t="n">
        <v>42565.0825903009</v>
      </c>
      <c r="F468" s="8" t="s">
        <v>87</v>
      </c>
      <c r="G468" s="8" t="n">
        <v>34</v>
      </c>
      <c r="H468" s="8" t="s">
        <v>467</v>
      </c>
    </row>
    <row r="469" customFormat="false" ht="15.75" hidden="false" customHeight="false" outlineLevel="0" collapsed="false">
      <c r="A469" s="34" t="n">
        <v>42565.0863156482</v>
      </c>
      <c r="F469" s="8" t="s">
        <v>161</v>
      </c>
      <c r="G469" s="8" t="n">
        <v>30</v>
      </c>
      <c r="H469" s="8" t="s">
        <v>467</v>
      </c>
    </row>
    <row r="470" customFormat="false" ht="15.75" hidden="false" customHeight="false" outlineLevel="0" collapsed="false">
      <c r="A470" s="34" t="n">
        <v>42565.0925282292</v>
      </c>
      <c r="F470" s="8" t="s">
        <v>68</v>
      </c>
      <c r="G470" s="8" t="n">
        <v>26</v>
      </c>
      <c r="H470" s="8" t="s">
        <v>467</v>
      </c>
    </row>
    <row r="471" customFormat="false" ht="15.75" hidden="false" customHeight="false" outlineLevel="0" collapsed="false">
      <c r="A471" s="34" t="n">
        <v>42565.0929946181</v>
      </c>
      <c r="F471" s="8" t="s">
        <v>74</v>
      </c>
      <c r="G471" s="8" t="n">
        <v>31</v>
      </c>
      <c r="H471" s="8" t="s">
        <v>467</v>
      </c>
    </row>
    <row r="472" customFormat="false" ht="15.75" hidden="false" customHeight="false" outlineLevel="0" collapsed="false">
      <c r="A472" s="34" t="n">
        <v>42565.0946019213</v>
      </c>
      <c r="F472" s="8" t="s">
        <v>87</v>
      </c>
      <c r="G472" s="8" t="n">
        <v>36</v>
      </c>
      <c r="H472" s="8" t="s">
        <v>467</v>
      </c>
    </row>
    <row r="473" customFormat="false" ht="15.75" hidden="false" customHeight="false" outlineLevel="0" collapsed="false">
      <c r="A473" s="34" t="n">
        <v>42565.0947069329</v>
      </c>
      <c r="F473" s="8" t="s">
        <v>87</v>
      </c>
      <c r="G473" s="8" t="n">
        <v>37</v>
      </c>
      <c r="H473" s="8" t="s">
        <v>467</v>
      </c>
    </row>
    <row r="474" customFormat="false" ht="15.75" hidden="false" customHeight="false" outlineLevel="0" collapsed="false">
      <c r="A474" s="34" t="n">
        <v>42565.099351007</v>
      </c>
      <c r="F474" s="8" t="s">
        <v>78</v>
      </c>
      <c r="G474" s="8" t="n">
        <v>30</v>
      </c>
      <c r="H474" s="8" t="s">
        <v>467</v>
      </c>
      <c r="I474" s="8" t="n">
        <v>2</v>
      </c>
    </row>
    <row r="475" customFormat="false" ht="15.75" hidden="false" customHeight="false" outlineLevel="0" collapsed="false">
      <c r="A475" s="34" t="n">
        <v>42565.1063213542</v>
      </c>
      <c r="C475" s="8" t="s">
        <v>43</v>
      </c>
      <c r="D475" s="8" t="n">
        <v>269</v>
      </c>
      <c r="E475" s="8" t="n">
        <v>601</v>
      </c>
      <c r="G475" s="33"/>
      <c r="H475" s="8" t="s">
        <v>468</v>
      </c>
    </row>
    <row r="476" customFormat="false" ht="15.75" hidden="false" customHeight="false" outlineLevel="0" collapsed="false">
      <c r="A476" s="34" t="n">
        <v>42565.1101352199</v>
      </c>
      <c r="C476" s="8" t="s">
        <v>78</v>
      </c>
      <c r="D476" s="8" t="n">
        <v>335</v>
      </c>
      <c r="E476" s="8" t="n">
        <v>800</v>
      </c>
      <c r="G476" s="33"/>
      <c r="H476" s="8" t="s">
        <v>468</v>
      </c>
    </row>
    <row r="477" customFormat="false" ht="15.75" hidden="false" customHeight="false" outlineLevel="0" collapsed="false">
      <c r="A477" s="34" t="n">
        <v>42565.1416047454</v>
      </c>
      <c r="C477" s="8" t="s">
        <v>153</v>
      </c>
      <c r="D477" s="8" t="n">
        <v>238</v>
      </c>
      <c r="E477" s="8" t="n">
        <v>640</v>
      </c>
      <c r="G477" s="33"/>
      <c r="H477" s="8" t="s">
        <v>468</v>
      </c>
    </row>
    <row r="478" customFormat="false" ht="15.75" hidden="false" customHeight="false" outlineLevel="0" collapsed="false">
      <c r="A478" s="34" t="n">
        <v>42565.1472635301</v>
      </c>
      <c r="F478" s="8" t="s">
        <v>152</v>
      </c>
      <c r="G478" s="8" t="n">
        <v>20</v>
      </c>
      <c r="H478" s="8" t="s">
        <v>467</v>
      </c>
      <c r="I478" s="8" t="n">
        <v>3</v>
      </c>
    </row>
    <row r="479" customFormat="false" ht="15.75" hidden="false" customHeight="false" outlineLevel="0" collapsed="false">
      <c r="A479" s="34" t="n">
        <v>42565.1520312847</v>
      </c>
      <c r="F479" s="8" t="s">
        <v>46</v>
      </c>
      <c r="G479" s="8" t="n">
        <v>11</v>
      </c>
      <c r="H479" s="8" t="s">
        <v>467</v>
      </c>
      <c r="I479" s="8" t="n">
        <v>2</v>
      </c>
    </row>
    <row r="480" customFormat="false" ht="15.75" hidden="false" customHeight="false" outlineLevel="0" collapsed="false">
      <c r="A480" s="34" t="n">
        <v>42565.1528343634</v>
      </c>
      <c r="C480" s="8" t="s">
        <v>78</v>
      </c>
      <c r="D480" s="8" t="n">
        <v>360</v>
      </c>
      <c r="E480" s="8" t="n">
        <v>780</v>
      </c>
      <c r="G480" s="33"/>
      <c r="H480" s="8" t="s">
        <v>468</v>
      </c>
    </row>
    <row r="481" customFormat="false" ht="15.75" hidden="false" customHeight="false" outlineLevel="0" collapsed="false">
      <c r="A481" s="34" t="n">
        <v>42565.1686037616</v>
      </c>
      <c r="C481" s="8" t="s">
        <v>38</v>
      </c>
      <c r="D481" s="8" t="n">
        <v>106</v>
      </c>
      <c r="E481" s="8" t="n">
        <v>271</v>
      </c>
      <c r="G481" s="33"/>
      <c r="H481" s="8" t="s">
        <v>468</v>
      </c>
    </row>
    <row r="482" customFormat="false" ht="15.75" hidden="false" customHeight="false" outlineLevel="0" collapsed="false">
      <c r="A482" s="34" t="n">
        <v>42565.1749722454</v>
      </c>
      <c r="C482" s="8" t="s">
        <v>99</v>
      </c>
      <c r="D482" s="8" t="n">
        <v>553</v>
      </c>
      <c r="E482" s="8" t="n">
        <v>553</v>
      </c>
      <c r="G482" s="33"/>
      <c r="H482" s="8" t="s">
        <v>469</v>
      </c>
    </row>
    <row r="483" customFormat="false" ht="15.75" hidden="false" customHeight="false" outlineLevel="0" collapsed="false">
      <c r="A483" s="34" t="n">
        <v>42565.1751340857</v>
      </c>
      <c r="F483" s="8" t="s">
        <v>115</v>
      </c>
      <c r="G483" s="8" t="n">
        <v>644</v>
      </c>
      <c r="H483" s="8" t="s">
        <v>470</v>
      </c>
      <c r="I483" s="8" t="n">
        <v>43</v>
      </c>
    </row>
    <row r="484" customFormat="false" ht="15.75" hidden="false" customHeight="false" outlineLevel="0" collapsed="false">
      <c r="A484" s="34" t="n">
        <v>42565.2035235995</v>
      </c>
      <c r="F484" s="8" t="s">
        <v>154</v>
      </c>
      <c r="G484" s="8" t="n">
        <v>30</v>
      </c>
      <c r="H484" s="8" t="s">
        <v>467</v>
      </c>
      <c r="I484" s="8" t="n">
        <v>2</v>
      </c>
    </row>
    <row r="485" customFormat="false" ht="15.75" hidden="false" customHeight="false" outlineLevel="0" collapsed="false">
      <c r="A485" s="34" t="n">
        <v>42565.2040928472</v>
      </c>
      <c r="F485" s="8" t="s">
        <v>154</v>
      </c>
      <c r="G485" s="8" t="n">
        <v>30</v>
      </c>
      <c r="H485" s="8" t="s">
        <v>467</v>
      </c>
      <c r="I485" s="8" t="n">
        <v>1</v>
      </c>
    </row>
    <row r="486" customFormat="false" ht="15.75" hidden="false" customHeight="false" outlineLevel="0" collapsed="false">
      <c r="A486" s="34" t="n">
        <v>42565.2061307986</v>
      </c>
      <c r="C486" s="8" t="s">
        <v>39</v>
      </c>
      <c r="D486" s="8" t="n">
        <v>174</v>
      </c>
      <c r="E486" s="8" t="n">
        <v>456</v>
      </c>
      <c r="G486" s="33"/>
      <c r="H486" s="8" t="s">
        <v>468</v>
      </c>
    </row>
    <row r="487" customFormat="false" ht="15.75" hidden="false" customHeight="false" outlineLevel="0" collapsed="false">
      <c r="A487" s="34" t="n">
        <v>42565.2071756829</v>
      </c>
      <c r="C487" s="8" t="s">
        <v>39</v>
      </c>
      <c r="D487" s="8" t="n">
        <v>67</v>
      </c>
      <c r="E487" s="8" t="n">
        <v>177</v>
      </c>
      <c r="G487" s="33"/>
      <c r="H487" s="8" t="s">
        <v>468</v>
      </c>
    </row>
    <row r="488" customFormat="false" ht="15.75" hidden="false" customHeight="false" outlineLevel="0" collapsed="false">
      <c r="A488" s="34" t="n">
        <v>42565.2090134722</v>
      </c>
      <c r="C488" s="8" t="s">
        <v>33</v>
      </c>
      <c r="D488" s="8" t="n">
        <v>179</v>
      </c>
      <c r="E488" s="8" t="n">
        <v>197</v>
      </c>
      <c r="G488" s="33"/>
      <c r="H488" s="8" t="s">
        <v>468</v>
      </c>
    </row>
    <row r="489" customFormat="false" ht="15.75" hidden="false" customHeight="false" outlineLevel="0" collapsed="false">
      <c r="A489" s="34" t="n">
        <v>42565.2121613079</v>
      </c>
      <c r="C489" s="8" t="s">
        <v>36</v>
      </c>
      <c r="D489" s="8" t="n">
        <v>175</v>
      </c>
      <c r="E489" s="8" t="n">
        <v>334</v>
      </c>
      <c r="G489" s="33"/>
      <c r="H489" s="8" t="s">
        <v>468</v>
      </c>
    </row>
    <row r="490" customFormat="false" ht="15.75" hidden="false" customHeight="false" outlineLevel="0" collapsed="false">
      <c r="A490" s="34" t="n">
        <v>42565.2162812153</v>
      </c>
      <c r="F490" s="8" t="s">
        <v>60</v>
      </c>
      <c r="G490" s="8" t="n">
        <v>9</v>
      </c>
      <c r="H490" s="8" t="s">
        <v>467</v>
      </c>
      <c r="I490" s="8" t="n">
        <v>1</v>
      </c>
    </row>
    <row r="491" customFormat="false" ht="15.75" hidden="false" customHeight="false" outlineLevel="0" collapsed="false">
      <c r="A491" s="34" t="n">
        <v>42565.2295337616</v>
      </c>
      <c r="F491" s="8" t="s">
        <v>153</v>
      </c>
      <c r="G491" s="8" t="n">
        <v>39</v>
      </c>
      <c r="H491" s="8" t="s">
        <v>467</v>
      </c>
    </row>
    <row r="492" customFormat="false" ht="15.75" hidden="false" customHeight="false" outlineLevel="0" collapsed="false">
      <c r="A492" s="34" t="n">
        <v>42565.2297091435</v>
      </c>
      <c r="F492" s="8" t="s">
        <v>78</v>
      </c>
      <c r="G492" s="8" t="n">
        <v>41</v>
      </c>
      <c r="H492" s="8" t="s">
        <v>467</v>
      </c>
    </row>
    <row r="493" customFormat="false" ht="15.75" hidden="false" customHeight="false" outlineLevel="0" collapsed="false">
      <c r="A493" s="34" t="n">
        <v>42565.2419758796</v>
      </c>
      <c r="C493" s="8" t="s">
        <v>30</v>
      </c>
      <c r="D493" s="8" t="n">
        <v>127</v>
      </c>
      <c r="E493" s="8" t="n">
        <v>137</v>
      </c>
      <c r="G493" s="33"/>
      <c r="H493" s="8" t="s">
        <v>468</v>
      </c>
    </row>
    <row r="494" customFormat="false" ht="15.75" hidden="false" customHeight="false" outlineLevel="0" collapsed="false">
      <c r="A494" s="34" t="n">
        <v>42565.2433196875</v>
      </c>
      <c r="F494" s="8" t="s">
        <v>145</v>
      </c>
      <c r="G494" s="8" t="n">
        <v>30</v>
      </c>
      <c r="H494" s="8" t="s">
        <v>467</v>
      </c>
      <c r="I494" s="8" t="n">
        <v>1</v>
      </c>
    </row>
    <row r="495" customFormat="false" ht="15.75" hidden="false" customHeight="false" outlineLevel="0" collapsed="false">
      <c r="A495" s="34" t="n">
        <v>42565.2440864352</v>
      </c>
      <c r="F495" s="8" t="s">
        <v>145</v>
      </c>
      <c r="G495" s="8" t="n">
        <v>30</v>
      </c>
      <c r="H495" s="8" t="s">
        <v>467</v>
      </c>
      <c r="I495" s="8" t="n">
        <v>1</v>
      </c>
    </row>
    <row r="496" customFormat="false" ht="15.75" hidden="false" customHeight="false" outlineLevel="0" collapsed="false">
      <c r="A496" s="34" t="n">
        <v>42565.2472832176</v>
      </c>
      <c r="F496" s="8" t="s">
        <v>154</v>
      </c>
      <c r="G496" s="8" t="n">
        <v>31</v>
      </c>
      <c r="H496" s="8" t="s">
        <v>467</v>
      </c>
      <c r="I496" s="8" t="n">
        <v>2</v>
      </c>
    </row>
    <row r="497" customFormat="false" ht="15.75" hidden="false" customHeight="false" outlineLevel="0" collapsed="false">
      <c r="A497" s="34" t="n">
        <v>42565.2479981366</v>
      </c>
      <c r="F497" s="8" t="s">
        <v>153</v>
      </c>
      <c r="G497" s="8" t="n">
        <v>38</v>
      </c>
      <c r="H497" s="8" t="s">
        <v>467</v>
      </c>
    </row>
    <row r="498" customFormat="false" ht="15.75" hidden="false" customHeight="false" outlineLevel="0" collapsed="false">
      <c r="A498" s="34" t="n">
        <v>42565.2645336574</v>
      </c>
      <c r="F498" s="8" t="s">
        <v>35</v>
      </c>
      <c r="G498" s="8" t="n">
        <v>12</v>
      </c>
      <c r="H498" s="8" t="s">
        <v>467</v>
      </c>
      <c r="I498" s="8" t="n">
        <v>1</v>
      </c>
    </row>
    <row r="499" customFormat="false" ht="15.75" hidden="false" customHeight="false" outlineLevel="0" collapsed="false">
      <c r="A499" s="34" t="n">
        <v>42565.2703826968</v>
      </c>
      <c r="F499" s="8" t="s">
        <v>39</v>
      </c>
      <c r="G499" s="8" t="n">
        <v>20</v>
      </c>
      <c r="H499" s="8" t="s">
        <v>467</v>
      </c>
      <c r="I499" s="8" t="n">
        <v>2</v>
      </c>
    </row>
    <row r="500" customFormat="false" ht="15.75" hidden="false" customHeight="false" outlineLevel="0" collapsed="false">
      <c r="A500" s="34" t="n">
        <v>42565.2844143171</v>
      </c>
      <c r="F500" s="8" t="s">
        <v>132</v>
      </c>
      <c r="G500" s="8" t="n">
        <v>147</v>
      </c>
      <c r="H500" s="8" t="s">
        <v>470</v>
      </c>
      <c r="I500" s="8" t="n">
        <v>116</v>
      </c>
    </row>
    <row r="501" customFormat="false" ht="15.75" hidden="false" customHeight="false" outlineLevel="0" collapsed="false">
      <c r="A501" s="34" t="n">
        <v>42565.3013910069</v>
      </c>
      <c r="C501" s="8" t="s">
        <v>34</v>
      </c>
      <c r="D501" s="8" t="n">
        <v>180</v>
      </c>
      <c r="E501" s="8" t="n">
        <v>250</v>
      </c>
      <c r="G501" s="33"/>
      <c r="H501" s="8" t="s">
        <v>468</v>
      </c>
    </row>
    <row r="502" customFormat="false" ht="15.75" hidden="false" customHeight="false" outlineLevel="0" collapsed="false">
      <c r="A502" s="34" t="n">
        <v>42565.3033992708</v>
      </c>
      <c r="C502" s="8" t="s">
        <v>154</v>
      </c>
      <c r="D502" s="8" t="n">
        <v>928</v>
      </c>
      <c r="E502" s="8" t="n">
        <v>960</v>
      </c>
      <c r="G502" s="33"/>
      <c r="H502" s="8" t="s">
        <v>469</v>
      </c>
    </row>
    <row r="503" customFormat="false" ht="15.75" hidden="false" customHeight="false" outlineLevel="0" collapsed="false">
      <c r="A503" s="34" t="n">
        <v>42565.3210174421</v>
      </c>
      <c r="C503" s="8" t="s">
        <v>36</v>
      </c>
      <c r="D503" s="8" t="n">
        <v>10</v>
      </c>
      <c r="E503" s="8" t="n">
        <v>15</v>
      </c>
      <c r="G503" s="33"/>
      <c r="H503" s="8" t="s">
        <v>469</v>
      </c>
    </row>
    <row r="504" customFormat="false" ht="15.75" hidden="false" customHeight="false" outlineLevel="0" collapsed="false">
      <c r="A504" s="34" t="n">
        <v>42565.3235049421</v>
      </c>
      <c r="F504" s="8" t="s">
        <v>135</v>
      </c>
      <c r="G504" s="8" t="n">
        <v>11</v>
      </c>
      <c r="H504" s="8" t="s">
        <v>467</v>
      </c>
      <c r="I504" s="8" t="n">
        <v>2</v>
      </c>
    </row>
    <row r="505" customFormat="false" ht="15.75" hidden="false" customHeight="false" outlineLevel="0" collapsed="false">
      <c r="A505" s="34" t="n">
        <v>42565.3241793634</v>
      </c>
      <c r="F505" s="8" t="s">
        <v>135</v>
      </c>
      <c r="G505" s="8" t="n">
        <v>12</v>
      </c>
      <c r="H505" s="8" t="s">
        <v>467</v>
      </c>
      <c r="I505" s="8" t="n">
        <v>2</v>
      </c>
    </row>
    <row r="506" customFormat="false" ht="15.75" hidden="false" customHeight="false" outlineLevel="0" collapsed="false">
      <c r="A506" s="34" t="n">
        <v>42565.3405174074</v>
      </c>
      <c r="F506" s="8" t="s">
        <v>153</v>
      </c>
      <c r="G506" s="8" t="n">
        <v>41</v>
      </c>
      <c r="H506" s="8" t="s">
        <v>467</v>
      </c>
      <c r="I506" s="8" t="n">
        <v>4</v>
      </c>
    </row>
    <row r="507" customFormat="false" ht="15.75" hidden="false" customHeight="false" outlineLevel="0" collapsed="false">
      <c r="A507" s="34" t="n">
        <v>42565.3683226273</v>
      </c>
      <c r="F507" s="8" t="s">
        <v>153</v>
      </c>
      <c r="G507" s="8" t="n">
        <v>40</v>
      </c>
      <c r="H507" s="8" t="s">
        <v>467</v>
      </c>
      <c r="I507" s="8" t="n">
        <v>3</v>
      </c>
    </row>
    <row r="508" customFormat="false" ht="15.75" hidden="false" customHeight="false" outlineLevel="0" collapsed="false">
      <c r="A508" s="34" t="n">
        <v>42565.3686243403</v>
      </c>
      <c r="F508" s="8" t="s">
        <v>153</v>
      </c>
      <c r="G508" s="8" t="n">
        <v>40</v>
      </c>
      <c r="H508" s="8" t="s">
        <v>467</v>
      </c>
      <c r="I508" s="8" t="n">
        <v>2</v>
      </c>
    </row>
    <row r="509" customFormat="false" ht="15.75" hidden="false" customHeight="false" outlineLevel="0" collapsed="false">
      <c r="A509" s="34" t="n">
        <v>42565.373479375</v>
      </c>
      <c r="F509" s="8" t="s">
        <v>150</v>
      </c>
      <c r="G509" s="8" t="n">
        <v>42</v>
      </c>
      <c r="H509" s="8" t="s">
        <v>467</v>
      </c>
    </row>
    <row r="510" customFormat="false" ht="15.75" hidden="false" customHeight="false" outlineLevel="0" collapsed="false">
      <c r="A510" s="34" t="n">
        <v>42565.37509125</v>
      </c>
      <c r="C510" s="8" t="s">
        <v>116</v>
      </c>
      <c r="D510" s="8" t="n">
        <v>550</v>
      </c>
      <c r="E510" s="8" t="n">
        <v>1155</v>
      </c>
      <c r="G510" s="33"/>
      <c r="H510" s="8" t="s">
        <v>468</v>
      </c>
    </row>
    <row r="511" customFormat="false" ht="15.75" hidden="false" customHeight="false" outlineLevel="0" collapsed="false">
      <c r="A511" s="34" t="n">
        <v>42565.3994416551</v>
      </c>
      <c r="F511" s="8" t="s">
        <v>146</v>
      </c>
      <c r="G511" s="8" t="n">
        <v>31</v>
      </c>
      <c r="H511" s="8" t="s">
        <v>467</v>
      </c>
      <c r="I511" s="8" t="n">
        <v>3</v>
      </c>
    </row>
    <row r="512" customFormat="false" ht="15.75" hidden="false" customHeight="false" outlineLevel="0" collapsed="false">
      <c r="A512" s="34" t="n">
        <v>42565.4189497917</v>
      </c>
      <c r="C512" s="8" t="s">
        <v>61</v>
      </c>
      <c r="D512" s="8" t="n">
        <v>204</v>
      </c>
      <c r="E512" s="8" t="n">
        <v>630</v>
      </c>
      <c r="G512" s="33"/>
      <c r="H512" s="8" t="s">
        <v>468</v>
      </c>
    </row>
    <row r="513" customFormat="false" ht="15.75" hidden="false" customHeight="false" outlineLevel="0" collapsed="false">
      <c r="A513" s="34" t="n">
        <v>42565.435885544</v>
      </c>
      <c r="C513" s="8" t="s">
        <v>155</v>
      </c>
      <c r="D513" s="8" t="n">
        <v>145</v>
      </c>
      <c r="E513" s="8" t="n">
        <v>963</v>
      </c>
      <c r="G513" s="33"/>
      <c r="H513" s="8" t="s">
        <v>468</v>
      </c>
    </row>
    <row r="514" customFormat="false" ht="15.75" hidden="false" customHeight="false" outlineLevel="0" collapsed="false">
      <c r="A514" s="34" t="n">
        <v>42565.4419413194</v>
      </c>
      <c r="C514" s="8" t="s">
        <v>35</v>
      </c>
      <c r="D514" s="8" t="n">
        <v>293</v>
      </c>
      <c r="E514" s="8" t="n">
        <v>552</v>
      </c>
      <c r="G514" s="33"/>
      <c r="H514" s="8" t="s">
        <v>469</v>
      </c>
    </row>
    <row r="515" customFormat="false" ht="15.75" hidden="false" customHeight="false" outlineLevel="0" collapsed="false">
      <c r="A515" s="34" t="n">
        <v>42565.4429404977</v>
      </c>
      <c r="F515" s="8" t="s">
        <v>39</v>
      </c>
      <c r="G515" s="8" t="n">
        <v>18</v>
      </c>
      <c r="H515" s="8" t="s">
        <v>467</v>
      </c>
      <c r="I515" s="8" t="n">
        <v>1</v>
      </c>
    </row>
    <row r="516" customFormat="false" ht="15.75" hidden="false" customHeight="false" outlineLevel="0" collapsed="false">
      <c r="A516" s="34" t="n">
        <v>42565.4450093056</v>
      </c>
      <c r="F516" s="8" t="s">
        <v>153</v>
      </c>
      <c r="G516" s="8" t="n">
        <v>39</v>
      </c>
      <c r="H516" s="8" t="s">
        <v>467</v>
      </c>
      <c r="I516" s="8" t="n">
        <v>2</v>
      </c>
    </row>
    <row r="517" customFormat="false" ht="15.75" hidden="false" customHeight="false" outlineLevel="0" collapsed="false">
      <c r="A517" s="34" t="n">
        <v>42565.4470142708</v>
      </c>
      <c r="F517" s="8" t="s">
        <v>30</v>
      </c>
      <c r="G517" s="8" t="n">
        <v>24</v>
      </c>
      <c r="H517" s="8" t="s">
        <v>467</v>
      </c>
      <c r="I517" s="8" t="n">
        <v>2</v>
      </c>
    </row>
    <row r="518" customFormat="false" ht="15.75" hidden="false" customHeight="false" outlineLevel="0" collapsed="false">
      <c r="A518" s="34" t="n">
        <v>42565.4492265625</v>
      </c>
      <c r="C518" s="8" t="s">
        <v>152</v>
      </c>
      <c r="D518" s="8" t="n">
        <v>452</v>
      </c>
      <c r="E518" s="8" t="n">
        <v>1251</v>
      </c>
      <c r="G518" s="33"/>
      <c r="H518" s="8" t="s">
        <v>469</v>
      </c>
    </row>
    <row r="519" customFormat="false" ht="15.75" hidden="false" customHeight="false" outlineLevel="0" collapsed="false">
      <c r="A519" s="34" t="n">
        <v>42565.4544288079</v>
      </c>
      <c r="F519" s="8" t="s">
        <v>150</v>
      </c>
      <c r="G519" s="8" t="n">
        <v>43</v>
      </c>
      <c r="H519" s="8" t="s">
        <v>467</v>
      </c>
    </row>
    <row r="520" customFormat="false" ht="15.75" hidden="false" customHeight="false" outlineLevel="0" collapsed="false">
      <c r="A520" s="34" t="n">
        <v>42565.4737038426</v>
      </c>
      <c r="F520" s="8" t="s">
        <v>23</v>
      </c>
      <c r="G520" s="8" t="n">
        <v>15</v>
      </c>
      <c r="H520" s="8" t="s">
        <v>467</v>
      </c>
    </row>
    <row r="521" customFormat="false" ht="15.75" hidden="false" customHeight="false" outlineLevel="0" collapsed="false">
      <c r="A521" s="34" t="n">
        <v>42565.4819203125</v>
      </c>
      <c r="F521" s="8" t="s">
        <v>78</v>
      </c>
      <c r="G521" s="8" t="n">
        <v>6</v>
      </c>
      <c r="H521" s="8" t="s">
        <v>467</v>
      </c>
      <c r="I521" s="8" t="n">
        <v>3</v>
      </c>
    </row>
    <row r="522" customFormat="false" ht="15.75" hidden="false" customHeight="false" outlineLevel="0" collapsed="false">
      <c r="A522" s="34" t="n">
        <v>42565.5023521296</v>
      </c>
      <c r="F522" s="8" t="s">
        <v>121</v>
      </c>
      <c r="G522" s="8" t="n">
        <v>40</v>
      </c>
      <c r="H522" s="8" t="s">
        <v>471</v>
      </c>
      <c r="I522" s="8" t="n">
        <v>2</v>
      </c>
    </row>
    <row r="523" customFormat="false" ht="15.75" hidden="false" customHeight="false" outlineLevel="0" collapsed="false">
      <c r="A523" s="34" t="n">
        <v>42565.5051910185</v>
      </c>
      <c r="F523" s="8" t="s">
        <v>168</v>
      </c>
      <c r="G523" s="8" t="n">
        <v>52</v>
      </c>
      <c r="H523" s="8" t="s">
        <v>467</v>
      </c>
    </row>
    <row r="524" customFormat="false" ht="15.75" hidden="false" customHeight="false" outlineLevel="0" collapsed="false">
      <c r="A524" s="34" t="n">
        <v>42565.5105816898</v>
      </c>
      <c r="F524" s="8" t="s">
        <v>78</v>
      </c>
      <c r="G524" s="8" t="n">
        <v>41</v>
      </c>
      <c r="H524" s="8" t="s">
        <v>467</v>
      </c>
      <c r="I524" s="8" t="n">
        <v>1</v>
      </c>
    </row>
    <row r="525" customFormat="false" ht="15.75" hidden="false" customHeight="false" outlineLevel="0" collapsed="false">
      <c r="A525" s="34" t="n">
        <v>42565.5132851389</v>
      </c>
      <c r="F525" s="8" t="s">
        <v>116</v>
      </c>
      <c r="G525" s="8" t="n">
        <v>28</v>
      </c>
      <c r="H525" s="8" t="s">
        <v>467</v>
      </c>
      <c r="I525" s="8" t="n">
        <v>2</v>
      </c>
    </row>
    <row r="526" customFormat="false" ht="15.75" hidden="false" customHeight="false" outlineLevel="0" collapsed="false">
      <c r="A526" s="34" t="n">
        <v>42565.5147783565</v>
      </c>
      <c r="F526" s="8" t="s">
        <v>153</v>
      </c>
      <c r="G526" s="8" t="n">
        <v>39</v>
      </c>
      <c r="H526" s="8" t="s">
        <v>467</v>
      </c>
      <c r="I526" s="8" t="n">
        <v>2</v>
      </c>
    </row>
    <row r="527" customFormat="false" ht="15.75" hidden="false" customHeight="false" outlineLevel="0" collapsed="false">
      <c r="A527" s="34" t="n">
        <v>42565.5153218634</v>
      </c>
      <c r="C527" s="8" t="s">
        <v>97</v>
      </c>
      <c r="D527" s="8" t="n">
        <v>608</v>
      </c>
      <c r="E527" s="8" t="n">
        <v>892</v>
      </c>
      <c r="G527" s="33"/>
      <c r="H527" s="8" t="s">
        <v>468</v>
      </c>
    </row>
    <row r="528" customFormat="false" ht="15.75" hidden="false" customHeight="false" outlineLevel="0" collapsed="false">
      <c r="A528" s="34" t="n">
        <v>42565.5190935185</v>
      </c>
      <c r="F528" s="8" t="s">
        <v>20</v>
      </c>
      <c r="G528" s="8" t="n">
        <v>29</v>
      </c>
      <c r="H528" s="8" t="s">
        <v>470</v>
      </c>
    </row>
    <row r="529" customFormat="false" ht="15.75" hidden="false" customHeight="false" outlineLevel="0" collapsed="false">
      <c r="A529" s="34" t="n">
        <v>42565.5195712037</v>
      </c>
      <c r="C529" s="8" t="s">
        <v>36</v>
      </c>
      <c r="D529" s="8" t="n">
        <v>46</v>
      </c>
      <c r="E529" s="8" t="n">
        <v>85</v>
      </c>
      <c r="G529" s="33"/>
      <c r="H529" s="8" t="s">
        <v>468</v>
      </c>
    </row>
    <row r="530" customFormat="false" ht="15.75" hidden="false" customHeight="false" outlineLevel="0" collapsed="false">
      <c r="A530" s="34" t="n">
        <v>42565.5320759375</v>
      </c>
      <c r="F530" s="8" t="s">
        <v>150</v>
      </c>
      <c r="G530" s="8" t="n">
        <v>41</v>
      </c>
      <c r="H530" s="8" t="s">
        <v>467</v>
      </c>
      <c r="I530" s="8" t="n">
        <v>3</v>
      </c>
    </row>
    <row r="531" customFormat="false" ht="15.75" hidden="false" customHeight="false" outlineLevel="0" collapsed="false">
      <c r="A531" s="34" t="n">
        <v>42565.5322378588</v>
      </c>
      <c r="F531" s="8" t="s">
        <v>150</v>
      </c>
      <c r="G531" s="8" t="n">
        <v>41</v>
      </c>
      <c r="H531" s="8" t="s">
        <v>467</v>
      </c>
      <c r="I531" s="8" t="n">
        <v>2</v>
      </c>
    </row>
    <row r="532" customFormat="false" ht="15.75" hidden="false" customHeight="false" outlineLevel="0" collapsed="false">
      <c r="A532" s="34" t="n">
        <v>42565.5323757292</v>
      </c>
      <c r="F532" s="8" t="s">
        <v>150</v>
      </c>
      <c r="G532" s="8" t="n">
        <v>41</v>
      </c>
      <c r="H532" s="8" t="s">
        <v>467</v>
      </c>
      <c r="I532" s="8" t="n">
        <v>2</v>
      </c>
    </row>
    <row r="533" customFormat="false" ht="15.75" hidden="false" customHeight="false" outlineLevel="0" collapsed="false">
      <c r="A533" s="34" t="n">
        <v>42565.5325530556</v>
      </c>
      <c r="F533" s="8" t="s">
        <v>150</v>
      </c>
      <c r="G533" s="8" t="n">
        <v>41</v>
      </c>
      <c r="H533" s="8" t="s">
        <v>467</v>
      </c>
      <c r="I533" s="8" t="n">
        <v>2</v>
      </c>
    </row>
    <row r="534" customFormat="false" ht="15.75" hidden="false" customHeight="false" outlineLevel="0" collapsed="false">
      <c r="A534" s="34" t="n">
        <v>42565.5327156597</v>
      </c>
      <c r="F534" s="8" t="s">
        <v>150</v>
      </c>
      <c r="G534" s="8" t="n">
        <v>41</v>
      </c>
      <c r="H534" s="8" t="s">
        <v>467</v>
      </c>
      <c r="I534" s="8" t="n">
        <v>2</v>
      </c>
    </row>
    <row r="535" customFormat="false" ht="15.75" hidden="false" customHeight="false" outlineLevel="0" collapsed="false">
      <c r="A535" s="34" t="n">
        <v>42565.5328858796</v>
      </c>
      <c r="F535" s="8" t="s">
        <v>150</v>
      </c>
      <c r="G535" s="8" t="n">
        <v>41</v>
      </c>
      <c r="H535" s="8" t="s">
        <v>467</v>
      </c>
      <c r="I535" s="8" t="n">
        <v>2</v>
      </c>
    </row>
    <row r="536" customFormat="false" ht="15.75" hidden="false" customHeight="false" outlineLevel="0" collapsed="false">
      <c r="A536" s="34" t="n">
        <v>42565.5330354398</v>
      </c>
      <c r="F536" s="8" t="s">
        <v>150</v>
      </c>
      <c r="G536" s="8" t="n">
        <v>41</v>
      </c>
      <c r="H536" s="8" t="s">
        <v>467</v>
      </c>
      <c r="I536" s="8" t="n">
        <v>2</v>
      </c>
    </row>
    <row r="537" customFormat="false" ht="15.75" hidden="false" customHeight="false" outlineLevel="0" collapsed="false">
      <c r="A537" s="34" t="n">
        <v>42565.53644875</v>
      </c>
      <c r="F537" s="8" t="s">
        <v>61</v>
      </c>
      <c r="G537" s="8" t="n">
        <v>26</v>
      </c>
      <c r="H537" s="8" t="s">
        <v>467</v>
      </c>
      <c r="I537" s="8" t="n">
        <v>1</v>
      </c>
    </row>
    <row r="538" customFormat="false" ht="15.75" hidden="false" customHeight="false" outlineLevel="0" collapsed="false">
      <c r="A538" s="34" t="n">
        <v>42565.5414959954</v>
      </c>
      <c r="F538" s="8" t="s">
        <v>31</v>
      </c>
      <c r="G538" s="8" t="n">
        <v>20</v>
      </c>
      <c r="H538" s="8" t="s">
        <v>467</v>
      </c>
      <c r="I538" s="8" t="n">
        <v>5</v>
      </c>
    </row>
    <row r="539" customFormat="false" ht="15.75" hidden="false" customHeight="false" outlineLevel="0" collapsed="false">
      <c r="A539" s="34" t="n">
        <v>42565.5516250347</v>
      </c>
      <c r="F539" s="8" t="s">
        <v>50</v>
      </c>
      <c r="G539" s="8" t="n">
        <v>32</v>
      </c>
      <c r="H539" s="8" t="s">
        <v>467</v>
      </c>
      <c r="I539" s="8" t="n">
        <v>1</v>
      </c>
    </row>
    <row r="540" customFormat="false" ht="15.75" hidden="false" customHeight="false" outlineLevel="0" collapsed="false">
      <c r="A540" s="34" t="n">
        <v>42565.5612527083</v>
      </c>
      <c r="C540" s="8" t="s">
        <v>23</v>
      </c>
      <c r="D540" s="8" t="n">
        <v>184</v>
      </c>
      <c r="E540" s="8" t="n">
        <v>306</v>
      </c>
      <c r="G540" s="33"/>
      <c r="H540" s="8" t="s">
        <v>469</v>
      </c>
    </row>
    <row r="541" customFormat="false" ht="15.75" hidden="false" customHeight="false" outlineLevel="0" collapsed="false">
      <c r="A541" s="34" t="n">
        <v>42565.5769605093</v>
      </c>
      <c r="F541" s="8" t="s">
        <v>143</v>
      </c>
      <c r="G541" s="8" t="n">
        <v>25</v>
      </c>
      <c r="H541" s="8" t="s">
        <v>467</v>
      </c>
    </row>
    <row r="542" customFormat="false" ht="15.75" hidden="false" customHeight="false" outlineLevel="0" collapsed="false">
      <c r="A542" s="34" t="n">
        <v>42565.5819400579</v>
      </c>
      <c r="F542" s="8" t="s">
        <v>78</v>
      </c>
      <c r="G542" s="8" t="n">
        <v>42</v>
      </c>
      <c r="H542" s="8" t="s">
        <v>467</v>
      </c>
    </row>
    <row r="543" customFormat="false" ht="15.75" hidden="false" customHeight="false" outlineLevel="0" collapsed="false">
      <c r="A543" s="34" t="n">
        <v>42565.5820906019</v>
      </c>
      <c r="F543" s="8" t="s">
        <v>78</v>
      </c>
      <c r="G543" s="8" t="n">
        <v>42</v>
      </c>
      <c r="H543" s="8" t="s">
        <v>467</v>
      </c>
    </row>
    <row r="544" customFormat="false" ht="15.75" hidden="false" customHeight="false" outlineLevel="0" collapsed="false">
      <c r="A544" s="34" t="n">
        <v>42565.6006798958</v>
      </c>
      <c r="F544" s="8" t="s">
        <v>153</v>
      </c>
      <c r="G544" s="8" t="n">
        <v>39</v>
      </c>
      <c r="H544" s="8" t="s">
        <v>467</v>
      </c>
      <c r="I544" s="8" t="n">
        <v>3</v>
      </c>
    </row>
    <row r="545" customFormat="false" ht="15.75" hidden="false" customHeight="false" outlineLevel="0" collapsed="false">
      <c r="A545" s="34" t="n">
        <v>42565.603178044</v>
      </c>
      <c r="C545" s="8" t="s">
        <v>33</v>
      </c>
      <c r="D545" s="8" t="n">
        <v>98</v>
      </c>
      <c r="E545" s="8" t="n">
        <v>106</v>
      </c>
      <c r="G545" s="33"/>
      <c r="H545" s="8" t="s">
        <v>468</v>
      </c>
    </row>
    <row r="546" customFormat="false" ht="15.75" hidden="false" customHeight="false" outlineLevel="0" collapsed="false">
      <c r="A546" s="34" t="n">
        <v>42565.6081058102</v>
      </c>
      <c r="C546" s="8" t="s">
        <v>154</v>
      </c>
      <c r="D546" s="8" t="n">
        <v>103</v>
      </c>
      <c r="E546" s="8" t="n">
        <v>209</v>
      </c>
      <c r="G546" s="33"/>
      <c r="H546" s="8" t="s">
        <v>468</v>
      </c>
    </row>
    <row r="547" customFormat="false" ht="15.75" hidden="false" customHeight="false" outlineLevel="0" collapsed="false">
      <c r="A547" s="34" t="n">
        <v>42565.6093793287</v>
      </c>
      <c r="C547" s="8" t="s">
        <v>155</v>
      </c>
      <c r="D547" s="8" t="n">
        <v>504</v>
      </c>
      <c r="E547" s="8" t="n">
        <v>1249</v>
      </c>
      <c r="G547" s="33"/>
      <c r="H547" s="8" t="s">
        <v>468</v>
      </c>
    </row>
    <row r="548" customFormat="false" ht="15.75" hidden="false" customHeight="false" outlineLevel="0" collapsed="false">
      <c r="A548" s="34" t="n">
        <v>42565.6197117361</v>
      </c>
      <c r="C548" s="8" t="s">
        <v>82</v>
      </c>
      <c r="D548" s="8" t="n">
        <v>5</v>
      </c>
      <c r="E548" s="8" t="n">
        <v>10</v>
      </c>
      <c r="G548" s="33"/>
      <c r="H548" s="8" t="s">
        <v>469</v>
      </c>
    </row>
    <row r="549" customFormat="false" ht="15.75" hidden="false" customHeight="false" outlineLevel="0" collapsed="false">
      <c r="A549" s="34" t="n">
        <v>42565.6216328588</v>
      </c>
      <c r="C549" s="8" t="s">
        <v>111</v>
      </c>
      <c r="D549" s="8" t="n">
        <v>343</v>
      </c>
      <c r="E549" s="8" t="n">
        <v>600</v>
      </c>
      <c r="G549" s="33"/>
      <c r="H549" s="8" t="s">
        <v>469</v>
      </c>
    </row>
    <row r="550" customFormat="false" ht="15.75" hidden="false" customHeight="false" outlineLevel="0" collapsed="false">
      <c r="A550" s="34" t="n">
        <v>42565.630231412</v>
      </c>
      <c r="C550" s="8" t="s">
        <v>152</v>
      </c>
      <c r="D550" s="8" t="n">
        <v>525</v>
      </c>
      <c r="E550" s="8" t="n">
        <v>1318</v>
      </c>
      <c r="G550" s="33"/>
      <c r="H550" s="8" t="s">
        <v>469</v>
      </c>
    </row>
    <row r="551" customFormat="false" ht="15.75" hidden="false" customHeight="false" outlineLevel="0" collapsed="false">
      <c r="A551" s="34" t="n">
        <v>42565.6415541319</v>
      </c>
      <c r="F551" s="8" t="s">
        <v>145</v>
      </c>
      <c r="G551" s="8" t="n">
        <v>32</v>
      </c>
      <c r="H551" s="8" t="s">
        <v>467</v>
      </c>
      <c r="I551" s="8" t="n">
        <v>1</v>
      </c>
    </row>
    <row r="552" customFormat="false" ht="15.75" hidden="false" customHeight="false" outlineLevel="0" collapsed="false">
      <c r="A552" s="34" t="n">
        <v>42565.6498181366</v>
      </c>
      <c r="F552" s="8" t="s">
        <v>78</v>
      </c>
      <c r="G552" s="8" t="n">
        <v>60</v>
      </c>
      <c r="H552" s="8" t="s">
        <v>471</v>
      </c>
      <c r="I552" s="8" t="n">
        <v>25</v>
      </c>
    </row>
    <row r="553" customFormat="false" ht="15.75" hidden="false" customHeight="false" outlineLevel="0" collapsed="false">
      <c r="A553" s="34" t="n">
        <v>42565.6506898958</v>
      </c>
      <c r="F553" s="8" t="s">
        <v>35</v>
      </c>
      <c r="G553" s="8" t="n">
        <v>6</v>
      </c>
      <c r="H553" s="8" t="s">
        <v>467</v>
      </c>
      <c r="I553" s="8" t="n">
        <v>1</v>
      </c>
    </row>
    <row r="554" customFormat="false" ht="15.75" hidden="false" customHeight="false" outlineLevel="0" collapsed="false">
      <c r="A554" s="34" t="n">
        <v>42565.6511653472</v>
      </c>
      <c r="C554" s="8" t="s">
        <v>36</v>
      </c>
      <c r="D554" s="8" t="n">
        <v>16</v>
      </c>
      <c r="E554" s="8" t="n">
        <v>30</v>
      </c>
      <c r="G554" s="33"/>
      <c r="H554" s="8" t="s">
        <v>469</v>
      </c>
    </row>
    <row r="555" customFormat="false" ht="15.75" hidden="false" customHeight="false" outlineLevel="0" collapsed="false">
      <c r="A555" s="34" t="n">
        <v>42565.6582728241</v>
      </c>
      <c r="C555" s="8" t="s">
        <v>37</v>
      </c>
      <c r="D555" s="8" t="n">
        <v>473</v>
      </c>
      <c r="E555" s="8" t="n">
        <v>828</v>
      </c>
      <c r="G555" s="33"/>
      <c r="H555" s="8" t="s">
        <v>469</v>
      </c>
    </row>
    <row r="556" customFormat="false" ht="15.75" hidden="false" customHeight="false" outlineLevel="0" collapsed="false">
      <c r="A556" s="34" t="n">
        <v>42565.6736963542</v>
      </c>
      <c r="F556" s="8" t="s">
        <v>78</v>
      </c>
      <c r="G556" s="8" t="n">
        <v>43</v>
      </c>
      <c r="H556" s="8" t="s">
        <v>467</v>
      </c>
    </row>
    <row r="557" customFormat="false" ht="15.75" hidden="false" customHeight="false" outlineLevel="0" collapsed="false">
      <c r="A557" s="34" t="n">
        <v>42565.6751213889</v>
      </c>
      <c r="C557" s="8" t="s">
        <v>78</v>
      </c>
      <c r="D557" s="8" t="n">
        <v>269</v>
      </c>
      <c r="E557" s="8" t="n">
        <v>625</v>
      </c>
      <c r="G557" s="33"/>
      <c r="H557" s="8" t="s">
        <v>468</v>
      </c>
    </row>
    <row r="558" customFormat="false" ht="15.75" hidden="false" customHeight="false" outlineLevel="0" collapsed="false">
      <c r="A558" s="34" t="n">
        <v>42565.6799707292</v>
      </c>
      <c r="C558" s="8" t="s">
        <v>153</v>
      </c>
      <c r="D558" s="8" t="n">
        <v>233</v>
      </c>
      <c r="E558" s="8" t="n">
        <v>616</v>
      </c>
      <c r="G558" s="33"/>
      <c r="H558" s="8" t="s">
        <v>468</v>
      </c>
    </row>
    <row r="559" customFormat="false" ht="15.75" hidden="false" customHeight="false" outlineLevel="0" collapsed="false">
      <c r="A559" s="34" t="n">
        <v>42565.6982221759</v>
      </c>
      <c r="C559" s="8" t="s">
        <v>33</v>
      </c>
      <c r="D559" s="8" t="n">
        <v>112</v>
      </c>
      <c r="E559" s="8" t="n">
        <v>116</v>
      </c>
      <c r="G559" s="33"/>
      <c r="H559" s="8" t="s">
        <v>468</v>
      </c>
    </row>
    <row r="560" customFormat="false" ht="15.75" hidden="false" customHeight="false" outlineLevel="0" collapsed="false">
      <c r="A560" s="34" t="n">
        <v>42565.6984805208</v>
      </c>
      <c r="C560" s="8" t="s">
        <v>34</v>
      </c>
      <c r="D560" s="8" t="n">
        <v>116</v>
      </c>
      <c r="E560" s="8" t="n">
        <v>401</v>
      </c>
      <c r="G560" s="33"/>
      <c r="H560" s="8" t="s">
        <v>468</v>
      </c>
    </row>
    <row r="561" customFormat="false" ht="15.75" hidden="false" customHeight="false" outlineLevel="0" collapsed="false">
      <c r="A561" s="34" t="n">
        <v>42565.6988328472</v>
      </c>
      <c r="F561" s="8" t="s">
        <v>142</v>
      </c>
      <c r="G561" s="8" t="n">
        <v>30</v>
      </c>
      <c r="H561" s="8" t="s">
        <v>467</v>
      </c>
      <c r="I561" s="8" t="n">
        <v>1</v>
      </c>
    </row>
    <row r="562" customFormat="false" ht="15.75" hidden="false" customHeight="false" outlineLevel="0" collapsed="false">
      <c r="A562" s="34" t="n">
        <v>42565.705577963</v>
      </c>
      <c r="F562" s="8" t="s">
        <v>139</v>
      </c>
      <c r="G562" s="8" t="n">
        <v>12</v>
      </c>
      <c r="H562" s="8" t="s">
        <v>467</v>
      </c>
      <c r="I562" s="8" t="n">
        <v>2</v>
      </c>
    </row>
    <row r="563" customFormat="false" ht="15.75" hidden="false" customHeight="false" outlineLevel="0" collapsed="false">
      <c r="A563" s="34" t="n">
        <v>42565.7061643634</v>
      </c>
      <c r="C563" s="8" t="s">
        <v>64</v>
      </c>
      <c r="D563" s="8" t="n">
        <v>948</v>
      </c>
      <c r="E563" s="8" t="n">
        <v>1415</v>
      </c>
      <c r="G563" s="33"/>
      <c r="H563" s="8" t="s">
        <v>468</v>
      </c>
    </row>
    <row r="564" customFormat="false" ht="15.75" hidden="false" customHeight="false" outlineLevel="0" collapsed="false">
      <c r="A564" s="34" t="n">
        <v>42565.7073848611</v>
      </c>
      <c r="F564" s="8" t="s">
        <v>79</v>
      </c>
      <c r="G564" s="8" t="n">
        <v>10</v>
      </c>
      <c r="H564" s="8" t="s">
        <v>467</v>
      </c>
      <c r="I564" s="8" t="n">
        <v>2</v>
      </c>
    </row>
    <row r="565" customFormat="false" ht="15.75" hidden="false" customHeight="false" outlineLevel="0" collapsed="false">
      <c r="A565" s="34" t="n">
        <v>42565.7080479514</v>
      </c>
      <c r="F565" s="8" t="s">
        <v>67</v>
      </c>
      <c r="G565" s="8" t="n">
        <v>14</v>
      </c>
      <c r="H565" s="8" t="s">
        <v>467</v>
      </c>
      <c r="I565" s="8" t="n">
        <v>4</v>
      </c>
    </row>
    <row r="566" customFormat="false" ht="15.75" hidden="false" customHeight="false" outlineLevel="0" collapsed="false">
      <c r="A566" s="34" t="n">
        <v>42565.7234508102</v>
      </c>
      <c r="C566" s="8" t="s">
        <v>49</v>
      </c>
      <c r="D566" s="8" t="n">
        <v>295</v>
      </c>
      <c r="E566" s="8" t="n">
        <v>492</v>
      </c>
      <c r="G566" s="33"/>
      <c r="H566" s="8" t="s">
        <v>468</v>
      </c>
    </row>
    <row r="567" customFormat="false" ht="15.75" hidden="false" customHeight="false" outlineLevel="0" collapsed="false">
      <c r="A567" s="34" t="n">
        <v>42565.723755</v>
      </c>
      <c r="C567" s="8" t="s">
        <v>138</v>
      </c>
      <c r="D567" s="8" t="n">
        <v>391</v>
      </c>
      <c r="E567" s="8" t="n">
        <v>845</v>
      </c>
      <c r="G567" s="33"/>
      <c r="H567" s="8" t="s">
        <v>468</v>
      </c>
    </row>
    <row r="568" customFormat="false" ht="15.75" hidden="false" customHeight="false" outlineLevel="0" collapsed="false">
      <c r="A568" s="34" t="n">
        <v>42565.7240334954</v>
      </c>
      <c r="C568" s="8" t="s">
        <v>47</v>
      </c>
      <c r="D568" s="8" t="n">
        <v>352</v>
      </c>
      <c r="E568" s="8" t="n">
        <v>807</v>
      </c>
      <c r="G568" s="33"/>
      <c r="H568" s="8" t="s">
        <v>468</v>
      </c>
    </row>
    <row r="569" customFormat="false" ht="15.75" hidden="false" customHeight="false" outlineLevel="0" collapsed="false">
      <c r="A569" s="34" t="n">
        <v>42565.7242770602</v>
      </c>
      <c r="C569" s="8" t="s">
        <v>32</v>
      </c>
      <c r="D569" s="8" t="n">
        <v>206</v>
      </c>
      <c r="E569" s="8" t="n">
        <v>224</v>
      </c>
      <c r="G569" s="33"/>
      <c r="H569" s="8" t="s">
        <v>468</v>
      </c>
    </row>
    <row r="570" customFormat="false" ht="15.75" hidden="false" customHeight="false" outlineLevel="0" collapsed="false">
      <c r="A570" s="34" t="n">
        <v>42565.7245407986</v>
      </c>
      <c r="C570" s="8" t="s">
        <v>33</v>
      </c>
      <c r="D570" s="8" t="n">
        <v>206</v>
      </c>
      <c r="E570" s="8" t="n">
        <v>224</v>
      </c>
      <c r="G570" s="33"/>
      <c r="H570" s="8" t="s">
        <v>468</v>
      </c>
    </row>
    <row r="571" customFormat="false" ht="15.75" hidden="false" customHeight="false" outlineLevel="0" collapsed="false">
      <c r="A571" s="34" t="n">
        <v>42565.7304303588</v>
      </c>
      <c r="C571" s="8" t="s">
        <v>149</v>
      </c>
      <c r="D571" s="8" t="n">
        <v>143</v>
      </c>
      <c r="E571" s="8" t="n">
        <v>1438</v>
      </c>
      <c r="G571" s="33"/>
      <c r="H571" s="8" t="s">
        <v>468</v>
      </c>
    </row>
    <row r="572" customFormat="false" ht="15.75" hidden="false" customHeight="false" outlineLevel="0" collapsed="false">
      <c r="A572" s="34" t="n">
        <v>42565.7309831713</v>
      </c>
      <c r="F572" s="8" t="s">
        <v>78</v>
      </c>
      <c r="G572" s="8" t="n">
        <v>1400</v>
      </c>
      <c r="H572" s="8" t="s">
        <v>470</v>
      </c>
      <c r="I572" s="8" t="n">
        <v>1441</v>
      </c>
    </row>
    <row r="573" customFormat="false" ht="15.75" hidden="false" customHeight="false" outlineLevel="0" collapsed="false">
      <c r="A573" s="34" t="n">
        <v>42565.7406191551</v>
      </c>
      <c r="F573" s="8" t="s">
        <v>162</v>
      </c>
      <c r="G573" s="8" t="n">
        <v>46</v>
      </c>
      <c r="H573" s="8" t="s">
        <v>467</v>
      </c>
      <c r="I573" s="8" t="n">
        <v>4</v>
      </c>
    </row>
    <row r="574" customFormat="false" ht="15.75" hidden="false" customHeight="false" outlineLevel="0" collapsed="false">
      <c r="A574" s="34" t="n">
        <v>42565.7408312963</v>
      </c>
      <c r="F574" s="8" t="s">
        <v>162</v>
      </c>
      <c r="G574" s="8" t="n">
        <v>45</v>
      </c>
      <c r="H574" s="8" t="s">
        <v>467</v>
      </c>
      <c r="I574" s="8" t="n">
        <v>4</v>
      </c>
    </row>
    <row r="575" customFormat="false" ht="15.75" hidden="false" customHeight="false" outlineLevel="0" collapsed="false">
      <c r="A575" s="34" t="n">
        <v>42565.7411179167</v>
      </c>
      <c r="F575" s="8" t="s">
        <v>162</v>
      </c>
      <c r="G575" s="8" t="n">
        <v>46</v>
      </c>
      <c r="H575" s="8" t="s">
        <v>467</v>
      </c>
      <c r="I575" s="8" t="n">
        <v>5</v>
      </c>
    </row>
    <row r="576" customFormat="false" ht="15.75" hidden="false" customHeight="false" outlineLevel="0" collapsed="false">
      <c r="A576" s="34" t="n">
        <v>42565.741401169</v>
      </c>
      <c r="F576" s="8" t="s">
        <v>162</v>
      </c>
      <c r="G576" s="8" t="n">
        <v>46</v>
      </c>
      <c r="H576" s="8" t="s">
        <v>467</v>
      </c>
      <c r="I576" s="8" t="n">
        <v>4</v>
      </c>
    </row>
    <row r="577" customFormat="false" ht="15.75" hidden="false" customHeight="false" outlineLevel="0" collapsed="false">
      <c r="A577" s="34" t="n">
        <v>42565.7417369792</v>
      </c>
      <c r="F577" s="8" t="s">
        <v>162</v>
      </c>
      <c r="G577" s="8" t="n">
        <v>45</v>
      </c>
      <c r="H577" s="8" t="s">
        <v>467</v>
      </c>
      <c r="I577" s="8" t="n">
        <v>3</v>
      </c>
    </row>
    <row r="578" customFormat="false" ht="15.75" hidden="false" customHeight="false" outlineLevel="0" collapsed="false">
      <c r="A578" s="34" t="n">
        <v>42565.7420725116</v>
      </c>
      <c r="C578" s="8" t="s">
        <v>61</v>
      </c>
      <c r="D578" s="8" t="n">
        <v>230</v>
      </c>
      <c r="E578" s="8" t="n">
        <v>744</v>
      </c>
      <c r="G578" s="33"/>
      <c r="H578" s="8" t="s">
        <v>468</v>
      </c>
    </row>
    <row r="579" customFormat="false" ht="15.75" hidden="false" customHeight="false" outlineLevel="0" collapsed="false">
      <c r="A579" s="34" t="n">
        <v>42565.7435282407</v>
      </c>
      <c r="F579" s="8" t="s">
        <v>61</v>
      </c>
      <c r="G579" s="8" t="n">
        <v>26</v>
      </c>
      <c r="H579" s="8" t="s">
        <v>467</v>
      </c>
      <c r="I579" s="8" t="n">
        <v>1</v>
      </c>
    </row>
    <row r="580" customFormat="false" ht="15.75" hidden="false" customHeight="false" outlineLevel="0" collapsed="false">
      <c r="A580" s="34" t="n">
        <v>42565.7485798727</v>
      </c>
      <c r="C580" s="8" t="s">
        <v>43</v>
      </c>
      <c r="D580" s="8" t="n">
        <v>600</v>
      </c>
      <c r="E580" s="8" t="n">
        <v>900</v>
      </c>
      <c r="G580" s="33"/>
      <c r="H580" s="8" t="s">
        <v>468</v>
      </c>
    </row>
    <row r="581" customFormat="false" ht="15.75" hidden="false" customHeight="false" outlineLevel="0" collapsed="false">
      <c r="A581" s="34" t="n">
        <v>42565.7490634028</v>
      </c>
      <c r="C581" s="8" t="s">
        <v>37</v>
      </c>
      <c r="D581" s="8" t="n">
        <v>87</v>
      </c>
      <c r="E581" s="8" t="n">
        <v>148</v>
      </c>
      <c r="G581" s="33"/>
      <c r="H581" s="8" t="s">
        <v>468</v>
      </c>
    </row>
    <row r="582" customFormat="false" ht="15.75" hidden="false" customHeight="false" outlineLevel="0" collapsed="false">
      <c r="A582" s="34" t="n">
        <v>42565.7729099306</v>
      </c>
      <c r="C582" s="8" t="s">
        <v>149</v>
      </c>
      <c r="D582" s="8" t="n">
        <v>137</v>
      </c>
      <c r="E582" s="8" t="n">
        <v>1445</v>
      </c>
      <c r="G582" s="33"/>
      <c r="H582" s="8" t="s">
        <v>468</v>
      </c>
    </row>
    <row r="583" customFormat="false" ht="15.75" hidden="false" customHeight="false" outlineLevel="0" collapsed="false">
      <c r="A583" s="34" t="n">
        <v>42565.787981331</v>
      </c>
      <c r="C583" s="8" t="s">
        <v>35</v>
      </c>
      <c r="D583" s="8" t="n">
        <v>42</v>
      </c>
      <c r="E583" s="8" t="n">
        <v>80</v>
      </c>
      <c r="G583" s="33"/>
      <c r="H583" s="8" t="s">
        <v>469</v>
      </c>
    </row>
    <row r="584" customFormat="false" ht="15.75" hidden="false" customHeight="false" outlineLevel="0" collapsed="false">
      <c r="A584" s="34" t="n">
        <v>42565.8163829745</v>
      </c>
      <c r="C584" s="8" t="s">
        <v>36</v>
      </c>
      <c r="D584" s="8" t="n">
        <v>98</v>
      </c>
      <c r="E584" s="8" t="n">
        <v>183</v>
      </c>
      <c r="G584" s="33"/>
      <c r="H584" s="8" t="s">
        <v>468</v>
      </c>
    </row>
    <row r="585" customFormat="false" ht="15.75" hidden="false" customHeight="false" outlineLevel="0" collapsed="false">
      <c r="A585" s="34" t="n">
        <v>42565.8166093056</v>
      </c>
      <c r="C585" s="8" t="s">
        <v>36</v>
      </c>
      <c r="D585" s="8" t="n">
        <v>97</v>
      </c>
      <c r="E585" s="8" t="n">
        <v>181</v>
      </c>
      <c r="G585" s="33"/>
      <c r="H585" s="8" t="s">
        <v>468</v>
      </c>
    </row>
    <row r="586" customFormat="false" ht="15.75" hidden="false" customHeight="false" outlineLevel="0" collapsed="false">
      <c r="A586" s="34" t="n">
        <v>42565.8173908449</v>
      </c>
      <c r="C586" s="8" t="s">
        <v>36</v>
      </c>
      <c r="D586" s="8" t="n">
        <v>23</v>
      </c>
      <c r="E586" s="8" t="n">
        <v>45</v>
      </c>
      <c r="G586" s="33"/>
      <c r="H586" s="8" t="s">
        <v>468</v>
      </c>
    </row>
    <row r="587" customFormat="false" ht="15.75" hidden="false" customHeight="false" outlineLevel="0" collapsed="false">
      <c r="A587" s="34" t="n">
        <v>42565.8181411806</v>
      </c>
      <c r="C587" s="8" t="s">
        <v>36</v>
      </c>
      <c r="D587" s="8" t="n">
        <v>25</v>
      </c>
      <c r="E587" s="8" t="n">
        <v>47</v>
      </c>
      <c r="G587" s="33"/>
      <c r="H587" s="8" t="s">
        <v>468</v>
      </c>
    </row>
    <row r="588" customFormat="false" ht="15.75" hidden="false" customHeight="false" outlineLevel="0" collapsed="false">
      <c r="A588" s="34" t="n">
        <v>42565.847091713</v>
      </c>
      <c r="F588" s="8" t="s">
        <v>168</v>
      </c>
      <c r="G588" s="8" t="n">
        <v>52</v>
      </c>
      <c r="H588" s="8" t="s">
        <v>467</v>
      </c>
    </row>
    <row r="589" customFormat="false" ht="15.75" hidden="false" customHeight="false" outlineLevel="0" collapsed="false">
      <c r="A589" s="34" t="n">
        <v>42565.8547721991</v>
      </c>
      <c r="F589" s="8" t="s">
        <v>154</v>
      </c>
      <c r="G589" s="8" t="n">
        <v>886</v>
      </c>
      <c r="H589" s="8" t="s">
        <v>470</v>
      </c>
      <c r="I589" s="8" t="n">
        <v>916</v>
      </c>
    </row>
    <row r="590" customFormat="false" ht="15.75" hidden="false" customHeight="false" outlineLevel="0" collapsed="false">
      <c r="A590" s="34" t="n">
        <v>42565.8724802315</v>
      </c>
      <c r="F590" s="8" t="s">
        <v>146</v>
      </c>
      <c r="G590" s="8" t="n">
        <v>32</v>
      </c>
      <c r="H590" s="8" t="s">
        <v>467</v>
      </c>
      <c r="I590" s="8" t="n">
        <v>2</v>
      </c>
    </row>
    <row r="591" customFormat="false" ht="15.75" hidden="false" customHeight="false" outlineLevel="0" collapsed="false">
      <c r="A591" s="34" t="n">
        <v>42565.8776000926</v>
      </c>
      <c r="F591" s="8" t="s">
        <v>152</v>
      </c>
      <c r="G591" s="8" t="n">
        <v>16</v>
      </c>
      <c r="H591" s="8" t="s">
        <v>467</v>
      </c>
      <c r="I591" s="8" t="n">
        <v>2</v>
      </c>
    </row>
    <row r="592" customFormat="false" ht="15.75" hidden="false" customHeight="false" outlineLevel="0" collapsed="false">
      <c r="A592" s="34" t="n">
        <v>42565.8786667245</v>
      </c>
      <c r="F592" s="8" t="s">
        <v>157</v>
      </c>
      <c r="G592" s="8" t="n">
        <v>16</v>
      </c>
      <c r="H592" s="8" t="s">
        <v>467</v>
      </c>
      <c r="I592" s="8" t="n">
        <v>1</v>
      </c>
    </row>
    <row r="593" customFormat="false" ht="15.75" hidden="false" customHeight="false" outlineLevel="0" collapsed="false">
      <c r="A593" s="34" t="n">
        <v>42565.8953553241</v>
      </c>
      <c r="F593" s="8" t="s">
        <v>24</v>
      </c>
      <c r="G593" s="8" t="n">
        <v>23</v>
      </c>
      <c r="H593" s="8" t="s">
        <v>467</v>
      </c>
      <c r="I593" s="8" t="n">
        <v>1</v>
      </c>
    </row>
    <row r="594" customFormat="false" ht="15.75" hidden="false" customHeight="false" outlineLevel="0" collapsed="false">
      <c r="A594" s="34" t="n">
        <v>42565.8972386343</v>
      </c>
      <c r="F594" s="8" t="s">
        <v>33</v>
      </c>
      <c r="G594" s="8" t="n">
        <v>6</v>
      </c>
      <c r="H594" s="8" t="s">
        <v>467</v>
      </c>
      <c r="I594" s="8" t="n">
        <v>1</v>
      </c>
    </row>
    <row r="595" customFormat="false" ht="15.75" hidden="false" customHeight="false" outlineLevel="0" collapsed="false">
      <c r="A595" s="34" t="n">
        <v>42565.8996610648</v>
      </c>
      <c r="C595" s="8" t="s">
        <v>154</v>
      </c>
      <c r="D595" s="8" t="n">
        <v>678</v>
      </c>
      <c r="E595" s="8" t="n">
        <v>707</v>
      </c>
      <c r="G595" s="33"/>
      <c r="H595" s="8" t="s">
        <v>468</v>
      </c>
    </row>
    <row r="596" customFormat="false" ht="15.75" hidden="false" customHeight="false" outlineLevel="0" collapsed="false">
      <c r="A596" s="34" t="n">
        <v>42565.9196276852</v>
      </c>
      <c r="F596" s="8" t="s">
        <v>34</v>
      </c>
      <c r="G596" s="8" t="n">
        <v>19</v>
      </c>
      <c r="H596" s="8" t="s">
        <v>467</v>
      </c>
      <c r="I596" s="8" t="n">
        <v>2</v>
      </c>
    </row>
    <row r="597" customFormat="false" ht="15.75" hidden="false" customHeight="false" outlineLevel="0" collapsed="false">
      <c r="A597" s="34" t="n">
        <v>42565.9229842824</v>
      </c>
      <c r="C597" s="8" t="s">
        <v>78</v>
      </c>
      <c r="D597" s="8" t="n">
        <v>90</v>
      </c>
      <c r="E597" s="8" t="n">
        <v>900</v>
      </c>
      <c r="G597" s="33"/>
      <c r="H597" s="8" t="s">
        <v>468</v>
      </c>
    </row>
    <row r="598" customFormat="false" ht="15.75" hidden="false" customHeight="false" outlineLevel="0" collapsed="false">
      <c r="A598" s="34" t="n">
        <v>42565.9291097106</v>
      </c>
      <c r="F598" s="8" t="s">
        <v>55</v>
      </c>
      <c r="G598" s="8" t="n">
        <v>31</v>
      </c>
      <c r="H598" s="8" t="s">
        <v>467</v>
      </c>
      <c r="I598" s="8" t="n">
        <v>1</v>
      </c>
    </row>
    <row r="599" customFormat="false" ht="15.75" hidden="false" customHeight="false" outlineLevel="0" collapsed="false">
      <c r="A599" s="34" t="n">
        <v>42565.9297489352</v>
      </c>
      <c r="F599" s="8" t="s">
        <v>55</v>
      </c>
      <c r="G599" s="8" t="n">
        <v>31</v>
      </c>
      <c r="H599" s="8" t="s">
        <v>467</v>
      </c>
      <c r="I599" s="8" t="n">
        <v>2</v>
      </c>
    </row>
    <row r="600" customFormat="false" ht="15.75" hidden="false" customHeight="false" outlineLevel="0" collapsed="false">
      <c r="A600" s="34" t="n">
        <v>42565.9536873495</v>
      </c>
      <c r="C600" s="8" t="s">
        <v>155</v>
      </c>
      <c r="D600" s="8" t="n">
        <v>514</v>
      </c>
      <c r="E600" s="8" t="n">
        <v>1178</v>
      </c>
      <c r="G600" s="33"/>
      <c r="H600" s="8" t="s">
        <v>468</v>
      </c>
    </row>
    <row r="601" customFormat="false" ht="15.75" hidden="false" customHeight="false" outlineLevel="0" collapsed="false">
      <c r="A601" s="34" t="n">
        <v>42565.9692424653</v>
      </c>
      <c r="F601" s="8" t="s">
        <v>55</v>
      </c>
      <c r="G601" s="8" t="n">
        <v>32</v>
      </c>
      <c r="H601" s="8" t="s">
        <v>467</v>
      </c>
      <c r="I601" s="8" t="n">
        <v>2</v>
      </c>
    </row>
    <row r="602" customFormat="false" ht="15.75" hidden="false" customHeight="false" outlineLevel="0" collapsed="false">
      <c r="A602" s="34" t="n">
        <v>42565.974891088</v>
      </c>
      <c r="C602" s="8" t="s">
        <v>82</v>
      </c>
      <c r="D602" s="8" t="n">
        <v>350</v>
      </c>
      <c r="E602" s="8" t="n">
        <v>666</v>
      </c>
      <c r="G602" s="33"/>
      <c r="H602" s="8" t="s">
        <v>468</v>
      </c>
    </row>
    <row r="603" customFormat="false" ht="15.75" hidden="false" customHeight="false" outlineLevel="0" collapsed="false">
      <c r="A603" s="34" t="n">
        <v>42565.9763751736</v>
      </c>
      <c r="C603" s="8" t="s">
        <v>61</v>
      </c>
      <c r="D603" s="8" t="n">
        <v>209</v>
      </c>
      <c r="E603" s="8" t="n">
        <v>663</v>
      </c>
      <c r="G603" s="33"/>
      <c r="H603" s="8" t="s">
        <v>468</v>
      </c>
    </row>
    <row r="604" customFormat="false" ht="15.75" hidden="false" customHeight="false" outlineLevel="0" collapsed="false">
      <c r="A604" s="34" t="n">
        <v>42565.9847090046</v>
      </c>
      <c r="C604" s="8" t="s">
        <v>55</v>
      </c>
      <c r="D604" s="8" t="n">
        <v>541</v>
      </c>
      <c r="E604" s="8" t="n">
        <v>741</v>
      </c>
      <c r="G604" s="33"/>
      <c r="H604" s="8" t="s">
        <v>468</v>
      </c>
    </row>
    <row r="605" customFormat="false" ht="15.75" hidden="false" customHeight="false" outlineLevel="0" collapsed="false">
      <c r="A605" s="34" t="n">
        <v>42565.9875800347</v>
      </c>
      <c r="F605" s="8" t="s">
        <v>55</v>
      </c>
      <c r="G605" s="8" t="n">
        <v>31</v>
      </c>
      <c r="H605" s="8" t="s">
        <v>467</v>
      </c>
      <c r="I605" s="8" t="n">
        <v>1</v>
      </c>
    </row>
    <row r="606" customFormat="false" ht="15.75" hidden="false" customHeight="false" outlineLevel="0" collapsed="false">
      <c r="A606" s="34" t="n">
        <v>42566.0084354398</v>
      </c>
      <c r="F606" s="8" t="s">
        <v>93</v>
      </c>
      <c r="G606" s="8" t="n">
        <v>45</v>
      </c>
      <c r="H606" s="8" t="s">
        <v>470</v>
      </c>
      <c r="I606" s="8" t="n">
        <v>16</v>
      </c>
    </row>
    <row r="607" customFormat="false" ht="15.75" hidden="false" customHeight="false" outlineLevel="0" collapsed="false">
      <c r="A607" s="34" t="n">
        <v>42566.0102712153</v>
      </c>
      <c r="C607" s="8" t="s">
        <v>31</v>
      </c>
      <c r="D607" s="8" t="n">
        <v>136</v>
      </c>
      <c r="E607" s="8" t="n">
        <v>529</v>
      </c>
      <c r="G607" s="33"/>
      <c r="H607" s="8" t="s">
        <v>468</v>
      </c>
    </row>
    <row r="608" customFormat="false" ht="15.75" hidden="false" customHeight="false" outlineLevel="0" collapsed="false">
      <c r="A608" s="34" t="n">
        <v>42566.0116983102</v>
      </c>
      <c r="C608" s="8" t="s">
        <v>36</v>
      </c>
      <c r="D608" s="8" t="n">
        <v>267</v>
      </c>
      <c r="E608" s="8" t="n">
        <v>517</v>
      </c>
      <c r="G608" s="33"/>
      <c r="H608" s="8" t="s">
        <v>468</v>
      </c>
    </row>
    <row r="609" customFormat="false" ht="15.75" hidden="false" customHeight="false" outlineLevel="0" collapsed="false">
      <c r="A609" s="34" t="n">
        <v>42566.0125257523</v>
      </c>
      <c r="C609" s="8" t="s">
        <v>37</v>
      </c>
      <c r="D609" s="8" t="n">
        <v>517</v>
      </c>
      <c r="E609" s="8" t="n">
        <v>928</v>
      </c>
      <c r="G609" s="33"/>
      <c r="H609" s="8" t="s">
        <v>468</v>
      </c>
    </row>
    <row r="610" customFormat="false" ht="15.75" hidden="false" customHeight="false" outlineLevel="0" collapsed="false">
      <c r="A610" s="34" t="n">
        <v>42566.0152084838</v>
      </c>
      <c r="C610" s="8" t="s">
        <v>39</v>
      </c>
      <c r="D610" s="8" t="n">
        <v>280</v>
      </c>
      <c r="E610" s="8" t="n">
        <v>726</v>
      </c>
      <c r="G610" s="33"/>
      <c r="H610" s="8" t="s">
        <v>468</v>
      </c>
    </row>
    <row r="611" customFormat="false" ht="15.75" hidden="false" customHeight="false" outlineLevel="0" collapsed="false">
      <c r="A611" s="34" t="n">
        <v>42566.0155785417</v>
      </c>
      <c r="C611" s="8" t="s">
        <v>153</v>
      </c>
      <c r="D611" s="8" t="n">
        <v>394</v>
      </c>
      <c r="E611" s="8" t="n">
        <v>1110</v>
      </c>
      <c r="G611" s="33"/>
      <c r="H611" s="8" t="s">
        <v>468</v>
      </c>
    </row>
    <row r="612" customFormat="false" ht="15.75" hidden="false" customHeight="false" outlineLevel="0" collapsed="false">
      <c r="A612" s="34" t="n">
        <v>42566.015958507</v>
      </c>
      <c r="C612" s="8" t="s">
        <v>61</v>
      </c>
      <c r="D612" s="8" t="n">
        <v>282</v>
      </c>
      <c r="E612" s="8" t="n">
        <v>858</v>
      </c>
      <c r="G612" s="33"/>
      <c r="H612" s="8" t="s">
        <v>468</v>
      </c>
    </row>
    <row r="613" customFormat="false" ht="15.75" hidden="false" customHeight="false" outlineLevel="0" collapsed="false">
      <c r="A613" s="34" t="n">
        <v>42566.0204677315</v>
      </c>
      <c r="C613" s="8" t="s">
        <v>80</v>
      </c>
      <c r="D613" s="8" t="n">
        <v>230</v>
      </c>
      <c r="E613" s="8" t="n">
        <v>403</v>
      </c>
      <c r="G613" s="33"/>
      <c r="H613" s="8" t="s">
        <v>468</v>
      </c>
    </row>
    <row r="614" customFormat="false" ht="15.75" hidden="false" customHeight="false" outlineLevel="0" collapsed="false">
      <c r="A614" s="34" t="n">
        <v>42566.0227992593</v>
      </c>
      <c r="F614" s="8" t="s">
        <v>78</v>
      </c>
      <c r="G614" s="8" t="n">
        <v>968</v>
      </c>
      <c r="H614" s="8" t="s">
        <v>470</v>
      </c>
      <c r="I614" s="8" t="n">
        <v>925</v>
      </c>
    </row>
    <row r="615" customFormat="false" ht="15.75" hidden="false" customHeight="false" outlineLevel="0" collapsed="false">
      <c r="A615" s="34" t="n">
        <v>42566.0243134259</v>
      </c>
      <c r="F615" s="8" t="s">
        <v>55</v>
      </c>
      <c r="G615" s="8" t="n">
        <v>32</v>
      </c>
      <c r="H615" s="8" t="s">
        <v>467</v>
      </c>
      <c r="I615" s="8" t="n">
        <v>2</v>
      </c>
    </row>
    <row r="616" customFormat="false" ht="15.75" hidden="false" customHeight="false" outlineLevel="0" collapsed="false">
      <c r="A616" s="34" t="n">
        <v>42566.0292511111</v>
      </c>
      <c r="C616" s="8" t="s">
        <v>154</v>
      </c>
      <c r="D616" s="8" t="n">
        <v>364</v>
      </c>
      <c r="E616" s="8" t="n">
        <v>364</v>
      </c>
      <c r="G616" s="33"/>
      <c r="H616" s="8" t="s">
        <v>468</v>
      </c>
    </row>
    <row r="617" customFormat="false" ht="15.75" hidden="false" customHeight="false" outlineLevel="0" collapsed="false">
      <c r="A617" s="34" t="n">
        <v>42566.0413540972</v>
      </c>
      <c r="C617" s="8" t="s">
        <v>33</v>
      </c>
      <c r="D617" s="8" t="n">
        <v>50</v>
      </c>
      <c r="E617" s="8" t="n">
        <v>51</v>
      </c>
      <c r="G617" s="33"/>
      <c r="H617" s="8" t="s">
        <v>468</v>
      </c>
    </row>
    <row r="618" customFormat="false" ht="15.75" hidden="false" customHeight="false" outlineLevel="0" collapsed="false">
      <c r="A618" s="34" t="n">
        <v>42566.0711906597</v>
      </c>
      <c r="C618" s="8" t="s">
        <v>39</v>
      </c>
      <c r="D618" s="8" t="n">
        <v>58</v>
      </c>
      <c r="E618" s="8" t="n">
        <v>168</v>
      </c>
      <c r="G618" s="33"/>
      <c r="H618" s="8" t="s">
        <v>468</v>
      </c>
    </row>
    <row r="619" customFormat="false" ht="15.75" hidden="false" customHeight="false" outlineLevel="0" collapsed="false">
      <c r="A619" s="34" t="n">
        <v>42566.0911648032</v>
      </c>
      <c r="C619" s="8" t="s">
        <v>167</v>
      </c>
      <c r="D619" s="8" t="n">
        <v>153</v>
      </c>
      <c r="E619" s="8" t="n">
        <v>398</v>
      </c>
      <c r="G619" s="33"/>
      <c r="H619" s="8" t="s">
        <v>468</v>
      </c>
    </row>
    <row r="620" customFormat="false" ht="15.75" hidden="false" customHeight="false" outlineLevel="0" collapsed="false">
      <c r="A620" s="34" t="n">
        <v>42566.0944509607</v>
      </c>
      <c r="C620" s="8" t="s">
        <v>152</v>
      </c>
      <c r="D620" s="8" t="n">
        <v>355</v>
      </c>
      <c r="E620" s="8" t="n">
        <v>891</v>
      </c>
      <c r="G620" s="33"/>
      <c r="H620" s="8" t="s">
        <v>469</v>
      </c>
    </row>
    <row r="621" customFormat="false" ht="15.75" hidden="false" customHeight="false" outlineLevel="0" collapsed="false">
      <c r="A621" s="34" t="n">
        <v>42566.0966206134</v>
      </c>
      <c r="F621" s="8" t="s">
        <v>73</v>
      </c>
      <c r="G621" s="8" t="n">
        <v>371</v>
      </c>
      <c r="H621" s="8" t="s">
        <v>470</v>
      </c>
      <c r="I621" s="8" t="n">
        <v>385</v>
      </c>
    </row>
    <row r="622" customFormat="false" ht="15.75" hidden="false" customHeight="false" outlineLevel="0" collapsed="false">
      <c r="A622" s="34" t="n">
        <v>42566.0972879398</v>
      </c>
      <c r="C622" s="8" t="s">
        <v>74</v>
      </c>
      <c r="D622" s="8" t="n">
        <v>385</v>
      </c>
      <c r="E622" s="8" t="n">
        <v>867</v>
      </c>
      <c r="G622" s="33"/>
      <c r="H622" s="8" t="s">
        <v>468</v>
      </c>
    </row>
    <row r="623" customFormat="false" ht="15.75" hidden="false" customHeight="false" outlineLevel="0" collapsed="false">
      <c r="A623" s="34" t="n">
        <v>42566.1113194792</v>
      </c>
      <c r="F623" s="8" t="s">
        <v>41</v>
      </c>
      <c r="G623" s="8" t="n">
        <v>25</v>
      </c>
      <c r="H623" s="8" t="s">
        <v>467</v>
      </c>
      <c r="I623" s="8" t="n">
        <v>2</v>
      </c>
    </row>
    <row r="624" customFormat="false" ht="15.75" hidden="false" customHeight="false" outlineLevel="0" collapsed="false">
      <c r="A624" s="34" t="n">
        <v>42566.1117323264</v>
      </c>
      <c r="F624" s="8" t="s">
        <v>41</v>
      </c>
      <c r="G624" s="8" t="n">
        <v>25</v>
      </c>
      <c r="H624" s="8" t="s">
        <v>467</v>
      </c>
      <c r="I624" s="8" t="n">
        <v>2</v>
      </c>
    </row>
    <row r="625" customFormat="false" ht="15.75" hidden="false" customHeight="false" outlineLevel="0" collapsed="false">
      <c r="A625" s="34" t="n">
        <v>42566.1120744676</v>
      </c>
      <c r="F625" s="8" t="s">
        <v>41</v>
      </c>
      <c r="G625" s="8" t="n">
        <v>25</v>
      </c>
      <c r="H625" s="8" t="s">
        <v>467</v>
      </c>
      <c r="I625" s="8" t="n">
        <v>3</v>
      </c>
    </row>
    <row r="626" customFormat="false" ht="15.75" hidden="false" customHeight="false" outlineLevel="0" collapsed="false">
      <c r="A626" s="34" t="n">
        <v>42566.112344456</v>
      </c>
      <c r="F626" s="8" t="s">
        <v>41</v>
      </c>
      <c r="G626" s="8" t="n">
        <v>25</v>
      </c>
      <c r="H626" s="8" t="s">
        <v>467</v>
      </c>
      <c r="I626" s="8" t="n">
        <v>2</v>
      </c>
    </row>
    <row r="627" customFormat="false" ht="15.75" hidden="false" customHeight="false" outlineLevel="0" collapsed="false">
      <c r="A627" s="34" t="n">
        <v>42566.1126148843</v>
      </c>
      <c r="F627" s="8" t="s">
        <v>41</v>
      </c>
      <c r="G627" s="8" t="n">
        <v>25</v>
      </c>
      <c r="H627" s="8" t="s">
        <v>467</v>
      </c>
      <c r="I627" s="8" t="n">
        <v>2</v>
      </c>
    </row>
    <row r="628" customFormat="false" ht="15.75" hidden="false" customHeight="false" outlineLevel="0" collapsed="false">
      <c r="A628" s="34" t="n">
        <v>42566.1129355903</v>
      </c>
      <c r="F628" s="8" t="s">
        <v>41</v>
      </c>
      <c r="G628" s="8" t="n">
        <v>24</v>
      </c>
      <c r="H628" s="8" t="s">
        <v>467</v>
      </c>
      <c r="I628" s="8" t="n">
        <v>2</v>
      </c>
    </row>
    <row r="629" customFormat="false" ht="15.75" hidden="false" customHeight="false" outlineLevel="0" collapsed="false">
      <c r="A629" s="34" t="n">
        <v>42566.1131853357</v>
      </c>
      <c r="F629" s="8" t="s">
        <v>41</v>
      </c>
      <c r="G629" s="8" t="n">
        <v>25</v>
      </c>
      <c r="H629" s="8" t="s">
        <v>467</v>
      </c>
      <c r="I629" s="8" t="n">
        <v>2</v>
      </c>
    </row>
    <row r="630" customFormat="false" ht="15.75" hidden="false" customHeight="false" outlineLevel="0" collapsed="false">
      <c r="A630" s="34" t="n">
        <v>42566.1134623611</v>
      </c>
      <c r="F630" s="8" t="s">
        <v>41</v>
      </c>
      <c r="G630" s="8" t="n">
        <v>25</v>
      </c>
      <c r="H630" s="8" t="s">
        <v>467</v>
      </c>
      <c r="I630" s="8" t="n">
        <v>1</v>
      </c>
    </row>
    <row r="631" customFormat="false" ht="15.75" hidden="false" customHeight="false" outlineLevel="0" collapsed="false">
      <c r="A631" s="34" t="n">
        <v>42566.1137559954</v>
      </c>
      <c r="F631" s="8" t="s">
        <v>41</v>
      </c>
      <c r="G631" s="8" t="n">
        <v>25</v>
      </c>
      <c r="H631" s="8" t="s">
        <v>467</v>
      </c>
      <c r="I631" s="8" t="n">
        <v>2</v>
      </c>
    </row>
    <row r="632" customFormat="false" ht="15.75" hidden="false" customHeight="false" outlineLevel="0" collapsed="false">
      <c r="A632" s="34" t="n">
        <v>42566.1141265046</v>
      </c>
      <c r="F632" s="8" t="s">
        <v>41</v>
      </c>
      <c r="G632" s="8" t="n">
        <v>25</v>
      </c>
      <c r="H632" s="8" t="s">
        <v>467</v>
      </c>
      <c r="I632" s="8" t="n">
        <v>2</v>
      </c>
    </row>
    <row r="633" customFormat="false" ht="15.75" hidden="false" customHeight="false" outlineLevel="0" collapsed="false">
      <c r="A633" s="34" t="n">
        <v>42566.1145126273</v>
      </c>
      <c r="F633" s="8" t="s">
        <v>41</v>
      </c>
      <c r="G633" s="8" t="n">
        <v>25</v>
      </c>
      <c r="H633" s="8" t="s">
        <v>467</v>
      </c>
      <c r="I633" s="8" t="n">
        <v>1</v>
      </c>
    </row>
    <row r="634" customFormat="false" ht="15.75" hidden="false" customHeight="false" outlineLevel="0" collapsed="false">
      <c r="A634" s="34" t="n">
        <v>42566.1157003472</v>
      </c>
      <c r="F634" s="8" t="s">
        <v>104</v>
      </c>
      <c r="G634" s="8" t="n">
        <v>25</v>
      </c>
      <c r="H634" s="8" t="s">
        <v>467</v>
      </c>
      <c r="I634" s="8" t="n">
        <v>2</v>
      </c>
    </row>
    <row r="635" customFormat="false" ht="15.75" hidden="false" customHeight="false" outlineLevel="0" collapsed="false">
      <c r="A635" s="34" t="n">
        <v>42566.1159962847</v>
      </c>
      <c r="F635" s="8" t="s">
        <v>104</v>
      </c>
      <c r="G635" s="8" t="n">
        <v>24</v>
      </c>
      <c r="H635" s="8" t="s">
        <v>467</v>
      </c>
      <c r="I635" s="8" t="n">
        <v>1</v>
      </c>
    </row>
    <row r="636" customFormat="false" ht="15.75" hidden="false" customHeight="false" outlineLevel="0" collapsed="false">
      <c r="A636" s="34" t="n">
        <v>42566.1162662847</v>
      </c>
      <c r="F636" s="8" t="s">
        <v>104</v>
      </c>
      <c r="G636" s="8" t="n">
        <v>25</v>
      </c>
      <c r="H636" s="8" t="s">
        <v>467</v>
      </c>
      <c r="I636" s="8" t="n">
        <v>2</v>
      </c>
    </row>
    <row r="637" customFormat="false" ht="15.75" hidden="false" customHeight="false" outlineLevel="0" collapsed="false">
      <c r="A637" s="34" t="n">
        <v>42566.1165882292</v>
      </c>
      <c r="F637" s="8" t="s">
        <v>104</v>
      </c>
      <c r="G637" s="8" t="n">
        <v>25</v>
      </c>
      <c r="H637" s="8" t="s">
        <v>467</v>
      </c>
      <c r="I637" s="8" t="n">
        <v>2</v>
      </c>
    </row>
    <row r="638" customFormat="false" ht="15.75" hidden="false" customHeight="false" outlineLevel="0" collapsed="false">
      <c r="A638" s="34" t="n">
        <v>42566.1168998611</v>
      </c>
      <c r="F638" s="8" t="s">
        <v>104</v>
      </c>
      <c r="G638" s="8" t="n">
        <v>24</v>
      </c>
      <c r="H638" s="8" t="s">
        <v>467</v>
      </c>
      <c r="I638" s="8" t="n">
        <v>1</v>
      </c>
    </row>
    <row r="639" customFormat="false" ht="15.75" hidden="false" customHeight="false" outlineLevel="0" collapsed="false">
      <c r="A639" s="34" t="n">
        <v>42566.117155</v>
      </c>
      <c r="F639" s="8" t="s">
        <v>104</v>
      </c>
      <c r="G639" s="8" t="n">
        <v>25</v>
      </c>
      <c r="H639" s="8" t="s">
        <v>467</v>
      </c>
      <c r="I639" s="8" t="n">
        <v>2</v>
      </c>
    </row>
    <row r="640" customFormat="false" ht="15.75" hidden="false" customHeight="false" outlineLevel="0" collapsed="false">
      <c r="A640" s="34" t="n">
        <v>42566.1174489352</v>
      </c>
      <c r="F640" s="8" t="s">
        <v>104</v>
      </c>
      <c r="G640" s="8" t="n">
        <v>25</v>
      </c>
      <c r="H640" s="8" t="s">
        <v>467</v>
      </c>
      <c r="I640" s="8" t="n">
        <v>1</v>
      </c>
    </row>
    <row r="641" customFormat="false" ht="15.75" hidden="false" customHeight="false" outlineLevel="0" collapsed="false">
      <c r="A641" s="34" t="n">
        <v>42566.1201233912</v>
      </c>
      <c r="F641" s="8" t="s">
        <v>153</v>
      </c>
      <c r="G641" s="8" t="n">
        <v>39</v>
      </c>
      <c r="H641" s="8" t="s">
        <v>467</v>
      </c>
    </row>
    <row r="642" customFormat="false" ht="15.75" hidden="false" customHeight="false" outlineLevel="0" collapsed="false">
      <c r="A642" s="34" t="n">
        <v>42566.1639305787</v>
      </c>
      <c r="F642" s="8" t="s">
        <v>58</v>
      </c>
      <c r="G642" s="8" t="n">
        <v>11</v>
      </c>
      <c r="H642" s="8" t="s">
        <v>467</v>
      </c>
      <c r="I642" s="8" t="n">
        <v>3</v>
      </c>
    </row>
    <row r="643" customFormat="false" ht="15.75" hidden="false" customHeight="false" outlineLevel="0" collapsed="false">
      <c r="A643" s="34" t="n">
        <v>42566.1739799769</v>
      </c>
      <c r="F643" s="8" t="s">
        <v>161</v>
      </c>
      <c r="G643" s="8" t="n">
        <v>30</v>
      </c>
      <c r="H643" s="8" t="s">
        <v>467</v>
      </c>
    </row>
    <row r="644" customFormat="false" ht="15.75" hidden="false" customHeight="false" outlineLevel="0" collapsed="false">
      <c r="A644" s="34" t="n">
        <v>42566.1745167708</v>
      </c>
      <c r="F644" s="8" t="s">
        <v>39</v>
      </c>
      <c r="G644" s="8" t="n">
        <v>20</v>
      </c>
      <c r="H644" s="8" t="s">
        <v>467</v>
      </c>
    </row>
    <row r="645" customFormat="false" ht="15.75" hidden="false" customHeight="false" outlineLevel="0" collapsed="false">
      <c r="A645" s="34" t="n">
        <v>42566.1776328356</v>
      </c>
      <c r="F645" s="8" t="s">
        <v>130</v>
      </c>
      <c r="G645" s="8" t="n">
        <v>16</v>
      </c>
      <c r="H645" s="8" t="s">
        <v>467</v>
      </c>
      <c r="I645" s="8" t="n">
        <v>1</v>
      </c>
    </row>
    <row r="646" customFormat="false" ht="15.75" hidden="false" customHeight="false" outlineLevel="0" collapsed="false">
      <c r="A646" s="34" t="n">
        <v>42566.1957283912</v>
      </c>
      <c r="F646" s="8" t="s">
        <v>94</v>
      </c>
      <c r="G646" s="8" t="n">
        <v>28</v>
      </c>
      <c r="H646" s="8" t="s">
        <v>467</v>
      </c>
      <c r="I646" s="8" t="n">
        <v>2</v>
      </c>
    </row>
    <row r="647" customFormat="false" ht="15.75" hidden="false" customHeight="false" outlineLevel="0" collapsed="false">
      <c r="A647" s="34" t="n">
        <v>42566.2305283681</v>
      </c>
      <c r="F647" s="8" t="s">
        <v>168</v>
      </c>
      <c r="G647" s="8" t="n">
        <v>51</v>
      </c>
      <c r="H647" s="8" t="s">
        <v>467</v>
      </c>
      <c r="I647" s="8" t="n">
        <v>2</v>
      </c>
    </row>
    <row r="648" customFormat="false" ht="15.75" hidden="false" customHeight="false" outlineLevel="0" collapsed="false">
      <c r="A648" s="34" t="n">
        <v>42566.2580183218</v>
      </c>
      <c r="F648" s="8" t="s">
        <v>66</v>
      </c>
      <c r="G648" s="8" t="n">
        <v>97</v>
      </c>
      <c r="H648" s="8" t="s">
        <v>471</v>
      </c>
      <c r="I648" s="8" t="n">
        <v>16</v>
      </c>
    </row>
    <row r="649" customFormat="false" ht="15.75" hidden="false" customHeight="false" outlineLevel="0" collapsed="false">
      <c r="A649" s="34" t="n">
        <v>42566.2807588426</v>
      </c>
      <c r="C649" s="8" t="s">
        <v>27</v>
      </c>
      <c r="D649" s="8" t="n">
        <v>315</v>
      </c>
      <c r="E649" s="8" t="n">
        <v>515</v>
      </c>
      <c r="G649" s="33"/>
      <c r="H649" s="8" t="s">
        <v>468</v>
      </c>
    </row>
    <row r="650" customFormat="false" ht="15.75" hidden="false" customHeight="false" outlineLevel="0" collapsed="false">
      <c r="A650" s="34" t="n">
        <v>42566.2856969792</v>
      </c>
      <c r="F650" s="8" t="s">
        <v>153</v>
      </c>
      <c r="G650" s="8" t="n">
        <v>38</v>
      </c>
      <c r="H650" s="8" t="s">
        <v>467</v>
      </c>
    </row>
    <row r="651" customFormat="false" ht="15.75" hidden="false" customHeight="false" outlineLevel="0" collapsed="false">
      <c r="A651" s="34" t="n">
        <v>42566.3245628935</v>
      </c>
      <c r="F651" s="8" t="s">
        <v>104</v>
      </c>
      <c r="G651" s="8" t="n">
        <v>26</v>
      </c>
      <c r="H651" s="8" t="s">
        <v>467</v>
      </c>
      <c r="I651" s="8" t="n">
        <v>2</v>
      </c>
    </row>
    <row r="652" customFormat="false" ht="15.75" hidden="false" customHeight="false" outlineLevel="0" collapsed="false">
      <c r="A652" s="34" t="n">
        <v>42566.3247974421</v>
      </c>
      <c r="F652" s="8" t="s">
        <v>150</v>
      </c>
      <c r="G652" s="8" t="n">
        <v>42</v>
      </c>
      <c r="H652" s="8" t="s">
        <v>467</v>
      </c>
      <c r="I652" s="8" t="n">
        <v>2</v>
      </c>
    </row>
    <row r="653" customFormat="false" ht="15.75" hidden="false" customHeight="false" outlineLevel="0" collapsed="false">
      <c r="A653" s="34" t="n">
        <v>42566.3270440278</v>
      </c>
      <c r="F653" s="8" t="s">
        <v>37</v>
      </c>
      <c r="G653" s="8" t="n">
        <v>30</v>
      </c>
      <c r="H653" s="8" t="s">
        <v>467</v>
      </c>
      <c r="I653" s="8" t="n">
        <v>3</v>
      </c>
    </row>
    <row r="654" customFormat="false" ht="15.75" hidden="false" customHeight="false" outlineLevel="0" collapsed="false">
      <c r="A654" s="34" t="n">
        <v>42566.3610924421</v>
      </c>
      <c r="C654" s="8" t="s">
        <v>88</v>
      </c>
      <c r="D654" s="8" t="n">
        <v>294</v>
      </c>
      <c r="E654" s="8" t="n">
        <v>463</v>
      </c>
      <c r="G654" s="33"/>
      <c r="H654" s="8" t="s">
        <v>469</v>
      </c>
    </row>
    <row r="655" customFormat="false" ht="15.75" hidden="false" customHeight="false" outlineLevel="0" collapsed="false">
      <c r="A655" s="34" t="n">
        <v>42566.3790158796</v>
      </c>
      <c r="F655" s="8" t="s">
        <v>161</v>
      </c>
      <c r="G655" s="8" t="n">
        <v>30</v>
      </c>
      <c r="H655" s="8" t="s">
        <v>467</v>
      </c>
      <c r="I655" s="8" t="n">
        <v>2</v>
      </c>
    </row>
    <row r="656" customFormat="false" ht="15.75" hidden="false" customHeight="false" outlineLevel="0" collapsed="false">
      <c r="A656" s="34" t="n">
        <v>42566.4177357986</v>
      </c>
      <c r="F656" s="8" t="s">
        <v>32</v>
      </c>
      <c r="G656" s="8" t="n">
        <v>0</v>
      </c>
      <c r="H656" s="8" t="s">
        <v>470</v>
      </c>
      <c r="I656" s="8" t="n">
        <v>0</v>
      </c>
    </row>
    <row r="657" customFormat="false" ht="15.75" hidden="false" customHeight="false" outlineLevel="0" collapsed="false">
      <c r="A657" s="34" t="n">
        <v>42566.4178824537</v>
      </c>
      <c r="F657" s="8" t="s">
        <v>120</v>
      </c>
      <c r="G657" s="8" t="n">
        <v>24</v>
      </c>
      <c r="H657" s="8" t="s">
        <v>467</v>
      </c>
      <c r="I657" s="8" t="n">
        <v>2</v>
      </c>
    </row>
    <row r="658" customFormat="false" ht="15.75" hidden="false" customHeight="false" outlineLevel="0" collapsed="false">
      <c r="A658" s="34" t="n">
        <v>42566.4287066204</v>
      </c>
      <c r="F658" s="8" t="s">
        <v>153</v>
      </c>
      <c r="G658" s="8" t="n">
        <v>39</v>
      </c>
      <c r="H658" s="8" t="s">
        <v>467</v>
      </c>
      <c r="I658" s="8" t="n">
        <v>3</v>
      </c>
    </row>
    <row r="659" customFormat="false" ht="15.75" hidden="false" customHeight="false" outlineLevel="0" collapsed="false">
      <c r="A659" s="34" t="n">
        <v>42566.4341588889</v>
      </c>
      <c r="C659" s="8" t="s">
        <v>149</v>
      </c>
      <c r="D659" s="8" t="n">
        <v>1754</v>
      </c>
      <c r="E659" s="8" t="n">
        <v>1792</v>
      </c>
      <c r="G659" s="33"/>
      <c r="H659" s="8" t="s">
        <v>468</v>
      </c>
    </row>
    <row r="660" customFormat="false" ht="15.75" hidden="false" customHeight="false" outlineLevel="0" collapsed="false">
      <c r="A660" s="34" t="n">
        <v>42566.5516424074</v>
      </c>
      <c r="F660" s="8" t="s">
        <v>153</v>
      </c>
      <c r="G660" s="8" t="n">
        <v>41</v>
      </c>
      <c r="H660" s="8" t="s">
        <v>467</v>
      </c>
    </row>
    <row r="661" customFormat="false" ht="15.75" hidden="false" customHeight="false" outlineLevel="0" collapsed="false">
      <c r="A661" s="34" t="n">
        <v>42566.5561350463</v>
      </c>
      <c r="F661" s="8" t="s">
        <v>146</v>
      </c>
      <c r="G661" s="8" t="n">
        <v>28</v>
      </c>
      <c r="H661" s="8" t="s">
        <v>467</v>
      </c>
      <c r="I661" s="8" t="n">
        <v>1</v>
      </c>
    </row>
    <row r="662" customFormat="false" ht="15.75" hidden="false" customHeight="false" outlineLevel="0" collapsed="false">
      <c r="A662" s="34" t="n">
        <v>42566.5565633912</v>
      </c>
      <c r="F662" s="8" t="s">
        <v>133</v>
      </c>
      <c r="G662" s="8" t="n">
        <v>24</v>
      </c>
      <c r="H662" s="8" t="s">
        <v>467</v>
      </c>
      <c r="I662" s="8" t="n">
        <v>2</v>
      </c>
    </row>
    <row r="663" customFormat="false" ht="15.75" hidden="false" customHeight="false" outlineLevel="0" collapsed="false">
      <c r="A663" s="34" t="n">
        <v>42566.579536956</v>
      </c>
      <c r="F663" s="8" t="s">
        <v>74</v>
      </c>
      <c r="G663" s="8" t="n">
        <v>34</v>
      </c>
      <c r="H663" s="8" t="s">
        <v>467</v>
      </c>
      <c r="I663" s="8" t="n">
        <v>1</v>
      </c>
    </row>
    <row r="664" customFormat="false" ht="15.75" hidden="false" customHeight="false" outlineLevel="0" collapsed="false">
      <c r="A664" s="34" t="n">
        <v>42566.5880092593</v>
      </c>
      <c r="C664" s="8" t="s">
        <v>152</v>
      </c>
      <c r="D664" s="8" t="n">
        <v>410</v>
      </c>
      <c r="E664" s="8" t="n">
        <v>821</v>
      </c>
      <c r="G664" s="33"/>
      <c r="H664" s="8" t="s">
        <v>469</v>
      </c>
    </row>
    <row r="665" customFormat="false" ht="15.75" hidden="false" customHeight="false" outlineLevel="0" collapsed="false">
      <c r="A665" s="34" t="n">
        <v>42566.5899426505</v>
      </c>
      <c r="C665" s="8" t="s">
        <v>130</v>
      </c>
      <c r="D665" s="8" t="n">
        <v>459</v>
      </c>
      <c r="E665" s="8" t="n">
        <v>878</v>
      </c>
      <c r="G665" s="33"/>
      <c r="H665" s="8" t="s">
        <v>469</v>
      </c>
    </row>
    <row r="666" customFormat="false" ht="15.75" hidden="false" customHeight="false" outlineLevel="0" collapsed="false">
      <c r="A666" s="34" t="n">
        <v>42566.5903882176</v>
      </c>
      <c r="C666" s="8" t="s">
        <v>123</v>
      </c>
      <c r="D666" s="8" t="n">
        <v>395</v>
      </c>
      <c r="E666" s="8" t="n">
        <v>652</v>
      </c>
      <c r="G666" s="33"/>
      <c r="H666" s="8" t="s">
        <v>469</v>
      </c>
    </row>
    <row r="667" customFormat="false" ht="15.75" hidden="false" customHeight="false" outlineLevel="0" collapsed="false">
      <c r="A667" s="34" t="n">
        <v>42566.5906563079</v>
      </c>
      <c r="C667" s="8" t="s">
        <v>103</v>
      </c>
      <c r="D667" s="8" t="n">
        <v>374</v>
      </c>
      <c r="E667" s="8" t="n">
        <v>814</v>
      </c>
      <c r="G667" s="33"/>
      <c r="H667" s="8" t="s">
        <v>469</v>
      </c>
    </row>
    <row r="668" customFormat="false" ht="15.75" hidden="false" customHeight="false" outlineLevel="0" collapsed="false">
      <c r="A668" s="34" t="n">
        <v>42566.5912248727</v>
      </c>
      <c r="C668" s="8" t="s">
        <v>96</v>
      </c>
      <c r="D668" s="8" t="n">
        <v>665</v>
      </c>
      <c r="E668" s="8" t="n">
        <v>972</v>
      </c>
      <c r="G668" s="33"/>
      <c r="H668" s="8" t="s">
        <v>469</v>
      </c>
    </row>
    <row r="669" customFormat="false" ht="15.75" hidden="false" customHeight="false" outlineLevel="0" collapsed="false">
      <c r="A669" s="34" t="n">
        <v>42566.5916440046</v>
      </c>
      <c r="C669" s="8" t="s">
        <v>93</v>
      </c>
      <c r="D669" s="8" t="n">
        <v>314</v>
      </c>
      <c r="E669" s="8" t="n">
        <v>541</v>
      </c>
      <c r="G669" s="33"/>
      <c r="H669" s="8" t="s">
        <v>469</v>
      </c>
    </row>
    <row r="670" customFormat="false" ht="15.75" hidden="false" customHeight="false" outlineLevel="0" collapsed="false">
      <c r="A670" s="34" t="n">
        <v>42566.5931644676</v>
      </c>
      <c r="F670" s="8" t="s">
        <v>153</v>
      </c>
      <c r="G670" s="8" t="n">
        <v>39</v>
      </c>
      <c r="H670" s="8" t="s">
        <v>467</v>
      </c>
      <c r="I670" s="8" t="n">
        <v>2</v>
      </c>
    </row>
    <row r="671" customFormat="false" ht="15.75" hidden="false" customHeight="false" outlineLevel="0" collapsed="false">
      <c r="A671" s="34" t="n">
        <v>42566.6032692708</v>
      </c>
      <c r="C671" s="8" t="s">
        <v>153</v>
      </c>
      <c r="D671" s="8" t="n">
        <v>364</v>
      </c>
      <c r="E671" s="8" t="n">
        <v>994</v>
      </c>
      <c r="G671" s="33"/>
      <c r="H671" s="8" t="s">
        <v>468</v>
      </c>
    </row>
    <row r="672" customFormat="false" ht="15.75" hidden="false" customHeight="false" outlineLevel="0" collapsed="false">
      <c r="A672" s="34" t="n">
        <v>42566.6129409722</v>
      </c>
      <c r="C672" s="8" t="s">
        <v>24</v>
      </c>
      <c r="D672" s="8" t="n">
        <v>123</v>
      </c>
      <c r="E672" s="8" t="n">
        <v>321</v>
      </c>
      <c r="G672" s="33"/>
      <c r="H672" s="8" t="s">
        <v>468</v>
      </c>
    </row>
    <row r="673" customFormat="false" ht="15.75" hidden="false" customHeight="false" outlineLevel="0" collapsed="false">
      <c r="A673" s="34" t="n">
        <v>42566.6173903935</v>
      </c>
      <c r="F673" s="8" t="s">
        <v>34</v>
      </c>
      <c r="G673" s="8" t="n">
        <v>19</v>
      </c>
      <c r="H673" s="8" t="s">
        <v>467</v>
      </c>
      <c r="I673" s="8" t="n">
        <v>3</v>
      </c>
    </row>
    <row r="674" customFormat="false" ht="15.75" hidden="false" customHeight="false" outlineLevel="0" collapsed="false">
      <c r="A674" s="34" t="n">
        <v>42566.6176890394</v>
      </c>
      <c r="F674" s="8" t="s">
        <v>34</v>
      </c>
      <c r="G674" s="8" t="n">
        <v>19</v>
      </c>
      <c r="H674" s="8" t="s">
        <v>467</v>
      </c>
      <c r="I674" s="8" t="n">
        <v>3</v>
      </c>
    </row>
    <row r="675" customFormat="false" ht="15.75" hidden="false" customHeight="false" outlineLevel="0" collapsed="false">
      <c r="A675" s="34" t="n">
        <v>42566.6192825</v>
      </c>
      <c r="F675" s="8" t="s">
        <v>162</v>
      </c>
      <c r="G675" s="8" t="n">
        <v>44</v>
      </c>
      <c r="H675" s="8" t="s">
        <v>467</v>
      </c>
      <c r="I675" s="8" t="n">
        <v>3</v>
      </c>
    </row>
    <row r="676" customFormat="false" ht="15.75" hidden="false" customHeight="false" outlineLevel="0" collapsed="false">
      <c r="A676" s="34" t="n">
        <v>42566.6199053704</v>
      </c>
      <c r="F676" s="8" t="s">
        <v>162</v>
      </c>
      <c r="G676" s="8" t="n">
        <v>43</v>
      </c>
      <c r="H676" s="8" t="s">
        <v>467</v>
      </c>
      <c r="I676" s="8" t="n">
        <v>3</v>
      </c>
    </row>
    <row r="677" customFormat="false" ht="15.75" hidden="false" customHeight="false" outlineLevel="0" collapsed="false">
      <c r="A677" s="34" t="n">
        <v>42566.6203317361</v>
      </c>
      <c r="F677" s="8" t="s">
        <v>162</v>
      </c>
      <c r="G677" s="8" t="n">
        <v>44</v>
      </c>
      <c r="H677" s="8" t="s">
        <v>467</v>
      </c>
      <c r="I677" s="8" t="n">
        <v>3</v>
      </c>
    </row>
    <row r="678" customFormat="false" ht="15.75" hidden="false" customHeight="false" outlineLevel="0" collapsed="false">
      <c r="A678" s="34" t="n">
        <v>42566.6241003704</v>
      </c>
      <c r="C678" s="8" t="s">
        <v>61</v>
      </c>
      <c r="D678" s="8" t="n">
        <v>190</v>
      </c>
      <c r="E678" s="8" t="n">
        <v>607</v>
      </c>
      <c r="G678" s="33"/>
      <c r="H678" s="8" t="s">
        <v>468</v>
      </c>
    </row>
    <row r="679" customFormat="false" ht="15.75" hidden="false" customHeight="false" outlineLevel="0" collapsed="false">
      <c r="A679" s="34" t="n">
        <v>42566.624737419</v>
      </c>
      <c r="C679" s="8" t="s">
        <v>61</v>
      </c>
      <c r="D679" s="8" t="n">
        <v>186</v>
      </c>
      <c r="E679" s="8" t="n">
        <v>577</v>
      </c>
      <c r="G679" s="33"/>
      <c r="H679" s="8" t="s">
        <v>468</v>
      </c>
    </row>
    <row r="680" customFormat="false" ht="15.75" hidden="false" customHeight="false" outlineLevel="0" collapsed="false">
      <c r="A680" s="34" t="n">
        <v>42566.6313203704</v>
      </c>
      <c r="F680" s="8" t="s">
        <v>133</v>
      </c>
      <c r="G680" s="8" t="n">
        <v>24</v>
      </c>
      <c r="H680" s="8" t="s">
        <v>467</v>
      </c>
      <c r="I680" s="8" t="n">
        <v>1</v>
      </c>
    </row>
    <row r="681" customFormat="false" ht="15.75" hidden="false" customHeight="false" outlineLevel="0" collapsed="false">
      <c r="A681" s="34" t="n">
        <v>42566.6330151042</v>
      </c>
      <c r="C681" s="8" t="s">
        <v>153</v>
      </c>
      <c r="D681" s="8" t="n">
        <v>196</v>
      </c>
      <c r="E681" s="8" t="n">
        <v>214</v>
      </c>
      <c r="G681" s="33"/>
      <c r="H681" s="8" t="s">
        <v>468</v>
      </c>
    </row>
    <row r="682" customFormat="false" ht="15.75" hidden="false" customHeight="false" outlineLevel="0" collapsed="false">
      <c r="A682" s="34" t="n">
        <v>42566.6340610648</v>
      </c>
      <c r="F682" s="8" t="s">
        <v>155</v>
      </c>
      <c r="G682" s="8" t="n">
        <v>39</v>
      </c>
      <c r="H682" s="8" t="s">
        <v>467</v>
      </c>
      <c r="I682" s="8" t="n">
        <v>5</v>
      </c>
    </row>
    <row r="683" customFormat="false" ht="15.75" hidden="false" customHeight="false" outlineLevel="0" collapsed="false">
      <c r="A683" s="34" t="n">
        <v>42566.6631430324</v>
      </c>
      <c r="F683" s="8" t="s">
        <v>115</v>
      </c>
      <c r="G683" s="8" t="n">
        <v>1430</v>
      </c>
      <c r="H683" s="8" t="s">
        <v>470</v>
      </c>
      <c r="I683" s="8" t="n">
        <v>3550</v>
      </c>
    </row>
    <row r="684" customFormat="false" ht="15.75" hidden="false" customHeight="false" outlineLevel="0" collapsed="false">
      <c r="A684" s="34" t="n">
        <v>42566.6667204282</v>
      </c>
      <c r="C684" s="8" t="s">
        <v>154</v>
      </c>
      <c r="D684" s="8" t="n">
        <v>264</v>
      </c>
      <c r="E684" s="8" t="n">
        <v>529</v>
      </c>
      <c r="G684" s="33"/>
      <c r="H684" s="8" t="s">
        <v>468</v>
      </c>
    </row>
    <row r="685" customFormat="false" ht="15.75" hidden="false" customHeight="false" outlineLevel="0" collapsed="false">
      <c r="A685" s="34" t="n">
        <v>42566.6819783681</v>
      </c>
      <c r="C685" s="8" t="s">
        <v>91</v>
      </c>
      <c r="D685" s="8" t="n">
        <v>440</v>
      </c>
      <c r="E685" s="8" t="n">
        <v>890</v>
      </c>
      <c r="G685" s="33"/>
      <c r="H685" s="8" t="s">
        <v>468</v>
      </c>
    </row>
    <row r="686" customFormat="false" ht="15.75" hidden="false" customHeight="false" outlineLevel="0" collapsed="false">
      <c r="A686" s="34" t="n">
        <v>42566.6898784954</v>
      </c>
      <c r="C686" s="8" t="s">
        <v>122</v>
      </c>
      <c r="D686" s="8" t="n">
        <v>618</v>
      </c>
      <c r="E686" s="8" t="n">
        <v>1663</v>
      </c>
      <c r="G686" s="33"/>
      <c r="H686" s="8" t="s">
        <v>468</v>
      </c>
    </row>
    <row r="687" customFormat="false" ht="15.75" hidden="false" customHeight="false" outlineLevel="0" collapsed="false">
      <c r="A687" s="34" t="n">
        <v>42566.7004808565</v>
      </c>
      <c r="C687" s="8" t="s">
        <v>77</v>
      </c>
      <c r="D687" s="8" t="n">
        <v>269</v>
      </c>
      <c r="E687" s="8" t="n">
        <v>625</v>
      </c>
      <c r="G687" s="33"/>
      <c r="H687" s="8" t="s">
        <v>468</v>
      </c>
    </row>
    <row r="688" customFormat="false" ht="15.75" hidden="false" customHeight="false" outlineLevel="0" collapsed="false">
      <c r="A688" s="34" t="n">
        <v>42566.7007496991</v>
      </c>
      <c r="C688" s="8" t="s">
        <v>70</v>
      </c>
      <c r="D688" s="8" t="n">
        <v>118</v>
      </c>
      <c r="E688" s="8" t="n">
        <v>350</v>
      </c>
      <c r="G688" s="33"/>
      <c r="H688" s="8" t="s">
        <v>468</v>
      </c>
    </row>
    <row r="689" customFormat="false" ht="15.75" hidden="false" customHeight="false" outlineLevel="0" collapsed="false">
      <c r="A689" s="34" t="n">
        <v>42566.7010235532</v>
      </c>
      <c r="C689" s="8" t="s">
        <v>49</v>
      </c>
      <c r="D689" s="8" t="n">
        <v>295</v>
      </c>
      <c r="E689" s="8" t="n">
        <v>492</v>
      </c>
      <c r="G689" s="33"/>
      <c r="H689" s="8" t="s">
        <v>468</v>
      </c>
    </row>
    <row r="690" customFormat="false" ht="15.75" hidden="false" customHeight="false" outlineLevel="0" collapsed="false">
      <c r="A690" s="34" t="n">
        <v>42566.7012607986</v>
      </c>
      <c r="C690" s="8" t="s">
        <v>138</v>
      </c>
      <c r="D690" s="8" t="n">
        <v>391</v>
      </c>
      <c r="E690" s="8" t="n">
        <v>845</v>
      </c>
      <c r="G690" s="33"/>
      <c r="H690" s="8" t="s">
        <v>468</v>
      </c>
    </row>
    <row r="691" customFormat="false" ht="15.75" hidden="false" customHeight="false" outlineLevel="0" collapsed="false">
      <c r="A691" s="34" t="n">
        <v>42566.7014761343</v>
      </c>
      <c r="C691" s="8" t="s">
        <v>47</v>
      </c>
      <c r="D691" s="8" t="n">
        <v>352</v>
      </c>
      <c r="E691" s="8" t="n">
        <v>807</v>
      </c>
      <c r="G691" s="33"/>
      <c r="H691" s="8" t="s">
        <v>468</v>
      </c>
    </row>
    <row r="692" customFormat="false" ht="15.75" hidden="false" customHeight="false" outlineLevel="0" collapsed="false">
      <c r="A692" s="34" t="n">
        <v>42566.701675162</v>
      </c>
      <c r="C692" s="8" t="s">
        <v>33</v>
      </c>
      <c r="D692" s="8" t="n">
        <v>206</v>
      </c>
      <c r="E692" s="8" t="n">
        <v>224</v>
      </c>
      <c r="G692" s="33"/>
      <c r="H692" s="8" t="s">
        <v>468</v>
      </c>
    </row>
    <row r="693" customFormat="false" ht="15.75" hidden="false" customHeight="false" outlineLevel="0" collapsed="false">
      <c r="A693" s="34" t="n">
        <v>42566.7021875116</v>
      </c>
      <c r="C693" s="8" t="s">
        <v>61</v>
      </c>
      <c r="D693" s="8" t="n">
        <v>260</v>
      </c>
      <c r="E693" s="8" t="n">
        <v>793</v>
      </c>
      <c r="G693" s="33"/>
      <c r="H693" s="8" t="s">
        <v>468</v>
      </c>
    </row>
    <row r="694" customFormat="false" ht="15.75" hidden="false" customHeight="false" outlineLevel="0" collapsed="false">
      <c r="A694" s="34" t="n">
        <v>42566.7023839931</v>
      </c>
      <c r="C694" s="8" t="s">
        <v>39</v>
      </c>
      <c r="D694" s="8" t="n">
        <v>244</v>
      </c>
      <c r="E694" s="8" t="n">
        <v>611</v>
      </c>
      <c r="G694" s="33"/>
      <c r="H694" s="8" t="s">
        <v>468</v>
      </c>
    </row>
    <row r="695" customFormat="false" ht="15.75" hidden="false" customHeight="false" outlineLevel="0" collapsed="false">
      <c r="A695" s="34" t="n">
        <v>42566.7150809491</v>
      </c>
      <c r="F695" s="8" t="s">
        <v>131</v>
      </c>
      <c r="G695" s="8" t="n">
        <v>33</v>
      </c>
      <c r="H695" s="8" t="s">
        <v>467</v>
      </c>
      <c r="I695" s="8" t="n">
        <v>5</v>
      </c>
    </row>
    <row r="696" customFormat="false" ht="15.75" hidden="false" customHeight="false" outlineLevel="0" collapsed="false">
      <c r="A696" s="34" t="n">
        <v>42566.7155480208</v>
      </c>
      <c r="F696" s="8" t="s">
        <v>35</v>
      </c>
      <c r="G696" s="8" t="n">
        <v>11</v>
      </c>
      <c r="H696" s="8" t="s">
        <v>467</v>
      </c>
      <c r="I696" s="8" t="n">
        <v>1</v>
      </c>
    </row>
    <row r="697" customFormat="false" ht="15.75" hidden="false" customHeight="false" outlineLevel="0" collapsed="false">
      <c r="A697" s="34" t="n">
        <v>42566.7157666088</v>
      </c>
      <c r="F697" s="8" t="s">
        <v>131</v>
      </c>
      <c r="G697" s="8" t="n">
        <v>33</v>
      </c>
      <c r="H697" s="8" t="s">
        <v>467</v>
      </c>
      <c r="I697" s="8" t="n">
        <v>3</v>
      </c>
    </row>
    <row r="698" customFormat="false" ht="15.75" hidden="false" customHeight="false" outlineLevel="0" collapsed="false">
      <c r="A698" s="34" t="n">
        <v>42566.7161166898</v>
      </c>
      <c r="F698" s="8" t="s">
        <v>131</v>
      </c>
      <c r="G698" s="8" t="n">
        <v>33</v>
      </c>
      <c r="H698" s="8" t="s">
        <v>467</v>
      </c>
      <c r="I698" s="8" t="n">
        <v>4</v>
      </c>
    </row>
    <row r="699" customFormat="false" ht="15.75" hidden="false" customHeight="false" outlineLevel="0" collapsed="false">
      <c r="A699" s="34" t="n">
        <v>42566.7164018866</v>
      </c>
      <c r="F699" s="8" t="s">
        <v>131</v>
      </c>
      <c r="G699" s="8" t="n">
        <v>33</v>
      </c>
      <c r="H699" s="8" t="s">
        <v>467</v>
      </c>
      <c r="I699" s="8" t="n">
        <v>5</v>
      </c>
    </row>
    <row r="700" customFormat="false" ht="15.75" hidden="false" customHeight="false" outlineLevel="0" collapsed="false">
      <c r="A700" s="34" t="n">
        <v>42566.716764456</v>
      </c>
      <c r="F700" s="8" t="s">
        <v>131</v>
      </c>
      <c r="G700" s="8" t="n">
        <v>33</v>
      </c>
      <c r="H700" s="8" t="s">
        <v>467</v>
      </c>
      <c r="I700" s="8" t="n">
        <v>6</v>
      </c>
    </row>
    <row r="701" customFormat="false" ht="15.75" hidden="false" customHeight="false" outlineLevel="0" collapsed="false">
      <c r="A701" s="34" t="n">
        <v>42566.7168817014</v>
      </c>
      <c r="F701" s="8" t="s">
        <v>131</v>
      </c>
      <c r="G701" s="8" t="n">
        <v>33</v>
      </c>
      <c r="H701" s="8" t="s">
        <v>467</v>
      </c>
      <c r="I701" s="8" t="n">
        <v>7</v>
      </c>
    </row>
    <row r="702" customFormat="false" ht="15.75" hidden="false" customHeight="false" outlineLevel="0" collapsed="false">
      <c r="A702" s="34" t="n">
        <v>42566.7422702083</v>
      </c>
      <c r="C702" s="8" t="s">
        <v>152</v>
      </c>
      <c r="D702" s="8" t="n">
        <v>264</v>
      </c>
      <c r="E702" s="8" t="n">
        <v>698</v>
      </c>
      <c r="G702" s="33"/>
      <c r="H702" s="8" t="s">
        <v>469</v>
      </c>
    </row>
    <row r="703" customFormat="false" ht="15.75" hidden="false" customHeight="false" outlineLevel="0" collapsed="false">
      <c r="A703" s="34" t="n">
        <v>42566.7498764815</v>
      </c>
      <c r="F703" s="8" t="s">
        <v>37</v>
      </c>
      <c r="G703" s="8" t="n">
        <v>28</v>
      </c>
      <c r="H703" s="8" t="s">
        <v>467</v>
      </c>
      <c r="I703" s="8" t="n">
        <v>2</v>
      </c>
    </row>
    <row r="704" customFormat="false" ht="15.75" hidden="false" customHeight="false" outlineLevel="0" collapsed="false">
      <c r="A704" s="34" t="n">
        <v>42566.7663554977</v>
      </c>
      <c r="F704" s="8" t="s">
        <v>147</v>
      </c>
      <c r="G704" s="8" t="n">
        <v>26</v>
      </c>
      <c r="H704" s="8" t="s">
        <v>467</v>
      </c>
      <c r="I704" s="8" t="n">
        <v>2</v>
      </c>
    </row>
    <row r="705" customFormat="false" ht="15.75" hidden="false" customHeight="false" outlineLevel="0" collapsed="false">
      <c r="A705" s="34" t="n">
        <v>42566.7858770833</v>
      </c>
      <c r="F705" s="8" t="s">
        <v>145</v>
      </c>
      <c r="G705" s="8" t="n">
        <v>32</v>
      </c>
      <c r="H705" s="8" t="s">
        <v>467</v>
      </c>
      <c r="I705" s="8" t="n">
        <v>1</v>
      </c>
    </row>
    <row r="706" customFormat="false" ht="15.75" hidden="false" customHeight="false" outlineLevel="0" collapsed="false">
      <c r="A706" s="34" t="n">
        <v>42566.7896708565</v>
      </c>
      <c r="F706" s="8" t="s">
        <v>145</v>
      </c>
      <c r="G706" s="8" t="n">
        <v>31</v>
      </c>
      <c r="H706" s="8" t="s">
        <v>467</v>
      </c>
      <c r="I706" s="8" t="n">
        <v>2</v>
      </c>
    </row>
    <row r="707" customFormat="false" ht="15.75" hidden="false" customHeight="false" outlineLevel="0" collapsed="false">
      <c r="A707" s="34" t="n">
        <v>42566.790129537</v>
      </c>
      <c r="F707" s="8" t="s">
        <v>145</v>
      </c>
      <c r="G707" s="8" t="n">
        <v>31</v>
      </c>
      <c r="H707" s="8" t="s">
        <v>467</v>
      </c>
      <c r="I707" s="8" t="n">
        <v>1</v>
      </c>
    </row>
    <row r="708" customFormat="false" ht="15.75" hidden="false" customHeight="false" outlineLevel="0" collapsed="false">
      <c r="A708" s="34" t="n">
        <v>42566.7915918981</v>
      </c>
      <c r="F708" s="8" t="s">
        <v>144</v>
      </c>
      <c r="G708" s="8" t="n">
        <v>31</v>
      </c>
      <c r="H708" s="8" t="s">
        <v>467</v>
      </c>
      <c r="I708" s="8" t="n">
        <v>3</v>
      </c>
    </row>
    <row r="709" customFormat="false" ht="15.75" hidden="false" customHeight="false" outlineLevel="0" collapsed="false">
      <c r="A709" s="34" t="n">
        <v>42566.7918281019</v>
      </c>
      <c r="F709" s="8" t="s">
        <v>144</v>
      </c>
      <c r="G709" s="8" t="n">
        <v>31</v>
      </c>
      <c r="H709" s="8" t="s">
        <v>467</v>
      </c>
      <c r="I709" s="8" t="n">
        <v>2</v>
      </c>
    </row>
    <row r="710" customFormat="false" ht="15.75" hidden="false" customHeight="false" outlineLevel="0" collapsed="false">
      <c r="A710" s="34" t="n">
        <v>42566.8147022801</v>
      </c>
      <c r="F710" s="8" t="s">
        <v>36</v>
      </c>
      <c r="G710" s="8" t="n">
        <v>17</v>
      </c>
      <c r="H710" s="8" t="s">
        <v>467</v>
      </c>
    </row>
    <row r="711" customFormat="false" ht="15.75" hidden="false" customHeight="false" outlineLevel="0" collapsed="false">
      <c r="A711" s="34" t="n">
        <v>42566.8159800232</v>
      </c>
      <c r="C711" s="8" t="s">
        <v>37</v>
      </c>
      <c r="D711" s="8" t="n">
        <v>80</v>
      </c>
      <c r="E711" s="8" t="n">
        <v>508</v>
      </c>
      <c r="G711" s="33"/>
      <c r="H711" s="8" t="s">
        <v>468</v>
      </c>
    </row>
    <row r="712" customFormat="false" ht="15.75" hidden="false" customHeight="false" outlineLevel="0" collapsed="false">
      <c r="A712" s="34" t="n">
        <v>42566.832766169</v>
      </c>
      <c r="F712" s="8" t="s">
        <v>116</v>
      </c>
      <c r="G712" s="8" t="n">
        <v>30</v>
      </c>
      <c r="H712" s="8" t="s">
        <v>467</v>
      </c>
      <c r="I712" s="8" t="n">
        <v>2</v>
      </c>
    </row>
    <row r="713" customFormat="false" ht="15.75" hidden="false" customHeight="false" outlineLevel="0" collapsed="false">
      <c r="A713" s="34" t="n">
        <v>42566.8355079398</v>
      </c>
      <c r="C713" s="8" t="s">
        <v>35</v>
      </c>
      <c r="D713" s="8" t="n">
        <v>534</v>
      </c>
      <c r="E713" s="8" t="n">
        <v>567</v>
      </c>
      <c r="G713" s="33"/>
      <c r="H713" s="8" t="s">
        <v>469</v>
      </c>
    </row>
    <row r="714" customFormat="false" ht="15.75" hidden="false" customHeight="false" outlineLevel="0" collapsed="false">
      <c r="A714" s="34" t="n">
        <v>42566.8451868982</v>
      </c>
      <c r="F714" s="8" t="s">
        <v>161</v>
      </c>
      <c r="G714" s="8" t="n">
        <v>31</v>
      </c>
      <c r="H714" s="8" t="s">
        <v>467</v>
      </c>
      <c r="I714" s="8" t="n">
        <v>2</v>
      </c>
    </row>
    <row r="715" customFormat="false" ht="15.75" hidden="false" customHeight="false" outlineLevel="0" collapsed="false">
      <c r="A715" s="34" t="n">
        <v>42566.8670667014</v>
      </c>
      <c r="F715" s="8" t="s">
        <v>31</v>
      </c>
      <c r="G715" s="8" t="n">
        <v>18</v>
      </c>
      <c r="H715" s="8" t="s">
        <v>467</v>
      </c>
      <c r="I715" s="8" t="n">
        <v>1</v>
      </c>
    </row>
    <row r="716" customFormat="false" ht="15.75" hidden="false" customHeight="false" outlineLevel="0" collapsed="false">
      <c r="A716" s="34" t="n">
        <v>42566.8900835301</v>
      </c>
      <c r="F716" s="8" t="s">
        <v>146</v>
      </c>
      <c r="G716" s="8" t="n">
        <v>30</v>
      </c>
      <c r="H716" s="8" t="s">
        <v>467</v>
      </c>
      <c r="I716" s="8" t="n">
        <v>1</v>
      </c>
    </row>
    <row r="717" customFormat="false" ht="15.75" hidden="false" customHeight="false" outlineLevel="0" collapsed="false">
      <c r="A717" s="34" t="n">
        <v>42566.8903560764</v>
      </c>
      <c r="F717" s="8" t="s">
        <v>146</v>
      </c>
      <c r="G717" s="8" t="n">
        <v>30</v>
      </c>
      <c r="H717" s="8" t="s">
        <v>467</v>
      </c>
      <c r="I717" s="8" t="n">
        <v>2</v>
      </c>
    </row>
    <row r="718" customFormat="false" ht="15.75" hidden="false" customHeight="false" outlineLevel="0" collapsed="false">
      <c r="A718" s="34" t="n">
        <v>42566.9033617477</v>
      </c>
      <c r="C718" s="8" t="s">
        <v>149</v>
      </c>
      <c r="D718" s="8" t="n">
        <v>138</v>
      </c>
      <c r="E718" s="8" t="n">
        <v>1536</v>
      </c>
      <c r="G718" s="33"/>
      <c r="H718" s="8" t="s">
        <v>468</v>
      </c>
    </row>
    <row r="719" customFormat="false" ht="15.75" hidden="false" customHeight="false" outlineLevel="0" collapsed="false">
      <c r="A719" s="34" t="n">
        <v>42566.9055486227</v>
      </c>
      <c r="F719" s="8" t="s">
        <v>28</v>
      </c>
      <c r="G719" s="8" t="n">
        <v>20</v>
      </c>
      <c r="H719" s="8" t="s">
        <v>470</v>
      </c>
      <c r="I719" s="8" t="n">
        <v>45</v>
      </c>
    </row>
    <row r="720" customFormat="false" ht="15.75" hidden="false" customHeight="false" outlineLevel="0" collapsed="false">
      <c r="A720" s="34" t="n">
        <v>42566.9417240046</v>
      </c>
      <c r="F720" s="8" t="s">
        <v>74</v>
      </c>
      <c r="G720" s="8" t="n">
        <v>31</v>
      </c>
      <c r="H720" s="8" t="s">
        <v>467</v>
      </c>
      <c r="I720" s="8" t="n">
        <v>2</v>
      </c>
    </row>
    <row r="721" customFormat="false" ht="15.75" hidden="false" customHeight="false" outlineLevel="0" collapsed="false">
      <c r="A721" s="34" t="n">
        <v>42566.9639251736</v>
      </c>
      <c r="C721" s="8" t="s">
        <v>152</v>
      </c>
      <c r="D721" s="8" t="n">
        <v>412</v>
      </c>
      <c r="E721" s="8" t="n">
        <v>1042</v>
      </c>
      <c r="G721" s="33"/>
      <c r="H721" s="8" t="s">
        <v>469</v>
      </c>
    </row>
    <row r="722" customFormat="false" ht="15.75" hidden="false" customHeight="false" outlineLevel="0" collapsed="false">
      <c r="A722" s="34" t="n">
        <v>42566.9662203009</v>
      </c>
      <c r="C722" s="8" t="s">
        <v>116</v>
      </c>
      <c r="D722" s="8" t="n">
        <v>575</v>
      </c>
      <c r="E722" s="8" t="n">
        <v>1191</v>
      </c>
      <c r="G722" s="33"/>
      <c r="H722" s="8" t="s">
        <v>468</v>
      </c>
    </row>
    <row r="723" customFormat="false" ht="15.75" hidden="false" customHeight="false" outlineLevel="0" collapsed="false">
      <c r="A723" s="34" t="n">
        <v>42566.9684831945</v>
      </c>
      <c r="C723" s="8" t="s">
        <v>66</v>
      </c>
      <c r="D723" s="8" t="n">
        <v>493</v>
      </c>
      <c r="E723" s="8" t="n">
        <v>958</v>
      </c>
      <c r="G723" s="33"/>
      <c r="H723" s="8" t="s">
        <v>468</v>
      </c>
    </row>
    <row r="724" customFormat="false" ht="15.75" hidden="false" customHeight="false" outlineLevel="0" collapsed="false">
      <c r="A724" s="34" t="n">
        <v>42566.9693048495</v>
      </c>
      <c r="C724" s="8" t="s">
        <v>37</v>
      </c>
      <c r="D724" s="8" t="n">
        <v>601</v>
      </c>
      <c r="E724" s="8" t="n">
        <v>1052</v>
      </c>
      <c r="G724" s="33"/>
      <c r="H724" s="8" t="s">
        <v>468</v>
      </c>
    </row>
    <row r="725" customFormat="false" ht="15.75" hidden="false" customHeight="false" outlineLevel="0" collapsed="false">
      <c r="A725" s="34" t="n">
        <v>42566.9708593519</v>
      </c>
      <c r="C725" s="8" t="s">
        <v>154</v>
      </c>
      <c r="D725" s="8" t="n">
        <v>436</v>
      </c>
      <c r="E725" s="8" t="n">
        <v>879</v>
      </c>
      <c r="G725" s="33"/>
      <c r="H725" s="8" t="s">
        <v>468</v>
      </c>
    </row>
    <row r="726" customFormat="false" ht="15.75" hidden="false" customHeight="false" outlineLevel="0" collapsed="false">
      <c r="A726" s="34" t="n">
        <v>42566.9773694907</v>
      </c>
      <c r="C726" s="8" t="s">
        <v>37</v>
      </c>
      <c r="D726" s="8" t="n">
        <v>350</v>
      </c>
      <c r="E726" s="8" t="n">
        <v>600</v>
      </c>
      <c r="G726" s="33"/>
      <c r="H726" s="8" t="s">
        <v>468</v>
      </c>
    </row>
    <row r="727" customFormat="false" ht="15.75" hidden="false" customHeight="false" outlineLevel="0" collapsed="false">
      <c r="A727" s="34" t="n">
        <v>42566.9903371644</v>
      </c>
      <c r="C727" s="8" t="s">
        <v>104</v>
      </c>
      <c r="D727" s="8" t="n">
        <v>408</v>
      </c>
      <c r="E727" s="8" t="n">
        <v>899</v>
      </c>
      <c r="G727" s="33"/>
      <c r="H727" s="8" t="s">
        <v>468</v>
      </c>
    </row>
    <row r="728" customFormat="false" ht="15.75" hidden="false" customHeight="false" outlineLevel="0" collapsed="false">
      <c r="A728" s="34" t="n">
        <v>42567.0201617361</v>
      </c>
      <c r="F728" s="8" t="s">
        <v>37</v>
      </c>
      <c r="G728" s="8" t="n">
        <v>29</v>
      </c>
      <c r="H728" s="8" t="s">
        <v>467</v>
      </c>
      <c r="I728" s="8" t="n">
        <v>2</v>
      </c>
    </row>
    <row r="729" customFormat="false" ht="15.75" hidden="false" customHeight="false" outlineLevel="0" collapsed="false">
      <c r="A729" s="34" t="n">
        <v>42567.0805093287</v>
      </c>
      <c r="F729" s="8" t="s">
        <v>155</v>
      </c>
      <c r="G729" s="8" t="n">
        <v>37</v>
      </c>
      <c r="H729" s="8" t="s">
        <v>467</v>
      </c>
    </row>
    <row r="730" customFormat="false" ht="15.75" hidden="false" customHeight="false" outlineLevel="0" collapsed="false">
      <c r="A730" s="34" t="n">
        <v>42567.0991339352</v>
      </c>
      <c r="F730" s="8" t="s">
        <v>152</v>
      </c>
      <c r="G730" s="8" t="n">
        <v>14</v>
      </c>
      <c r="H730" s="8" t="s">
        <v>467</v>
      </c>
      <c r="I730" s="8" t="n">
        <v>1</v>
      </c>
    </row>
    <row r="731" customFormat="false" ht="15.75" hidden="false" customHeight="false" outlineLevel="0" collapsed="false">
      <c r="A731" s="34" t="n">
        <v>42567.1135080903</v>
      </c>
      <c r="F731" s="8" t="s">
        <v>37</v>
      </c>
      <c r="G731" s="8" t="n">
        <v>27</v>
      </c>
      <c r="H731" s="8" t="s">
        <v>467</v>
      </c>
      <c r="I731" s="8" t="n">
        <v>2</v>
      </c>
    </row>
    <row r="732" customFormat="false" ht="15.75" hidden="false" customHeight="false" outlineLevel="0" collapsed="false">
      <c r="A732" s="34" t="n">
        <v>42567.1185166898</v>
      </c>
      <c r="F732" s="8" t="s">
        <v>154</v>
      </c>
      <c r="G732" s="8" t="n">
        <v>31</v>
      </c>
      <c r="H732" s="8" t="s">
        <v>467</v>
      </c>
    </row>
    <row r="733" customFormat="false" ht="15.75" hidden="false" customHeight="false" outlineLevel="0" collapsed="false">
      <c r="A733" s="34" t="n">
        <v>42567.1363609375</v>
      </c>
      <c r="C733" s="8" t="s">
        <v>155</v>
      </c>
      <c r="D733" s="8" t="n">
        <v>480</v>
      </c>
      <c r="E733" s="8" t="n">
        <v>1222</v>
      </c>
      <c r="G733" s="33"/>
      <c r="H733" s="8" t="s">
        <v>468</v>
      </c>
    </row>
    <row r="734" customFormat="false" ht="15.75" hidden="false" customHeight="false" outlineLevel="0" collapsed="false">
      <c r="A734" s="34" t="n">
        <v>42567.1412984954</v>
      </c>
      <c r="F734" s="8" t="s">
        <v>36</v>
      </c>
      <c r="G734" s="8" t="n">
        <v>325</v>
      </c>
      <c r="H734" s="8" t="s">
        <v>470</v>
      </c>
    </row>
    <row r="735" customFormat="false" ht="15.75" hidden="false" customHeight="false" outlineLevel="0" collapsed="false">
      <c r="A735" s="34" t="n">
        <v>42567.1549127894</v>
      </c>
      <c r="F735" s="8" t="s">
        <v>122</v>
      </c>
      <c r="G735" s="8" t="n">
        <v>41</v>
      </c>
      <c r="H735" s="8" t="s">
        <v>467</v>
      </c>
      <c r="I735" s="8" t="n">
        <v>2</v>
      </c>
    </row>
    <row r="736" customFormat="false" ht="15.75" hidden="false" customHeight="false" outlineLevel="0" collapsed="false">
      <c r="A736" s="34" t="n">
        <v>42567.1602124074</v>
      </c>
      <c r="C736" s="8" t="s">
        <v>149</v>
      </c>
      <c r="D736" s="8" t="n">
        <v>147</v>
      </c>
      <c r="E736" s="8" t="n">
        <v>1629</v>
      </c>
      <c r="G736" s="33"/>
      <c r="H736" s="8" t="s">
        <v>468</v>
      </c>
    </row>
    <row r="737" customFormat="false" ht="15.75" hidden="false" customHeight="false" outlineLevel="0" collapsed="false">
      <c r="A737" s="34" t="n">
        <v>42567.1762691319</v>
      </c>
      <c r="F737" s="8" t="s">
        <v>116</v>
      </c>
      <c r="G737" s="8" t="n">
        <v>31</v>
      </c>
      <c r="H737" s="8" t="s">
        <v>467</v>
      </c>
      <c r="I737" s="8" t="n">
        <v>2</v>
      </c>
    </row>
    <row r="738" customFormat="false" ht="15.75" hidden="false" customHeight="false" outlineLevel="0" collapsed="false">
      <c r="A738" s="34" t="n">
        <v>42567.1997720486</v>
      </c>
      <c r="C738" s="8" t="s">
        <v>28</v>
      </c>
      <c r="D738" s="8" t="n">
        <v>570</v>
      </c>
      <c r="E738" s="8" t="n">
        <v>980</v>
      </c>
      <c r="G738" s="33"/>
      <c r="H738" s="8" t="s">
        <v>468</v>
      </c>
    </row>
    <row r="739" customFormat="false" ht="15.75" hidden="false" customHeight="false" outlineLevel="0" collapsed="false">
      <c r="A739" s="34" t="n">
        <v>42567.2159423843</v>
      </c>
      <c r="F739" s="8" t="s">
        <v>36</v>
      </c>
      <c r="G739" s="8" t="n">
        <v>28</v>
      </c>
      <c r="H739" s="8" t="s">
        <v>467</v>
      </c>
      <c r="I739" s="8" t="n">
        <v>1</v>
      </c>
    </row>
    <row r="740" customFormat="false" ht="15.75" hidden="false" customHeight="false" outlineLevel="0" collapsed="false">
      <c r="A740" s="34" t="n">
        <v>42567.2755189468</v>
      </c>
      <c r="F740" s="8" t="s">
        <v>162</v>
      </c>
      <c r="G740" s="8" t="n">
        <v>43</v>
      </c>
      <c r="H740" s="8" t="s">
        <v>467</v>
      </c>
      <c r="I740" s="8" t="n">
        <v>3</v>
      </c>
    </row>
    <row r="741" customFormat="false" ht="15.75" hidden="false" customHeight="false" outlineLevel="0" collapsed="false">
      <c r="A741" s="34" t="n">
        <v>42567.275594757</v>
      </c>
      <c r="F741" s="8" t="s">
        <v>168</v>
      </c>
      <c r="G741" s="8" t="n">
        <v>47</v>
      </c>
      <c r="H741" s="8" t="s">
        <v>467</v>
      </c>
    </row>
    <row r="742" customFormat="false" ht="15.75" hidden="false" customHeight="false" outlineLevel="0" collapsed="false">
      <c r="A742" s="34" t="n">
        <v>42567.2809128588</v>
      </c>
      <c r="C742" s="8" t="s">
        <v>116</v>
      </c>
      <c r="D742" s="8" t="n">
        <v>945</v>
      </c>
      <c r="E742" s="8" t="n">
        <v>975</v>
      </c>
      <c r="G742" s="33"/>
      <c r="H742" s="8" t="s">
        <v>468</v>
      </c>
    </row>
    <row r="743" customFormat="false" ht="15.75" hidden="false" customHeight="false" outlineLevel="0" collapsed="false">
      <c r="A743" s="34" t="n">
        <v>42567.3061933681</v>
      </c>
      <c r="F743" s="8" t="s">
        <v>150</v>
      </c>
      <c r="G743" s="8" t="n">
        <v>84</v>
      </c>
      <c r="H743" s="8" t="s">
        <v>467</v>
      </c>
    </row>
    <row r="744" customFormat="false" ht="15.75" hidden="false" customHeight="false" outlineLevel="0" collapsed="false">
      <c r="A744" s="34" t="n">
        <v>42567.3415325463</v>
      </c>
      <c r="C744" s="8" t="s">
        <v>169</v>
      </c>
      <c r="D744" s="8" t="s">
        <v>472</v>
      </c>
      <c r="E744" s="8" t="s">
        <v>473</v>
      </c>
      <c r="G744" s="33"/>
      <c r="H744" s="8" t="s">
        <v>469</v>
      </c>
    </row>
    <row r="745" customFormat="false" ht="15.75" hidden="false" customHeight="false" outlineLevel="0" collapsed="false">
      <c r="A745" s="34" t="n">
        <v>42567.3466557176</v>
      </c>
      <c r="F745" s="8" t="s">
        <v>153</v>
      </c>
      <c r="G745" s="8" t="n">
        <v>39</v>
      </c>
      <c r="H745" s="8" t="s">
        <v>467</v>
      </c>
      <c r="I745" s="8" t="n">
        <v>2</v>
      </c>
    </row>
    <row r="746" customFormat="false" ht="15.75" hidden="false" customHeight="false" outlineLevel="0" collapsed="false">
      <c r="A746" s="34" t="n">
        <v>42567.3468768287</v>
      </c>
      <c r="F746" s="8" t="s">
        <v>153</v>
      </c>
      <c r="G746" s="8" t="n">
        <v>39</v>
      </c>
      <c r="H746" s="8" t="s">
        <v>467</v>
      </c>
      <c r="I746" s="8" t="n">
        <v>3</v>
      </c>
    </row>
    <row r="747" customFormat="false" ht="15.75" hidden="false" customHeight="false" outlineLevel="0" collapsed="false">
      <c r="A747" s="34" t="n">
        <v>42567.4134823958</v>
      </c>
      <c r="C747" s="8" t="s">
        <v>115</v>
      </c>
      <c r="D747" s="8" t="n">
        <v>598</v>
      </c>
      <c r="E747" s="8" t="n">
        <v>1224</v>
      </c>
      <c r="G747" s="33"/>
      <c r="H747" s="8" t="s">
        <v>468</v>
      </c>
    </row>
    <row r="748" customFormat="false" ht="15.75" hidden="false" customHeight="false" outlineLevel="0" collapsed="false">
      <c r="A748" s="34" t="n">
        <v>42567.4559432176</v>
      </c>
      <c r="C748" s="8" t="s">
        <v>154</v>
      </c>
      <c r="D748" s="8" t="n">
        <v>585</v>
      </c>
      <c r="E748" s="8" t="n">
        <v>1175</v>
      </c>
      <c r="G748" s="33"/>
      <c r="H748" s="8" t="s">
        <v>468</v>
      </c>
    </row>
    <row r="749" customFormat="false" ht="15.75" hidden="false" customHeight="false" outlineLevel="0" collapsed="false">
      <c r="A749" s="34" t="n">
        <v>42567.5094334606</v>
      </c>
      <c r="F749" s="8" t="s">
        <v>152</v>
      </c>
      <c r="G749" s="8" t="n">
        <v>378</v>
      </c>
      <c r="H749" s="8" t="s">
        <v>467</v>
      </c>
      <c r="I749" s="8" t="n">
        <v>1005</v>
      </c>
    </row>
    <row r="750" customFormat="false" ht="15.75" hidden="false" customHeight="false" outlineLevel="0" collapsed="false">
      <c r="A750" s="34" t="n">
        <v>42567.510003588</v>
      </c>
      <c r="C750" s="8" t="s">
        <v>152</v>
      </c>
      <c r="D750" s="8" t="n">
        <v>378</v>
      </c>
      <c r="E750" s="8" t="n">
        <v>1005</v>
      </c>
      <c r="G750" s="33"/>
      <c r="H750" s="8" t="s">
        <v>468</v>
      </c>
    </row>
    <row r="751" customFormat="false" ht="15.75" hidden="false" customHeight="false" outlineLevel="0" collapsed="false">
      <c r="A751" s="34" t="n">
        <v>42567.5279877894</v>
      </c>
      <c r="F751" s="8" t="s">
        <v>84</v>
      </c>
      <c r="G751" s="8" t="n">
        <v>50</v>
      </c>
      <c r="H751" s="8" t="s">
        <v>471</v>
      </c>
      <c r="I751" s="8" t="n">
        <v>10</v>
      </c>
    </row>
    <row r="752" customFormat="false" ht="15.75" hidden="false" customHeight="false" outlineLevel="0" collapsed="false">
      <c r="A752" s="34" t="n">
        <v>42567.5434958796</v>
      </c>
      <c r="F752" s="8" t="s">
        <v>82</v>
      </c>
      <c r="G752" s="8" t="n">
        <v>0</v>
      </c>
      <c r="H752" s="8" t="s">
        <v>467</v>
      </c>
      <c r="I752" s="8" t="n">
        <v>0</v>
      </c>
    </row>
    <row r="753" customFormat="false" ht="15.75" hidden="false" customHeight="false" outlineLevel="0" collapsed="false">
      <c r="A753" s="34" t="n">
        <v>42567.5473072107</v>
      </c>
      <c r="F753" s="8" t="s">
        <v>131</v>
      </c>
      <c r="G753" s="8" t="n">
        <v>31</v>
      </c>
      <c r="H753" s="8" t="s">
        <v>467</v>
      </c>
    </row>
    <row r="754" customFormat="false" ht="15.75" hidden="false" customHeight="false" outlineLevel="0" collapsed="false">
      <c r="A754" s="34" t="n">
        <v>42567.5547948495</v>
      </c>
      <c r="F754" s="8" t="s">
        <v>149</v>
      </c>
      <c r="G754" s="8" t="n">
        <v>37</v>
      </c>
      <c r="H754" s="8" t="s">
        <v>467</v>
      </c>
      <c r="I754" s="8" t="n">
        <v>2</v>
      </c>
    </row>
    <row r="755" customFormat="false" ht="15.75" hidden="false" customHeight="false" outlineLevel="0" collapsed="false">
      <c r="A755" s="34" t="n">
        <v>42567.5684241088</v>
      </c>
      <c r="F755" s="8" t="s">
        <v>145</v>
      </c>
      <c r="G755" s="8" t="n">
        <v>33</v>
      </c>
      <c r="H755" s="8" t="s">
        <v>467</v>
      </c>
      <c r="I755" s="8" t="n">
        <v>16</v>
      </c>
    </row>
    <row r="756" customFormat="false" ht="15.75" hidden="false" customHeight="false" outlineLevel="0" collapsed="false">
      <c r="A756" s="34" t="n">
        <v>42567.5925233565</v>
      </c>
      <c r="C756" s="8" t="s">
        <v>153</v>
      </c>
      <c r="D756" s="8" t="n">
        <v>415</v>
      </c>
      <c r="E756" s="8" t="n">
        <v>1111</v>
      </c>
      <c r="G756" s="33"/>
      <c r="H756" s="8" t="s">
        <v>468</v>
      </c>
    </row>
    <row r="757" customFormat="false" ht="15.75" hidden="false" customHeight="false" outlineLevel="0" collapsed="false">
      <c r="A757" s="34" t="n">
        <v>42567.5926750231</v>
      </c>
      <c r="C757" s="8" t="s">
        <v>153</v>
      </c>
      <c r="D757" s="8" t="n">
        <v>415</v>
      </c>
      <c r="E757" s="8" t="n">
        <v>1111</v>
      </c>
      <c r="G757" s="33"/>
      <c r="H757" s="8" t="s">
        <v>468</v>
      </c>
    </row>
    <row r="758" customFormat="false" ht="15.75" hidden="false" customHeight="false" outlineLevel="0" collapsed="false">
      <c r="A758" s="34" t="n">
        <v>42567.595463044</v>
      </c>
      <c r="F758" s="8" t="s">
        <v>55</v>
      </c>
      <c r="G758" s="8" t="n">
        <v>31</v>
      </c>
      <c r="H758" s="8" t="s">
        <v>467</v>
      </c>
      <c r="I758" s="8" t="n">
        <v>2</v>
      </c>
    </row>
    <row r="759" customFormat="false" ht="15.75" hidden="false" customHeight="false" outlineLevel="0" collapsed="false">
      <c r="A759" s="34" t="n">
        <v>42567.6159081597</v>
      </c>
      <c r="F759" s="8" t="s">
        <v>40</v>
      </c>
      <c r="G759" s="8" t="n">
        <v>63</v>
      </c>
      <c r="H759" s="8" t="s">
        <v>470</v>
      </c>
      <c r="I759" s="8" t="n">
        <v>72</v>
      </c>
    </row>
    <row r="760" customFormat="false" ht="15.75" hidden="false" customHeight="false" outlineLevel="0" collapsed="false">
      <c r="A760" s="34" t="n">
        <v>42567.6220996528</v>
      </c>
      <c r="F760" s="8" t="s">
        <v>156</v>
      </c>
      <c r="G760" s="8" t="n">
        <v>618641</v>
      </c>
      <c r="H760" s="8" t="s">
        <v>470</v>
      </c>
      <c r="I760" s="8" t="n">
        <v>6971</v>
      </c>
    </row>
    <row r="761" customFormat="false" ht="15.75" hidden="false" customHeight="false" outlineLevel="0" collapsed="false">
      <c r="A761" s="34" t="n">
        <v>42567.6223337616</v>
      </c>
      <c r="F761" s="8" t="s">
        <v>156</v>
      </c>
      <c r="G761" s="8" t="n">
        <v>24</v>
      </c>
      <c r="H761" s="8" t="s">
        <v>467</v>
      </c>
      <c r="I761" s="8" t="n">
        <v>2</v>
      </c>
    </row>
    <row r="762" customFormat="false" ht="15.75" hidden="false" customHeight="false" outlineLevel="0" collapsed="false">
      <c r="A762" s="34" t="n">
        <v>42567.6239150694</v>
      </c>
      <c r="F762" s="8" t="s">
        <v>153</v>
      </c>
      <c r="G762" s="8" t="n">
        <v>79</v>
      </c>
      <c r="H762" s="8" t="s">
        <v>470</v>
      </c>
      <c r="I762" s="8" t="n">
        <v>4</v>
      </c>
    </row>
    <row r="763" customFormat="false" ht="15.75" hidden="false" customHeight="false" outlineLevel="0" collapsed="false">
      <c r="A763" s="34" t="n">
        <v>42567.6320763079</v>
      </c>
      <c r="F763" s="8" t="s">
        <v>78</v>
      </c>
      <c r="G763" s="8" t="n">
        <v>42</v>
      </c>
      <c r="H763" s="8" t="s">
        <v>467</v>
      </c>
      <c r="I763" s="8" t="n">
        <v>6</v>
      </c>
    </row>
    <row r="764" customFormat="false" ht="15.75" hidden="false" customHeight="false" outlineLevel="0" collapsed="false">
      <c r="A764" s="34" t="n">
        <v>42567.6373363773</v>
      </c>
      <c r="C764" s="8" t="s">
        <v>154</v>
      </c>
      <c r="D764" s="8" t="n">
        <v>142</v>
      </c>
      <c r="E764" s="8" t="n">
        <v>362</v>
      </c>
      <c r="G764" s="33"/>
      <c r="H764" s="8" t="s">
        <v>468</v>
      </c>
    </row>
    <row r="765" customFormat="false" ht="15.75" hidden="false" customHeight="false" outlineLevel="0" collapsed="false">
      <c r="A765" s="34" t="n">
        <v>42567.6426479861</v>
      </c>
      <c r="F765" s="8" t="s">
        <v>130</v>
      </c>
      <c r="G765" s="8" t="n">
        <v>16</v>
      </c>
      <c r="H765" s="8" t="s">
        <v>467</v>
      </c>
      <c r="I765" s="8" t="n">
        <v>3</v>
      </c>
    </row>
    <row r="766" customFormat="false" ht="15.75" hidden="false" customHeight="false" outlineLevel="0" collapsed="false">
      <c r="A766" s="34" t="n">
        <v>42567.6445114236</v>
      </c>
      <c r="F766" s="8" t="s">
        <v>146</v>
      </c>
      <c r="G766" s="8" t="n">
        <v>30</v>
      </c>
      <c r="H766" s="8" t="s">
        <v>467</v>
      </c>
      <c r="I766" s="8" t="n">
        <v>2</v>
      </c>
    </row>
    <row r="767" customFormat="false" ht="15.75" hidden="false" customHeight="false" outlineLevel="0" collapsed="false">
      <c r="A767" s="34" t="n">
        <v>42567.6622139931</v>
      </c>
      <c r="F767" s="8" t="s">
        <v>111</v>
      </c>
      <c r="G767" s="8" t="n">
        <v>12</v>
      </c>
      <c r="H767" s="8" t="s">
        <v>467</v>
      </c>
      <c r="I767" s="8" t="n">
        <v>1</v>
      </c>
    </row>
    <row r="768" customFormat="false" ht="15.75" hidden="false" customHeight="false" outlineLevel="0" collapsed="false">
      <c r="A768" s="34" t="n">
        <v>42567.6738312963</v>
      </c>
      <c r="F768" s="8" t="s">
        <v>116</v>
      </c>
      <c r="G768" s="8" t="n">
        <v>32</v>
      </c>
      <c r="H768" s="8" t="s">
        <v>467</v>
      </c>
    </row>
    <row r="769" customFormat="false" ht="15.75" hidden="false" customHeight="false" outlineLevel="0" collapsed="false">
      <c r="A769" s="34" t="n">
        <v>42567.6964390394</v>
      </c>
      <c r="F769" s="8" t="s">
        <v>148</v>
      </c>
      <c r="G769" s="8" t="n">
        <v>3</v>
      </c>
      <c r="H769" s="8" t="s">
        <v>467</v>
      </c>
    </row>
    <row r="770" customFormat="false" ht="15.75" hidden="false" customHeight="false" outlineLevel="0" collapsed="false">
      <c r="A770" s="34" t="n">
        <v>42567.7249627778</v>
      </c>
      <c r="F770" s="8" t="s">
        <v>26</v>
      </c>
      <c r="G770" s="8" t="n">
        <v>13</v>
      </c>
      <c r="H770" s="8" t="s">
        <v>467</v>
      </c>
      <c r="I770" s="8" t="n">
        <v>2</v>
      </c>
    </row>
    <row r="771" customFormat="false" ht="15.75" hidden="false" customHeight="false" outlineLevel="0" collapsed="false">
      <c r="A771" s="34" t="n">
        <v>42567.7337709491</v>
      </c>
      <c r="C771" s="8" t="s">
        <v>20</v>
      </c>
      <c r="D771" s="8" t="n">
        <v>100</v>
      </c>
      <c r="E771" s="8" t="n">
        <v>200</v>
      </c>
      <c r="G771" s="33"/>
      <c r="H771" s="8" t="s">
        <v>468</v>
      </c>
    </row>
    <row r="772" customFormat="false" ht="15.75" hidden="false" customHeight="false" outlineLevel="0" collapsed="false">
      <c r="A772" s="34" t="n">
        <v>42567.7551597801</v>
      </c>
      <c r="F772" s="8" t="s">
        <v>35</v>
      </c>
      <c r="G772" s="8" t="n">
        <v>50</v>
      </c>
      <c r="H772" s="8" t="s">
        <v>471</v>
      </c>
      <c r="I772" s="8" t="n">
        <v>50</v>
      </c>
    </row>
    <row r="773" customFormat="false" ht="15.75" hidden="false" customHeight="false" outlineLevel="0" collapsed="false">
      <c r="A773" s="34" t="n">
        <v>42567.7608331597</v>
      </c>
      <c r="C773" s="8" t="s">
        <v>152</v>
      </c>
      <c r="D773" s="8" t="n">
        <v>448</v>
      </c>
      <c r="E773" s="8" t="n">
        <v>1300</v>
      </c>
      <c r="G773" s="33"/>
      <c r="H773" s="8" t="s">
        <v>468</v>
      </c>
    </row>
    <row r="774" customFormat="false" ht="15.75" hidden="false" customHeight="false" outlineLevel="0" collapsed="false">
      <c r="A774" s="34" t="n">
        <v>42567.773552581</v>
      </c>
      <c r="F774" s="8" t="s">
        <v>140</v>
      </c>
      <c r="G774" s="8" t="n">
        <v>61</v>
      </c>
      <c r="H774" s="8" t="s">
        <v>471</v>
      </c>
      <c r="I774" s="8" t="n">
        <v>2</v>
      </c>
    </row>
    <row r="775" customFormat="false" ht="15.75" hidden="false" customHeight="false" outlineLevel="0" collapsed="false">
      <c r="A775" s="34" t="n">
        <v>42567.7746091319</v>
      </c>
      <c r="C775" s="8" t="s">
        <v>116</v>
      </c>
      <c r="D775" s="8" t="n">
        <v>372</v>
      </c>
      <c r="E775" s="8" t="n">
        <v>772</v>
      </c>
      <c r="G775" s="33"/>
      <c r="H775" s="8" t="s">
        <v>468</v>
      </c>
    </row>
    <row r="776" customFormat="false" ht="15.75" hidden="false" customHeight="false" outlineLevel="0" collapsed="false">
      <c r="A776" s="34" t="n">
        <v>42567.7961583912</v>
      </c>
      <c r="F776" s="8" t="s">
        <v>60</v>
      </c>
      <c r="G776" s="8" t="n">
        <v>9</v>
      </c>
      <c r="H776" s="8" t="s">
        <v>467</v>
      </c>
      <c r="I776" s="8" t="n">
        <v>0</v>
      </c>
    </row>
    <row r="777" customFormat="false" ht="15.75" hidden="false" customHeight="false" outlineLevel="0" collapsed="false">
      <c r="A777" s="34" t="n">
        <v>42567.8064942708</v>
      </c>
      <c r="F777" s="8" t="s">
        <v>62</v>
      </c>
      <c r="G777" s="8" t="n">
        <v>15</v>
      </c>
      <c r="H777" s="8" t="s">
        <v>467</v>
      </c>
      <c r="I777" s="8" t="n">
        <v>2</v>
      </c>
    </row>
    <row r="778" customFormat="false" ht="15.75" hidden="false" customHeight="false" outlineLevel="0" collapsed="false">
      <c r="A778" s="34" t="n">
        <v>42567.8072256597</v>
      </c>
      <c r="C778" s="8" t="s">
        <v>62</v>
      </c>
      <c r="D778" s="8" t="n">
        <v>545</v>
      </c>
      <c r="E778" s="8" t="n">
        <v>818</v>
      </c>
      <c r="G778" s="33"/>
      <c r="H778" s="8" t="s">
        <v>468</v>
      </c>
    </row>
    <row r="779" customFormat="false" ht="15.75" hidden="false" customHeight="false" outlineLevel="0" collapsed="false">
      <c r="A779" s="34" t="n">
        <v>42567.8235651852</v>
      </c>
      <c r="F779" s="8" t="s">
        <v>37</v>
      </c>
      <c r="G779" s="8" t="n">
        <v>17</v>
      </c>
      <c r="H779" s="8" t="s">
        <v>467</v>
      </c>
      <c r="I779" s="8" t="n">
        <v>3</v>
      </c>
    </row>
    <row r="780" customFormat="false" ht="15.75" hidden="false" customHeight="false" outlineLevel="0" collapsed="false">
      <c r="A780" s="34" t="n">
        <v>42567.8239414468</v>
      </c>
      <c r="F780" s="8" t="s">
        <v>36</v>
      </c>
      <c r="G780" s="8" t="n">
        <v>17</v>
      </c>
      <c r="H780" s="8" t="s">
        <v>467</v>
      </c>
      <c r="I780" s="8" t="n">
        <v>4</v>
      </c>
    </row>
    <row r="781" customFormat="false" ht="15.75" hidden="false" customHeight="false" outlineLevel="0" collapsed="false">
      <c r="A781" s="34" t="n">
        <v>42567.8242487269</v>
      </c>
      <c r="F781" s="8" t="s">
        <v>36</v>
      </c>
      <c r="G781" s="8" t="n">
        <v>17</v>
      </c>
      <c r="H781" s="8" t="s">
        <v>467</v>
      </c>
      <c r="I781" s="8" t="n">
        <v>3</v>
      </c>
    </row>
    <row r="782" customFormat="false" ht="15.75" hidden="false" customHeight="false" outlineLevel="0" collapsed="false">
      <c r="A782" s="34" t="n">
        <v>42567.8245739468</v>
      </c>
      <c r="F782" s="8" t="s">
        <v>36</v>
      </c>
      <c r="G782" s="8" t="n">
        <v>16</v>
      </c>
      <c r="H782" s="8" t="s">
        <v>467</v>
      </c>
      <c r="I782" s="8" t="n">
        <v>2</v>
      </c>
    </row>
    <row r="783" customFormat="false" ht="15.75" hidden="false" customHeight="false" outlineLevel="0" collapsed="false">
      <c r="A783" s="34" t="n">
        <v>42567.8403601505</v>
      </c>
      <c r="C783" s="8" t="s">
        <v>27</v>
      </c>
      <c r="D783" s="8" t="n">
        <v>392</v>
      </c>
      <c r="E783" s="8" t="n">
        <v>611</v>
      </c>
      <c r="G783" s="33"/>
      <c r="H783" s="8" t="s">
        <v>468</v>
      </c>
    </row>
    <row r="784" customFormat="false" ht="15.75" hidden="false" customHeight="false" outlineLevel="0" collapsed="false">
      <c r="A784" s="34" t="n">
        <v>42567.8563046875</v>
      </c>
      <c r="F784" s="8" t="s">
        <v>167</v>
      </c>
      <c r="G784" s="8" t="n">
        <v>492</v>
      </c>
      <c r="H784" s="8" t="s">
        <v>470</v>
      </c>
      <c r="I784" s="8" t="n">
        <v>57</v>
      </c>
    </row>
    <row r="785" customFormat="false" ht="15.75" hidden="false" customHeight="false" outlineLevel="0" collapsed="false">
      <c r="A785" s="34" t="n">
        <v>42567.8577575347</v>
      </c>
      <c r="F785" s="8" t="s">
        <v>161</v>
      </c>
      <c r="G785" s="8" t="n">
        <v>15</v>
      </c>
      <c r="H785" s="8" t="s">
        <v>467</v>
      </c>
      <c r="I785" s="8" t="n">
        <v>15</v>
      </c>
    </row>
    <row r="786" customFormat="false" ht="15.75" hidden="false" customHeight="false" outlineLevel="0" collapsed="false">
      <c r="A786" s="34" t="n">
        <v>42567.8701097801</v>
      </c>
      <c r="F786" s="8" t="s">
        <v>153</v>
      </c>
      <c r="G786" s="8" t="n">
        <v>38</v>
      </c>
      <c r="H786" s="8" t="s">
        <v>467</v>
      </c>
      <c r="I786" s="8" t="n">
        <v>2</v>
      </c>
    </row>
    <row r="787" customFormat="false" ht="15.75" hidden="false" customHeight="false" outlineLevel="0" collapsed="false">
      <c r="A787" s="34" t="n">
        <v>42567.8815378935</v>
      </c>
      <c r="F787" s="8" t="s">
        <v>168</v>
      </c>
      <c r="G787" s="8" t="n">
        <v>1</v>
      </c>
      <c r="H787" s="8" t="s">
        <v>467</v>
      </c>
      <c r="I787" s="8" t="n">
        <v>1</v>
      </c>
    </row>
    <row r="788" customFormat="false" ht="15.75" hidden="false" customHeight="false" outlineLevel="0" collapsed="false">
      <c r="A788" s="34" t="n">
        <v>42567.8928346875</v>
      </c>
      <c r="C788" s="8" t="s">
        <v>154</v>
      </c>
      <c r="D788" s="8" t="n">
        <v>358</v>
      </c>
      <c r="E788" s="8" t="n">
        <v>596</v>
      </c>
      <c r="G788" s="33"/>
      <c r="H788" s="8" t="s">
        <v>468</v>
      </c>
    </row>
    <row r="789" customFormat="false" ht="15.75" hidden="false" customHeight="false" outlineLevel="0" collapsed="false">
      <c r="A789" s="34" t="n">
        <v>42567.9297464931</v>
      </c>
      <c r="C789" s="8" t="s">
        <v>43</v>
      </c>
      <c r="D789" s="8" t="n">
        <v>137</v>
      </c>
      <c r="E789" s="8" t="n">
        <v>310</v>
      </c>
      <c r="G789" s="33"/>
      <c r="H789" s="8" t="s">
        <v>468</v>
      </c>
    </row>
    <row r="790" customFormat="false" ht="15.75" hidden="false" customHeight="false" outlineLevel="0" collapsed="false">
      <c r="A790" s="34" t="n">
        <v>42567.9350165278</v>
      </c>
      <c r="C790" s="8" t="s">
        <v>154</v>
      </c>
      <c r="D790" s="8" t="n">
        <v>364</v>
      </c>
      <c r="E790" s="8" t="n">
        <v>726</v>
      </c>
      <c r="G790" s="33"/>
      <c r="H790" s="8" t="s">
        <v>468</v>
      </c>
    </row>
    <row r="791" customFormat="false" ht="15.75" hidden="false" customHeight="false" outlineLevel="0" collapsed="false">
      <c r="A791" s="34" t="n">
        <v>42567.93541125</v>
      </c>
      <c r="C791" s="8" t="s">
        <v>155</v>
      </c>
      <c r="D791" s="8" t="n">
        <v>347</v>
      </c>
      <c r="E791" s="8" t="n">
        <v>861</v>
      </c>
      <c r="G791" s="33"/>
      <c r="H791" s="8" t="s">
        <v>468</v>
      </c>
    </row>
    <row r="792" customFormat="false" ht="15.75" hidden="false" customHeight="false" outlineLevel="0" collapsed="false">
      <c r="A792" s="34" t="n">
        <v>42567.9358068056</v>
      </c>
      <c r="F792" s="8" t="s">
        <v>38</v>
      </c>
      <c r="G792" s="8" t="n">
        <v>9</v>
      </c>
      <c r="H792" s="8" t="s">
        <v>467</v>
      </c>
      <c r="I792" s="8" t="n">
        <v>2</v>
      </c>
    </row>
    <row r="793" customFormat="false" ht="15.75" hidden="false" customHeight="false" outlineLevel="0" collapsed="false">
      <c r="A793" s="34" t="n">
        <v>42567.9533973032</v>
      </c>
      <c r="F793" s="8" t="s">
        <v>153</v>
      </c>
      <c r="G793" s="8" t="n">
        <v>41</v>
      </c>
      <c r="H793" s="8" t="s">
        <v>467</v>
      </c>
      <c r="I793" s="8" t="n">
        <v>4</v>
      </c>
    </row>
    <row r="794" customFormat="false" ht="15.75" hidden="false" customHeight="false" outlineLevel="0" collapsed="false">
      <c r="A794" s="34" t="n">
        <v>42567.9547043287</v>
      </c>
      <c r="F794" s="8" t="s">
        <v>153</v>
      </c>
      <c r="G794" s="8" t="n">
        <v>41</v>
      </c>
      <c r="H794" s="8" t="s">
        <v>467</v>
      </c>
      <c r="I794" s="8" t="n">
        <v>3</v>
      </c>
    </row>
    <row r="795" customFormat="false" ht="15.75" hidden="false" customHeight="false" outlineLevel="0" collapsed="false">
      <c r="A795" s="34" t="n">
        <v>42567.954985081</v>
      </c>
      <c r="F795" s="8" t="s">
        <v>153</v>
      </c>
      <c r="G795" s="8" t="n">
        <v>38</v>
      </c>
      <c r="H795" s="8" t="s">
        <v>467</v>
      </c>
      <c r="I795" s="8" t="n">
        <v>3</v>
      </c>
    </row>
    <row r="796" customFormat="false" ht="15.75" hidden="false" customHeight="false" outlineLevel="0" collapsed="false">
      <c r="A796" s="34" t="n">
        <v>42567.9552173958</v>
      </c>
      <c r="F796" s="8" t="s">
        <v>23</v>
      </c>
      <c r="G796" s="8" t="n">
        <v>13</v>
      </c>
      <c r="H796" s="8" t="s">
        <v>467</v>
      </c>
      <c r="I796" s="8" t="n">
        <v>8</v>
      </c>
    </row>
    <row r="797" customFormat="false" ht="15.75" hidden="false" customHeight="false" outlineLevel="0" collapsed="false">
      <c r="A797" s="34" t="n">
        <v>42567.9552594444</v>
      </c>
      <c r="F797" s="8" t="s">
        <v>153</v>
      </c>
      <c r="G797" s="8" t="n">
        <v>39</v>
      </c>
      <c r="H797" s="8" t="s">
        <v>467</v>
      </c>
      <c r="I797" s="8" t="n">
        <v>2</v>
      </c>
    </row>
    <row r="798" customFormat="false" ht="15.75" hidden="false" customHeight="false" outlineLevel="0" collapsed="false">
      <c r="A798" s="34" t="n">
        <v>42567.9565621181</v>
      </c>
      <c r="F798" s="8" t="s">
        <v>144</v>
      </c>
      <c r="G798" s="8" t="n">
        <v>29</v>
      </c>
      <c r="H798" s="8" t="s">
        <v>467</v>
      </c>
      <c r="I798" s="8" t="n">
        <v>1</v>
      </c>
    </row>
    <row r="799" customFormat="false" ht="15.75" hidden="false" customHeight="false" outlineLevel="0" collapsed="false">
      <c r="A799" s="34" t="n">
        <v>42567.9568277199</v>
      </c>
      <c r="F799" s="8" t="s">
        <v>144</v>
      </c>
      <c r="G799" s="8" t="n">
        <v>28</v>
      </c>
      <c r="H799" s="8" t="s">
        <v>467</v>
      </c>
      <c r="I799" s="8" t="n">
        <v>2</v>
      </c>
    </row>
    <row r="800" customFormat="false" ht="15.75" hidden="false" customHeight="false" outlineLevel="0" collapsed="false">
      <c r="A800" s="34" t="n">
        <v>42567.9570815625</v>
      </c>
      <c r="F800" s="8" t="s">
        <v>144</v>
      </c>
      <c r="G800" s="8" t="n">
        <v>28</v>
      </c>
      <c r="H800" s="8" t="s">
        <v>467</v>
      </c>
      <c r="I800" s="8" t="n">
        <v>1</v>
      </c>
    </row>
    <row r="801" customFormat="false" ht="15.75" hidden="false" customHeight="false" outlineLevel="0" collapsed="false">
      <c r="A801" s="34" t="n">
        <v>42567.9576404282</v>
      </c>
      <c r="F801" s="8" t="s">
        <v>144</v>
      </c>
      <c r="G801" s="8" t="n">
        <v>29</v>
      </c>
      <c r="H801" s="8" t="s">
        <v>467</v>
      </c>
      <c r="I801" s="8" t="n">
        <v>1</v>
      </c>
    </row>
    <row r="802" customFormat="false" ht="15.75" hidden="false" customHeight="false" outlineLevel="0" collapsed="false">
      <c r="A802" s="34" t="n">
        <v>42567.9580805671</v>
      </c>
      <c r="F802" s="8" t="s">
        <v>144</v>
      </c>
      <c r="G802" s="8" t="n">
        <v>28</v>
      </c>
      <c r="H802" s="8" t="s">
        <v>467</v>
      </c>
      <c r="I802" s="8" t="n">
        <v>1</v>
      </c>
    </row>
    <row r="803" customFormat="false" ht="15.75" hidden="false" customHeight="false" outlineLevel="0" collapsed="false">
      <c r="A803" s="34" t="n">
        <v>42567.9583760185</v>
      </c>
      <c r="F803" s="8" t="s">
        <v>144</v>
      </c>
      <c r="G803" s="8" t="n">
        <v>28</v>
      </c>
      <c r="H803" s="8" t="s">
        <v>467</v>
      </c>
      <c r="I803" s="8" t="n">
        <v>1</v>
      </c>
    </row>
    <row r="804" customFormat="false" ht="15.75" hidden="false" customHeight="false" outlineLevel="0" collapsed="false">
      <c r="A804" s="34" t="n">
        <v>42567.958621875</v>
      </c>
      <c r="F804" s="8" t="s">
        <v>144</v>
      </c>
      <c r="G804" s="8" t="n">
        <v>29</v>
      </c>
      <c r="H804" s="8" t="s">
        <v>467</v>
      </c>
      <c r="I804" s="8" t="n">
        <v>2</v>
      </c>
    </row>
  </sheetData>
  <conditionalFormatting sqref="G1:G1804">
    <cfRule type="cellIs" priority="2" operator="greaterThanOrEqual" aboveAverage="0" equalAverage="0" bottom="0" percent="0" rank="0" text="" dxfId="0">
      <formula>60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5" min="1" style="0" width="21.3265306122449"/>
    <col collapsed="false" hidden="false" max="1025" min="6" style="0" width="14.1734693877551"/>
  </cols>
  <sheetData>
    <row r="1" customFormat="false" ht="15.75" hidden="false" customHeight="false" outlineLevel="0" collapsed="false">
      <c r="A1" s="0" t="s">
        <v>459</v>
      </c>
      <c r="B1" s="0" t="s">
        <v>207</v>
      </c>
      <c r="C1" s="0" t="s">
        <v>474</v>
      </c>
      <c r="D1" s="0" t="s">
        <v>475</v>
      </c>
      <c r="E1" s="0" t="s">
        <v>476</v>
      </c>
    </row>
    <row r="2" customFormat="false" ht="15.75" hidden="false" customHeight="false" outlineLevel="0" collapsed="false">
      <c r="A2" s="34"/>
      <c r="B2" s="8"/>
      <c r="C2" s="8"/>
    </row>
    <row r="3" customFormat="false" ht="15.75" hidden="false" customHeight="false" outlineLevel="0" collapsed="false">
      <c r="A3" s="34"/>
      <c r="B3" s="8"/>
      <c r="C3" s="8"/>
      <c r="D3" s="8"/>
      <c r="E3" s="8"/>
    </row>
    <row r="4" customFormat="false" ht="15.75" hidden="false" customHeight="false" outlineLevel="0" collapsed="false">
      <c r="A4" s="34" t="n">
        <v>42561.3841035301</v>
      </c>
      <c r="B4" s="8" t="s">
        <v>37</v>
      </c>
      <c r="C4" s="8" t="n">
        <v>28</v>
      </c>
    </row>
    <row r="5" customFormat="false" ht="15.75" hidden="false" customHeight="false" outlineLevel="0" collapsed="false">
      <c r="A5" s="34" t="n">
        <v>42561.384240081</v>
      </c>
      <c r="B5" s="8" t="s">
        <v>35</v>
      </c>
      <c r="C5" s="8" t="n">
        <v>9</v>
      </c>
    </row>
    <row r="6" customFormat="false" ht="15.75" hidden="false" customHeight="false" outlineLevel="0" collapsed="false">
      <c r="A6" s="34" t="n">
        <v>42561.3843726736</v>
      </c>
      <c r="B6" s="8" t="s">
        <v>477</v>
      </c>
      <c r="C6" s="8" t="n">
        <v>17</v>
      </c>
    </row>
    <row r="7" customFormat="false" ht="15.75" hidden="false" customHeight="false" outlineLevel="0" collapsed="false">
      <c r="A7" s="34" t="n">
        <v>42561.3932476736</v>
      </c>
      <c r="B7" s="8" t="s">
        <v>149</v>
      </c>
      <c r="C7" s="8" t="n">
        <v>39</v>
      </c>
    </row>
    <row r="8" customFormat="false" ht="15.75" hidden="false" customHeight="false" outlineLevel="0" collapsed="false">
      <c r="A8" s="34" t="n">
        <v>42561.3985130093</v>
      </c>
      <c r="B8" s="8" t="s">
        <v>143</v>
      </c>
      <c r="C8" s="8" t="n">
        <v>22</v>
      </c>
    </row>
    <row r="9" customFormat="false" ht="15.75" hidden="false" customHeight="false" outlineLevel="0" collapsed="false">
      <c r="A9" s="34"/>
      <c r="B9" s="8"/>
      <c r="C9" s="8"/>
      <c r="D9" s="8"/>
      <c r="E9" s="8"/>
    </row>
    <row r="10" customFormat="false" ht="15.75" hidden="false" customHeight="false" outlineLevel="0" collapsed="false">
      <c r="A10" s="34" t="n">
        <v>42561.4135157176</v>
      </c>
      <c r="B10" s="8" t="s">
        <v>29</v>
      </c>
      <c r="C10" s="8" t="n">
        <v>5</v>
      </c>
      <c r="D10" s="8" t="n">
        <v>19</v>
      </c>
      <c r="E10" s="8" t="n">
        <v>19</v>
      </c>
    </row>
    <row r="11" customFormat="false" ht="15.75" hidden="false" customHeight="false" outlineLevel="0" collapsed="false">
      <c r="A11" s="34"/>
      <c r="B11" s="8"/>
      <c r="C11" s="8"/>
      <c r="D11" s="8"/>
      <c r="E11" s="8"/>
    </row>
    <row r="12" customFormat="false" ht="15.75" hidden="false" customHeight="false" outlineLevel="0" collapsed="false">
      <c r="A12" s="34" t="n">
        <v>42561.5283207292</v>
      </c>
      <c r="B12" s="8" t="s">
        <v>142</v>
      </c>
      <c r="C12" s="8" t="n">
        <v>30</v>
      </c>
      <c r="D12" s="8" t="n">
        <v>8</v>
      </c>
      <c r="E12" s="8" t="n">
        <v>355</v>
      </c>
    </row>
    <row r="13" customFormat="false" ht="15.75" hidden="false" customHeight="false" outlineLevel="0" collapsed="false">
      <c r="A13" s="34" t="n">
        <v>42561.5391003588</v>
      </c>
      <c r="B13" s="8" t="s">
        <v>39</v>
      </c>
      <c r="C13" s="8" t="n">
        <v>20</v>
      </c>
      <c r="D13" s="8" t="n">
        <v>6</v>
      </c>
      <c r="E13" s="8" t="n">
        <v>258</v>
      </c>
    </row>
    <row r="14" customFormat="false" ht="15.75" hidden="false" customHeight="false" outlineLevel="0" collapsed="false">
      <c r="A14" s="34" t="n">
        <v>42561.5572056366</v>
      </c>
      <c r="B14" s="8" t="s">
        <v>38</v>
      </c>
      <c r="C14" s="8" t="n">
        <v>6</v>
      </c>
      <c r="D14" s="8" t="n">
        <v>11</v>
      </c>
      <c r="E14" s="8" t="n">
        <v>130</v>
      </c>
    </row>
    <row r="15" customFormat="false" ht="15.75" hidden="false" customHeight="false" outlineLevel="0" collapsed="false">
      <c r="A15" s="34" t="n">
        <v>42561.5576505787</v>
      </c>
      <c r="B15" s="8" t="s">
        <v>38</v>
      </c>
      <c r="C15" s="8" t="n">
        <v>8</v>
      </c>
      <c r="D15" s="8" t="n">
        <v>11</v>
      </c>
      <c r="E15" s="8" t="n">
        <v>74</v>
      </c>
    </row>
    <row r="16" customFormat="false" ht="15.75" hidden="false" customHeight="false" outlineLevel="0" collapsed="false">
      <c r="A16" s="34" t="n">
        <v>42561.5668485532</v>
      </c>
      <c r="B16" s="8" t="s">
        <v>36</v>
      </c>
      <c r="C16" s="8" t="n">
        <v>26</v>
      </c>
      <c r="D16" s="8" t="n">
        <v>4</v>
      </c>
      <c r="E16" s="8" t="n">
        <v>70</v>
      </c>
    </row>
    <row r="17" customFormat="false" ht="15.75" hidden="false" customHeight="false" outlineLevel="0" collapsed="false">
      <c r="A17" s="34" t="n">
        <v>42561.5741433796</v>
      </c>
      <c r="B17" s="8" t="s">
        <v>146</v>
      </c>
      <c r="C17" s="8" t="n">
        <v>30</v>
      </c>
      <c r="D17" s="8" t="n">
        <v>12</v>
      </c>
      <c r="E17" s="8" t="n">
        <v>416</v>
      </c>
    </row>
    <row r="18" customFormat="false" ht="15.75" hidden="false" customHeight="false" outlineLevel="0" collapsed="false">
      <c r="A18" s="34" t="n">
        <v>42561.5745236806</v>
      </c>
      <c r="B18" s="8" t="s">
        <v>146</v>
      </c>
      <c r="C18" s="8" t="n">
        <v>29</v>
      </c>
      <c r="D18" s="8" t="n">
        <v>12</v>
      </c>
      <c r="E18" s="8" t="n">
        <v>261</v>
      </c>
    </row>
    <row r="19" customFormat="false" ht="15.75" hidden="false" customHeight="false" outlineLevel="0" collapsed="false">
      <c r="A19" s="34" t="n">
        <v>42561.5761314699</v>
      </c>
      <c r="B19" s="8" t="s">
        <v>153</v>
      </c>
      <c r="C19" s="8" t="n">
        <v>40</v>
      </c>
      <c r="D19" s="8" t="n">
        <v>8</v>
      </c>
      <c r="E19" s="8" t="n">
        <v>540</v>
      </c>
    </row>
    <row r="20" customFormat="false" ht="15.75" hidden="false" customHeight="false" outlineLevel="0" collapsed="false">
      <c r="A20" s="34" t="n">
        <v>42561.5823260648</v>
      </c>
      <c r="B20" s="8" t="s">
        <v>36</v>
      </c>
      <c r="C20" s="8" t="n">
        <v>16</v>
      </c>
      <c r="D20" s="8" t="n">
        <v>5</v>
      </c>
    </row>
    <row r="21" customFormat="false" ht="15.75" hidden="false" customHeight="false" outlineLevel="0" collapsed="false">
      <c r="A21" s="34" t="n">
        <v>42561.6080296991</v>
      </c>
      <c r="B21" s="8" t="s">
        <v>153</v>
      </c>
      <c r="C21" s="8" t="n">
        <v>40</v>
      </c>
      <c r="D21" s="8" t="n">
        <v>10</v>
      </c>
      <c r="E21" s="8" t="n">
        <v>687</v>
      </c>
    </row>
    <row r="22" customFormat="false" ht="15.75" hidden="false" customHeight="false" outlineLevel="0" collapsed="false">
      <c r="A22" s="34" t="n">
        <v>42561.6332476157</v>
      </c>
      <c r="B22" s="8" t="s">
        <v>34</v>
      </c>
      <c r="C22" s="8" t="n">
        <v>18</v>
      </c>
      <c r="D22" s="8" t="n">
        <v>5</v>
      </c>
      <c r="E22" s="8" t="n">
        <v>93</v>
      </c>
    </row>
    <row r="23" customFormat="false" ht="15.75" hidden="false" customHeight="false" outlineLevel="0" collapsed="false">
      <c r="A23" s="34" t="n">
        <v>42561.6832189005</v>
      </c>
      <c r="B23" s="8" t="s">
        <v>39</v>
      </c>
      <c r="C23" s="8" t="n">
        <v>20</v>
      </c>
      <c r="D23" s="8" t="n">
        <v>6</v>
      </c>
      <c r="E23" s="8" t="n">
        <v>221</v>
      </c>
    </row>
    <row r="24" customFormat="false" ht="15.75" hidden="false" customHeight="false" outlineLevel="0" collapsed="false">
      <c r="A24" s="34" t="n">
        <v>42561.8000442014</v>
      </c>
      <c r="B24" s="8" t="s">
        <v>133</v>
      </c>
      <c r="C24" s="8" t="n">
        <v>26</v>
      </c>
      <c r="D24" s="8" t="n">
        <v>13</v>
      </c>
      <c r="E24" s="8" t="n">
        <v>401</v>
      </c>
    </row>
    <row r="25" customFormat="false" ht="15.75" hidden="false" customHeight="false" outlineLevel="0" collapsed="false">
      <c r="A25" s="34" t="n">
        <v>42561.8006314236</v>
      </c>
      <c r="B25" s="8" t="s">
        <v>133</v>
      </c>
      <c r="C25" s="8" t="n">
        <v>25</v>
      </c>
      <c r="D25" s="8" t="n">
        <v>13</v>
      </c>
      <c r="E25" s="8" t="n">
        <v>427</v>
      </c>
    </row>
    <row r="26" customFormat="false" ht="15.75" hidden="false" customHeight="false" outlineLevel="0" collapsed="false">
      <c r="A26" s="34" t="n">
        <v>42561.8010247685</v>
      </c>
      <c r="B26" s="8" t="s">
        <v>125</v>
      </c>
      <c r="C26" s="8" t="n">
        <v>21</v>
      </c>
      <c r="D26" s="8" t="n">
        <v>13</v>
      </c>
      <c r="E26" s="8" t="n">
        <v>427</v>
      </c>
    </row>
    <row r="27" customFormat="false" ht="15.75" hidden="false" customHeight="false" outlineLevel="0" collapsed="false">
      <c r="A27" s="34" t="n">
        <v>42563.5512516088</v>
      </c>
      <c r="B27" s="8" t="s">
        <v>37</v>
      </c>
      <c r="C27" s="8" t="n">
        <v>27</v>
      </c>
      <c r="D27" s="8" t="n">
        <v>14</v>
      </c>
      <c r="E27" s="8" t="n">
        <v>644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5" min="1" style="0" width="21.3265306122449"/>
    <col collapsed="false" hidden="false" max="1025" min="6" style="0" width="14.1734693877551"/>
  </cols>
  <sheetData>
    <row r="1" customFormat="false" ht="15.75" hidden="false" customHeight="false" outlineLevel="0" collapsed="false">
      <c r="A1" s="0" t="s">
        <v>459</v>
      </c>
      <c r="B1" s="0" t="s">
        <v>464</v>
      </c>
      <c r="C1" s="0" t="s">
        <v>478</v>
      </c>
      <c r="D1" s="0" t="s">
        <v>479</v>
      </c>
      <c r="E1" s="0" t="s">
        <v>480</v>
      </c>
    </row>
    <row r="2" customFormat="false" ht="15.75" hidden="false" customHeight="false" outlineLevel="0" collapsed="false">
      <c r="A2" s="34" t="n">
        <v>42564.122298507</v>
      </c>
      <c r="B2" s="8" t="s">
        <v>28</v>
      </c>
      <c r="C2" s="8" t="n">
        <v>65</v>
      </c>
      <c r="D2" s="8" t="n">
        <v>557</v>
      </c>
      <c r="E2" s="8" t="n">
        <v>800</v>
      </c>
    </row>
    <row r="3" customFormat="false" ht="15.75" hidden="false" customHeight="false" outlineLevel="0" collapsed="false">
      <c r="A3" s="34" t="n">
        <v>42564.1348817245</v>
      </c>
      <c r="B3" s="8" t="s">
        <v>37</v>
      </c>
      <c r="C3" s="8" t="n">
        <v>92</v>
      </c>
      <c r="D3" s="8" t="n">
        <v>856</v>
      </c>
      <c r="E3" s="8" t="n">
        <v>1900</v>
      </c>
    </row>
    <row r="4" customFormat="false" ht="15.75" hidden="false" customHeight="false" outlineLevel="0" collapsed="false">
      <c r="A4" s="34" t="n">
        <v>42564.2805619792</v>
      </c>
      <c r="B4" s="8" t="s">
        <v>20</v>
      </c>
      <c r="C4" s="8" t="n">
        <v>10</v>
      </c>
      <c r="D4" s="8" t="n">
        <v>14</v>
      </c>
      <c r="E4" s="8" t="n">
        <v>200</v>
      </c>
    </row>
    <row r="5" customFormat="false" ht="15.75" hidden="false" customHeight="false" outlineLevel="0" collapsed="false">
      <c r="A5" s="34" t="n">
        <v>42564.2808353241</v>
      </c>
      <c r="B5" s="8" t="s">
        <v>29</v>
      </c>
      <c r="C5" s="8" t="n">
        <v>17</v>
      </c>
      <c r="D5" s="8" t="n">
        <v>17</v>
      </c>
      <c r="E5" s="8" t="n">
        <v>200</v>
      </c>
    </row>
    <row r="6" customFormat="false" ht="15.75" hidden="false" customHeight="false" outlineLevel="0" collapsed="false">
      <c r="A6" s="34" t="n">
        <v>42564.2811684259</v>
      </c>
      <c r="B6" s="8" t="s">
        <v>115</v>
      </c>
      <c r="C6" s="8" t="n">
        <v>42</v>
      </c>
      <c r="D6" s="8" t="n">
        <v>164</v>
      </c>
      <c r="E6" s="8" t="n">
        <v>600</v>
      </c>
    </row>
    <row r="7" customFormat="false" ht="15.75" hidden="false" customHeight="false" outlineLevel="0" collapsed="false">
      <c r="A7" s="34" t="n">
        <v>42564.2814358912</v>
      </c>
      <c r="B7" s="8" t="s">
        <v>115</v>
      </c>
      <c r="C7" s="8" t="n">
        <v>28</v>
      </c>
      <c r="D7" s="8" t="n">
        <v>77</v>
      </c>
      <c r="E7" s="8" t="n">
        <v>400</v>
      </c>
    </row>
    <row r="8" customFormat="false" ht="15.75" hidden="false" customHeight="false" outlineLevel="0" collapsed="false">
      <c r="A8" s="34" t="n">
        <v>42564.2816864005</v>
      </c>
      <c r="B8" s="8" t="s">
        <v>115</v>
      </c>
      <c r="C8" s="8" t="n">
        <v>11</v>
      </c>
      <c r="D8" s="8" t="n">
        <v>12</v>
      </c>
      <c r="E8" s="8" t="n">
        <v>200</v>
      </c>
    </row>
    <row r="9" customFormat="false" ht="15.75" hidden="false" customHeight="false" outlineLevel="0" collapsed="false">
      <c r="A9" s="34" t="n">
        <v>42564.2819463657</v>
      </c>
      <c r="B9" s="8" t="s">
        <v>152</v>
      </c>
      <c r="C9" s="8" t="n">
        <v>25</v>
      </c>
      <c r="D9" s="8" t="n">
        <v>74</v>
      </c>
      <c r="E9" s="8" t="n">
        <v>400</v>
      </c>
    </row>
    <row r="10" customFormat="false" ht="15.75" hidden="false" customHeight="false" outlineLevel="0" collapsed="false">
      <c r="A10" s="34" t="n">
        <v>42564.2825696644</v>
      </c>
      <c r="B10" s="8" t="s">
        <v>144</v>
      </c>
      <c r="C10" s="8" t="n">
        <v>12</v>
      </c>
      <c r="D10" s="8" t="n">
        <v>27</v>
      </c>
      <c r="E10" s="8" t="n">
        <v>200</v>
      </c>
    </row>
    <row r="11" customFormat="false" ht="15.75" hidden="false" customHeight="false" outlineLevel="0" collapsed="false">
      <c r="A11" s="34" t="n">
        <v>42564.2822786343</v>
      </c>
      <c r="B11" s="8" t="s">
        <v>42</v>
      </c>
      <c r="C11" s="8" t="n">
        <v>13</v>
      </c>
      <c r="D11" s="8" t="n">
        <v>32</v>
      </c>
      <c r="E11" s="8" t="n">
        <v>200</v>
      </c>
    </row>
    <row r="12" customFormat="false" ht="15.75" hidden="false" customHeight="false" outlineLevel="0" collapsed="false">
      <c r="A12" s="34" t="n">
        <v>42564.282855706</v>
      </c>
      <c r="B12" s="8" t="s">
        <v>120</v>
      </c>
      <c r="C12" s="8" t="n">
        <v>34</v>
      </c>
      <c r="D12" s="8" t="n">
        <v>165</v>
      </c>
      <c r="E12" s="8" t="n">
        <v>400</v>
      </c>
    </row>
    <row r="13" customFormat="false" ht="15.75" hidden="false" customHeight="false" outlineLevel="0" collapsed="false">
      <c r="A13" s="34" t="n">
        <v>42564.2831446181</v>
      </c>
      <c r="B13" s="8" t="s">
        <v>58</v>
      </c>
      <c r="C13" s="8" t="n">
        <v>61</v>
      </c>
      <c r="D13" s="8" t="n">
        <v>81</v>
      </c>
      <c r="E13" s="8" t="n">
        <v>400</v>
      </c>
    </row>
    <row r="14" customFormat="false" ht="15.75" hidden="false" customHeight="false" outlineLevel="0" collapsed="false">
      <c r="A14" s="34" t="n">
        <v>42564.2834260417</v>
      </c>
      <c r="B14" s="8" t="s">
        <v>100</v>
      </c>
      <c r="C14" s="8" t="n">
        <v>13</v>
      </c>
      <c r="D14" s="8" t="n">
        <v>78</v>
      </c>
      <c r="E14" s="8" t="n">
        <v>400</v>
      </c>
    </row>
    <row r="15" customFormat="false" ht="15.75" hidden="false" customHeight="false" outlineLevel="0" collapsed="false">
      <c r="A15" s="34" t="n">
        <v>42564.283689375</v>
      </c>
      <c r="B15" s="8" t="s">
        <v>100</v>
      </c>
      <c r="C15" s="8" t="n">
        <v>13</v>
      </c>
      <c r="D15" s="8" t="n">
        <v>61</v>
      </c>
      <c r="E15" s="8" t="n">
        <v>400</v>
      </c>
    </row>
    <row r="16" customFormat="false" ht="15.75" hidden="false" customHeight="false" outlineLevel="0" collapsed="false">
      <c r="A16" s="34" t="n">
        <v>42564.2839932523</v>
      </c>
      <c r="B16" s="8" t="s">
        <v>100</v>
      </c>
      <c r="C16" s="8" t="n">
        <v>10</v>
      </c>
      <c r="D16" s="8" t="n">
        <v>34</v>
      </c>
      <c r="E16" s="8" t="n">
        <v>200</v>
      </c>
    </row>
    <row r="17" customFormat="false" ht="15.75" hidden="false" customHeight="false" outlineLevel="0" collapsed="false">
      <c r="A17" s="34" t="n">
        <v>42564.2843315625</v>
      </c>
      <c r="B17" s="8" t="s">
        <v>62</v>
      </c>
      <c r="C17" s="8" t="n">
        <v>22</v>
      </c>
      <c r="D17" s="8" t="n">
        <v>80</v>
      </c>
      <c r="E17" s="8" t="n">
        <v>400</v>
      </c>
    </row>
    <row r="18" customFormat="false" ht="15.75" hidden="false" customHeight="false" outlineLevel="0" collapsed="false">
      <c r="A18" s="34" t="n">
        <v>42564.2847435648</v>
      </c>
      <c r="B18" s="8" t="s">
        <v>37</v>
      </c>
      <c r="C18" s="8" t="n">
        <v>43</v>
      </c>
      <c r="D18" s="8" t="n">
        <v>196</v>
      </c>
      <c r="E18" s="8" t="n">
        <v>400</v>
      </c>
    </row>
    <row r="19" customFormat="false" ht="15.75" hidden="false" customHeight="false" outlineLevel="0" collapsed="false">
      <c r="A19" s="34" t="n">
        <v>42564.2850476968</v>
      </c>
      <c r="B19" s="8" t="s">
        <v>36</v>
      </c>
      <c r="C19" s="8" t="n">
        <v>29</v>
      </c>
      <c r="D19" s="8" t="n">
        <v>86</v>
      </c>
      <c r="E19" s="8" t="n">
        <v>400</v>
      </c>
    </row>
    <row r="20" customFormat="false" ht="15.75" hidden="false" customHeight="false" outlineLevel="0" collapsed="false">
      <c r="A20" s="34" t="n">
        <v>42564.2855026389</v>
      </c>
      <c r="B20" s="8" t="s">
        <v>35</v>
      </c>
      <c r="C20" s="8" t="n">
        <v>29</v>
      </c>
      <c r="D20" s="8" t="n">
        <v>94</v>
      </c>
      <c r="E20" s="8" t="n">
        <v>600</v>
      </c>
    </row>
    <row r="21" customFormat="false" ht="15.75" hidden="false" customHeight="false" outlineLevel="0" collapsed="false">
      <c r="A21" s="34" t="n">
        <v>42564.2858604861</v>
      </c>
      <c r="B21" s="8" t="s">
        <v>35</v>
      </c>
      <c r="C21" s="8" t="n">
        <v>26</v>
      </c>
      <c r="D21" s="8" t="n">
        <v>81</v>
      </c>
      <c r="E21" s="8" t="n">
        <v>600</v>
      </c>
    </row>
    <row r="22" customFormat="false" ht="15.75" hidden="false" customHeight="false" outlineLevel="0" collapsed="false">
      <c r="A22" s="34" t="n">
        <v>42564.2861621181</v>
      </c>
      <c r="B22" s="8" t="s">
        <v>35</v>
      </c>
      <c r="C22" s="8" t="n">
        <v>18</v>
      </c>
      <c r="D22" s="8" t="n">
        <v>42</v>
      </c>
      <c r="E22" s="8" t="n">
        <v>400</v>
      </c>
    </row>
    <row r="23" customFormat="false" ht="15.75" hidden="false" customHeight="false" outlineLevel="0" collapsed="false">
      <c r="A23" s="34" t="n">
        <v>42564.2864856482</v>
      </c>
      <c r="B23" s="8" t="s">
        <v>35</v>
      </c>
      <c r="C23" s="8" t="n">
        <v>19</v>
      </c>
      <c r="D23" s="8" t="n">
        <v>40</v>
      </c>
      <c r="E23" s="8" t="n">
        <v>400</v>
      </c>
    </row>
    <row r="24" customFormat="false" ht="15.75" hidden="false" customHeight="false" outlineLevel="0" collapsed="false">
      <c r="A24" s="34" t="n">
        <v>42564.2871437616</v>
      </c>
      <c r="B24" s="8" t="s">
        <v>35</v>
      </c>
      <c r="C24" s="8" t="n">
        <v>15</v>
      </c>
      <c r="D24" s="8" t="n">
        <v>26</v>
      </c>
      <c r="E24" s="8" t="n">
        <v>200</v>
      </c>
    </row>
    <row r="25" customFormat="false" ht="15.75" hidden="false" customHeight="false" outlineLevel="0" collapsed="false">
      <c r="A25" s="34" t="n">
        <v>42564.2875017245</v>
      </c>
      <c r="B25" s="8" t="s">
        <v>35</v>
      </c>
      <c r="C25" s="8" t="n">
        <v>10</v>
      </c>
      <c r="D25" s="8" t="n">
        <v>10</v>
      </c>
      <c r="E25" s="8" t="n">
        <v>200</v>
      </c>
    </row>
    <row r="26" customFormat="false" ht="15.75" hidden="false" customHeight="false" outlineLevel="0" collapsed="false">
      <c r="A26" s="34" t="n">
        <v>42564.287804213</v>
      </c>
      <c r="B26" s="8" t="s">
        <v>38</v>
      </c>
      <c r="C26" s="8" t="n">
        <v>24</v>
      </c>
      <c r="D26" s="8" t="n">
        <v>80</v>
      </c>
      <c r="E26" s="8" t="n">
        <v>600</v>
      </c>
    </row>
    <row r="27" customFormat="false" ht="15.75" hidden="false" customHeight="false" outlineLevel="0" collapsed="false">
      <c r="A27" s="34" t="n">
        <v>42564.2880590741</v>
      </c>
      <c r="B27" s="8" t="s">
        <v>38</v>
      </c>
      <c r="C27" s="8" t="n">
        <v>18</v>
      </c>
      <c r="D27" s="8" t="n">
        <v>64</v>
      </c>
      <c r="E27" s="8" t="n">
        <v>600</v>
      </c>
    </row>
    <row r="28" customFormat="false" ht="15.75" hidden="false" customHeight="false" outlineLevel="0" collapsed="false">
      <c r="A28" s="34" t="n">
        <v>42564.2883497338</v>
      </c>
      <c r="B28" s="8" t="s">
        <v>38</v>
      </c>
      <c r="C28" s="8" t="n">
        <v>13</v>
      </c>
      <c r="D28" s="8" t="n">
        <v>37</v>
      </c>
      <c r="E28" s="8" t="n">
        <v>400</v>
      </c>
    </row>
    <row r="29" customFormat="false" ht="15.75" hidden="false" customHeight="false" outlineLevel="0" collapsed="false">
      <c r="A29" s="34" t="n">
        <v>42564.2886731366</v>
      </c>
      <c r="B29" s="8" t="s">
        <v>38</v>
      </c>
      <c r="C29" s="8" t="n">
        <v>11</v>
      </c>
      <c r="D29" s="8" t="n">
        <v>23</v>
      </c>
      <c r="E29" s="8" t="n">
        <v>200</v>
      </c>
    </row>
    <row r="30" customFormat="false" ht="15.75" hidden="false" customHeight="false" outlineLevel="0" collapsed="false">
      <c r="A30" s="34" t="n">
        <v>42564.2889148727</v>
      </c>
      <c r="B30" s="8" t="s">
        <v>38</v>
      </c>
      <c r="C30" s="8" t="n">
        <v>10</v>
      </c>
      <c r="D30" s="8" t="n">
        <v>10</v>
      </c>
      <c r="E30" s="8" t="n">
        <v>200</v>
      </c>
    </row>
    <row r="31" customFormat="false" ht="15.75" hidden="false" customHeight="false" outlineLevel="0" collapsed="false">
      <c r="A31" s="34" t="n">
        <v>42564.2892423495</v>
      </c>
      <c r="B31" s="8" t="s">
        <v>38</v>
      </c>
      <c r="C31" s="8" t="n">
        <v>18</v>
      </c>
      <c r="D31" s="8" t="n">
        <v>48</v>
      </c>
      <c r="E31" s="8" t="n">
        <v>400</v>
      </c>
    </row>
    <row r="32" customFormat="false" ht="15.75" hidden="false" customHeight="false" outlineLevel="0" collapsed="false">
      <c r="A32" s="34" t="n">
        <v>42564.2895394213</v>
      </c>
      <c r="B32" s="8" t="s">
        <v>40</v>
      </c>
      <c r="C32" s="8" t="n">
        <v>18</v>
      </c>
      <c r="D32" s="8" t="n">
        <v>42</v>
      </c>
      <c r="E32" s="8" t="n">
        <v>400</v>
      </c>
    </row>
    <row r="33" customFormat="false" ht="15.75" hidden="false" customHeight="false" outlineLevel="0" collapsed="false">
      <c r="A33" s="34" t="n">
        <v>42564.2898602894</v>
      </c>
      <c r="B33" s="8" t="s">
        <v>67</v>
      </c>
      <c r="C33" s="8" t="n">
        <v>19</v>
      </c>
      <c r="D33" s="8" t="n">
        <v>41</v>
      </c>
      <c r="E33" s="8" t="n">
        <v>200</v>
      </c>
    </row>
    <row r="34" customFormat="false" ht="15.75" hidden="false" customHeight="false" outlineLevel="0" collapsed="false">
      <c r="A34" s="34" t="n">
        <v>42564.2901134838</v>
      </c>
      <c r="B34" s="8" t="s">
        <v>32</v>
      </c>
      <c r="C34" s="8" t="n">
        <v>25</v>
      </c>
      <c r="D34" s="8" t="n">
        <v>45</v>
      </c>
      <c r="E34" s="8" t="n">
        <v>600</v>
      </c>
    </row>
    <row r="35" customFormat="false" ht="15.75" hidden="false" customHeight="false" outlineLevel="0" collapsed="false">
      <c r="A35" s="34" t="n">
        <v>42564.2903966898</v>
      </c>
      <c r="B35" s="8" t="s">
        <v>32</v>
      </c>
      <c r="C35" s="8" t="n">
        <v>17</v>
      </c>
      <c r="D35" s="8" t="n">
        <v>28</v>
      </c>
      <c r="E35" s="8" t="n">
        <v>400</v>
      </c>
    </row>
    <row r="36" customFormat="false" ht="15.75" hidden="false" customHeight="false" outlineLevel="0" collapsed="false">
      <c r="A36" s="34" t="n">
        <v>42564.2906375</v>
      </c>
      <c r="B36" s="8" t="s">
        <v>32</v>
      </c>
      <c r="C36" s="8" t="n">
        <v>10</v>
      </c>
      <c r="D36" s="8" t="n">
        <v>10</v>
      </c>
      <c r="E36" s="8" t="n">
        <v>200</v>
      </c>
    </row>
    <row r="37" customFormat="false" ht="15.75" hidden="false" customHeight="false" outlineLevel="0" collapsed="false">
      <c r="A37" s="34" t="n">
        <v>42564.2909314236</v>
      </c>
      <c r="B37" s="8" t="s">
        <v>89</v>
      </c>
      <c r="C37" s="8" t="n">
        <v>22</v>
      </c>
      <c r="D37" s="8" t="n">
        <v>70</v>
      </c>
      <c r="E37" s="8" t="n">
        <v>200</v>
      </c>
    </row>
    <row r="38" customFormat="false" ht="15.75" hidden="false" customHeight="false" outlineLevel="0" collapsed="false">
      <c r="A38" s="34" t="n">
        <v>42564.2911623727</v>
      </c>
      <c r="B38" s="8" t="s">
        <v>60</v>
      </c>
      <c r="C38" s="8" t="n">
        <v>24</v>
      </c>
      <c r="D38" s="8" t="n">
        <v>58</v>
      </c>
      <c r="E38" s="8" t="n">
        <v>400</v>
      </c>
    </row>
    <row r="39" customFormat="false" ht="15.75" hidden="false" customHeight="false" outlineLevel="0" collapsed="false">
      <c r="A39" s="34" t="n">
        <v>42564.2914256945</v>
      </c>
      <c r="B39" s="8" t="s">
        <v>60</v>
      </c>
      <c r="C39" s="8" t="n">
        <v>13</v>
      </c>
      <c r="D39" s="8" t="n">
        <v>23</v>
      </c>
      <c r="E39" s="8" t="n">
        <v>200</v>
      </c>
    </row>
    <row r="40" customFormat="false" ht="15.75" hidden="false" customHeight="false" outlineLevel="0" collapsed="false">
      <c r="A40" s="34" t="n">
        <v>42564.2916299306</v>
      </c>
      <c r="B40" s="8" t="s">
        <v>60</v>
      </c>
      <c r="C40" s="8" t="n">
        <v>10</v>
      </c>
      <c r="D40" s="8" t="n">
        <v>10</v>
      </c>
      <c r="E40" s="8" t="n">
        <v>200</v>
      </c>
    </row>
    <row r="41" customFormat="false" ht="15.75" hidden="false" customHeight="false" outlineLevel="0" collapsed="false">
      <c r="A41" s="34" t="n">
        <v>42564.3301794213</v>
      </c>
      <c r="B41" s="8" t="s">
        <v>85</v>
      </c>
      <c r="C41" s="8" t="n">
        <v>69</v>
      </c>
      <c r="D41" s="8" t="n">
        <v>367</v>
      </c>
      <c r="E41" s="8" t="n">
        <v>1300</v>
      </c>
    </row>
    <row r="42" customFormat="false" ht="15.75" hidden="false" customHeight="false" outlineLevel="0" collapsed="false">
      <c r="A42" s="34" t="n">
        <v>42564.3305258796</v>
      </c>
      <c r="B42" s="8" t="s">
        <v>146</v>
      </c>
      <c r="C42" s="8" t="n">
        <v>65</v>
      </c>
      <c r="D42" s="8" t="n">
        <v>760</v>
      </c>
      <c r="E42" s="8" t="n">
        <v>1600</v>
      </c>
    </row>
    <row r="43" customFormat="false" ht="15.75" hidden="false" customHeight="false" outlineLevel="0" collapsed="false">
      <c r="A43" s="34" t="n">
        <v>42564.3309204861</v>
      </c>
      <c r="B43" s="8" t="s">
        <v>142</v>
      </c>
      <c r="C43" s="8" t="n">
        <v>39</v>
      </c>
      <c r="D43" s="8" t="n">
        <v>213</v>
      </c>
      <c r="E43" s="8" t="n">
        <v>400</v>
      </c>
    </row>
    <row r="44" customFormat="false" ht="15.75" hidden="false" customHeight="false" outlineLevel="0" collapsed="false">
      <c r="A44" s="34" t="n">
        <v>42564.3312973264</v>
      </c>
      <c r="B44" s="8" t="s">
        <v>37</v>
      </c>
      <c r="C44" s="8" t="n">
        <v>82</v>
      </c>
      <c r="D44" s="8" t="n">
        <v>670</v>
      </c>
      <c r="E44" s="8" t="n">
        <v>1300</v>
      </c>
    </row>
    <row r="45" customFormat="false" ht="15.75" hidden="false" customHeight="false" outlineLevel="0" collapsed="false">
      <c r="A45" s="34" t="n">
        <v>42564.331709537</v>
      </c>
      <c r="B45" s="8" t="s">
        <v>98</v>
      </c>
      <c r="C45" s="8" t="n">
        <v>81</v>
      </c>
      <c r="D45" s="8" t="n">
        <v>301</v>
      </c>
      <c r="E45" s="8" t="n">
        <v>1000</v>
      </c>
    </row>
    <row r="46" customFormat="false" ht="15.75" hidden="false" customHeight="false" outlineLevel="0" collapsed="false">
      <c r="A46" s="34" t="n">
        <v>42564.3320343519</v>
      </c>
      <c r="B46" s="8" t="s">
        <v>74</v>
      </c>
      <c r="C46" s="8" t="n">
        <v>60</v>
      </c>
      <c r="D46" s="8" t="n">
        <v>426</v>
      </c>
      <c r="E46" s="8" t="n">
        <v>800</v>
      </c>
    </row>
    <row r="47" customFormat="false" ht="15.75" hidden="false" customHeight="false" outlineLevel="0" collapsed="false">
      <c r="A47" s="34" t="n">
        <v>42564.3323378819</v>
      </c>
      <c r="B47" s="8" t="s">
        <v>89</v>
      </c>
      <c r="C47" s="8" t="n">
        <v>39</v>
      </c>
      <c r="D47" s="8" t="n">
        <v>219</v>
      </c>
      <c r="E47" s="8" t="n">
        <v>600</v>
      </c>
    </row>
    <row r="48" customFormat="false" ht="15.75" hidden="false" customHeight="false" outlineLevel="0" collapsed="false">
      <c r="A48" s="34" t="n">
        <v>42564.3328466667</v>
      </c>
      <c r="B48" s="8" t="s">
        <v>88</v>
      </c>
      <c r="C48" s="8" t="n">
        <v>50</v>
      </c>
      <c r="D48" s="8" t="n">
        <v>334</v>
      </c>
      <c r="E48" s="8" t="n">
        <v>1300</v>
      </c>
    </row>
    <row r="49" customFormat="false" ht="15.75" hidden="false" customHeight="false" outlineLevel="0" collapsed="false">
      <c r="A49" s="34" t="n">
        <v>42564.3332835648</v>
      </c>
      <c r="B49" s="8" t="s">
        <v>62</v>
      </c>
      <c r="C49" s="8" t="n">
        <v>38</v>
      </c>
      <c r="D49" s="8" t="n">
        <v>294</v>
      </c>
      <c r="E49" s="8" t="n">
        <v>1000</v>
      </c>
    </row>
    <row r="50" customFormat="false" ht="15.75" hidden="false" customHeight="false" outlineLevel="0" collapsed="false">
      <c r="A50" s="34" t="n">
        <v>42564.3337032639</v>
      </c>
      <c r="B50" s="8" t="s">
        <v>34</v>
      </c>
      <c r="C50" s="8" t="n">
        <v>51</v>
      </c>
      <c r="D50" s="8" t="n">
        <v>296</v>
      </c>
      <c r="E50" s="8" t="n">
        <v>800</v>
      </c>
    </row>
    <row r="51" customFormat="false" ht="15.75" hidden="false" customHeight="false" outlineLevel="0" collapsed="false">
      <c r="A51" s="34" t="n">
        <v>42564.3632295023</v>
      </c>
      <c r="B51" s="8" t="s">
        <v>154</v>
      </c>
      <c r="C51" s="8" t="n">
        <v>57</v>
      </c>
      <c r="D51" s="8" t="n">
        <v>585</v>
      </c>
      <c r="E51" s="8" t="n">
        <v>1000</v>
      </c>
    </row>
    <row r="52" customFormat="false" ht="15.75" hidden="false" customHeight="false" outlineLevel="0" collapsed="false">
      <c r="A52" s="34" t="n">
        <v>42564.3635121412</v>
      </c>
      <c r="B52" s="8" t="s">
        <v>146</v>
      </c>
      <c r="C52" s="8" t="n">
        <v>61</v>
      </c>
      <c r="D52" s="8" t="n">
        <v>573</v>
      </c>
      <c r="E52" s="8" t="n">
        <v>1000</v>
      </c>
    </row>
    <row r="53" customFormat="false" ht="15.75" hidden="false" customHeight="false" outlineLevel="0" collapsed="false">
      <c r="A53" s="34" t="n">
        <v>42564.3637388889</v>
      </c>
      <c r="B53" s="8" t="s">
        <v>43</v>
      </c>
      <c r="C53" s="8" t="n">
        <v>58</v>
      </c>
      <c r="D53" s="8" t="n">
        <v>532</v>
      </c>
      <c r="E53" s="8" t="n">
        <v>1300</v>
      </c>
    </row>
    <row r="54" customFormat="false" ht="15.75" hidden="false" customHeight="false" outlineLevel="0" collapsed="false">
      <c r="A54" s="34" t="n">
        <v>42564.3639710301</v>
      </c>
      <c r="B54" s="8" t="s">
        <v>61</v>
      </c>
      <c r="C54" s="8" t="n">
        <v>68</v>
      </c>
      <c r="D54" s="8" t="n">
        <v>527</v>
      </c>
      <c r="E54" s="8" t="n">
        <v>1000</v>
      </c>
    </row>
    <row r="55" customFormat="false" ht="15.75" hidden="false" customHeight="false" outlineLevel="0" collapsed="false">
      <c r="A55" s="34" t="n">
        <v>42564.3642694676</v>
      </c>
      <c r="B55" s="8" t="s">
        <v>96</v>
      </c>
      <c r="C55" s="8" t="n">
        <v>51</v>
      </c>
      <c r="D55" s="8" t="n">
        <v>502</v>
      </c>
      <c r="E55" s="8" t="n">
        <v>1300</v>
      </c>
    </row>
    <row r="56" customFormat="false" ht="15.75" hidden="false" customHeight="false" outlineLevel="0" collapsed="false">
      <c r="A56" s="34" t="n">
        <v>42564.3645064699</v>
      </c>
      <c r="B56" s="8" t="s">
        <v>142</v>
      </c>
      <c r="C56" s="8" t="n">
        <v>59</v>
      </c>
      <c r="D56" s="8" t="n">
        <v>487</v>
      </c>
      <c r="E56" s="8" t="n">
        <v>800</v>
      </c>
    </row>
    <row r="57" customFormat="false" ht="15.75" hidden="false" customHeight="false" outlineLevel="0" collapsed="false">
      <c r="A57" s="34" t="n">
        <v>42564.3648184144</v>
      </c>
      <c r="B57" s="8" t="s">
        <v>146</v>
      </c>
      <c r="C57" s="8" t="n">
        <v>49</v>
      </c>
      <c r="D57" s="8" t="n">
        <v>446</v>
      </c>
      <c r="E57" s="8" t="n">
        <v>800</v>
      </c>
    </row>
    <row r="58" customFormat="false" ht="15.75" hidden="false" customHeight="false" outlineLevel="0" collapsed="false">
      <c r="A58" s="34" t="n">
        <v>42564.3650648264</v>
      </c>
      <c r="B58" s="8" t="s">
        <v>107</v>
      </c>
      <c r="C58" s="8" t="n">
        <v>77</v>
      </c>
      <c r="D58" s="8" t="n">
        <v>384</v>
      </c>
      <c r="E58" s="8" t="n">
        <v>1300</v>
      </c>
    </row>
    <row r="59" customFormat="false" ht="15.75" hidden="false" customHeight="false" outlineLevel="0" collapsed="false">
      <c r="A59" s="34" t="n">
        <v>42564.3654113542</v>
      </c>
      <c r="B59" s="8" t="s">
        <v>67</v>
      </c>
      <c r="C59" s="8" t="n">
        <v>64</v>
      </c>
      <c r="D59" s="8" t="n">
        <v>370</v>
      </c>
      <c r="E59" s="8" t="n">
        <v>1600</v>
      </c>
    </row>
    <row r="60" customFormat="false" ht="15.75" hidden="false" customHeight="false" outlineLevel="0" collapsed="false">
      <c r="A60" s="34" t="n">
        <v>42564.3656627315</v>
      </c>
      <c r="B60" s="8" t="s">
        <v>36</v>
      </c>
      <c r="C60" s="8" t="n">
        <v>59</v>
      </c>
      <c r="D60" s="8" t="n">
        <v>345</v>
      </c>
      <c r="E60" s="8" t="n">
        <v>1300</v>
      </c>
    </row>
    <row r="61" customFormat="false" ht="15.75" hidden="false" customHeight="false" outlineLevel="0" collapsed="false">
      <c r="A61" s="34" t="n">
        <v>42564.3659399537</v>
      </c>
      <c r="B61" s="8" t="s">
        <v>105</v>
      </c>
      <c r="C61" s="8" t="n">
        <v>64</v>
      </c>
      <c r="D61" s="8" t="n">
        <v>330</v>
      </c>
      <c r="E61" s="8" t="n">
        <v>1300</v>
      </c>
    </row>
    <row r="62" customFormat="false" ht="15.75" hidden="false" customHeight="false" outlineLevel="0" collapsed="false">
      <c r="A62" s="34" t="n">
        <v>42564.4871321412</v>
      </c>
      <c r="B62" s="8" t="s">
        <v>153</v>
      </c>
      <c r="C62" s="8" t="n">
        <v>171</v>
      </c>
      <c r="D62" s="8" t="n">
        <v>1782</v>
      </c>
      <c r="E62" s="8" t="n">
        <v>3000</v>
      </c>
    </row>
    <row r="63" customFormat="false" ht="15.75" hidden="false" customHeight="false" outlineLevel="0" collapsed="false">
      <c r="A63" s="34" t="n">
        <v>42564.4874643171</v>
      </c>
      <c r="B63" s="8" t="s">
        <v>153</v>
      </c>
      <c r="C63" s="8" t="n">
        <v>165</v>
      </c>
      <c r="D63" s="8" t="n">
        <v>1567</v>
      </c>
      <c r="E63" s="8" t="n">
        <v>3000</v>
      </c>
    </row>
    <row r="64" customFormat="false" ht="15.75" hidden="false" customHeight="false" outlineLevel="0" collapsed="false">
      <c r="A64" s="34" t="n">
        <v>42564.4877025926</v>
      </c>
      <c r="B64" s="8" t="s">
        <v>28</v>
      </c>
      <c r="C64" s="8" t="n">
        <v>106</v>
      </c>
      <c r="D64" s="8" t="n">
        <v>1534</v>
      </c>
      <c r="E64" s="8" t="n">
        <v>3500</v>
      </c>
    </row>
    <row r="65" customFormat="false" ht="15.75" hidden="false" customHeight="false" outlineLevel="0" collapsed="false">
      <c r="A65" s="34" t="n">
        <v>42564.4879294329</v>
      </c>
      <c r="B65" s="8" t="s">
        <v>155</v>
      </c>
      <c r="C65" s="8" t="n">
        <v>86</v>
      </c>
      <c r="D65" s="8" t="n">
        <v>1451</v>
      </c>
      <c r="E65" s="8" t="n">
        <v>2500</v>
      </c>
    </row>
    <row r="66" customFormat="false" ht="15.75" hidden="false" customHeight="false" outlineLevel="0" collapsed="false">
      <c r="A66" s="34" t="n">
        <v>42564.4881700463</v>
      </c>
      <c r="B66" s="8" t="s">
        <v>53</v>
      </c>
      <c r="C66" s="8" t="n">
        <v>105</v>
      </c>
      <c r="D66" s="8" t="n">
        <v>1425</v>
      </c>
      <c r="E66" s="8" t="n">
        <v>2500</v>
      </c>
    </row>
    <row r="67" customFormat="false" ht="15.75" hidden="false" customHeight="false" outlineLevel="0" collapsed="false">
      <c r="A67" s="34" t="n">
        <v>42564.4883992014</v>
      </c>
      <c r="B67" s="8" t="s">
        <v>155</v>
      </c>
      <c r="C67" s="8" t="n">
        <v>76</v>
      </c>
      <c r="D67" s="8" t="n">
        <v>1369</v>
      </c>
      <c r="E67" s="8" t="n">
        <v>2500</v>
      </c>
    </row>
    <row r="68" customFormat="false" ht="15.75" hidden="false" customHeight="false" outlineLevel="0" collapsed="false">
      <c r="A68" s="34" t="n">
        <v>42564.4887127431</v>
      </c>
      <c r="B68" s="8" t="s">
        <v>92</v>
      </c>
      <c r="C68" s="8" t="n">
        <v>104</v>
      </c>
      <c r="D68" s="8" t="n">
        <v>1316</v>
      </c>
      <c r="E68" s="8" t="n">
        <v>3000</v>
      </c>
    </row>
    <row r="69" customFormat="false" ht="15.75" hidden="false" customHeight="false" outlineLevel="0" collapsed="false">
      <c r="A69" s="34" t="n">
        <v>42564.4889433681</v>
      </c>
      <c r="B69" s="8" t="s">
        <v>154</v>
      </c>
      <c r="C69" s="8" t="n">
        <v>90</v>
      </c>
      <c r="D69" s="8" t="n">
        <v>1316</v>
      </c>
      <c r="E69" s="8" t="n">
        <v>3000</v>
      </c>
    </row>
    <row r="70" customFormat="false" ht="15.75" hidden="false" customHeight="false" outlineLevel="0" collapsed="false">
      <c r="A70" s="34" t="n">
        <v>42564.8443675579</v>
      </c>
      <c r="B70" s="8" t="s">
        <v>134</v>
      </c>
      <c r="C70" s="8" t="n">
        <v>134</v>
      </c>
      <c r="D70" s="8" t="n">
        <v>1141</v>
      </c>
      <c r="E70" s="8" t="n">
        <v>2500</v>
      </c>
    </row>
    <row r="71" customFormat="false" ht="15.75" hidden="false" customHeight="false" outlineLevel="0" collapsed="false">
      <c r="A71" s="34" t="n">
        <v>42564.9707939236</v>
      </c>
      <c r="B71" s="8" t="s">
        <v>147</v>
      </c>
      <c r="C71" s="8" t="n">
        <v>25</v>
      </c>
      <c r="D71" s="8" t="n">
        <v>79</v>
      </c>
      <c r="E71" s="8" t="n">
        <v>200</v>
      </c>
    </row>
    <row r="72" customFormat="false" ht="15.75" hidden="false" customHeight="false" outlineLevel="0" collapsed="false">
      <c r="A72" s="34" t="n">
        <v>42565.1695978241</v>
      </c>
      <c r="B72" s="8" t="s">
        <v>162</v>
      </c>
      <c r="C72" s="8" t="n">
        <v>109</v>
      </c>
      <c r="D72" s="8" t="n">
        <v>548</v>
      </c>
      <c r="E72" s="8" t="n">
        <v>600</v>
      </c>
    </row>
    <row r="73" customFormat="false" ht="15.75" hidden="false" customHeight="false" outlineLevel="0" collapsed="false">
      <c r="A73" s="34" t="n">
        <v>42565.4101600463</v>
      </c>
      <c r="B73" s="8" t="s">
        <v>116</v>
      </c>
      <c r="C73" s="8" t="n">
        <v>70</v>
      </c>
      <c r="D73" s="8" t="n">
        <v>509</v>
      </c>
      <c r="E73" s="8" t="n">
        <v>800</v>
      </c>
    </row>
    <row r="74" customFormat="false" ht="15.75" hidden="false" customHeight="false" outlineLevel="0" collapsed="false">
      <c r="A74" s="34" t="n">
        <v>42565.4107213889</v>
      </c>
      <c r="B74" s="8" t="s">
        <v>146</v>
      </c>
      <c r="C74" s="8" t="n">
        <v>53</v>
      </c>
      <c r="D74" s="8" t="n">
        <v>439</v>
      </c>
      <c r="E74" s="8" t="n">
        <v>800</v>
      </c>
    </row>
    <row r="75" customFormat="false" ht="15.75" hidden="false" customHeight="false" outlineLevel="0" collapsed="false">
      <c r="A75" s="34" t="n">
        <v>42565.4110326389</v>
      </c>
      <c r="B75" s="8" t="s">
        <v>118</v>
      </c>
      <c r="C75" s="8" t="n">
        <v>48</v>
      </c>
      <c r="D75" s="8" t="n">
        <v>419</v>
      </c>
      <c r="E75" s="8" t="n">
        <v>800</v>
      </c>
    </row>
    <row r="76" customFormat="false" ht="15.75" hidden="false" customHeight="false" outlineLevel="0" collapsed="false">
      <c r="A76" s="34" t="n">
        <v>42565.4113085995</v>
      </c>
      <c r="B76" s="8" t="s">
        <v>116</v>
      </c>
      <c r="C76" s="8" t="n">
        <v>63</v>
      </c>
      <c r="D76" s="8" t="n">
        <v>416</v>
      </c>
      <c r="E76" s="8" t="n">
        <v>800</v>
      </c>
    </row>
    <row r="77" customFormat="false" ht="15.75" hidden="false" customHeight="false" outlineLevel="0" collapsed="false">
      <c r="A77" s="34" t="n">
        <v>42565.5990241782</v>
      </c>
      <c r="B77" s="8" t="s">
        <v>35</v>
      </c>
      <c r="C77" s="8" t="n">
        <v>37</v>
      </c>
      <c r="D77" s="8" t="n">
        <v>149</v>
      </c>
      <c r="E77" s="8" t="n">
        <v>1000</v>
      </c>
    </row>
    <row r="78" customFormat="false" ht="15.75" hidden="false" customHeight="false" outlineLevel="0" collapsed="false">
      <c r="A78" s="34" t="n">
        <v>42565.5992763657</v>
      </c>
      <c r="B78" s="8" t="s">
        <v>35</v>
      </c>
      <c r="C78" s="8" t="n">
        <v>33</v>
      </c>
      <c r="D78" s="8" t="n">
        <v>125</v>
      </c>
      <c r="E78" s="8" t="n">
        <v>800</v>
      </c>
    </row>
    <row r="79" customFormat="false" ht="15.75" hidden="false" customHeight="false" outlineLevel="0" collapsed="false">
      <c r="A79" s="34" t="n">
        <v>42565.5997663889</v>
      </c>
      <c r="B79" s="8" t="s">
        <v>36</v>
      </c>
      <c r="C79" s="8" t="n">
        <v>12</v>
      </c>
      <c r="D79" s="8" t="n">
        <v>15</v>
      </c>
      <c r="E79" s="8" t="n">
        <v>200</v>
      </c>
    </row>
    <row r="80" customFormat="false" ht="15.75" hidden="false" customHeight="false" outlineLevel="0" collapsed="false">
      <c r="A80" s="34" t="n">
        <v>42565.599960463</v>
      </c>
      <c r="B80" s="8" t="s">
        <v>36</v>
      </c>
      <c r="C80" s="8" t="n">
        <v>18</v>
      </c>
      <c r="D80" s="8" t="n">
        <v>31</v>
      </c>
      <c r="E80" s="8" t="n">
        <v>200</v>
      </c>
    </row>
    <row r="81" customFormat="false" ht="15.75" hidden="false" customHeight="false" outlineLevel="0" collapsed="false">
      <c r="A81" s="34" t="n">
        <v>42565.6002555208</v>
      </c>
      <c r="B81" s="8" t="s">
        <v>37</v>
      </c>
      <c r="C81" s="8" t="n">
        <v>61</v>
      </c>
      <c r="D81" s="8" t="n">
        <v>382</v>
      </c>
      <c r="E81" s="8" t="n">
        <v>800</v>
      </c>
    </row>
    <row r="82" customFormat="false" ht="15.75" hidden="false" customHeight="false" outlineLevel="0" collapsed="false">
      <c r="A82" s="34" t="n">
        <v>42565.6005696528</v>
      </c>
      <c r="B82" s="8" t="s">
        <v>38</v>
      </c>
      <c r="C82" s="8" t="n">
        <v>27</v>
      </c>
      <c r="D82" s="8" t="n">
        <v>136</v>
      </c>
      <c r="E82" s="8" t="n">
        <v>1000</v>
      </c>
    </row>
    <row r="83" customFormat="false" ht="15.75" hidden="false" customHeight="false" outlineLevel="0" collapsed="false">
      <c r="A83" s="34" t="n">
        <v>42565.6008303935</v>
      </c>
      <c r="B83" s="8" t="s">
        <v>39</v>
      </c>
      <c r="C83" s="8" t="n">
        <v>47</v>
      </c>
      <c r="D83" s="8" t="n">
        <v>349</v>
      </c>
      <c r="E83" s="8" t="n">
        <v>1000</v>
      </c>
    </row>
    <row r="84" customFormat="false" ht="15.75" hidden="false" customHeight="false" outlineLevel="0" collapsed="false">
      <c r="A84" s="34" t="n">
        <v>42565.6017310995</v>
      </c>
      <c r="B84" s="8" t="s">
        <v>62</v>
      </c>
      <c r="C84" s="8" t="n">
        <v>10</v>
      </c>
      <c r="D84" s="8" t="n">
        <v>14</v>
      </c>
      <c r="E84" s="8" t="n">
        <v>200</v>
      </c>
    </row>
    <row r="85" customFormat="false" ht="15.75" hidden="false" customHeight="false" outlineLevel="0" collapsed="false">
      <c r="A85" s="34" t="n">
        <v>42565.602634213</v>
      </c>
      <c r="B85" s="8" t="s">
        <v>63</v>
      </c>
      <c r="C85" s="8" t="n">
        <v>61</v>
      </c>
      <c r="D85" s="8" t="n">
        <v>573</v>
      </c>
      <c r="E85" s="8" t="n">
        <v>1600</v>
      </c>
    </row>
    <row r="86" customFormat="false" ht="15.75" hidden="false" customHeight="false" outlineLevel="0" collapsed="false">
      <c r="A86" s="34" t="n">
        <v>42565.6029444444</v>
      </c>
      <c r="B86" s="8" t="s">
        <v>63</v>
      </c>
      <c r="C86" s="8" t="n">
        <v>56</v>
      </c>
      <c r="D86" s="8" t="n">
        <v>500</v>
      </c>
      <c r="E86" s="8" t="n">
        <v>1300</v>
      </c>
    </row>
    <row r="87" customFormat="false" ht="15.75" hidden="false" customHeight="false" outlineLevel="0" collapsed="false">
      <c r="A87" s="34" t="n">
        <v>42565.6032799074</v>
      </c>
      <c r="B87" s="8" t="s">
        <v>68</v>
      </c>
      <c r="C87" s="8" t="n">
        <v>63</v>
      </c>
      <c r="D87" s="8" t="n">
        <v>559</v>
      </c>
      <c r="E87" s="8" t="n">
        <v>1300</v>
      </c>
    </row>
    <row r="88" customFormat="false" ht="15.75" hidden="false" customHeight="false" outlineLevel="0" collapsed="false">
      <c r="A88" s="34" t="n">
        <v>42565.6035427778</v>
      </c>
      <c r="B88" s="8" t="s">
        <v>89</v>
      </c>
      <c r="C88" s="8" t="n">
        <v>60</v>
      </c>
      <c r="D88" s="8" t="n">
        <v>500</v>
      </c>
      <c r="E88" s="8" t="n">
        <v>1300</v>
      </c>
    </row>
    <row r="89" customFormat="false" ht="15.75" hidden="false" customHeight="false" outlineLevel="0" collapsed="false">
      <c r="A89" s="34" t="n">
        <v>42565.6038931134</v>
      </c>
      <c r="B89" s="8" t="s">
        <v>146</v>
      </c>
      <c r="C89" s="8" t="n">
        <v>54</v>
      </c>
      <c r="D89" s="8" t="n">
        <v>484</v>
      </c>
      <c r="E89" s="8" t="n">
        <v>800</v>
      </c>
    </row>
    <row r="90" customFormat="false" ht="15.75" hidden="false" customHeight="false" outlineLevel="0" collapsed="false">
      <c r="A90" s="34" t="n">
        <v>42565.6041512037</v>
      </c>
      <c r="B90" s="8" t="s">
        <v>89</v>
      </c>
      <c r="C90" s="8" t="n">
        <v>56</v>
      </c>
      <c r="D90" s="8" t="n">
        <v>437</v>
      </c>
      <c r="E90" s="8" t="n">
        <v>1000</v>
      </c>
    </row>
    <row r="91" customFormat="false" ht="15.75" hidden="false" customHeight="false" outlineLevel="0" collapsed="false">
      <c r="A91" s="34" t="n">
        <v>42565.6044609375</v>
      </c>
      <c r="B91" s="8" t="s">
        <v>34</v>
      </c>
      <c r="C91" s="8" t="n">
        <v>60</v>
      </c>
      <c r="D91" s="8" t="n">
        <v>380</v>
      </c>
      <c r="E91" s="8" t="n">
        <v>1000</v>
      </c>
    </row>
    <row r="92" customFormat="false" ht="15.75" hidden="false" customHeight="false" outlineLevel="0" collapsed="false">
      <c r="A92" s="34" t="n">
        <v>42565.6047602894</v>
      </c>
      <c r="B92" s="8" t="s">
        <v>37</v>
      </c>
      <c r="C92" s="8" t="n">
        <v>88</v>
      </c>
      <c r="D92" s="8" t="n">
        <v>745</v>
      </c>
      <c r="E92" s="8" t="n">
        <v>1600</v>
      </c>
    </row>
    <row r="93" customFormat="false" ht="15.75" hidden="false" customHeight="false" outlineLevel="0" collapsed="false">
      <c r="A93" s="34" t="n">
        <v>42565.6050050231</v>
      </c>
      <c r="B93" s="8" t="s">
        <v>37</v>
      </c>
      <c r="C93" s="8" t="n">
        <v>77</v>
      </c>
      <c r="D93" s="8" t="n">
        <v>599</v>
      </c>
      <c r="E93" s="8" t="n">
        <v>1300</v>
      </c>
    </row>
    <row r="94" customFormat="false" ht="15.75" hidden="false" customHeight="false" outlineLevel="0" collapsed="false">
      <c r="A94" s="34" t="n">
        <v>42565.6053054745</v>
      </c>
      <c r="B94" s="8" t="s">
        <v>66</v>
      </c>
      <c r="C94" s="8" t="n">
        <v>54</v>
      </c>
      <c r="D94" s="8" t="n">
        <v>535</v>
      </c>
      <c r="E94" s="8" t="n">
        <v>1300</v>
      </c>
    </row>
    <row r="95" customFormat="false" ht="15.75" hidden="false" customHeight="false" outlineLevel="0" collapsed="false">
      <c r="A95" s="34" t="n">
        <v>42565.6057034375</v>
      </c>
      <c r="B95" s="8" t="s">
        <v>98</v>
      </c>
      <c r="C95" s="8" t="n">
        <v>73</v>
      </c>
      <c r="D95" s="8" t="n">
        <v>271</v>
      </c>
      <c r="E95" s="8" t="n">
        <v>800</v>
      </c>
    </row>
    <row r="96" customFormat="false" ht="15.75" hidden="false" customHeight="false" outlineLevel="0" collapsed="false">
      <c r="A96" s="34" t="n">
        <v>42565.6061572338</v>
      </c>
      <c r="B96" s="8" t="s">
        <v>54</v>
      </c>
      <c r="C96" s="8" t="n">
        <v>48</v>
      </c>
      <c r="D96" s="8" t="n">
        <v>175</v>
      </c>
      <c r="E96" s="8" t="n">
        <v>600</v>
      </c>
    </row>
    <row r="97" customFormat="false" ht="15.75" hidden="false" customHeight="false" outlineLevel="0" collapsed="false">
      <c r="A97" s="34" t="n">
        <v>42565.6066367245</v>
      </c>
      <c r="B97" s="8" t="s">
        <v>111</v>
      </c>
      <c r="C97" s="8" t="n">
        <v>20</v>
      </c>
      <c r="D97" s="8" t="n">
        <v>106</v>
      </c>
      <c r="E97" s="8" t="n">
        <v>600</v>
      </c>
    </row>
    <row r="98" customFormat="false" ht="15.75" hidden="false" customHeight="false" outlineLevel="0" collapsed="false">
      <c r="A98" s="34" t="n">
        <v>42565.6069087269</v>
      </c>
      <c r="B98" s="8" t="s">
        <v>142</v>
      </c>
      <c r="C98" s="8" t="n">
        <v>25</v>
      </c>
      <c r="D98" s="8" t="n">
        <v>90</v>
      </c>
      <c r="E98" s="8" t="n">
        <v>200</v>
      </c>
    </row>
    <row r="99" customFormat="false" ht="15.75" hidden="false" customHeight="false" outlineLevel="0" collapsed="false">
      <c r="A99" s="34" t="n">
        <v>42565.7336838657</v>
      </c>
      <c r="B99" s="8" t="s">
        <v>143</v>
      </c>
      <c r="C99" s="8" t="n">
        <v>76</v>
      </c>
      <c r="D99" s="8" t="n">
        <v>879</v>
      </c>
      <c r="E99" s="8" t="n">
        <v>2500</v>
      </c>
    </row>
    <row r="100" customFormat="false" ht="15.75" hidden="false" customHeight="false" outlineLevel="0" collapsed="false">
      <c r="A100" s="34" t="n">
        <v>42565.7339431944</v>
      </c>
      <c r="B100" s="8" t="s">
        <v>109</v>
      </c>
      <c r="C100" s="8" t="n">
        <v>10</v>
      </c>
      <c r="D100" s="8" t="n">
        <v>30</v>
      </c>
      <c r="E100" s="8" t="n">
        <v>200</v>
      </c>
    </row>
    <row r="101" customFormat="false" ht="15.75" hidden="false" customHeight="false" outlineLevel="0" collapsed="false">
      <c r="A101" s="34" t="n">
        <v>42565.7342293403</v>
      </c>
      <c r="B101" s="8" t="s">
        <v>20</v>
      </c>
      <c r="C101" s="8" t="n">
        <v>59</v>
      </c>
      <c r="D101" s="8" t="n">
        <v>586</v>
      </c>
      <c r="E101" s="8" t="n">
        <v>2500</v>
      </c>
    </row>
    <row r="102" customFormat="false" ht="15.75" hidden="false" customHeight="false" outlineLevel="0" collapsed="false">
      <c r="A102" s="34" t="n">
        <v>42565.7344484259</v>
      </c>
      <c r="B102" s="8" t="s">
        <v>166</v>
      </c>
      <c r="C102" s="8" t="n">
        <v>35</v>
      </c>
      <c r="D102" s="8" t="n">
        <v>258</v>
      </c>
      <c r="E102" s="8" t="n">
        <v>1000</v>
      </c>
    </row>
    <row r="103" customFormat="false" ht="15.75" hidden="false" customHeight="false" outlineLevel="0" collapsed="false">
      <c r="A103" s="34" t="n">
        <v>42565.7983294444</v>
      </c>
      <c r="B103" s="8" t="s">
        <v>152</v>
      </c>
      <c r="C103" s="8" t="n">
        <v>55</v>
      </c>
      <c r="D103" s="8" t="n">
        <v>397</v>
      </c>
      <c r="E103" s="8" t="n">
        <v>1600</v>
      </c>
    </row>
    <row r="104" customFormat="false" ht="15.75" hidden="false" customHeight="false" outlineLevel="0" collapsed="false">
      <c r="A104" s="34" t="n">
        <v>42565.7984974306</v>
      </c>
      <c r="B104" s="8" t="s">
        <v>155</v>
      </c>
      <c r="C104" s="8" t="n">
        <v>71</v>
      </c>
      <c r="D104" s="8" t="n">
        <v>1039</v>
      </c>
      <c r="E104" s="8" t="n">
        <v>1600</v>
      </c>
    </row>
    <row r="105" customFormat="false" ht="15.75" hidden="false" customHeight="false" outlineLevel="0" collapsed="false">
      <c r="A105" s="34" t="n">
        <v>42565.7988540741</v>
      </c>
      <c r="B105" s="8" t="s">
        <v>58</v>
      </c>
      <c r="C105" s="8" t="n">
        <v>74</v>
      </c>
      <c r="D105" s="8" t="n">
        <v>133</v>
      </c>
      <c r="E105" s="8" t="n">
        <v>600</v>
      </c>
    </row>
    <row r="106" customFormat="false" ht="15.75" hidden="false" customHeight="false" outlineLevel="0" collapsed="false">
      <c r="A106" s="34" t="n">
        <v>42565.7992340741</v>
      </c>
      <c r="B106" s="8" t="s">
        <v>116</v>
      </c>
      <c r="C106" s="8" t="n">
        <v>97</v>
      </c>
      <c r="D106" s="8" t="n">
        <v>945</v>
      </c>
      <c r="E106" s="8" t="n">
        <v>1900</v>
      </c>
    </row>
    <row r="107" customFormat="false" ht="15.75" hidden="false" customHeight="false" outlineLevel="0" collapsed="false">
      <c r="A107" s="34" t="n">
        <v>42565.8147485532</v>
      </c>
      <c r="B107" s="8" t="s">
        <v>150</v>
      </c>
      <c r="C107" s="8" t="n">
        <v>124</v>
      </c>
      <c r="D107" s="8" t="n">
        <v>990</v>
      </c>
      <c r="E107" s="8" t="n">
        <v>1300</v>
      </c>
    </row>
    <row r="108" customFormat="false" ht="15.75" hidden="false" customHeight="false" outlineLevel="0" collapsed="false">
      <c r="A108" s="34" t="n">
        <v>42565.8150787963</v>
      </c>
      <c r="B108" s="8" t="s">
        <v>99</v>
      </c>
      <c r="C108" s="8" t="n">
        <v>93</v>
      </c>
      <c r="D108" s="8" t="n">
        <v>825</v>
      </c>
      <c r="E108" s="8" t="n">
        <v>1300</v>
      </c>
    </row>
    <row r="109" customFormat="false" ht="15.75" hidden="false" customHeight="false" outlineLevel="0" collapsed="false">
      <c r="A109" s="34" t="n">
        <v>42565.815436088</v>
      </c>
      <c r="B109" s="8" t="s">
        <v>73</v>
      </c>
      <c r="C109" s="8" t="n">
        <v>58</v>
      </c>
      <c r="D109" s="8" t="n">
        <v>496</v>
      </c>
      <c r="E109" s="8" t="n">
        <v>1900</v>
      </c>
    </row>
    <row r="110" customFormat="false" ht="15.75" hidden="false" customHeight="false" outlineLevel="0" collapsed="false">
      <c r="A110" s="34" t="n">
        <v>42565.815786794</v>
      </c>
      <c r="B110" s="8" t="s">
        <v>88</v>
      </c>
      <c r="C110" s="8" t="n">
        <v>57</v>
      </c>
      <c r="D110" s="8" t="n">
        <v>461</v>
      </c>
      <c r="E110" s="8" t="n">
        <v>1900</v>
      </c>
    </row>
    <row r="111" customFormat="false" ht="15.75" hidden="false" customHeight="false" outlineLevel="0" collapsed="false">
      <c r="A111" s="34" t="n">
        <v>42565.8171286574</v>
      </c>
      <c r="B111" s="8" t="s">
        <v>38</v>
      </c>
      <c r="C111" s="8" t="n">
        <v>11</v>
      </c>
      <c r="D111" s="8" t="n">
        <v>20</v>
      </c>
      <c r="E111" s="8" t="n">
        <v>200</v>
      </c>
    </row>
    <row r="112" customFormat="false" ht="15.75" hidden="false" customHeight="false" outlineLevel="0" collapsed="false">
      <c r="A112" s="34" t="n">
        <v>42565.8174490278</v>
      </c>
      <c r="B112" s="8" t="s">
        <v>38</v>
      </c>
      <c r="C112" s="8" t="n">
        <v>17</v>
      </c>
      <c r="D112" s="8" t="n">
        <v>53</v>
      </c>
      <c r="E112" s="8" t="n">
        <v>400</v>
      </c>
    </row>
    <row r="113" customFormat="false" ht="15.75" hidden="false" customHeight="false" outlineLevel="0" collapsed="false">
      <c r="A113" s="34" t="n">
        <v>42565.8177796991</v>
      </c>
      <c r="B113" s="8" t="s">
        <v>38</v>
      </c>
      <c r="C113" s="8" t="n">
        <v>20</v>
      </c>
      <c r="D113" s="8" t="n">
        <v>76</v>
      </c>
      <c r="E113" s="8" t="n">
        <v>600</v>
      </c>
    </row>
    <row r="114" customFormat="false" ht="15.75" hidden="false" customHeight="false" outlineLevel="0" collapsed="false">
      <c r="A114" s="34" t="n">
        <v>42565.8179332292</v>
      </c>
      <c r="B114" s="8" t="s">
        <v>38</v>
      </c>
      <c r="C114" s="8" t="n">
        <v>21</v>
      </c>
      <c r="D114" s="8" t="n">
        <v>80</v>
      </c>
      <c r="E114" s="8" t="n">
        <v>600</v>
      </c>
    </row>
    <row r="115" customFormat="false" ht="15.75" hidden="false" customHeight="false" outlineLevel="0" collapsed="false">
      <c r="A115" s="34" t="n">
        <v>42565.818126713</v>
      </c>
      <c r="B115" s="8" t="s">
        <v>38</v>
      </c>
      <c r="C115" s="8" t="n">
        <v>26</v>
      </c>
      <c r="D115" s="8" t="n">
        <v>132</v>
      </c>
      <c r="E115" s="8" t="n">
        <v>1000</v>
      </c>
    </row>
    <row r="116" customFormat="false" ht="15.75" hidden="false" customHeight="false" outlineLevel="0" collapsed="false">
      <c r="A116" s="34" t="n">
        <v>42565.8183065509</v>
      </c>
      <c r="B116" s="8" t="s">
        <v>38</v>
      </c>
      <c r="C116" s="8" t="n">
        <v>30</v>
      </c>
      <c r="D116" s="8" t="n">
        <v>160</v>
      </c>
      <c r="E116" s="8" t="n">
        <v>1300</v>
      </c>
    </row>
    <row r="117" customFormat="false" ht="15.75" hidden="false" customHeight="false" outlineLevel="0" collapsed="false">
      <c r="A117" s="34" t="n">
        <v>42565.8186735417</v>
      </c>
      <c r="B117" s="8" t="s">
        <v>36</v>
      </c>
      <c r="C117" s="8" t="n">
        <v>48</v>
      </c>
      <c r="D117" s="8" t="n">
        <v>234</v>
      </c>
      <c r="E117" s="8" t="n">
        <v>800</v>
      </c>
    </row>
    <row r="118" customFormat="false" ht="15.75" hidden="false" customHeight="false" outlineLevel="0" collapsed="false">
      <c r="A118" s="34" t="n">
        <v>42565.8188560995</v>
      </c>
      <c r="B118" s="8" t="s">
        <v>36</v>
      </c>
      <c r="C118" s="8" t="n">
        <v>52</v>
      </c>
      <c r="D118" s="8" t="n">
        <v>242</v>
      </c>
      <c r="E118" s="8" t="n">
        <v>800</v>
      </c>
    </row>
    <row r="119" customFormat="false" ht="15.75" hidden="false" customHeight="false" outlineLevel="0" collapsed="false">
      <c r="A119" s="34" t="n">
        <v>42565.8190745023</v>
      </c>
      <c r="B119" s="8" t="s">
        <v>36</v>
      </c>
      <c r="C119" s="8" t="n">
        <v>48</v>
      </c>
      <c r="D119" s="8" t="n">
        <v>246</v>
      </c>
      <c r="E119" s="8" t="n">
        <v>800</v>
      </c>
    </row>
    <row r="120" customFormat="false" ht="15.75" hidden="false" customHeight="false" outlineLevel="0" collapsed="false">
      <c r="A120" s="34" t="n">
        <v>42565.819242037</v>
      </c>
      <c r="B120" s="8" t="s">
        <v>36</v>
      </c>
      <c r="C120" s="8" t="n">
        <v>53</v>
      </c>
      <c r="D120" s="8" t="n">
        <v>269</v>
      </c>
      <c r="E120" s="8" t="n">
        <v>1000</v>
      </c>
    </row>
    <row r="121" customFormat="false" ht="15.75" hidden="false" customHeight="false" outlineLevel="0" collapsed="false">
      <c r="A121" s="34" t="n">
        <v>42565.8194813889</v>
      </c>
      <c r="B121" s="8" t="s">
        <v>36</v>
      </c>
      <c r="C121" s="8" t="n">
        <v>57</v>
      </c>
      <c r="D121" s="8" t="n">
        <v>300</v>
      </c>
      <c r="E121" s="8" t="n">
        <v>1000</v>
      </c>
    </row>
    <row r="122" customFormat="false" ht="15.75" hidden="false" customHeight="false" outlineLevel="0" collapsed="false">
      <c r="A122" s="34" t="n">
        <v>42565.8198150926</v>
      </c>
      <c r="B122" s="8" t="s">
        <v>36</v>
      </c>
      <c r="C122" s="8" t="n">
        <v>59</v>
      </c>
      <c r="D122" s="8" t="n">
        <v>300</v>
      </c>
      <c r="E122" s="8" t="n">
        <v>1000</v>
      </c>
    </row>
    <row r="123" customFormat="false" ht="15.75" hidden="false" customHeight="false" outlineLevel="0" collapsed="false">
      <c r="A123" s="34" t="n">
        <v>42565.8199968287</v>
      </c>
      <c r="B123" s="8" t="s">
        <v>36</v>
      </c>
      <c r="C123" s="8" t="n">
        <v>57</v>
      </c>
      <c r="D123" s="8" t="n">
        <v>330</v>
      </c>
      <c r="E123" s="8" t="n">
        <v>1300</v>
      </c>
    </row>
    <row r="124" customFormat="false" ht="15.75" hidden="false" customHeight="false" outlineLevel="0" collapsed="false">
      <c r="A124" s="34" t="n">
        <v>42565.8201520486</v>
      </c>
      <c r="B124" s="8" t="s">
        <v>36</v>
      </c>
      <c r="C124" s="8" t="n">
        <v>60</v>
      </c>
      <c r="D124" s="8" t="n">
        <v>357</v>
      </c>
      <c r="E124" s="8" t="n">
        <v>1300</v>
      </c>
    </row>
    <row r="125" customFormat="false" ht="15.75" hidden="false" customHeight="false" outlineLevel="0" collapsed="false">
      <c r="A125" s="34" t="n">
        <v>42565.8204140972</v>
      </c>
      <c r="B125" s="8" t="s">
        <v>36</v>
      </c>
      <c r="C125" s="8" t="n">
        <v>62</v>
      </c>
      <c r="D125" s="8" t="n">
        <v>369</v>
      </c>
      <c r="E125" s="8" t="n">
        <v>1300</v>
      </c>
    </row>
    <row r="126" customFormat="false" ht="15.75" hidden="false" customHeight="false" outlineLevel="0" collapsed="false">
      <c r="A126" s="34" t="n">
        <v>42565.8207278241</v>
      </c>
      <c r="B126" s="8" t="s">
        <v>150</v>
      </c>
      <c r="C126" s="8" t="n">
        <v>129</v>
      </c>
      <c r="D126" s="8" t="n">
        <v>1028</v>
      </c>
      <c r="E126" s="8" t="n">
        <v>1300</v>
      </c>
    </row>
    <row r="127" customFormat="false" ht="15.75" hidden="false" customHeight="false" outlineLevel="0" collapsed="false">
      <c r="A127" s="34" t="n">
        <v>42565.8345379514</v>
      </c>
      <c r="B127" s="8" t="s">
        <v>144</v>
      </c>
      <c r="C127" s="8" t="n">
        <v>67</v>
      </c>
      <c r="D127" s="8" t="n">
        <v>679</v>
      </c>
      <c r="E127" s="8" t="n">
        <v>1300</v>
      </c>
    </row>
    <row r="128" customFormat="false" ht="15.75" hidden="false" customHeight="false" outlineLevel="0" collapsed="false">
      <c r="A128" s="34" t="n">
        <v>42565.8348536806</v>
      </c>
      <c r="B128" s="8" t="s">
        <v>106</v>
      </c>
      <c r="C128" s="8" t="n">
        <v>86</v>
      </c>
      <c r="D128" s="8" t="n">
        <v>670</v>
      </c>
      <c r="E128" s="8" t="n">
        <v>1300</v>
      </c>
    </row>
    <row r="129" customFormat="false" ht="15.75" hidden="false" customHeight="false" outlineLevel="0" collapsed="false">
      <c r="A129" s="34" t="n">
        <v>42565.8351285764</v>
      </c>
      <c r="B129" s="8" t="s">
        <v>138</v>
      </c>
      <c r="C129" s="8" t="n">
        <v>77</v>
      </c>
      <c r="D129" s="8" t="n">
        <v>600</v>
      </c>
      <c r="E129" s="8" t="n">
        <v>1300</v>
      </c>
    </row>
    <row r="130" customFormat="false" ht="15.75" hidden="false" customHeight="false" outlineLevel="0" collapsed="false">
      <c r="A130" s="34" t="n">
        <v>42565.8355473611</v>
      </c>
      <c r="B130" s="8" t="s">
        <v>86</v>
      </c>
      <c r="C130" s="8" t="n">
        <v>72</v>
      </c>
      <c r="D130" s="8" t="n">
        <v>527</v>
      </c>
      <c r="E130" s="8" t="n">
        <v>1300</v>
      </c>
    </row>
    <row r="131" customFormat="false" ht="15.75" hidden="false" customHeight="false" outlineLevel="0" collapsed="false">
      <c r="A131" s="34" t="n">
        <v>42565.8864727778</v>
      </c>
      <c r="B131" s="8" t="s">
        <v>153</v>
      </c>
      <c r="C131" s="8" t="n">
        <v>113</v>
      </c>
      <c r="D131" s="8" t="n">
        <v>900</v>
      </c>
      <c r="E131" s="8" t="n">
        <v>2300</v>
      </c>
    </row>
    <row r="132" customFormat="false" ht="15.75" hidden="false" customHeight="false" outlineLevel="0" collapsed="false">
      <c r="A132" s="34" t="n">
        <v>42566.2721987616</v>
      </c>
      <c r="B132" s="8" t="s">
        <v>144</v>
      </c>
      <c r="C132" s="8" t="n">
        <v>59</v>
      </c>
      <c r="D132" s="8" t="n">
        <v>565</v>
      </c>
      <c r="E132" s="8" t="n">
        <v>1000</v>
      </c>
    </row>
    <row r="133" customFormat="false" ht="15.75" hidden="false" customHeight="false" outlineLevel="0" collapsed="false">
      <c r="A133" s="34" t="n">
        <v>42566.2726519329</v>
      </c>
      <c r="B133" s="8" t="s">
        <v>119</v>
      </c>
      <c r="C133" s="8" t="n">
        <v>31</v>
      </c>
      <c r="D133" s="8" t="n">
        <v>175</v>
      </c>
      <c r="E133" s="8" t="n">
        <v>800</v>
      </c>
    </row>
    <row r="134" customFormat="false" ht="15.75" hidden="false" customHeight="false" outlineLevel="0" collapsed="false">
      <c r="A134" s="34" t="n">
        <v>42566.4468534028</v>
      </c>
      <c r="B134" s="8" t="s">
        <v>29</v>
      </c>
      <c r="C134" s="8" t="n">
        <v>26</v>
      </c>
      <c r="D134" s="8" t="n">
        <v>51</v>
      </c>
      <c r="E134" s="8" t="n">
        <v>600</v>
      </c>
    </row>
    <row r="135" customFormat="false" ht="15.75" hidden="false" customHeight="false" outlineLevel="0" collapsed="false">
      <c r="A135" s="34" t="n">
        <v>42566.447161713</v>
      </c>
      <c r="B135" s="8" t="s">
        <v>65</v>
      </c>
      <c r="C135" s="8" t="n">
        <v>17</v>
      </c>
      <c r="D135" s="8" t="n">
        <v>66</v>
      </c>
      <c r="E135" s="8" t="n">
        <v>400</v>
      </c>
    </row>
    <row r="136" customFormat="false" ht="15.75" hidden="false" customHeight="false" outlineLevel="0" collapsed="false">
      <c r="A136" s="34" t="n">
        <v>42566.447436088</v>
      </c>
      <c r="B136" s="8" t="s">
        <v>67</v>
      </c>
      <c r="C136" s="8" t="n">
        <v>26</v>
      </c>
      <c r="D136" s="8" t="n">
        <v>70</v>
      </c>
      <c r="E136" s="8" t="n">
        <v>400</v>
      </c>
    </row>
    <row r="137" customFormat="false" ht="15.75" hidden="false" customHeight="false" outlineLevel="0" collapsed="false">
      <c r="A137" s="34" t="n">
        <v>42566.4477056366</v>
      </c>
      <c r="B137" s="8" t="s">
        <v>88</v>
      </c>
      <c r="C137" s="8" t="n">
        <v>22</v>
      </c>
      <c r="D137" s="8" t="n">
        <v>71</v>
      </c>
      <c r="E137" s="8" t="n">
        <v>400</v>
      </c>
    </row>
    <row r="138" customFormat="false" ht="15.75" hidden="false" customHeight="false" outlineLevel="0" collapsed="false">
      <c r="A138" s="34" t="n">
        <v>42566.4480090278</v>
      </c>
      <c r="B138" s="8" t="s">
        <v>152</v>
      </c>
      <c r="C138" s="8" t="n">
        <v>28</v>
      </c>
      <c r="D138" s="8" t="n">
        <v>105</v>
      </c>
      <c r="E138" s="8" t="n">
        <v>400</v>
      </c>
    </row>
    <row r="139" customFormat="false" ht="15.75" hidden="false" customHeight="false" outlineLevel="0" collapsed="false">
      <c r="A139" s="34" t="n">
        <v>42566.4483792245</v>
      </c>
      <c r="B139" s="8" t="s">
        <v>73</v>
      </c>
      <c r="C139" s="8" t="n">
        <v>28</v>
      </c>
      <c r="D139" s="8" t="n">
        <v>110</v>
      </c>
      <c r="E139" s="8" t="n">
        <v>400</v>
      </c>
    </row>
    <row r="140" customFormat="false" ht="15.75" hidden="false" customHeight="false" outlineLevel="0" collapsed="false">
      <c r="A140" s="34" t="n">
        <v>42566.4486070833</v>
      </c>
      <c r="B140" s="8" t="s">
        <v>111</v>
      </c>
      <c r="C140" s="8" t="n">
        <v>23</v>
      </c>
      <c r="D140" s="8" t="n">
        <v>123</v>
      </c>
      <c r="E140" s="8" t="n">
        <v>600</v>
      </c>
    </row>
    <row r="141" customFormat="false" ht="15.75" hidden="false" customHeight="false" outlineLevel="0" collapsed="false">
      <c r="A141" s="34" t="n">
        <v>42566.4489064583</v>
      </c>
      <c r="B141" s="8" t="s">
        <v>36</v>
      </c>
      <c r="C141" s="8" t="n">
        <v>44</v>
      </c>
      <c r="D141" s="8" t="n">
        <v>182</v>
      </c>
      <c r="E141" s="8" t="n">
        <v>600</v>
      </c>
    </row>
    <row r="142" customFormat="false" ht="15.75" hidden="false" customHeight="false" outlineLevel="0" collapsed="false">
      <c r="A142" s="34" t="n">
        <v>42566.4694436921</v>
      </c>
      <c r="B142" s="8" t="s">
        <v>23</v>
      </c>
      <c r="C142" s="8" t="n">
        <v>42</v>
      </c>
      <c r="D142" s="8" t="n">
        <v>314</v>
      </c>
      <c r="E142" s="8" t="n">
        <v>1300</v>
      </c>
    </row>
    <row r="143" customFormat="false" ht="15.75" hidden="false" customHeight="false" outlineLevel="0" collapsed="false">
      <c r="A143" s="34" t="n">
        <v>42566.4696728704</v>
      </c>
      <c r="B143" s="8" t="s">
        <v>26</v>
      </c>
      <c r="C143" s="8" t="n">
        <v>57</v>
      </c>
      <c r="D143" s="8" t="n">
        <v>443</v>
      </c>
      <c r="E143" s="8" t="n">
        <v>2200</v>
      </c>
    </row>
    <row r="144" customFormat="false" ht="15.75" hidden="false" customHeight="false" outlineLevel="0" collapsed="false">
      <c r="A144" s="34" t="n">
        <v>42566.4698722338</v>
      </c>
      <c r="B144" s="8" t="s">
        <v>27</v>
      </c>
      <c r="C144" s="8" t="n">
        <v>48</v>
      </c>
      <c r="D144" s="8" t="n">
        <v>318</v>
      </c>
      <c r="E144" s="8" t="n">
        <v>800</v>
      </c>
    </row>
    <row r="145" customFormat="false" ht="15.75" hidden="false" customHeight="false" outlineLevel="0" collapsed="false">
      <c r="A145" s="34" t="n">
        <v>42566.4701186458</v>
      </c>
      <c r="B145" s="8" t="s">
        <v>29</v>
      </c>
      <c r="C145" s="8" t="n">
        <v>49</v>
      </c>
      <c r="D145" s="8" t="n">
        <v>153</v>
      </c>
      <c r="E145" s="8" t="n">
        <v>2200</v>
      </c>
    </row>
    <row r="146" customFormat="false" ht="15.75" hidden="false" customHeight="false" outlineLevel="0" collapsed="false">
      <c r="A146" s="34" t="n">
        <v>42566.470304294</v>
      </c>
      <c r="B146" s="8" t="s">
        <v>30</v>
      </c>
      <c r="C146" s="8" t="n">
        <v>57</v>
      </c>
      <c r="D146" s="8" t="n">
        <v>169</v>
      </c>
      <c r="E146" s="8" t="n">
        <v>2200</v>
      </c>
    </row>
    <row r="147" customFormat="false" ht="15.75" hidden="false" customHeight="false" outlineLevel="0" collapsed="false">
      <c r="A147" s="34" t="n">
        <v>42566.470559456</v>
      </c>
      <c r="B147" s="8" t="s">
        <v>32</v>
      </c>
      <c r="C147" s="8" t="n">
        <v>54</v>
      </c>
      <c r="D147" s="8" t="n">
        <v>203</v>
      </c>
      <c r="E147" s="8" t="n">
        <v>2500</v>
      </c>
    </row>
    <row r="148" customFormat="false" ht="15.75" hidden="false" customHeight="false" outlineLevel="0" collapsed="false">
      <c r="A148" s="34" t="n">
        <v>42566.4707477083</v>
      </c>
      <c r="B148" s="8" t="s">
        <v>32</v>
      </c>
      <c r="C148" s="8" t="n">
        <v>53</v>
      </c>
      <c r="D148" s="8" t="n">
        <v>187</v>
      </c>
      <c r="E148" s="8" t="n">
        <v>2500</v>
      </c>
    </row>
    <row r="149" customFormat="false" ht="15.75" hidden="false" customHeight="false" outlineLevel="0" collapsed="false">
      <c r="A149" s="34" t="n">
        <v>42566.4709325347</v>
      </c>
      <c r="B149" s="8" t="s">
        <v>32</v>
      </c>
      <c r="C149" s="8" t="n">
        <v>48</v>
      </c>
      <c r="D149" s="8" t="n">
        <v>185</v>
      </c>
      <c r="E149" s="8" t="n">
        <v>2500</v>
      </c>
    </row>
    <row r="150" customFormat="false" ht="15.75" hidden="false" customHeight="false" outlineLevel="0" collapsed="false">
      <c r="A150" s="34" t="n">
        <v>42566.4711095486</v>
      </c>
      <c r="B150" s="8" t="s">
        <v>32</v>
      </c>
      <c r="C150" s="8" t="n">
        <v>47</v>
      </c>
      <c r="D150" s="8" t="n">
        <v>183</v>
      </c>
      <c r="E150" s="8" t="n">
        <v>2200</v>
      </c>
    </row>
    <row r="151" customFormat="false" ht="15.75" hidden="false" customHeight="false" outlineLevel="0" collapsed="false">
      <c r="A151" s="34" t="n">
        <v>42566.4713067361</v>
      </c>
      <c r="B151" s="8" t="s">
        <v>32</v>
      </c>
      <c r="C151" s="8" t="n">
        <v>48</v>
      </c>
      <c r="D151" s="8" t="n">
        <v>178</v>
      </c>
      <c r="E151" s="8" t="n">
        <v>2200</v>
      </c>
    </row>
    <row r="152" customFormat="false" ht="15.75" hidden="false" customHeight="false" outlineLevel="0" collapsed="false">
      <c r="A152" s="34" t="n">
        <v>42566.4715395949</v>
      </c>
      <c r="B152" s="8" t="s">
        <v>32</v>
      </c>
      <c r="C152" s="8" t="n">
        <v>51</v>
      </c>
      <c r="D152" s="8" t="n">
        <v>175</v>
      </c>
      <c r="E152" s="8" t="n">
        <v>2500</v>
      </c>
    </row>
    <row r="153" customFormat="false" ht="15.75" hidden="false" customHeight="false" outlineLevel="0" collapsed="false">
      <c r="A153" s="34" t="n">
        <v>42566.4717153819</v>
      </c>
      <c r="B153" s="8" t="s">
        <v>32</v>
      </c>
      <c r="C153" s="8" t="n">
        <v>51</v>
      </c>
      <c r="D153" s="8" t="n">
        <v>175</v>
      </c>
      <c r="E153" s="8" t="n">
        <v>2500</v>
      </c>
    </row>
    <row r="154" customFormat="false" ht="15.75" hidden="false" customHeight="false" outlineLevel="0" collapsed="false">
      <c r="A154" s="34" t="n">
        <v>42566.4719191435</v>
      </c>
      <c r="B154" s="8" t="s">
        <v>32</v>
      </c>
      <c r="C154" s="8" t="n">
        <v>46</v>
      </c>
      <c r="D154" s="8" t="n">
        <v>174</v>
      </c>
      <c r="E154" s="8" t="n">
        <v>2200</v>
      </c>
    </row>
    <row r="155" customFormat="false" ht="15.75" hidden="false" customHeight="false" outlineLevel="0" collapsed="false">
      <c r="A155" s="34" t="n">
        <v>42566.4721470718</v>
      </c>
      <c r="B155" s="8" t="s">
        <v>32</v>
      </c>
      <c r="C155" s="8" t="n">
        <v>50</v>
      </c>
      <c r="D155" s="8" t="n">
        <v>173</v>
      </c>
      <c r="E155" s="8" t="n">
        <v>2200</v>
      </c>
    </row>
    <row r="156" customFormat="false" ht="15.75" hidden="false" customHeight="false" outlineLevel="0" collapsed="false">
      <c r="A156" s="34" t="n">
        <v>42566.4723142361</v>
      </c>
      <c r="B156" s="8" t="s">
        <v>32</v>
      </c>
      <c r="C156" s="8" t="n">
        <v>46</v>
      </c>
      <c r="D156" s="8" t="n">
        <v>166</v>
      </c>
      <c r="E156" s="8" t="n">
        <v>2200</v>
      </c>
    </row>
    <row r="157" customFormat="false" ht="15.75" hidden="false" customHeight="false" outlineLevel="0" collapsed="false">
      <c r="A157" s="34" t="n">
        <v>42566.4724961458</v>
      </c>
      <c r="B157" s="8" t="s">
        <v>32</v>
      </c>
      <c r="C157" s="8" t="n">
        <v>47</v>
      </c>
      <c r="D157" s="8" t="n">
        <v>160</v>
      </c>
      <c r="E157" s="8" t="n">
        <v>1900</v>
      </c>
    </row>
    <row r="158" customFormat="false" ht="15.75" hidden="false" customHeight="false" outlineLevel="0" collapsed="false">
      <c r="A158" s="34" t="n">
        <v>42566.4726848264</v>
      </c>
      <c r="B158" s="8" t="s">
        <v>32</v>
      </c>
      <c r="C158" s="8" t="n">
        <v>46</v>
      </c>
      <c r="D158" s="8" t="n">
        <v>152</v>
      </c>
      <c r="E158" s="8" t="n">
        <v>1900</v>
      </c>
    </row>
    <row r="159" customFormat="false" ht="15.75" hidden="false" customHeight="false" outlineLevel="0" collapsed="false">
      <c r="A159" s="34" t="n">
        <v>42566.4728335069</v>
      </c>
      <c r="B159" s="8" t="s">
        <v>32</v>
      </c>
      <c r="C159" s="8" t="n">
        <v>46</v>
      </c>
      <c r="D159" s="8" t="n">
        <v>152</v>
      </c>
      <c r="E159" s="8" t="n">
        <v>1900</v>
      </c>
    </row>
    <row r="160" customFormat="false" ht="15.75" hidden="false" customHeight="false" outlineLevel="0" collapsed="false">
      <c r="A160" s="34" t="n">
        <v>42566.4729990394</v>
      </c>
      <c r="B160" s="8" t="s">
        <v>32</v>
      </c>
      <c r="C160" s="8" t="n">
        <v>46</v>
      </c>
      <c r="D160" s="8" t="n">
        <v>152</v>
      </c>
      <c r="E160" s="8" t="n">
        <v>1900</v>
      </c>
    </row>
    <row r="161" customFormat="false" ht="15.75" hidden="false" customHeight="false" outlineLevel="0" collapsed="false">
      <c r="A161" s="34" t="n">
        <v>42566.4731452431</v>
      </c>
      <c r="B161" s="8" t="s">
        <v>32</v>
      </c>
      <c r="C161" s="8" t="n">
        <v>46</v>
      </c>
      <c r="D161" s="8" t="n">
        <v>152</v>
      </c>
      <c r="E161" s="8" t="n">
        <v>1900</v>
      </c>
    </row>
    <row r="162" customFormat="false" ht="15.75" hidden="false" customHeight="false" outlineLevel="0" collapsed="false">
      <c r="A162" s="34" t="n">
        <v>42566.4733068866</v>
      </c>
      <c r="B162" s="8" t="s">
        <v>33</v>
      </c>
      <c r="C162" s="8" t="n">
        <v>51</v>
      </c>
      <c r="D162" s="8" t="n">
        <v>194</v>
      </c>
      <c r="E162" s="8" t="n">
        <v>1900</v>
      </c>
    </row>
    <row r="163" customFormat="false" ht="15.75" hidden="false" customHeight="false" outlineLevel="0" collapsed="false">
      <c r="A163" s="34" t="n">
        <v>42566.4735027083</v>
      </c>
      <c r="B163" s="8" t="s">
        <v>34</v>
      </c>
      <c r="C163" s="8" t="n">
        <v>64</v>
      </c>
      <c r="D163" s="8" t="n">
        <v>409</v>
      </c>
      <c r="E163" s="8" t="n">
        <v>1300</v>
      </c>
    </row>
    <row r="164" customFormat="false" ht="15.75" hidden="false" customHeight="false" outlineLevel="0" collapsed="false">
      <c r="A164" s="34" t="n">
        <v>42566.4737235069</v>
      </c>
      <c r="B164" s="8" t="s">
        <v>35</v>
      </c>
      <c r="C164" s="8" t="n">
        <v>53</v>
      </c>
      <c r="D164" s="8" t="n">
        <v>308</v>
      </c>
      <c r="E164" s="8" t="n">
        <v>2200</v>
      </c>
    </row>
    <row r="165" customFormat="false" ht="15.75" hidden="false" customHeight="false" outlineLevel="0" collapsed="false">
      <c r="A165" s="34" t="n">
        <v>42566.4738778819</v>
      </c>
      <c r="B165" s="8" t="s">
        <v>35</v>
      </c>
      <c r="C165" s="8" t="n">
        <v>51</v>
      </c>
      <c r="D165" s="8" t="n">
        <v>292</v>
      </c>
      <c r="E165" s="8" t="n">
        <v>2200</v>
      </c>
    </row>
    <row r="166" customFormat="false" ht="15.75" hidden="false" customHeight="false" outlineLevel="0" collapsed="false">
      <c r="A166" s="34" t="n">
        <v>42566.4742217361</v>
      </c>
      <c r="B166" s="8" t="s">
        <v>35</v>
      </c>
      <c r="C166" s="8" t="n">
        <v>49</v>
      </c>
      <c r="D166" s="8" t="n">
        <v>284</v>
      </c>
      <c r="E166" s="8" t="n">
        <v>2200</v>
      </c>
    </row>
    <row r="167" customFormat="false" ht="15.75" hidden="false" customHeight="false" outlineLevel="0" collapsed="false">
      <c r="A167" s="34" t="n">
        <v>42566.4745481366</v>
      </c>
      <c r="B167" s="8" t="s">
        <v>35</v>
      </c>
      <c r="C167" s="8" t="n">
        <v>48</v>
      </c>
      <c r="D167" s="8" t="n">
        <v>250</v>
      </c>
      <c r="E167" s="8" t="n">
        <v>1900</v>
      </c>
    </row>
    <row r="168" customFormat="false" ht="15.75" hidden="false" customHeight="false" outlineLevel="0" collapsed="false">
      <c r="A168" s="34" t="n">
        <v>42566.4746549769</v>
      </c>
      <c r="B168" s="8" t="s">
        <v>32</v>
      </c>
      <c r="C168" s="8" t="n">
        <v>36</v>
      </c>
      <c r="D168" s="8" t="n">
        <v>89</v>
      </c>
      <c r="E168" s="8" t="n">
        <v>1000</v>
      </c>
    </row>
    <row r="169" customFormat="false" ht="15.75" hidden="false" customHeight="false" outlineLevel="0" collapsed="false">
      <c r="A169" s="34" t="n">
        <v>42566.4747145023</v>
      </c>
      <c r="B169" s="8" t="s">
        <v>35</v>
      </c>
      <c r="C169" s="8" t="n">
        <v>43</v>
      </c>
      <c r="D169" s="8" t="n">
        <v>233</v>
      </c>
      <c r="E169" s="8" t="n">
        <v>1600</v>
      </c>
    </row>
    <row r="170" customFormat="false" ht="15.75" hidden="false" customHeight="false" outlineLevel="0" collapsed="false">
      <c r="A170" s="34" t="n">
        <v>42566.4750520718</v>
      </c>
      <c r="B170" s="8" t="s">
        <v>35</v>
      </c>
      <c r="C170" s="8" t="n">
        <v>43</v>
      </c>
      <c r="D170" s="8" t="n">
        <v>232</v>
      </c>
      <c r="E170" s="8" t="n">
        <v>1300</v>
      </c>
    </row>
    <row r="171" customFormat="false" ht="15.75" hidden="false" customHeight="false" outlineLevel="0" collapsed="false">
      <c r="A171" s="34" t="n">
        <v>42566.4752400116</v>
      </c>
      <c r="B171" s="8" t="s">
        <v>35</v>
      </c>
      <c r="C171" s="8" t="n">
        <v>44</v>
      </c>
      <c r="D171" s="8" t="n">
        <v>220</v>
      </c>
      <c r="E171" s="8" t="n">
        <v>1600</v>
      </c>
    </row>
    <row r="172" customFormat="false" ht="15.75" hidden="false" customHeight="false" outlineLevel="0" collapsed="false">
      <c r="A172" s="34" t="n">
        <v>42566.4754079745</v>
      </c>
      <c r="B172" s="8" t="s">
        <v>35</v>
      </c>
      <c r="C172" s="8" t="n">
        <v>43</v>
      </c>
      <c r="D172" s="8" t="n">
        <v>216</v>
      </c>
      <c r="E172" s="8" t="n">
        <v>1300</v>
      </c>
    </row>
    <row r="173" customFormat="false" ht="15.75" hidden="false" customHeight="false" outlineLevel="0" collapsed="false">
      <c r="A173" s="34" t="n">
        <v>42566.4755628357</v>
      </c>
      <c r="B173" s="8" t="s">
        <v>35</v>
      </c>
      <c r="C173" s="8" t="n">
        <v>41</v>
      </c>
      <c r="D173" s="8" t="n">
        <v>214</v>
      </c>
      <c r="E173" s="8" t="n">
        <v>1600</v>
      </c>
    </row>
    <row r="174" customFormat="false" ht="15.75" hidden="false" customHeight="false" outlineLevel="0" collapsed="false">
      <c r="A174" s="34" t="n">
        <v>42566.475717581</v>
      </c>
      <c r="B174" s="8" t="s">
        <v>35</v>
      </c>
      <c r="C174" s="8" t="n">
        <v>41</v>
      </c>
      <c r="D174" s="8" t="n">
        <v>214</v>
      </c>
      <c r="E174" s="8" t="n">
        <v>1600</v>
      </c>
    </row>
    <row r="175" customFormat="false" ht="15.75" hidden="false" customHeight="false" outlineLevel="0" collapsed="false">
      <c r="A175" s="34" t="n">
        <v>42566.4759134722</v>
      </c>
      <c r="B175" s="8" t="s">
        <v>35</v>
      </c>
      <c r="C175" s="8" t="n">
        <v>39</v>
      </c>
      <c r="D175" s="8" t="n">
        <v>199</v>
      </c>
      <c r="E175" s="8" t="n">
        <v>1600</v>
      </c>
    </row>
    <row r="176" customFormat="false" ht="15.75" hidden="false" customHeight="false" outlineLevel="0" collapsed="false">
      <c r="A176" s="34" t="n">
        <v>42566.4761455903</v>
      </c>
      <c r="B176" s="8" t="s">
        <v>35</v>
      </c>
      <c r="C176" s="8" t="n">
        <v>40</v>
      </c>
      <c r="D176" s="8" t="n">
        <v>189</v>
      </c>
      <c r="E176" s="8" t="n">
        <v>1300</v>
      </c>
    </row>
    <row r="177" customFormat="false" ht="15.75" hidden="false" customHeight="false" outlineLevel="0" collapsed="false">
      <c r="A177" s="34" t="n">
        <v>42566.4763886227</v>
      </c>
      <c r="B177" s="8" t="s">
        <v>36</v>
      </c>
      <c r="C177" s="8" t="n">
        <v>76</v>
      </c>
      <c r="D177" s="8" t="n">
        <v>531</v>
      </c>
      <c r="E177" s="8" t="n">
        <v>2200</v>
      </c>
    </row>
    <row r="178" customFormat="false" ht="15.75" hidden="false" customHeight="false" outlineLevel="0" collapsed="false">
      <c r="A178" s="34" t="n">
        <v>42566.4765762269</v>
      </c>
      <c r="B178" s="8" t="s">
        <v>36</v>
      </c>
      <c r="C178" s="8" t="n">
        <v>77</v>
      </c>
      <c r="D178" s="8" t="n">
        <v>529</v>
      </c>
      <c r="E178" s="8" t="n">
        <v>2200</v>
      </c>
    </row>
    <row r="179" customFormat="false" ht="15.75" hidden="false" customHeight="false" outlineLevel="0" collapsed="false">
      <c r="A179" s="34" t="n">
        <v>42566.4767596991</v>
      </c>
      <c r="B179" s="8" t="s">
        <v>37</v>
      </c>
      <c r="C179" s="8" t="n">
        <v>83</v>
      </c>
      <c r="D179" s="8" t="n">
        <v>702</v>
      </c>
      <c r="E179" s="8" t="n">
        <v>1600</v>
      </c>
    </row>
    <row r="180" customFormat="false" ht="15.75" hidden="false" customHeight="false" outlineLevel="0" collapsed="false">
      <c r="A180" s="34" t="n">
        <v>42566.4769375347</v>
      </c>
      <c r="B180" s="8" t="s">
        <v>37</v>
      </c>
      <c r="C180" s="8" t="n">
        <v>76</v>
      </c>
      <c r="D180" s="8" t="n">
        <v>644</v>
      </c>
      <c r="E180" s="8" t="n">
        <v>1300</v>
      </c>
    </row>
    <row r="181" customFormat="false" ht="15.75" hidden="false" customHeight="false" outlineLevel="0" collapsed="false">
      <c r="A181" s="34" t="n">
        <v>42566.5258649537</v>
      </c>
      <c r="B181" s="8" t="s">
        <v>37</v>
      </c>
      <c r="C181" s="8" t="n">
        <v>79</v>
      </c>
      <c r="D181" s="8" t="n">
        <v>680</v>
      </c>
      <c r="E181" s="8" t="n">
        <v>1300</v>
      </c>
    </row>
    <row r="182" customFormat="false" ht="15.75" hidden="false" customHeight="false" outlineLevel="0" collapsed="false">
      <c r="A182" s="34" t="n">
        <v>42566.5261281829</v>
      </c>
      <c r="B182" s="8" t="s">
        <v>116</v>
      </c>
      <c r="C182" s="8" t="n">
        <v>76</v>
      </c>
      <c r="D182" s="8" t="n">
        <v>644</v>
      </c>
      <c r="E182" s="8" t="n">
        <v>1300</v>
      </c>
    </row>
    <row r="183" customFormat="false" ht="15.75" hidden="false" customHeight="false" outlineLevel="0" collapsed="false">
      <c r="A183" s="34" t="n">
        <v>42566.5263716435</v>
      </c>
      <c r="B183" s="8" t="s">
        <v>41</v>
      </c>
      <c r="C183" s="8" t="n">
        <v>62</v>
      </c>
      <c r="D183" s="8" t="n">
        <v>529</v>
      </c>
      <c r="E183" s="8" t="n">
        <v>1300</v>
      </c>
    </row>
    <row r="184" customFormat="false" ht="15.75" hidden="false" customHeight="false" outlineLevel="0" collapsed="false">
      <c r="A184" s="34" t="n">
        <v>42566.5266125347</v>
      </c>
      <c r="B184" s="8" t="s">
        <v>39</v>
      </c>
      <c r="C184" s="8" t="n">
        <v>48</v>
      </c>
      <c r="D184" s="8" t="n">
        <v>403</v>
      </c>
      <c r="E184" s="8" t="n">
        <v>1300</v>
      </c>
    </row>
    <row r="185" customFormat="false" ht="15.75" hidden="false" customHeight="false" outlineLevel="0" collapsed="false">
      <c r="A185" s="34" t="n">
        <v>42566.5268622801</v>
      </c>
      <c r="B185" s="8" t="s">
        <v>143</v>
      </c>
      <c r="C185" s="8" t="n">
        <v>52</v>
      </c>
      <c r="D185" s="8" t="n">
        <v>368</v>
      </c>
      <c r="E185" s="8" t="n">
        <v>800</v>
      </c>
    </row>
    <row r="186" customFormat="false" ht="15.75" hidden="false" customHeight="false" outlineLevel="0" collapsed="false">
      <c r="A186" s="34" t="n">
        <v>42566.5270777894</v>
      </c>
      <c r="B186" s="8" t="s">
        <v>73</v>
      </c>
      <c r="C186" s="8" t="n">
        <v>47</v>
      </c>
      <c r="D186" s="8" t="n">
        <v>320</v>
      </c>
      <c r="E186" s="8" t="n">
        <v>1300</v>
      </c>
    </row>
    <row r="187" customFormat="false" ht="15.75" hidden="false" customHeight="false" outlineLevel="0" collapsed="false">
      <c r="A187" s="34" t="n">
        <v>42566.5273685185</v>
      </c>
      <c r="B187" s="8" t="s">
        <v>88</v>
      </c>
      <c r="C187" s="8" t="n">
        <v>47</v>
      </c>
      <c r="D187" s="8" t="n">
        <v>314</v>
      </c>
      <c r="E187" s="8" t="n">
        <v>1000</v>
      </c>
    </row>
    <row r="188" customFormat="false" ht="15.75" hidden="false" customHeight="false" outlineLevel="0" collapsed="false">
      <c r="A188" s="34" t="n">
        <v>42566.5275589005</v>
      </c>
      <c r="B188" s="8" t="s">
        <v>115</v>
      </c>
      <c r="C188" s="8" t="n">
        <v>54</v>
      </c>
      <c r="D188" s="8" t="n">
        <v>302</v>
      </c>
      <c r="E188" s="8" t="n">
        <v>1300</v>
      </c>
    </row>
    <row r="189" customFormat="false" ht="15.75" hidden="false" customHeight="false" outlineLevel="0" collapsed="false">
      <c r="A189" s="34" t="n">
        <v>42566.5278127199</v>
      </c>
      <c r="B189" s="8" t="s">
        <v>39</v>
      </c>
      <c r="C189" s="8" t="n">
        <v>44</v>
      </c>
      <c r="D189" s="8" t="n">
        <v>299</v>
      </c>
      <c r="E189" s="8" t="n">
        <v>800</v>
      </c>
    </row>
    <row r="190" customFormat="false" ht="15.75" hidden="false" customHeight="false" outlineLevel="0" collapsed="false">
      <c r="A190" s="34" t="n">
        <v>42566.5280227315</v>
      </c>
      <c r="B190" s="8" t="s">
        <v>79</v>
      </c>
      <c r="C190" s="8" t="n">
        <v>43</v>
      </c>
      <c r="D190" s="8" t="n">
        <v>285</v>
      </c>
      <c r="E190" s="8" t="n">
        <v>1600</v>
      </c>
    </row>
    <row r="191" customFormat="false" ht="15.75" hidden="false" customHeight="false" outlineLevel="0" collapsed="false">
      <c r="A191" s="34" t="n">
        <v>42566.5282332292</v>
      </c>
      <c r="B191" s="8" t="s">
        <v>115</v>
      </c>
      <c r="C191" s="8" t="n">
        <v>54</v>
      </c>
      <c r="D191" s="8" t="n">
        <v>276</v>
      </c>
      <c r="E191" s="8" t="n">
        <v>1000</v>
      </c>
    </row>
    <row r="192" customFormat="false" ht="15.75" hidden="false" customHeight="false" outlineLevel="0" collapsed="false">
      <c r="A192" s="34" t="n">
        <v>42566.528421169</v>
      </c>
      <c r="B192" s="8" t="s">
        <v>115</v>
      </c>
      <c r="C192" s="8" t="n">
        <v>50</v>
      </c>
      <c r="D192" s="8" t="n">
        <v>248</v>
      </c>
      <c r="E192" s="8" t="n">
        <v>1000</v>
      </c>
    </row>
    <row r="193" customFormat="false" ht="15.75" hidden="false" customHeight="false" outlineLevel="0" collapsed="false">
      <c r="A193" s="34" t="n">
        <v>42566.5286059259</v>
      </c>
      <c r="B193" s="8" t="s">
        <v>115</v>
      </c>
      <c r="C193" s="8" t="n">
        <v>51</v>
      </c>
      <c r="D193" s="8" t="n">
        <v>244</v>
      </c>
      <c r="E193" s="8" t="n">
        <v>1000</v>
      </c>
    </row>
    <row r="194" customFormat="false" ht="15.75" hidden="false" customHeight="false" outlineLevel="0" collapsed="false">
      <c r="A194" s="34" t="n">
        <v>42566.5287734028</v>
      </c>
      <c r="B194" s="8" t="s">
        <v>115</v>
      </c>
      <c r="C194" s="8" t="n">
        <v>50</v>
      </c>
      <c r="D194" s="8" t="n">
        <v>236</v>
      </c>
      <c r="E194" s="8" t="n">
        <v>800</v>
      </c>
    </row>
    <row r="195" customFormat="false" ht="15.75" hidden="false" customHeight="false" outlineLevel="0" collapsed="false">
      <c r="A195" s="34" t="n">
        <v>42566.5289833565</v>
      </c>
      <c r="B195" s="8" t="s">
        <v>40</v>
      </c>
      <c r="C195" s="8" t="n">
        <v>43</v>
      </c>
      <c r="D195" s="8" t="n">
        <v>218</v>
      </c>
      <c r="E195" s="8" t="n">
        <v>1300</v>
      </c>
    </row>
    <row r="196" customFormat="false" ht="15.75" hidden="false" customHeight="false" outlineLevel="0" collapsed="false">
      <c r="A196" s="34" t="n">
        <v>42566.5291569792</v>
      </c>
      <c r="B196" s="8" t="s">
        <v>115</v>
      </c>
      <c r="C196" s="8" t="n">
        <v>48</v>
      </c>
      <c r="D196" s="8" t="n">
        <v>216</v>
      </c>
      <c r="E196" s="8" t="n">
        <v>800</v>
      </c>
    </row>
    <row r="197" customFormat="false" ht="15.75" hidden="false" customHeight="false" outlineLevel="0" collapsed="false">
      <c r="A197" s="34" t="n">
        <v>42566.5292926505</v>
      </c>
      <c r="B197" s="8" t="s">
        <v>109</v>
      </c>
      <c r="C197" s="8" t="n">
        <v>27</v>
      </c>
      <c r="D197" s="8" t="n">
        <v>211</v>
      </c>
      <c r="E197" s="8" t="n">
        <v>1000</v>
      </c>
    </row>
    <row r="198" customFormat="false" ht="15.75" hidden="false" customHeight="false" outlineLevel="0" collapsed="false">
      <c r="A198" s="34" t="n">
        <v>42566.5295668866</v>
      </c>
      <c r="B198" s="8" t="s">
        <v>36</v>
      </c>
      <c r="C198" s="8" t="n">
        <v>48</v>
      </c>
      <c r="D198" s="8" t="n">
        <v>210</v>
      </c>
      <c r="E198" s="8" t="n">
        <v>800</v>
      </c>
    </row>
    <row r="199" customFormat="false" ht="15.75" hidden="false" customHeight="false" outlineLevel="0" collapsed="false">
      <c r="A199" s="34" t="n">
        <v>42566.529775463</v>
      </c>
      <c r="B199" s="8" t="s">
        <v>115</v>
      </c>
      <c r="C199" s="8" t="n">
        <v>46</v>
      </c>
      <c r="D199" s="8" t="n">
        <v>204</v>
      </c>
      <c r="E199" s="8" t="n">
        <v>800</v>
      </c>
    </row>
    <row r="200" customFormat="false" ht="15.75" hidden="false" customHeight="false" outlineLevel="0" collapsed="false">
      <c r="A200" s="34" t="n">
        <v>42566.530051331</v>
      </c>
      <c r="B200" s="8" t="s">
        <v>105</v>
      </c>
      <c r="C200" s="8" t="n">
        <v>48</v>
      </c>
      <c r="D200" s="8" t="n">
        <v>198</v>
      </c>
      <c r="E200" s="8" t="n">
        <v>800</v>
      </c>
    </row>
    <row r="201" customFormat="false" ht="15.75" hidden="false" customHeight="false" outlineLevel="0" collapsed="false">
      <c r="A201" s="34" t="n">
        <v>42566.5303531597</v>
      </c>
      <c r="B201" s="8" t="s">
        <v>119</v>
      </c>
      <c r="C201" s="8" t="n">
        <v>35</v>
      </c>
      <c r="D201" s="8" t="n">
        <v>197</v>
      </c>
      <c r="E201" s="8" t="n">
        <v>1000</v>
      </c>
    </row>
    <row r="202" customFormat="false" ht="15.75" hidden="false" customHeight="false" outlineLevel="0" collapsed="false">
      <c r="A202" s="34" t="n">
        <v>42566.5306488773</v>
      </c>
      <c r="B202" s="8" t="s">
        <v>56</v>
      </c>
      <c r="C202" s="8" t="n">
        <v>35</v>
      </c>
      <c r="D202" s="8" t="n">
        <v>175</v>
      </c>
      <c r="E202" s="8" t="n">
        <v>1000</v>
      </c>
    </row>
    <row r="203" customFormat="false" ht="15.75" hidden="false" customHeight="false" outlineLevel="0" collapsed="false">
      <c r="A203" s="34" t="n">
        <v>42566.5308988889</v>
      </c>
      <c r="B203" s="8" t="s">
        <v>111</v>
      </c>
      <c r="C203" s="8" t="n">
        <v>25</v>
      </c>
      <c r="D203" s="8" t="n">
        <v>171</v>
      </c>
      <c r="E203" s="8" t="n">
        <v>1000</v>
      </c>
    </row>
    <row r="204" customFormat="false" ht="15.75" hidden="false" customHeight="false" outlineLevel="0" collapsed="false">
      <c r="A204" s="34" t="n">
        <v>42566.5311242361</v>
      </c>
      <c r="B204" s="8" t="s">
        <v>73</v>
      </c>
      <c r="C204" s="8" t="n">
        <v>35</v>
      </c>
      <c r="D204" s="8" t="n">
        <v>162</v>
      </c>
      <c r="E204" s="8" t="n">
        <v>600</v>
      </c>
    </row>
    <row r="205" customFormat="false" ht="15.75" hidden="false" customHeight="false" outlineLevel="0" collapsed="false">
      <c r="A205" s="34" t="n">
        <v>42566.531283206</v>
      </c>
      <c r="B205" s="8" t="s">
        <v>117</v>
      </c>
      <c r="C205" s="8" t="n">
        <v>24</v>
      </c>
      <c r="D205" s="8" t="n">
        <v>162</v>
      </c>
      <c r="E205" s="8" t="n">
        <v>800</v>
      </c>
    </row>
    <row r="206" customFormat="false" ht="15.75" hidden="false" customHeight="false" outlineLevel="0" collapsed="false">
      <c r="A206" s="34" t="n">
        <v>42566.5314573495</v>
      </c>
      <c r="B206" s="8" t="s">
        <v>100</v>
      </c>
      <c r="C206" s="8" t="n">
        <v>20</v>
      </c>
      <c r="D206" s="8" t="n">
        <v>159</v>
      </c>
      <c r="E206" s="8" t="n">
        <v>800</v>
      </c>
    </row>
    <row r="207" customFormat="false" ht="15.75" hidden="false" customHeight="false" outlineLevel="0" collapsed="false">
      <c r="A207" s="34" t="n">
        <v>42566.5317515278</v>
      </c>
      <c r="B207" s="8" t="s">
        <v>103</v>
      </c>
      <c r="C207" s="8" t="n">
        <v>28</v>
      </c>
      <c r="D207" s="8" t="n">
        <v>142</v>
      </c>
      <c r="E207" s="8" t="n">
        <v>800</v>
      </c>
    </row>
    <row r="208" customFormat="false" ht="15.75" hidden="false" customHeight="false" outlineLevel="0" collapsed="false">
      <c r="A208" s="34" t="n">
        <v>42566.5320737732</v>
      </c>
      <c r="B208" s="8" t="s">
        <v>67</v>
      </c>
      <c r="C208" s="8" t="n">
        <v>37</v>
      </c>
      <c r="D208" s="8" t="n">
        <v>129</v>
      </c>
      <c r="E208" s="8" t="n">
        <v>600</v>
      </c>
    </row>
    <row r="209" customFormat="false" ht="15.75" hidden="false" customHeight="false" outlineLevel="0" collapsed="false">
      <c r="A209" s="34" t="n">
        <v>42566.5324815741</v>
      </c>
      <c r="B209" s="8" t="s">
        <v>82</v>
      </c>
      <c r="C209" s="8" t="n">
        <v>22</v>
      </c>
      <c r="D209" s="8" t="n">
        <v>126</v>
      </c>
      <c r="E209" s="8" t="n">
        <v>800</v>
      </c>
    </row>
    <row r="210" customFormat="false" ht="15.75" hidden="false" customHeight="false" outlineLevel="0" collapsed="false">
      <c r="A210" s="34" t="n">
        <v>42566.5327421528</v>
      </c>
      <c r="B210" s="8" t="s">
        <v>46</v>
      </c>
      <c r="C210" s="8" t="n">
        <v>36</v>
      </c>
      <c r="D210" s="8" t="n">
        <v>113</v>
      </c>
      <c r="E210" s="8" t="n">
        <v>600</v>
      </c>
    </row>
    <row r="211" customFormat="false" ht="15.75" hidden="false" customHeight="false" outlineLevel="0" collapsed="false">
      <c r="A211" s="34" t="n">
        <v>42566.5329460301</v>
      </c>
      <c r="B211" s="8" t="s">
        <v>65</v>
      </c>
      <c r="C211" s="8" t="n">
        <v>24</v>
      </c>
      <c r="D211" s="8" t="n">
        <v>108</v>
      </c>
      <c r="E211" s="8" t="n">
        <v>600</v>
      </c>
    </row>
    <row r="212" customFormat="false" ht="15.75" hidden="false" customHeight="false" outlineLevel="0" collapsed="false">
      <c r="A212" s="34" t="n">
        <v>42566.5331114815</v>
      </c>
      <c r="B212" s="8" t="s">
        <v>96</v>
      </c>
      <c r="C212" s="8" t="n">
        <v>23</v>
      </c>
      <c r="D212" s="8" t="n">
        <v>107</v>
      </c>
      <c r="E212" s="8" t="n">
        <v>400</v>
      </c>
    </row>
    <row r="213" customFormat="false" ht="15.75" hidden="false" customHeight="false" outlineLevel="0" collapsed="false">
      <c r="A213" s="34" t="n">
        <v>42566.5333847685</v>
      </c>
      <c r="B213" s="8" t="s">
        <v>112</v>
      </c>
      <c r="C213" s="8" t="n">
        <v>22</v>
      </c>
      <c r="D213" s="8" t="n">
        <v>96</v>
      </c>
      <c r="E213" s="8" t="n">
        <v>400</v>
      </c>
    </row>
    <row r="214" customFormat="false" ht="15.75" hidden="false" customHeight="false" outlineLevel="0" collapsed="false">
      <c r="A214" s="34" t="n">
        <v>42566.5337069792</v>
      </c>
      <c r="B214" s="8" t="s">
        <v>135</v>
      </c>
      <c r="C214" s="8" t="n">
        <v>17</v>
      </c>
      <c r="D214" s="8" t="n">
        <v>78</v>
      </c>
      <c r="E214" s="8" t="n">
        <v>400</v>
      </c>
    </row>
    <row r="215" customFormat="false" ht="15.75" hidden="false" customHeight="false" outlineLevel="0" collapsed="false">
      <c r="A215" s="34" t="n">
        <v>42566.5338728009</v>
      </c>
      <c r="B215" s="8" t="s">
        <v>128</v>
      </c>
      <c r="C215" s="8" t="n">
        <v>18</v>
      </c>
      <c r="D215" s="8" t="n">
        <v>78</v>
      </c>
      <c r="E215" s="8" t="n">
        <v>400</v>
      </c>
    </row>
    <row r="216" customFormat="false" ht="15.75" hidden="false" customHeight="false" outlineLevel="0" collapsed="false">
      <c r="A216" s="34" t="n">
        <v>42566.5341520949</v>
      </c>
      <c r="B216" s="8" t="s">
        <v>139</v>
      </c>
      <c r="C216" s="8" t="n">
        <v>15</v>
      </c>
      <c r="D216" s="8" t="n">
        <v>67</v>
      </c>
      <c r="E216" s="8" t="n">
        <v>400</v>
      </c>
    </row>
    <row r="217" customFormat="false" ht="15.75" hidden="false" customHeight="false" outlineLevel="0" collapsed="false">
      <c r="A217" s="34" t="n">
        <v>42566.5344825926</v>
      </c>
      <c r="B217" s="8" t="s">
        <v>148</v>
      </c>
      <c r="C217" s="8" t="n">
        <v>18</v>
      </c>
      <c r="D217" s="8" t="n">
        <v>59</v>
      </c>
      <c r="E217" s="8" t="n">
        <v>1000</v>
      </c>
    </row>
    <row r="218" customFormat="false" ht="15.75" hidden="false" customHeight="false" outlineLevel="0" collapsed="false">
      <c r="A218" s="34" t="n">
        <v>42566.5350428588</v>
      </c>
      <c r="B218" s="8" t="s">
        <v>152</v>
      </c>
      <c r="C218" s="8" t="n">
        <v>19</v>
      </c>
      <c r="D218" s="8" t="n">
        <v>44</v>
      </c>
      <c r="E218" s="8" t="n">
        <v>200</v>
      </c>
    </row>
    <row r="219" customFormat="false" ht="15.75" hidden="false" customHeight="false" outlineLevel="0" collapsed="false">
      <c r="A219" s="34" t="n">
        <v>42566.5777212963</v>
      </c>
      <c r="B219" s="8" t="s">
        <v>142</v>
      </c>
      <c r="C219" s="8" t="n">
        <v>74</v>
      </c>
      <c r="D219" s="8" t="n">
        <v>762</v>
      </c>
      <c r="E219" s="8" t="n">
        <v>1600</v>
      </c>
    </row>
    <row r="220" customFormat="false" ht="15.75" hidden="false" customHeight="false" outlineLevel="0" collapsed="false">
      <c r="A220" s="34" t="n">
        <v>42566.578206169</v>
      </c>
      <c r="B220" s="8" t="s">
        <v>153</v>
      </c>
      <c r="C220" s="8" t="n">
        <v>160</v>
      </c>
      <c r="D220" s="8" t="n">
        <v>1465</v>
      </c>
      <c r="E220" s="8" t="n">
        <v>2500</v>
      </c>
    </row>
    <row r="221" customFormat="false" ht="15.75" hidden="false" customHeight="false" outlineLevel="0" collapsed="false">
      <c r="A221" s="34" t="n">
        <v>42566.5785734028</v>
      </c>
      <c r="B221" s="8" t="s">
        <v>155</v>
      </c>
      <c r="C221" s="8" t="n">
        <v>84</v>
      </c>
      <c r="D221" s="8" t="n">
        <v>1477</v>
      </c>
      <c r="E221" s="8" t="n">
        <v>2500</v>
      </c>
    </row>
    <row r="222" customFormat="false" ht="15.75" hidden="false" customHeight="false" outlineLevel="0" collapsed="false">
      <c r="A222" s="34" t="n">
        <v>42566.578995081</v>
      </c>
      <c r="B222" s="8" t="s">
        <v>155</v>
      </c>
      <c r="C222" s="8" t="n">
        <v>85</v>
      </c>
      <c r="D222" s="8" t="n">
        <v>1466</v>
      </c>
      <c r="E222" s="8" t="n">
        <v>2500</v>
      </c>
    </row>
    <row r="223" customFormat="false" ht="15.75" hidden="false" customHeight="false" outlineLevel="0" collapsed="false">
      <c r="A223" s="34" t="n">
        <v>42566.5794211574</v>
      </c>
      <c r="B223" s="8" t="s">
        <v>59</v>
      </c>
      <c r="C223" s="8" t="n">
        <v>170</v>
      </c>
      <c r="D223" s="8" t="n">
        <v>1171</v>
      </c>
      <c r="E223" s="8" t="n">
        <v>2500</v>
      </c>
    </row>
    <row r="224" customFormat="false" ht="15.75" hidden="false" customHeight="false" outlineLevel="0" collapsed="false">
      <c r="A224" s="34" t="n">
        <v>42566.5797848958</v>
      </c>
      <c r="B224" s="8" t="s">
        <v>162</v>
      </c>
      <c r="C224" s="8" t="n">
        <v>166</v>
      </c>
      <c r="D224" s="8" t="n">
        <v>1272</v>
      </c>
      <c r="E224" s="8" t="n">
        <v>1900</v>
      </c>
    </row>
    <row r="225" customFormat="false" ht="15.75" hidden="false" customHeight="false" outlineLevel="0" collapsed="false">
      <c r="A225" s="34" t="n">
        <v>42566.611836412</v>
      </c>
      <c r="B225" s="8" t="s">
        <v>82</v>
      </c>
      <c r="C225" s="8" t="n">
        <v>10</v>
      </c>
      <c r="D225" s="8" t="n">
        <v>22</v>
      </c>
      <c r="E225" s="8" t="n">
        <v>200</v>
      </c>
    </row>
    <row r="226" customFormat="false" ht="15.75" hidden="false" customHeight="false" outlineLevel="0" collapsed="false">
      <c r="A226" s="34" t="n">
        <v>42566.6216320023</v>
      </c>
      <c r="B226" s="8" t="s">
        <v>28</v>
      </c>
      <c r="C226" s="8" t="n">
        <v>105</v>
      </c>
      <c r="D226" s="8" t="n">
        <v>1389</v>
      </c>
      <c r="E226" s="8" t="n">
        <v>3000</v>
      </c>
    </row>
    <row r="227" customFormat="false" ht="15.75" hidden="false" customHeight="false" outlineLevel="0" collapsed="false">
      <c r="A227" s="34" t="n">
        <v>42566.6220287616</v>
      </c>
      <c r="B227" s="8" t="s">
        <v>153</v>
      </c>
      <c r="C227" s="8" t="n">
        <v>139</v>
      </c>
      <c r="D227" s="8" t="n">
        <v>1160</v>
      </c>
      <c r="E227" s="8" t="n">
        <v>1600</v>
      </c>
    </row>
    <row r="228" customFormat="false" ht="15.75" hidden="false" customHeight="false" outlineLevel="0" collapsed="false">
      <c r="A228" s="34" t="n">
        <v>42566.6223724884</v>
      </c>
      <c r="B228" s="8" t="s">
        <v>144</v>
      </c>
      <c r="C228" s="8" t="n">
        <v>78</v>
      </c>
      <c r="D228" s="8" t="n">
        <v>926</v>
      </c>
      <c r="E228" s="8" t="n">
        <v>2200</v>
      </c>
    </row>
    <row r="229" customFormat="false" ht="15.75" hidden="false" customHeight="false" outlineLevel="0" collapsed="false">
      <c r="A229" s="34" t="n">
        <v>42566.6226993287</v>
      </c>
      <c r="B229" s="8" t="s">
        <v>147</v>
      </c>
      <c r="C229" s="8" t="n">
        <v>82</v>
      </c>
      <c r="D229" s="8" t="n">
        <v>789</v>
      </c>
      <c r="E229" s="8" t="n">
        <v>1900</v>
      </c>
    </row>
    <row r="230" customFormat="false" ht="15.75" hidden="false" customHeight="false" outlineLevel="0" collapsed="false">
      <c r="A230" s="34" t="n">
        <v>42566.6230759606</v>
      </c>
      <c r="B230" s="8" t="s">
        <v>95</v>
      </c>
      <c r="C230" s="8" t="n">
        <v>76</v>
      </c>
      <c r="D230" s="8" t="n">
        <v>663</v>
      </c>
      <c r="E230" s="8" t="n">
        <v>1300</v>
      </c>
    </row>
    <row r="231" customFormat="false" ht="15.75" hidden="false" customHeight="false" outlineLevel="0" collapsed="false">
      <c r="A231" s="34" t="n">
        <v>42566.6234966898</v>
      </c>
      <c r="B231" s="8" t="s">
        <v>47</v>
      </c>
      <c r="C231" s="8" t="n">
        <v>79</v>
      </c>
      <c r="D231" s="8" t="n">
        <v>655</v>
      </c>
      <c r="E231" s="8" t="n">
        <v>1600</v>
      </c>
    </row>
    <row r="232" customFormat="false" ht="15.75" hidden="false" customHeight="false" outlineLevel="0" collapsed="false">
      <c r="A232" s="34" t="n">
        <v>42566.6366266319</v>
      </c>
      <c r="B232" s="8" t="s">
        <v>116</v>
      </c>
      <c r="C232" s="8" t="n">
        <v>82</v>
      </c>
      <c r="D232" s="8" t="n">
        <v>675</v>
      </c>
      <c r="E232" s="8" t="n">
        <v>1300</v>
      </c>
    </row>
    <row r="233" customFormat="false" ht="15.75" hidden="false" customHeight="false" outlineLevel="0" collapsed="false">
      <c r="A233" s="34" t="n">
        <v>42566.6396466782</v>
      </c>
      <c r="B233" s="8" t="s">
        <v>116</v>
      </c>
      <c r="C233" s="8" t="n">
        <v>67</v>
      </c>
      <c r="D233" s="8" t="n">
        <v>478</v>
      </c>
      <c r="E233" s="8" t="n">
        <v>800</v>
      </c>
    </row>
    <row r="234" customFormat="false" ht="15.75" hidden="false" customHeight="false" outlineLevel="0" collapsed="false">
      <c r="A234" s="34" t="n">
        <v>42566.6402691782</v>
      </c>
      <c r="B234" s="8" t="s">
        <v>150</v>
      </c>
      <c r="C234" s="8" t="n">
        <v>78</v>
      </c>
      <c r="D234" s="8" t="n">
        <v>393</v>
      </c>
      <c r="E234" s="8" t="n">
        <v>600</v>
      </c>
    </row>
    <row r="235" customFormat="false" ht="15.75" hidden="false" customHeight="false" outlineLevel="0" collapsed="false">
      <c r="A235" s="34" t="n">
        <v>42566.6405214699</v>
      </c>
      <c r="B235" s="8" t="s">
        <v>110</v>
      </c>
      <c r="C235" s="8" t="n">
        <v>39</v>
      </c>
      <c r="D235" s="8" t="n">
        <v>391</v>
      </c>
      <c r="E235" s="8" t="n">
        <v>800</v>
      </c>
    </row>
    <row r="236" customFormat="false" ht="15.75" hidden="false" customHeight="false" outlineLevel="0" collapsed="false">
      <c r="A236" s="34" t="n">
        <v>42566.640795625</v>
      </c>
      <c r="B236" s="8" t="s">
        <v>61</v>
      </c>
      <c r="C236" s="8" t="n">
        <v>54</v>
      </c>
      <c r="D236" s="8" t="n">
        <v>336</v>
      </c>
      <c r="E236" s="8" t="n">
        <v>800</v>
      </c>
    </row>
    <row r="237" customFormat="false" ht="15.75" hidden="false" customHeight="false" outlineLevel="0" collapsed="false">
      <c r="A237" s="34" t="n">
        <v>42566.6410285532</v>
      </c>
      <c r="B237" s="8" t="s">
        <v>41</v>
      </c>
      <c r="C237" s="8" t="n">
        <v>45</v>
      </c>
      <c r="D237" s="8" t="n">
        <v>311</v>
      </c>
      <c r="E237" s="8" t="n">
        <v>800</v>
      </c>
    </row>
    <row r="238" customFormat="false" ht="15.75" hidden="false" customHeight="false" outlineLevel="0" collapsed="false">
      <c r="A238" s="34" t="n">
        <v>42566.6413563773</v>
      </c>
      <c r="B238" s="8" t="s">
        <v>36</v>
      </c>
      <c r="C238" s="8" t="n">
        <v>51</v>
      </c>
      <c r="D238" s="8" t="n">
        <v>254</v>
      </c>
      <c r="E238" s="8" t="n">
        <v>1000</v>
      </c>
    </row>
    <row r="239" customFormat="false" ht="15.75" hidden="false" customHeight="false" outlineLevel="0" collapsed="false">
      <c r="A239" s="34" t="n">
        <v>42566.6416606482</v>
      </c>
      <c r="B239" s="8" t="s">
        <v>152</v>
      </c>
      <c r="C239" s="8" t="n">
        <v>43</v>
      </c>
      <c r="D239" s="8" t="n">
        <v>226</v>
      </c>
      <c r="E239" s="8" t="n">
        <v>800</v>
      </c>
    </row>
    <row r="240" customFormat="false" ht="15.75" hidden="false" customHeight="false" outlineLevel="0" collapsed="false">
      <c r="A240" s="34" t="n">
        <v>42566.6420695023</v>
      </c>
      <c r="B240" s="8" t="s">
        <v>62</v>
      </c>
      <c r="C240" s="8" t="n">
        <v>34</v>
      </c>
      <c r="D240" s="8" t="n">
        <v>199</v>
      </c>
      <c r="E240" s="8" t="n">
        <v>800</v>
      </c>
    </row>
    <row r="241" customFormat="false" ht="15.75" hidden="false" customHeight="false" outlineLevel="0" collapsed="false">
      <c r="A241" s="34" t="n">
        <v>42566.6422961458</v>
      </c>
      <c r="B241" s="8" t="s">
        <v>65</v>
      </c>
      <c r="C241" s="8" t="n">
        <v>31</v>
      </c>
      <c r="D241" s="8" t="n">
        <v>197</v>
      </c>
      <c r="E241" s="8" t="n">
        <v>800</v>
      </c>
    </row>
    <row r="242" customFormat="false" ht="15.75" hidden="false" customHeight="false" outlineLevel="0" collapsed="false">
      <c r="A242" s="34" t="n">
        <v>42566.6426706944</v>
      </c>
      <c r="B242" s="8" t="s">
        <v>51</v>
      </c>
      <c r="C242" s="8" t="n">
        <v>38</v>
      </c>
      <c r="D242" s="8" t="n">
        <v>193</v>
      </c>
      <c r="E242" s="8" t="n">
        <v>1000</v>
      </c>
    </row>
    <row r="243" customFormat="false" ht="15.75" hidden="false" customHeight="false" outlineLevel="0" collapsed="false">
      <c r="A243" s="34" t="n">
        <v>42566.6429913195</v>
      </c>
      <c r="B243" s="8" t="s">
        <v>39</v>
      </c>
      <c r="C243" s="8" t="n">
        <v>35</v>
      </c>
      <c r="D243" s="8" t="n">
        <v>186</v>
      </c>
      <c r="E243" s="8" t="n">
        <v>600</v>
      </c>
    </row>
    <row r="244" customFormat="false" ht="15.75" hidden="false" customHeight="false" outlineLevel="0" collapsed="false">
      <c r="A244" s="34" t="n">
        <v>42566.643310544</v>
      </c>
      <c r="B244" s="8" t="s">
        <v>105</v>
      </c>
      <c r="C244" s="8" t="n">
        <v>46</v>
      </c>
      <c r="D244" s="8" t="n">
        <v>180</v>
      </c>
      <c r="E244" s="8" t="n">
        <v>800</v>
      </c>
    </row>
    <row r="245" customFormat="false" ht="15.75" hidden="false" customHeight="false" outlineLevel="0" collapsed="false">
      <c r="A245" s="34" t="n">
        <v>42566.6435491319</v>
      </c>
      <c r="B245" s="8" t="s">
        <v>123</v>
      </c>
      <c r="C245" s="8" t="n">
        <v>35</v>
      </c>
      <c r="D245" s="8" t="n">
        <v>176</v>
      </c>
      <c r="E245" s="8" t="n">
        <v>800</v>
      </c>
    </row>
    <row r="246" customFormat="false" ht="15.75" hidden="false" customHeight="false" outlineLevel="0" collapsed="false">
      <c r="A246" s="34" t="n">
        <v>42566.6438102199</v>
      </c>
      <c r="B246" s="8" t="s">
        <v>152</v>
      </c>
      <c r="C246" s="8" t="n">
        <v>40</v>
      </c>
      <c r="D246" s="8" t="n">
        <v>171</v>
      </c>
      <c r="E246" s="8" t="n">
        <v>600</v>
      </c>
    </row>
    <row r="247" customFormat="false" ht="15.75" hidden="false" customHeight="false" outlineLevel="0" collapsed="false">
      <c r="A247" s="34" t="n">
        <v>42566.6440401968</v>
      </c>
      <c r="B247" s="8" t="s">
        <v>152</v>
      </c>
      <c r="C247" s="8" t="n">
        <v>40</v>
      </c>
      <c r="D247" s="8" t="n">
        <v>165</v>
      </c>
      <c r="E247" s="8" t="n">
        <v>600</v>
      </c>
    </row>
    <row r="248" customFormat="false" ht="15.75" hidden="false" customHeight="false" outlineLevel="0" collapsed="false">
      <c r="A248" s="34" t="n">
        <v>42566.6443744907</v>
      </c>
      <c r="B248" s="8" t="s">
        <v>143</v>
      </c>
      <c r="C248" s="8" t="n">
        <v>34</v>
      </c>
      <c r="D248" s="8" t="n">
        <v>165</v>
      </c>
      <c r="E248" s="8" t="n">
        <v>400</v>
      </c>
    </row>
    <row r="249" customFormat="false" ht="15.75" hidden="false" customHeight="false" outlineLevel="0" collapsed="false">
      <c r="A249" s="34" t="n">
        <v>42566.6627661343</v>
      </c>
      <c r="B249" s="8" t="s">
        <v>74</v>
      </c>
      <c r="C249" s="8" t="n">
        <v>94</v>
      </c>
      <c r="D249" s="8" t="n">
        <v>1182</v>
      </c>
      <c r="E249" s="8" t="n">
        <v>2500</v>
      </c>
    </row>
    <row r="250" customFormat="false" ht="15.75" hidden="false" customHeight="false" outlineLevel="0" collapsed="false">
      <c r="A250" s="34" t="n">
        <v>42566.6630586111</v>
      </c>
      <c r="B250" s="8" t="s">
        <v>140</v>
      </c>
      <c r="C250" s="8" t="n">
        <v>74</v>
      </c>
      <c r="D250" s="8" t="n">
        <v>1054</v>
      </c>
      <c r="E250" s="8" t="n">
        <v>2200</v>
      </c>
    </row>
    <row r="251" customFormat="false" ht="15.75" hidden="false" customHeight="false" outlineLevel="0" collapsed="false">
      <c r="A251" s="34" t="n">
        <v>42566.6633176389</v>
      </c>
      <c r="B251" s="8" t="s">
        <v>146</v>
      </c>
      <c r="C251" s="8" t="n">
        <v>77</v>
      </c>
      <c r="D251" s="8" t="n">
        <v>1030</v>
      </c>
      <c r="E251" s="8" t="n">
        <v>2200</v>
      </c>
    </row>
    <row r="252" customFormat="false" ht="15.75" hidden="false" customHeight="false" outlineLevel="0" collapsed="false">
      <c r="A252" s="34" t="n">
        <v>42566.6636315741</v>
      </c>
      <c r="B252" s="8" t="s">
        <v>144</v>
      </c>
      <c r="C252" s="8" t="n">
        <v>77</v>
      </c>
      <c r="D252" s="8" t="n">
        <v>1001</v>
      </c>
      <c r="E252" s="8" t="n">
        <v>2200</v>
      </c>
    </row>
    <row r="253" customFormat="false" ht="15.75" hidden="false" customHeight="false" outlineLevel="0" collapsed="false">
      <c r="A253" s="34" t="n">
        <v>42566.663889537</v>
      </c>
      <c r="B253" s="8" t="s">
        <v>61</v>
      </c>
      <c r="C253" s="8" t="n">
        <v>85</v>
      </c>
      <c r="D253" s="8" t="n">
        <v>896</v>
      </c>
      <c r="E253" s="8" t="n">
        <v>2200</v>
      </c>
    </row>
    <row r="254" customFormat="false" ht="15.75" hidden="false" customHeight="false" outlineLevel="0" collapsed="false">
      <c r="A254" s="34" t="n">
        <v>42566.6641202431</v>
      </c>
      <c r="B254" s="8" t="s">
        <v>146</v>
      </c>
      <c r="C254" s="8" t="n">
        <v>67</v>
      </c>
      <c r="D254" s="8" t="n">
        <v>851</v>
      </c>
      <c r="E254" s="8" t="n">
        <v>1900</v>
      </c>
    </row>
    <row r="255" customFormat="false" ht="15.75" hidden="false" customHeight="false" outlineLevel="0" collapsed="false">
      <c r="A255" s="34" t="n">
        <v>42566.6643380671</v>
      </c>
      <c r="B255" s="8" t="s">
        <v>155</v>
      </c>
      <c r="C255" s="8" t="n">
        <v>62</v>
      </c>
      <c r="D255" s="8" t="n">
        <v>819</v>
      </c>
      <c r="E255" s="8" t="n">
        <v>1300</v>
      </c>
    </row>
    <row r="256" customFormat="false" ht="15.75" hidden="false" customHeight="false" outlineLevel="0" collapsed="false">
      <c r="A256" s="34" t="n">
        <v>42566.6646110532</v>
      </c>
      <c r="B256" s="8" t="s">
        <v>37</v>
      </c>
      <c r="C256" s="8" t="n">
        <v>88</v>
      </c>
      <c r="D256" s="8" t="n">
        <v>818</v>
      </c>
      <c r="E256" s="8" t="n">
        <v>1900</v>
      </c>
    </row>
    <row r="257" customFormat="false" ht="15.75" hidden="false" customHeight="false" outlineLevel="0" collapsed="false">
      <c r="A257" s="34" t="n">
        <v>42566.6649322801</v>
      </c>
      <c r="B257" s="8" t="s">
        <v>162</v>
      </c>
      <c r="C257" s="8" t="n">
        <v>135</v>
      </c>
      <c r="D257" s="8" t="n">
        <v>811</v>
      </c>
      <c r="E257" s="8" t="n">
        <v>1000</v>
      </c>
    </row>
    <row r="258" customFormat="false" ht="15.75" hidden="false" customHeight="false" outlineLevel="0" collapsed="false">
      <c r="A258" s="34" t="n">
        <v>42566.6652946528</v>
      </c>
      <c r="B258" s="8" t="s">
        <v>129</v>
      </c>
      <c r="C258" s="8" t="n">
        <v>26</v>
      </c>
      <c r="D258" s="8" t="n">
        <v>126</v>
      </c>
      <c r="E258" s="8" t="n">
        <v>200</v>
      </c>
    </row>
    <row r="259" customFormat="false" ht="15.75" hidden="false" customHeight="false" outlineLevel="0" collapsed="false">
      <c r="A259" s="34" t="n">
        <v>42566.6656241435</v>
      </c>
      <c r="B259" s="8" t="s">
        <v>127</v>
      </c>
      <c r="C259" s="8" t="n">
        <v>47</v>
      </c>
      <c r="D259" s="8" t="n">
        <v>150</v>
      </c>
      <c r="E259" s="8" t="n">
        <v>400</v>
      </c>
    </row>
    <row r="260" customFormat="false" ht="15.75" hidden="false" customHeight="false" outlineLevel="0" collapsed="false">
      <c r="A260" s="34" t="n">
        <v>42566.6659035532</v>
      </c>
      <c r="B260" s="8" t="s">
        <v>126</v>
      </c>
      <c r="C260" s="8" t="n">
        <v>28</v>
      </c>
      <c r="D260" s="8" t="n">
        <v>150</v>
      </c>
      <c r="E260" s="8" t="n">
        <v>400</v>
      </c>
    </row>
    <row r="261" customFormat="false" ht="15.75" hidden="false" customHeight="false" outlineLevel="0" collapsed="false">
      <c r="A261" s="34" t="n">
        <v>42566.733130706</v>
      </c>
      <c r="B261" s="8" t="s">
        <v>34</v>
      </c>
      <c r="C261" s="8" t="n">
        <v>57</v>
      </c>
      <c r="D261" s="8" t="n">
        <v>363</v>
      </c>
      <c r="E261" s="8" t="n">
        <v>1000</v>
      </c>
    </row>
    <row r="262" customFormat="false" ht="15.75" hidden="false" customHeight="false" outlineLevel="0" collapsed="false">
      <c r="A262" s="34" t="n">
        <v>42566.7337003588</v>
      </c>
      <c r="B262" s="8" t="s">
        <v>132</v>
      </c>
      <c r="C262" s="8" t="n">
        <v>47</v>
      </c>
      <c r="D262" s="8" t="n">
        <v>329</v>
      </c>
      <c r="E262" s="8" t="n">
        <v>1300</v>
      </c>
    </row>
    <row r="263" customFormat="false" ht="15.75" hidden="false" customHeight="false" outlineLevel="0" collapsed="false">
      <c r="A263" s="34" t="n">
        <v>42566.7342614699</v>
      </c>
      <c r="B263" s="8" t="s">
        <v>20</v>
      </c>
      <c r="C263" s="8" t="n">
        <v>49</v>
      </c>
      <c r="D263" s="8" t="n">
        <v>401</v>
      </c>
      <c r="E263" s="8" t="n">
        <v>1900</v>
      </c>
    </row>
    <row r="264" customFormat="false" ht="15.75" hidden="false" customHeight="false" outlineLevel="0" collapsed="false">
      <c r="A264" s="34" t="n">
        <v>42566.7736474074</v>
      </c>
      <c r="B264" s="8" t="s">
        <v>152</v>
      </c>
      <c r="C264" s="8" t="n">
        <v>68</v>
      </c>
      <c r="D264" s="8" t="n">
        <v>517</v>
      </c>
      <c r="E264" s="8" t="n">
        <v>2200</v>
      </c>
    </row>
    <row r="265" customFormat="false" ht="15.75" hidden="false" customHeight="false" outlineLevel="0" collapsed="false">
      <c r="A265" s="34" t="n">
        <v>42566.7740996412</v>
      </c>
      <c r="B265" s="8" t="s">
        <v>144</v>
      </c>
      <c r="C265" s="8" t="n">
        <v>79</v>
      </c>
      <c r="D265" s="8" t="n">
        <v>1025</v>
      </c>
      <c r="E265" s="8" t="n">
        <v>2500</v>
      </c>
    </row>
    <row r="266" customFormat="false" ht="15.75" hidden="false" customHeight="false" outlineLevel="0" collapsed="false">
      <c r="A266" s="34" t="n">
        <v>42566.7746096644</v>
      </c>
      <c r="B266" s="8" t="s">
        <v>155</v>
      </c>
      <c r="C266" s="8" t="n">
        <v>83</v>
      </c>
      <c r="D266" s="8" t="n">
        <v>1372</v>
      </c>
      <c r="E266" s="8" t="n">
        <v>2500</v>
      </c>
    </row>
    <row r="267" customFormat="false" ht="15.75" hidden="false" customHeight="false" outlineLevel="0" collapsed="false">
      <c r="A267" s="34" t="n">
        <v>42566.9566653588</v>
      </c>
      <c r="B267" s="8" t="s">
        <v>78</v>
      </c>
      <c r="C267" s="8" t="n">
        <v>101</v>
      </c>
      <c r="D267" s="8" t="n">
        <v>1345</v>
      </c>
      <c r="E267" s="8" t="n">
        <v>2200</v>
      </c>
    </row>
    <row r="268" customFormat="false" ht="15.75" hidden="false" customHeight="false" outlineLevel="0" collapsed="false">
      <c r="A268" s="34" t="n">
        <v>42567.708278044</v>
      </c>
      <c r="B268" s="8" t="s">
        <v>154</v>
      </c>
      <c r="C268" s="8" t="n">
        <v>68</v>
      </c>
      <c r="D268" s="8" t="n">
        <v>841</v>
      </c>
      <c r="E268" s="8" t="n">
        <v>1600</v>
      </c>
    </row>
    <row r="269" customFormat="false" ht="15.75" hidden="false" customHeight="false" outlineLevel="0" collapsed="false">
      <c r="A269" s="34" t="n">
        <v>42567.9139158796</v>
      </c>
      <c r="B269" s="8" t="s">
        <v>37</v>
      </c>
      <c r="C269" s="8" t="n">
        <v>68</v>
      </c>
      <c r="D269" s="8" t="n">
        <v>466</v>
      </c>
      <c r="E269" s="8" t="n">
        <v>800</v>
      </c>
    </row>
    <row r="270" customFormat="false" ht="15.75" hidden="false" customHeight="false" outlineLevel="0" collapsed="false">
      <c r="A270" s="34" t="n">
        <v>42567.9913772801</v>
      </c>
      <c r="B270" s="8" t="s">
        <v>58</v>
      </c>
      <c r="C270" s="8" t="n">
        <v>97</v>
      </c>
      <c r="D270" s="8" t="n">
        <v>222</v>
      </c>
      <c r="E270" s="8" t="n">
        <v>1000</v>
      </c>
    </row>
    <row r="271" customFormat="false" ht="15.75" hidden="false" customHeight="false" outlineLevel="0" collapsed="false">
      <c r="A271" s="34" t="n">
        <v>42568.0244645486</v>
      </c>
      <c r="B271" s="8" t="s">
        <v>38</v>
      </c>
      <c r="C271" s="8" t="n">
        <v>35</v>
      </c>
      <c r="D271" s="8" t="n">
        <v>253</v>
      </c>
      <c r="E271" s="8" t="n">
        <v>2500</v>
      </c>
    </row>
    <row r="272" customFormat="false" ht="15.75" hidden="false" customHeight="false" outlineLevel="0" collapsed="false">
      <c r="A272" s="34" t="n">
        <v>42568.1819228472</v>
      </c>
      <c r="B272" s="8" t="s">
        <v>20</v>
      </c>
      <c r="C272" s="8" t="n">
        <v>58</v>
      </c>
      <c r="D272" s="8" t="n">
        <v>519</v>
      </c>
      <c r="E272" s="8" t="n">
        <v>2500</v>
      </c>
    </row>
    <row r="273" customFormat="false" ht="15.75" hidden="false" customHeight="false" outlineLevel="0" collapsed="false">
      <c r="A273" s="34" t="n">
        <v>42568.1821947801</v>
      </c>
      <c r="B273" s="8" t="s">
        <v>21</v>
      </c>
      <c r="C273" s="8" t="n">
        <v>35</v>
      </c>
      <c r="D273" s="8" t="n">
        <v>191</v>
      </c>
      <c r="E273" s="8" t="n">
        <v>600</v>
      </c>
    </row>
    <row r="274" customFormat="false" ht="15.75" hidden="false" customHeight="false" outlineLevel="0" collapsed="false">
      <c r="A274" s="34" t="n">
        <v>42568.1871745486</v>
      </c>
      <c r="B274" s="8" t="s">
        <v>23</v>
      </c>
      <c r="C274" s="8" t="n">
        <v>44</v>
      </c>
      <c r="D274" s="8" t="n">
        <v>349</v>
      </c>
      <c r="E274" s="8" t="n">
        <v>1900</v>
      </c>
    </row>
    <row r="275" customFormat="false" ht="15.75" hidden="false" customHeight="false" outlineLevel="0" collapsed="false">
      <c r="A275" s="34" t="n">
        <v>42568.1875997338</v>
      </c>
      <c r="B275" s="8" t="s">
        <v>82</v>
      </c>
      <c r="C275" s="8" t="n">
        <v>15</v>
      </c>
      <c r="D275" s="8" t="n">
        <v>53</v>
      </c>
      <c r="E275" s="8" t="n">
        <v>400</v>
      </c>
    </row>
    <row r="276" customFormat="false" ht="15.75" hidden="false" customHeight="false" outlineLevel="0" collapsed="false">
      <c r="A276" s="34" t="n">
        <v>42568.1881436921</v>
      </c>
      <c r="B276" s="8" t="s">
        <v>29</v>
      </c>
      <c r="C276" s="8" t="n">
        <v>54</v>
      </c>
      <c r="D276" s="8" t="n">
        <v>164</v>
      </c>
      <c r="E276" s="8" t="n">
        <v>2200</v>
      </c>
    </row>
    <row r="277" customFormat="false" ht="15.75" hidden="false" customHeight="false" outlineLevel="0" collapsed="false">
      <c r="A277" s="34" t="n">
        <v>42568.1885430324</v>
      </c>
      <c r="B277" s="8" t="s">
        <v>54</v>
      </c>
      <c r="C277" s="8" t="n">
        <v>78</v>
      </c>
      <c r="D277" s="8" t="n">
        <v>500</v>
      </c>
      <c r="E277" s="8" t="n">
        <v>2200</v>
      </c>
    </row>
    <row r="278" customFormat="false" ht="15.75" hidden="false" customHeight="false" outlineLevel="0" collapsed="false">
      <c r="A278" s="34" t="n">
        <v>42568.1888183681</v>
      </c>
      <c r="B278" s="8" t="s">
        <v>123</v>
      </c>
      <c r="C278" s="8" t="n">
        <v>64</v>
      </c>
      <c r="D278" s="8" t="n">
        <v>510</v>
      </c>
      <c r="E278" s="8" t="n">
        <v>2200</v>
      </c>
    </row>
    <row r="279" customFormat="false" ht="15.75" hidden="false" customHeight="false" outlineLevel="0" collapsed="false">
      <c r="A279" s="34" t="n">
        <v>42568.1892432523</v>
      </c>
      <c r="B279" s="8" t="s">
        <v>123</v>
      </c>
      <c r="C279" s="8" t="n">
        <v>64</v>
      </c>
      <c r="D279" s="8" t="n">
        <v>504</v>
      </c>
      <c r="E279" s="8" t="n">
        <v>2200</v>
      </c>
    </row>
    <row r="280" customFormat="false" ht="15.75" hidden="false" customHeight="false" outlineLevel="0" collapsed="false">
      <c r="A280" s="34" t="n">
        <v>42568.1894958333</v>
      </c>
      <c r="B280" s="8" t="s">
        <v>69</v>
      </c>
      <c r="C280" s="8" t="n">
        <v>14</v>
      </c>
      <c r="D280" s="8" t="n">
        <v>116</v>
      </c>
      <c r="E280" s="8" t="n">
        <v>1000</v>
      </c>
    </row>
    <row r="281" customFormat="false" ht="15.75" hidden="false" customHeight="false" outlineLevel="0" collapsed="false">
      <c r="A281" s="34" t="n">
        <v>42568.1897309144</v>
      </c>
      <c r="B281" s="8" t="s">
        <v>104</v>
      </c>
      <c r="C281" s="8" t="n">
        <v>53</v>
      </c>
      <c r="D281" s="8" t="n">
        <v>436</v>
      </c>
      <c r="E281" s="8" t="n">
        <v>1000</v>
      </c>
    </row>
    <row r="282" customFormat="false" ht="15.75" hidden="false" customHeight="false" outlineLevel="0" collapsed="false">
      <c r="A282" s="34" t="n">
        <v>42568.1900553935</v>
      </c>
      <c r="B282" s="8" t="s">
        <v>103</v>
      </c>
      <c r="C282" s="8" t="n">
        <v>48</v>
      </c>
      <c r="D282" s="8" t="n">
        <v>500</v>
      </c>
      <c r="E282" s="8" t="n">
        <v>3000</v>
      </c>
    </row>
    <row r="283" customFormat="false" ht="15.75" hidden="false" customHeight="false" outlineLevel="0" collapsed="false">
      <c r="A283" s="34" t="n">
        <v>42568.1908197338</v>
      </c>
      <c r="B283" s="8" t="s">
        <v>103</v>
      </c>
      <c r="C283" s="8" t="n">
        <v>50</v>
      </c>
      <c r="D283" s="8" t="n">
        <v>467</v>
      </c>
      <c r="E283" s="8" t="n">
        <v>3000</v>
      </c>
    </row>
    <row r="284" customFormat="false" ht="15.75" hidden="false" customHeight="false" outlineLevel="0" collapsed="false">
      <c r="A284" s="34" t="n">
        <v>42568.1911687037</v>
      </c>
      <c r="B284" s="8" t="s">
        <v>103</v>
      </c>
      <c r="C284" s="8" t="n">
        <v>43</v>
      </c>
      <c r="D284" s="8" t="n">
        <v>431</v>
      </c>
      <c r="E284" s="8" t="n">
        <v>3000</v>
      </c>
    </row>
    <row r="285" customFormat="false" ht="15.75" hidden="false" customHeight="false" outlineLevel="0" collapsed="false">
      <c r="A285" s="34" t="n">
        <v>42568.1914671412</v>
      </c>
      <c r="B285" s="8" t="s">
        <v>103</v>
      </c>
      <c r="C285" s="8" t="n">
        <v>39</v>
      </c>
      <c r="D285" s="8" t="n">
        <v>385</v>
      </c>
      <c r="E285" s="8" t="n">
        <v>2200</v>
      </c>
    </row>
    <row r="286" customFormat="false" ht="15.75" hidden="false" customHeight="false" outlineLevel="0" collapsed="false">
      <c r="A286" s="34" t="n">
        <v>42568.1917195718</v>
      </c>
      <c r="B286" s="8" t="s">
        <v>166</v>
      </c>
      <c r="C286" s="8" t="n">
        <v>53</v>
      </c>
      <c r="D286" s="8" t="n">
        <v>555</v>
      </c>
      <c r="E286" s="8" t="n">
        <v>3000</v>
      </c>
    </row>
    <row r="287" customFormat="false" ht="15.75" hidden="false" customHeight="false" outlineLevel="0" collapsed="false">
      <c r="A287" s="34" t="n">
        <v>42568.1919783449</v>
      </c>
      <c r="B287" s="8" t="s">
        <v>166</v>
      </c>
      <c r="C287" s="8" t="n">
        <v>42</v>
      </c>
      <c r="D287" s="8" t="n">
        <v>341</v>
      </c>
      <c r="E287" s="8" t="n">
        <v>1600</v>
      </c>
    </row>
    <row r="288" customFormat="false" ht="15.75" hidden="false" customHeight="false" outlineLevel="0" collapsed="false">
      <c r="A288" s="34" t="n">
        <v>42568.1923965394</v>
      </c>
      <c r="B288" s="8" t="s">
        <v>115</v>
      </c>
      <c r="C288" s="8" t="n">
        <v>77</v>
      </c>
      <c r="D288" s="8" t="n">
        <v>593</v>
      </c>
      <c r="E288" s="8" t="n">
        <v>2500</v>
      </c>
    </row>
    <row r="289" customFormat="false" ht="15.75" hidden="false" customHeight="false" outlineLevel="0" collapsed="false">
      <c r="A289" s="34" t="n">
        <v>42568.192676088</v>
      </c>
      <c r="B289" s="8" t="s">
        <v>115</v>
      </c>
      <c r="C289" s="8" t="n">
        <v>72</v>
      </c>
      <c r="D289" s="8" t="n">
        <v>466</v>
      </c>
      <c r="E289" s="8" t="n">
        <v>1900</v>
      </c>
    </row>
    <row r="290" customFormat="false" ht="15.75" hidden="false" customHeight="false" outlineLevel="0" collapsed="false">
      <c r="A290" s="34" t="n">
        <v>42568.1928697107</v>
      </c>
      <c r="B290" s="8" t="s">
        <v>152</v>
      </c>
      <c r="C290" s="8" t="n">
        <v>72</v>
      </c>
      <c r="D290" s="8" t="n">
        <v>555</v>
      </c>
      <c r="E290" s="8" t="n">
        <v>2500</v>
      </c>
    </row>
    <row r="291" customFormat="false" ht="15.75" hidden="false" customHeight="false" outlineLevel="0" collapsed="false">
      <c r="A291" s="34" t="n">
        <v>42568.1936214931</v>
      </c>
      <c r="B291" s="8" t="s">
        <v>42</v>
      </c>
      <c r="C291" s="8" t="n">
        <v>47</v>
      </c>
      <c r="D291" s="8" t="n">
        <v>416</v>
      </c>
      <c r="E291" s="8" t="n">
        <v>3000</v>
      </c>
    </row>
    <row r="292" customFormat="false" ht="15.75" hidden="false" customHeight="false" outlineLevel="0" collapsed="false">
      <c r="A292" s="34" t="n">
        <v>42568.1939131597</v>
      </c>
      <c r="B292" s="8" t="s">
        <v>120</v>
      </c>
      <c r="C292" s="8" t="n">
        <v>75</v>
      </c>
      <c r="D292" s="8" t="n">
        <v>842</v>
      </c>
      <c r="E292" s="8" t="n">
        <v>2500</v>
      </c>
    </row>
    <row r="293" customFormat="false" ht="15.75" hidden="false" customHeight="false" outlineLevel="0" collapsed="false">
      <c r="A293" s="34" t="n">
        <v>42568.2057509144</v>
      </c>
      <c r="B293" s="8" t="s">
        <v>35</v>
      </c>
      <c r="C293" s="8" t="n">
        <v>24</v>
      </c>
      <c r="D293" s="8" t="n">
        <v>79</v>
      </c>
      <c r="E293" s="8" t="n">
        <v>600</v>
      </c>
    </row>
    <row r="294" customFormat="false" ht="15.75" hidden="false" customHeight="false" outlineLevel="0" collapsed="false">
      <c r="A294" s="34" t="n">
        <v>42568.2060131597</v>
      </c>
      <c r="B294" s="8" t="s">
        <v>166</v>
      </c>
      <c r="C294" s="8" t="n">
        <v>22</v>
      </c>
      <c r="D294" s="8" t="n">
        <v>91</v>
      </c>
      <c r="E294" s="8" t="n">
        <v>400</v>
      </c>
    </row>
    <row r="295" customFormat="false" ht="15.75" hidden="false" customHeight="false" outlineLevel="0" collapsed="false">
      <c r="A295" s="34" t="n">
        <v>42568.2062653472</v>
      </c>
      <c r="B295" s="8" t="s">
        <v>39</v>
      </c>
      <c r="C295" s="8" t="n">
        <v>31</v>
      </c>
      <c r="D295" s="8" t="n">
        <v>155</v>
      </c>
      <c r="E295" s="8" t="n">
        <v>400</v>
      </c>
    </row>
    <row r="296" customFormat="false" ht="15.75" hidden="false" customHeight="false" outlineLevel="0" collapsed="false">
      <c r="A296" s="34" t="n">
        <v>42568.2064837153</v>
      </c>
      <c r="B296" s="8" t="s">
        <v>117</v>
      </c>
      <c r="C296" s="8" t="n">
        <v>21</v>
      </c>
      <c r="D296" s="8" t="n">
        <v>101</v>
      </c>
      <c r="E296" s="8" t="n">
        <v>600</v>
      </c>
    </row>
    <row r="297" customFormat="false" ht="15.75" hidden="false" customHeight="false" outlineLevel="0" collapsed="false">
      <c r="A297" s="34" t="n">
        <v>42568.2067351273</v>
      </c>
      <c r="B297" s="8" t="s">
        <v>36</v>
      </c>
      <c r="C297" s="8" t="n">
        <v>32</v>
      </c>
      <c r="D297" s="8" t="n">
        <v>97</v>
      </c>
      <c r="E297" s="8" t="n">
        <v>400</v>
      </c>
    </row>
    <row r="298" customFormat="false" ht="15.75" hidden="false" customHeight="false" outlineLevel="0" collapsed="false">
      <c r="A298" s="34" t="n">
        <v>42568.2070016667</v>
      </c>
      <c r="B298" s="8" t="s">
        <v>61</v>
      </c>
      <c r="C298" s="8" t="n">
        <v>27</v>
      </c>
      <c r="D298" s="8" t="n">
        <v>83</v>
      </c>
      <c r="E298" s="8" t="n">
        <v>200</v>
      </c>
    </row>
    <row r="299" customFormat="false" ht="15.75" hidden="false" customHeight="false" outlineLevel="0" collapsed="false">
      <c r="A299" s="34" t="n">
        <v>42568.2076665162</v>
      </c>
      <c r="B299" s="8" t="s">
        <v>67</v>
      </c>
      <c r="C299" s="8" t="n">
        <v>19</v>
      </c>
      <c r="D299" s="8" t="n">
        <v>42</v>
      </c>
      <c r="E299" s="8" t="n">
        <v>200</v>
      </c>
    </row>
    <row r="300" customFormat="false" ht="15.75" hidden="false" customHeight="false" outlineLevel="0" collapsed="false">
      <c r="A300" s="34" t="n">
        <v>42568.2078999653</v>
      </c>
      <c r="B300" s="8" t="s">
        <v>33</v>
      </c>
      <c r="C300" s="8" t="n">
        <v>28</v>
      </c>
      <c r="D300" s="8" t="n">
        <v>45</v>
      </c>
      <c r="E300" s="8" t="n">
        <v>400</v>
      </c>
    </row>
    <row r="301" customFormat="false" ht="15.75" hidden="false" customHeight="false" outlineLevel="0" collapsed="false">
      <c r="A301" s="34" t="n">
        <v>42568.2997301852</v>
      </c>
      <c r="B301" s="8" t="s">
        <v>74</v>
      </c>
      <c r="C301" s="8" t="n">
        <v>102</v>
      </c>
      <c r="D301" s="8" t="n">
        <v>1325</v>
      </c>
      <c r="E301" s="8" t="n">
        <v>3000</v>
      </c>
    </row>
    <row r="302" customFormat="false" ht="15.75" hidden="false" customHeight="false" outlineLevel="0" collapsed="false">
      <c r="A302" s="34" t="n">
        <v>42568.3000518634</v>
      </c>
      <c r="B302" s="8" t="s">
        <v>134</v>
      </c>
      <c r="C302" s="8" t="n">
        <v>119</v>
      </c>
      <c r="D302" s="8" t="n">
        <v>885</v>
      </c>
      <c r="E302" s="8" t="n">
        <v>2200</v>
      </c>
    </row>
    <row r="303" customFormat="false" ht="15.75" hidden="false" customHeight="false" outlineLevel="0" collapsed="false">
      <c r="A303" s="34" t="n">
        <v>42568.3003425695</v>
      </c>
      <c r="B303" s="8" t="s">
        <v>125</v>
      </c>
      <c r="C303" s="8" t="n">
        <v>62</v>
      </c>
      <c r="D303" s="8" t="n">
        <v>742</v>
      </c>
      <c r="E303" s="8" t="n">
        <v>2200</v>
      </c>
    </row>
    <row r="304" customFormat="false" ht="15.75" hidden="false" customHeight="false" outlineLevel="0" collapsed="false">
      <c r="A304" s="34" t="n">
        <v>42568.5821584954</v>
      </c>
      <c r="B304" s="8" t="s">
        <v>47</v>
      </c>
      <c r="C304" s="8" t="n">
        <v>67</v>
      </c>
      <c r="D304" s="8" t="n">
        <v>500</v>
      </c>
      <c r="E304" s="8" t="n">
        <v>19629</v>
      </c>
    </row>
    <row r="305" customFormat="false" ht="15.75" hidden="false" customHeight="false" outlineLevel="0" collapsed="false">
      <c r="A305" s="34" t="n">
        <v>42568.6415283912</v>
      </c>
      <c r="B305" s="8" t="s">
        <v>40</v>
      </c>
      <c r="C305" s="8" t="n">
        <v>39</v>
      </c>
      <c r="D305" s="8" t="n">
        <v>166</v>
      </c>
      <c r="E305" s="8" t="n">
        <v>1000</v>
      </c>
    </row>
    <row r="306" customFormat="false" ht="15.75" hidden="false" customHeight="false" outlineLevel="0" collapsed="false">
      <c r="A306" s="34" t="n">
        <v>42568.6419031019</v>
      </c>
      <c r="B306" s="8" t="s">
        <v>40</v>
      </c>
      <c r="C306" s="8" t="n">
        <v>37</v>
      </c>
      <c r="D306" s="8" t="n">
        <v>166</v>
      </c>
      <c r="E306" s="8" t="n">
        <v>1000</v>
      </c>
    </row>
    <row r="307" customFormat="false" ht="15.75" hidden="false" customHeight="false" outlineLevel="0" collapsed="false">
      <c r="A307" s="34" t="n">
        <v>42568.7408437732</v>
      </c>
      <c r="B307" s="8" t="s">
        <v>152</v>
      </c>
      <c r="C307" s="8" t="n">
        <v>59</v>
      </c>
      <c r="D307" s="8" t="n">
        <v>377</v>
      </c>
      <c r="E307" s="8" t="n">
        <v>1600</v>
      </c>
    </row>
    <row r="308" customFormat="false" ht="15.75" hidden="false" customHeight="false" outlineLevel="0" collapsed="false">
      <c r="A308" s="34" t="n">
        <v>42568.8862152546</v>
      </c>
      <c r="B308" s="8" t="s">
        <v>152</v>
      </c>
      <c r="C308" s="8" t="n">
        <v>57</v>
      </c>
      <c r="D308" s="8" t="n">
        <v>376</v>
      </c>
      <c r="E308" s="8" t="n">
        <v>1600</v>
      </c>
    </row>
    <row r="309" customFormat="false" ht="15.75" hidden="false" customHeight="false" outlineLevel="0" collapsed="false">
      <c r="A309" s="34" t="n">
        <v>42569.0609985648</v>
      </c>
      <c r="B309" s="8" t="s">
        <v>23</v>
      </c>
      <c r="C309" s="8" t="n">
        <v>10</v>
      </c>
      <c r="D309" s="8" t="n">
        <v>12</v>
      </c>
      <c r="E309" s="8" t="n">
        <v>200</v>
      </c>
    </row>
    <row r="310" customFormat="false" ht="15.75" hidden="false" customHeight="false" outlineLevel="0" collapsed="false">
      <c r="A310" s="34" t="n">
        <v>42569.1121270023</v>
      </c>
      <c r="B310" s="8" t="s">
        <v>96</v>
      </c>
      <c r="C310" s="8" t="n">
        <v>29</v>
      </c>
      <c r="D310" s="8" t="n">
        <v>152</v>
      </c>
      <c r="E310" s="8" t="n">
        <v>400</v>
      </c>
    </row>
    <row r="311" customFormat="false" ht="15.75" hidden="false" customHeight="false" outlineLevel="0" collapsed="false">
      <c r="A311" s="34" t="n">
        <v>42569.4267800694</v>
      </c>
      <c r="B311" s="8" t="s">
        <v>38</v>
      </c>
      <c r="C311" s="8" t="n">
        <v>37</v>
      </c>
      <c r="D311" s="8" t="n">
        <v>216</v>
      </c>
      <c r="E311" s="8" t="n">
        <v>1900</v>
      </c>
    </row>
    <row r="312" customFormat="false" ht="15.75" hidden="false" customHeight="false" outlineLevel="0" collapsed="false">
      <c r="A312" s="34" t="n">
        <v>42569.6382377894</v>
      </c>
      <c r="B312" s="8" t="s">
        <v>78</v>
      </c>
      <c r="C312" s="8" t="n">
        <v>83</v>
      </c>
      <c r="D312" s="8" t="n">
        <v>894</v>
      </c>
      <c r="E312" s="8" t="n">
        <v>1300</v>
      </c>
    </row>
    <row r="313" customFormat="false" ht="15.75" hidden="false" customHeight="false" outlineLevel="0" collapsed="false">
      <c r="A313" s="34" t="n">
        <v>42570.021221632</v>
      </c>
      <c r="B313" s="8" t="s">
        <v>161</v>
      </c>
      <c r="C313" s="8" t="n">
        <v>90</v>
      </c>
      <c r="D313" s="8" t="n">
        <v>901</v>
      </c>
      <c r="E313" s="8" t="n">
        <v>1900</v>
      </c>
    </row>
    <row r="314" customFormat="false" ht="15.75" hidden="false" customHeight="false" outlineLevel="0" collapsed="false">
      <c r="A314" s="34" t="n">
        <v>42570.0214656944</v>
      </c>
      <c r="B314" s="8" t="s">
        <v>145</v>
      </c>
      <c r="C314" s="8" t="n">
        <v>73</v>
      </c>
      <c r="D314" s="8" t="n">
        <v>894</v>
      </c>
      <c r="E314" s="8" t="n">
        <v>1900</v>
      </c>
    </row>
    <row r="315" customFormat="false" ht="15.75" hidden="false" customHeight="false" outlineLevel="0" collapsed="false">
      <c r="A315" s="34" t="n">
        <v>42570.0216549537</v>
      </c>
      <c r="B315" s="8" t="s">
        <v>154</v>
      </c>
      <c r="C315" s="8" t="n">
        <v>69</v>
      </c>
      <c r="D315" s="8" t="n">
        <v>872</v>
      </c>
      <c r="E315" s="8" t="n">
        <v>1900</v>
      </c>
    </row>
    <row r="316" customFormat="false" ht="15.75" hidden="false" customHeight="false" outlineLevel="0" collapsed="false">
      <c r="A316" s="34" t="n">
        <v>42570.0219395486</v>
      </c>
      <c r="B316" s="8" t="s">
        <v>146</v>
      </c>
      <c r="C316" s="8" t="n">
        <v>62</v>
      </c>
      <c r="D316" s="8" t="n">
        <v>718</v>
      </c>
      <c r="E316" s="8" t="n">
        <v>1600</v>
      </c>
    </row>
    <row r="317" customFormat="false" ht="15.75" hidden="false" customHeight="false" outlineLevel="0" collapsed="false">
      <c r="A317" s="34" t="n">
        <v>42570.0221752431</v>
      </c>
      <c r="B317" s="8" t="s">
        <v>142</v>
      </c>
      <c r="C317" s="8" t="n">
        <v>71</v>
      </c>
      <c r="D317" s="8" t="n">
        <v>688</v>
      </c>
      <c r="E317" s="8" t="n">
        <v>1300</v>
      </c>
    </row>
    <row r="318" customFormat="false" ht="15.75" hidden="false" customHeight="false" outlineLevel="0" collapsed="false">
      <c r="A318" s="34" t="n">
        <v>42570.1637156597</v>
      </c>
      <c r="B318" s="8" t="s">
        <v>152</v>
      </c>
      <c r="C318" s="8" t="n">
        <v>39</v>
      </c>
      <c r="D318" s="8" t="n">
        <v>172</v>
      </c>
      <c r="E318" s="8" t="n">
        <v>600</v>
      </c>
    </row>
    <row r="319" customFormat="false" ht="15.75" hidden="false" customHeight="false" outlineLevel="0" collapsed="false">
      <c r="A319" s="34" t="n">
        <v>42570.2157925</v>
      </c>
      <c r="B319" s="8" t="s">
        <v>152</v>
      </c>
      <c r="C319" s="8" t="n">
        <v>49</v>
      </c>
      <c r="D319" s="8" t="n">
        <v>259</v>
      </c>
      <c r="E319" s="8" t="n">
        <v>1000</v>
      </c>
    </row>
    <row r="320" customFormat="false" ht="15.75" hidden="false" customHeight="false" outlineLevel="0" collapsed="false">
      <c r="A320" s="34" t="n">
        <v>42570.4205827315</v>
      </c>
      <c r="B320" s="8" t="s">
        <v>162</v>
      </c>
      <c r="C320" s="8" t="n">
        <v>189</v>
      </c>
      <c r="D320" s="8" t="n">
        <v>1588</v>
      </c>
      <c r="E320" s="8" t="n">
        <v>48774</v>
      </c>
    </row>
    <row r="321" customFormat="false" ht="15.75" hidden="false" customHeight="false" outlineLevel="0" collapsed="false">
      <c r="A321" s="34" t="n">
        <v>42570.4351871528</v>
      </c>
      <c r="B321" s="8" t="s">
        <v>78</v>
      </c>
      <c r="C321" s="8" t="n">
        <v>96</v>
      </c>
      <c r="D321" s="8" t="n">
        <v>1140</v>
      </c>
      <c r="E321" s="8" t="n">
        <v>1600</v>
      </c>
    </row>
    <row r="322" customFormat="false" ht="15.75" hidden="false" customHeight="false" outlineLevel="0" collapsed="false">
      <c r="A322" s="34" t="n">
        <v>42570.4354822917</v>
      </c>
      <c r="B322" s="8" t="s">
        <v>131</v>
      </c>
      <c r="C322" s="8" t="n">
        <v>112</v>
      </c>
      <c r="D322" s="8" t="n">
        <v>925</v>
      </c>
      <c r="E322" s="8" t="n">
        <v>1900</v>
      </c>
    </row>
    <row r="323" customFormat="false" ht="15.75" hidden="false" customHeight="false" outlineLevel="0" collapsed="false">
      <c r="A323" s="34" t="n">
        <v>42570.4357433333</v>
      </c>
      <c r="B323" s="8" t="s">
        <v>37</v>
      </c>
      <c r="C323" s="8" t="n">
        <v>93</v>
      </c>
      <c r="D323" s="8" t="n">
        <v>862</v>
      </c>
      <c r="E323" s="8" t="n">
        <v>1900</v>
      </c>
    </row>
    <row r="324" customFormat="false" ht="15.75" hidden="false" customHeight="false" outlineLevel="0" collapsed="false">
      <c r="A324" s="34" t="n">
        <v>42570.4359994676</v>
      </c>
      <c r="B324" s="8" t="s">
        <v>61</v>
      </c>
      <c r="C324" s="8" t="n">
        <v>86</v>
      </c>
      <c r="D324" s="8" t="n">
        <v>822</v>
      </c>
      <c r="E324" s="8" t="n">
        <v>1900</v>
      </c>
    </row>
    <row r="325" customFormat="false" ht="15.75" hidden="false" customHeight="false" outlineLevel="0" collapsed="false">
      <c r="A325" s="34" t="n">
        <v>42570.5116302315</v>
      </c>
      <c r="B325" s="8" t="s">
        <v>47</v>
      </c>
      <c r="C325" s="8" t="n">
        <v>85</v>
      </c>
      <c r="D325" s="8" t="n">
        <v>732</v>
      </c>
      <c r="E325" s="8" t="n">
        <v>1900</v>
      </c>
    </row>
    <row r="326" customFormat="false" ht="15.75" hidden="false" customHeight="false" outlineLevel="0" collapsed="false">
      <c r="A326" s="34" t="n">
        <v>42570.5119491319</v>
      </c>
      <c r="B326" s="8" t="s">
        <v>124</v>
      </c>
      <c r="C326" s="8" t="n">
        <v>66</v>
      </c>
      <c r="D326" s="8" t="n">
        <v>622</v>
      </c>
      <c r="E326" s="8" t="n">
        <v>1600</v>
      </c>
    </row>
    <row r="327" customFormat="false" ht="15.75" hidden="false" customHeight="false" outlineLevel="0" collapsed="false">
      <c r="A327" s="34" t="n">
        <v>42570.51231125</v>
      </c>
      <c r="B327" s="8" t="s">
        <v>96</v>
      </c>
      <c r="C327" s="8" t="n">
        <v>50</v>
      </c>
      <c r="D327" s="8" t="n">
        <v>561</v>
      </c>
      <c r="E327" s="8" t="n">
        <v>1600</v>
      </c>
    </row>
    <row r="328" customFormat="false" ht="15.75" hidden="false" customHeight="false" outlineLevel="0" collapsed="false">
      <c r="A328" s="34" t="n">
        <v>42570.5126065278</v>
      </c>
      <c r="B328" s="8" t="s">
        <v>77</v>
      </c>
      <c r="C328" s="8" t="n">
        <v>51</v>
      </c>
      <c r="D328" s="8" t="n">
        <v>415</v>
      </c>
      <c r="E328" s="8" t="n">
        <v>1300</v>
      </c>
    </row>
    <row r="329" customFormat="false" ht="15.75" hidden="false" customHeight="false" outlineLevel="0" collapsed="false">
      <c r="A329" s="34" t="n">
        <v>42570.5128849884</v>
      </c>
      <c r="B329" s="8" t="s">
        <v>130</v>
      </c>
      <c r="C329" s="8" t="n">
        <v>86</v>
      </c>
      <c r="D329" s="8" t="n">
        <v>411</v>
      </c>
      <c r="E329" s="8" t="n">
        <v>1600</v>
      </c>
    </row>
    <row r="330" customFormat="false" ht="15.75" hidden="false" customHeight="false" outlineLevel="0" collapsed="false">
      <c r="A330" s="34" t="n">
        <v>42570.5131120139</v>
      </c>
      <c r="B330" s="8" t="s">
        <v>146</v>
      </c>
      <c r="C330" s="8" t="n">
        <v>50</v>
      </c>
      <c r="D330" s="8" t="n">
        <v>409</v>
      </c>
      <c r="E330" s="8" t="n">
        <v>800</v>
      </c>
    </row>
    <row r="331" customFormat="false" ht="15.75" hidden="false" customHeight="false" outlineLevel="0" collapsed="false">
      <c r="A331" s="34" t="n">
        <v>42570.5133849421</v>
      </c>
      <c r="B331" s="8" t="s">
        <v>76</v>
      </c>
      <c r="C331" s="8" t="n">
        <v>52</v>
      </c>
      <c r="D331" s="8" t="n">
        <v>394</v>
      </c>
      <c r="E331" s="8" t="n">
        <v>800</v>
      </c>
    </row>
    <row r="332" customFormat="false" ht="15.75" hidden="false" customHeight="false" outlineLevel="0" collapsed="false">
      <c r="A332" s="34" t="n">
        <v>42570.6486062616</v>
      </c>
      <c r="B332" s="8" t="s">
        <v>29</v>
      </c>
      <c r="C332" s="8" t="n">
        <v>38</v>
      </c>
      <c r="D332" s="8" t="n">
        <v>92</v>
      </c>
      <c r="E332" s="8" t="n">
        <v>800</v>
      </c>
    </row>
    <row r="333" customFormat="false" ht="15.75" hidden="false" customHeight="false" outlineLevel="0" collapsed="false">
      <c r="A333" s="34" t="n">
        <v>42571.2707312268</v>
      </c>
      <c r="B333" s="8" t="s">
        <v>155</v>
      </c>
      <c r="C333" s="8" t="n">
        <v>56</v>
      </c>
      <c r="D333" s="8" t="n">
        <v>622</v>
      </c>
      <c r="E333" s="8" t="n">
        <v>800</v>
      </c>
    </row>
    <row r="334" customFormat="false" ht="15.75" hidden="false" customHeight="false" outlineLevel="0" collapsed="false">
      <c r="A334" s="34" t="n">
        <v>42571.3757853241</v>
      </c>
      <c r="B334" s="8" t="s">
        <v>88</v>
      </c>
      <c r="C334" s="8" t="n">
        <v>44</v>
      </c>
      <c r="D334" s="8" t="n">
        <v>300</v>
      </c>
      <c r="E334" s="8" t="n">
        <v>1000</v>
      </c>
    </row>
    <row r="335" customFormat="false" ht="15.75" hidden="false" customHeight="false" outlineLevel="0" collapsed="false">
      <c r="A335" s="34" t="n">
        <v>42571.376242662</v>
      </c>
      <c r="B335" s="8" t="s">
        <v>82</v>
      </c>
      <c r="C335" s="8" t="n">
        <v>24</v>
      </c>
      <c r="D335" s="8" t="n">
        <v>132</v>
      </c>
      <c r="E335" s="8" t="n">
        <v>800</v>
      </c>
    </row>
    <row r="336" customFormat="false" ht="15.75" hidden="false" customHeight="false" outlineLevel="0" collapsed="false">
      <c r="A336" s="34" t="n">
        <v>42571.5543102431</v>
      </c>
      <c r="B336" s="8" t="s">
        <v>153</v>
      </c>
      <c r="C336" s="8" t="n">
        <v>160</v>
      </c>
      <c r="D336" s="8" t="n">
        <v>1609</v>
      </c>
      <c r="E336" s="8" t="n">
        <v>2500</v>
      </c>
    </row>
    <row r="337" customFormat="false" ht="15.75" hidden="false" customHeight="false" outlineLevel="0" collapsed="false">
      <c r="A337" s="34" t="n">
        <v>42571.5790237963</v>
      </c>
      <c r="B337" s="8" t="s">
        <v>122</v>
      </c>
      <c r="C337" s="8" t="n">
        <v>112</v>
      </c>
      <c r="D337" s="8" t="n">
        <v>1525</v>
      </c>
      <c r="E337" s="8" t="n">
        <v>2500</v>
      </c>
    </row>
    <row r="338" customFormat="false" ht="15.75" hidden="false" customHeight="false" outlineLevel="0" collapsed="false">
      <c r="A338" s="34" t="n">
        <v>42571.8078701505</v>
      </c>
      <c r="B338" s="8" t="s">
        <v>155</v>
      </c>
      <c r="C338" s="8" t="n">
        <v>88</v>
      </c>
      <c r="D338" s="8" t="n">
        <v>1519</v>
      </c>
      <c r="E338" s="8" t="n">
        <v>3000</v>
      </c>
    </row>
    <row r="339" customFormat="false" ht="15.75" hidden="false" customHeight="false" outlineLevel="0" collapsed="false">
      <c r="A339" s="34" t="n">
        <v>42571.8698498727</v>
      </c>
      <c r="B339" s="8" t="s">
        <v>122</v>
      </c>
      <c r="C339" s="8" t="n">
        <v>122</v>
      </c>
      <c r="D339" s="8" t="n">
        <v>1758</v>
      </c>
      <c r="E339" s="8" t="n">
        <v>3000</v>
      </c>
    </row>
    <row r="340" customFormat="false" ht="15.75" hidden="false" customHeight="false" outlineLevel="0" collapsed="false">
      <c r="A340" s="34" t="n">
        <v>42571.8701169213</v>
      </c>
      <c r="B340" s="8" t="s">
        <v>140</v>
      </c>
      <c r="C340" s="8" t="n">
        <v>74</v>
      </c>
      <c r="D340" s="8" t="n">
        <v>1157</v>
      </c>
      <c r="E340" s="8" t="n">
        <v>2500</v>
      </c>
    </row>
    <row r="341" customFormat="false" ht="15.75" hidden="false" customHeight="false" outlineLevel="0" collapsed="false">
      <c r="A341" s="34" t="n">
        <v>42571.8703813542</v>
      </c>
      <c r="B341" s="8" t="s">
        <v>161</v>
      </c>
      <c r="C341" s="8" t="n">
        <v>98</v>
      </c>
      <c r="D341" s="8" t="n">
        <v>1073</v>
      </c>
      <c r="E341" s="8" t="n">
        <v>2200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3" t="s">
        <v>207</v>
      </c>
      <c r="B1" s="3" t="s">
        <v>479</v>
      </c>
      <c r="C1" s="3" t="s">
        <v>478</v>
      </c>
      <c r="D1" s="8" t="s">
        <v>481</v>
      </c>
      <c r="E1" s="8" t="s">
        <v>482</v>
      </c>
      <c r="F1" s="3" t="s">
        <v>483</v>
      </c>
      <c r="G1" s="8" t="s">
        <v>484</v>
      </c>
      <c r="H1" s="8" t="s">
        <v>485</v>
      </c>
      <c r="I1" s="8" t="s">
        <v>486</v>
      </c>
      <c r="J1" s="8" t="s">
        <v>487</v>
      </c>
      <c r="K1" s="8" t="s">
        <v>488</v>
      </c>
      <c r="L1" s="8" t="s">
        <v>489</v>
      </c>
      <c r="M1" s="8" t="s">
        <v>490</v>
      </c>
      <c r="N1" s="8"/>
      <c r="O1" s="8"/>
      <c r="P1" s="8" t="s">
        <v>491</v>
      </c>
      <c r="Q1" s="8" t="s">
        <v>492</v>
      </c>
    </row>
    <row r="2" customFormat="false" ht="15.75" hidden="false" customHeight="false" outlineLevel="0" collapsed="false">
      <c r="A2" s="8" t="s">
        <v>493</v>
      </c>
      <c r="B2" s="35" t="n">
        <v>287</v>
      </c>
      <c r="C2" s="35" t="n">
        <v>42</v>
      </c>
      <c r="D2" s="35" t="n">
        <v>9.09</v>
      </c>
      <c r="E2" s="35" t="n">
        <v>0.79</v>
      </c>
      <c r="F2" s="35" t="n">
        <v>1000</v>
      </c>
      <c r="G2" s="0" t="str">
        <f aca="false">IFERROR(__xludf.dummyfunction("ROUND(B2/ FILTER('Pokemon CP/HP'!$M$2:$M1000, LOWER('Pokemon CP/HP'!$B$2:$B1000)=LOWER(A2)))"),"21")</f>
        <v>21</v>
      </c>
      <c r="H2" s="0" t="str">
        <f aca="false">IFERROR(__xludf.dummyfunction("FILTER('Leveling Info'!$B$2:$B1000, 'Leveling Info'!$A$2:$A1000 =G2)"),"1300")</f>
        <v>1300</v>
      </c>
      <c r="I2" s="14" t="n">
        <f aca="false">SQRT(G2)</f>
        <v>4.58257569495584</v>
      </c>
      <c r="J2" s="14" t="str">
        <f aca="false">IFERROR(__xludf.dummyfunction("IF(F2 = H2,C2/FILTER('Base Stats'!$C$2:$C1000, LOWER('Base Stats'!$B$2:$B1000) = LOWER($A2)), """")"),"")</f>
        <v/>
      </c>
      <c r="K2" s="0" t="str">
        <f aca="false">IF(F2 = H2, C2/G2, "")</f>
        <v/>
      </c>
      <c r="L2" s="0" t="str">
        <f aca="false">IFERROR(__xludf.dummyfunction("IF(AND(NOT(K2 = """"), G2 &gt;= 15),K2/FILTER('Base Stats'!$C$2:$C1000, LOWER('Base Stats'!$B$2:$B1000) = LOWER($A2)), """")"),"")</f>
        <v/>
      </c>
      <c r="M2" s="0" t="str">
        <f aca="false">IFERROR(__xludf.dummyfunction("1.15 + 0.02 * FILTER('Base Stats'!$C$2:$C1000, LOWER('Base Stats'!$B$2:$B1000) = LOWER($A2))"),"2.05")</f>
        <v>2.05</v>
      </c>
      <c r="N2" s="0" t="e">
        <f aca="false">IFERROR(IF(AND(NOT(K2 = ""), G2 &gt;= 15),K2/M2, ""))</f>
        <v>#VALUE!</v>
      </c>
      <c r="P2" s="0" t="str">
        <f aca="false">join("/",ROUND(MIN(IFERROR(L2:L1000)), 4), ROUND(MAX(IFERROR(L2:L1000)), 4))</f>
        <v>0.0295/0.06</v>
      </c>
      <c r="Q2" s="8" t="str">
        <f aca="false">ROUND(AVERAGE(IFERROR(L2:L1000)), 5)</f>
        <v>0.04499</v>
      </c>
    </row>
    <row r="3" customFormat="false" ht="15.75" hidden="false" customHeight="false" outlineLevel="0" collapsed="false">
      <c r="A3" s="8" t="s">
        <v>493</v>
      </c>
      <c r="B3" s="35" t="n">
        <v>284</v>
      </c>
      <c r="C3" s="35" t="n">
        <v>43</v>
      </c>
      <c r="D3" s="35" t="n">
        <v>5.34</v>
      </c>
      <c r="E3" s="35" t="n">
        <v>0.58</v>
      </c>
      <c r="F3" s="35" t="n">
        <v>1300</v>
      </c>
      <c r="G3" s="0" t="str">
        <f aca="false">IFERROR(__xludf.dummyfunction("ROUND(B3/ FILTER('Pokemon CP/HP'!$M$2:$M1000, LOWER('Pokemon CP/HP'!$B$2:$B1000)=LOWER(A3)))"),"21")</f>
        <v>21</v>
      </c>
      <c r="H3" s="0" t="str">
        <f aca="false">IFERROR(__xludf.dummyfunction("FILTER('Leveling Info'!$B$2:$B1000, 'Leveling Info'!$A$2:$A1000 =G3)"),"1300")</f>
        <v>1300</v>
      </c>
      <c r="I3" s="14" t="n">
        <f aca="false">SQRT(G3)</f>
        <v>4.58257569495584</v>
      </c>
      <c r="J3" s="14" t="str">
        <f aca="false">IFERROR(__xludf.dummyfunction("IF(F3 = H3,C3/FILTER('Base Stats'!$C$2:$C1000, LOWER('Base Stats'!$B$2:$B1000) = LOWER($A3)), """")"),"0.9555555556")</f>
        <v>0.9555555556</v>
      </c>
      <c r="K3" s="0" t="str">
        <f aca="false">IF(F3 = H3, C3/G3, "")</f>
        <v/>
      </c>
      <c r="L3" s="0" t="str">
        <f aca="false">IFERROR(__xludf.dummyfunction("IF(AND(NOT(K3 = """"), G3 &gt;= 15),K3/FILTER('Base Stats'!$C$2:$C1000, LOWER('Base Stats'!$B$2:$B1000) = LOWER($A3)), """")"),"0.0455026455")</f>
        <v>0.0455026455</v>
      </c>
      <c r="M3" s="0" t="str">
        <f aca="false">IFERROR(__xludf.dummyfunction("1.15 + 0.02 * FILTER('Base Stats'!$C$2:$C1000, LOWER('Base Stats'!$B$2:$B1000) = LOWER($A3))"),"2.05")</f>
        <v>2.05</v>
      </c>
      <c r="N3" s="0" t="e">
        <f aca="false">IFERROR(IF(AND(NOT(K3 = ""), G3 &gt;= 15),K3/M3, ""))</f>
        <v>#VALUE!</v>
      </c>
    </row>
    <row r="4" customFormat="false" ht="15.75" hidden="false" customHeight="false" outlineLevel="0" collapsed="false">
      <c r="A4" s="8" t="s">
        <v>493</v>
      </c>
      <c r="B4" s="35" t="n">
        <v>139</v>
      </c>
      <c r="C4" s="35" t="n">
        <v>29</v>
      </c>
      <c r="D4" s="35" t="n">
        <v>9.5</v>
      </c>
      <c r="E4" s="35" t="n">
        <v>0.82</v>
      </c>
      <c r="F4" s="35" t="n">
        <v>600</v>
      </c>
      <c r="G4" s="0" t="str">
        <f aca="false">IFERROR(__xludf.dummyfunction("ROUND(B4/ FILTER('Pokemon CP/HP'!$M$2:$M1000, LOWER('Pokemon CP/HP'!$B$2:$B1000)=LOWER(A4)))"),"10")</f>
        <v>10</v>
      </c>
      <c r="H4" s="0" t="str">
        <f aca="false">IFERROR(__xludf.dummyfunction("FILTER('Leveling Info'!$B$2:$B1000, 'Leveling Info'!$A$2:$A1000 =G4)"),"600")</f>
        <v>600</v>
      </c>
      <c r="I4" s="14" t="n">
        <f aca="false">SQRT(G4)</f>
        <v>3.16227766016838</v>
      </c>
      <c r="J4" s="14" t="str">
        <f aca="false">IFERROR(__xludf.dummyfunction("IF(F4 = H4,C4/FILTER('Base Stats'!$C$2:$C1000, LOWER('Base Stats'!$B$2:$B1000) = LOWER($A4)), """")"),"0.6444444444")</f>
        <v>0.6444444444</v>
      </c>
      <c r="K4" s="0" t="str">
        <f aca="false">IF(F4 = H4, C4/G4, "")</f>
        <v/>
      </c>
      <c r="L4" s="0" t="str">
        <f aca="false">IFERROR(__xludf.dummyfunction("IF(AND(NOT(K4 = """"), G4 &gt;= 15),K4/FILTER('Base Stats'!$C$2:$C1000, LOWER('Base Stats'!$B$2:$B1000) = LOWER($A4)), """")"),"")</f>
        <v/>
      </c>
      <c r="M4" s="0" t="str">
        <f aca="false">IFERROR(__xludf.dummyfunction("1.15 + 0.02 * FILTER('Base Stats'!$C$2:$C1000, LOWER('Base Stats'!$B$2:$B1000) = LOWER($A4))"),"2.05")</f>
        <v>2.05</v>
      </c>
      <c r="N4" s="0" t="e">
        <f aca="false">IFERROR(IF(AND(NOT(K4 = ""), G4 &gt;= 15),K4/M4, ""))</f>
        <v>#VALUE!</v>
      </c>
    </row>
    <row r="5" customFormat="false" ht="15.75" hidden="false" customHeight="false" outlineLevel="0" collapsed="false">
      <c r="A5" s="8" t="s">
        <v>494</v>
      </c>
      <c r="B5" s="8" t="n">
        <v>38</v>
      </c>
      <c r="C5" s="8" t="n">
        <v>14</v>
      </c>
      <c r="D5" s="8" t="n">
        <v>14.31</v>
      </c>
      <c r="E5" s="8" t="n">
        <v>0.76</v>
      </c>
      <c r="F5" s="8" t="n">
        <v>200</v>
      </c>
      <c r="G5" s="0" t="str">
        <f aca="false">IFERROR(__xludf.dummyfunction("ROUND(B5/ FILTER('Pokemon CP/HP'!$M$2:$M1000, LOWER('Pokemon CP/HP'!$B$2:$B1000)=LOWER(A5)))"),"3")</f>
        <v>3</v>
      </c>
      <c r="H5" s="0" t="str">
        <f aca="false">IFERROR(__xludf.dummyfunction("FILTER('Leveling Info'!$B$2:$B1000, 'Leveling Info'!$A$2:$A1000 =G5)"),"200")</f>
        <v>200</v>
      </c>
      <c r="I5" s="14" t="n">
        <f aca="false">SQRT(G5)</f>
        <v>1.73205080756888</v>
      </c>
      <c r="J5" s="14" t="str">
        <f aca="false">IFERROR(__xludf.dummyfunction("IF(F5 = H5,C5/FILTER('Base Stats'!$C$2:$C1000, LOWER('Base Stats'!$B$2:$B1000) = LOWER($A5)), """")"),"0.358974359")</f>
        <v>0.358974359</v>
      </c>
      <c r="K5" s="0" t="str">
        <f aca="false">IF(F5 = H5, C5/G5, "")</f>
        <v/>
      </c>
      <c r="L5" s="0" t="str">
        <f aca="false">IFERROR(__xludf.dummyfunction("IF(AND(NOT(K5 = """"), G5 &gt;= 15),K5/FILTER('Base Stats'!$C$2:$C1000, LOWER('Base Stats'!$B$2:$B1000) = LOWER($A5)), """")"),"")</f>
        <v/>
      </c>
      <c r="M5" s="0" t="str">
        <f aca="false">IFERROR(__xludf.dummyfunction("1.15 + 0.02 * FILTER('Base Stats'!$C$2:$C1000, LOWER('Base Stats'!$B$2:$B1000) = LOWER($A5))"),"1.93")</f>
        <v>1.93</v>
      </c>
      <c r="N5" s="0" t="e">
        <f aca="false">IFERROR(IF(AND(NOT(K5 = ""), G5 &gt;= 15),K5/M5, ""))</f>
        <v>#VALUE!</v>
      </c>
    </row>
    <row r="6" customFormat="false" ht="15.75" hidden="false" customHeight="false" outlineLevel="0" collapsed="false">
      <c r="A6" s="8" t="s">
        <v>494</v>
      </c>
      <c r="B6" s="8" t="n">
        <v>25</v>
      </c>
      <c r="C6" s="8" t="n">
        <v>11</v>
      </c>
      <c r="D6" s="8" t="n">
        <v>14.31</v>
      </c>
      <c r="E6" s="8" t="n">
        <v>0.76</v>
      </c>
      <c r="F6" s="8" t="n">
        <v>200</v>
      </c>
      <c r="G6" s="0" t="str">
        <f aca="false">IFERROR(__xludf.dummyfunction("ROUND(B6/ FILTER('Pokemon CP/HP'!$M$2:$M1000, LOWER('Pokemon CP/HP'!$B$2:$B1000)=LOWER(A6)))"),"2")</f>
        <v>2</v>
      </c>
      <c r="H6" s="0" t="str">
        <f aca="false">IFERROR(__xludf.dummyfunction("FILTER('Leveling Info'!$B$2:$B1000, 'Leveling Info'!$A$2:$A1000 =G6)"),"200")</f>
        <v>200</v>
      </c>
      <c r="I6" s="14" t="n">
        <f aca="false">SQRT(G6)</f>
        <v>1.4142135623731</v>
      </c>
      <c r="J6" s="14" t="str">
        <f aca="false">IFERROR(__xludf.dummyfunction("IF(F6 = H6,C6/FILTER('Base Stats'!$C$2:$C1000, LOWER('Base Stats'!$B$2:$B1000) = LOWER($A6)), """")"),"0.2820512821")</f>
        <v>0.2820512821</v>
      </c>
      <c r="K6" s="0" t="str">
        <f aca="false">IF(F6 = H6, C6/G6, "")</f>
        <v/>
      </c>
      <c r="L6" s="0" t="str">
        <f aca="false">IFERROR(__xludf.dummyfunction("IF(AND(NOT(K6 = """"), G6 &gt;= 15),K6/FILTER('Base Stats'!$C$2:$C1000, LOWER('Base Stats'!$B$2:$B1000) = LOWER($A6)), """")"),"")</f>
        <v/>
      </c>
      <c r="M6" s="0" t="str">
        <f aca="false">IFERROR(__xludf.dummyfunction("1.15 + 0.02 * FILTER('Base Stats'!$C$2:$C1000, LOWER('Base Stats'!$B$2:$B1000) = LOWER($A6))"),"1.93")</f>
        <v>1.93</v>
      </c>
      <c r="N6" s="0" t="e">
        <f aca="false">IFERROR(IF(AND(NOT(K6 = ""), G6 &gt;= 15),K6/M6, ""))</f>
        <v>#VALUE!</v>
      </c>
    </row>
    <row r="7" customFormat="false" ht="15.75" hidden="false" customHeight="false" outlineLevel="0" collapsed="false">
      <c r="A7" s="8" t="s">
        <v>494</v>
      </c>
      <c r="B7" s="8" t="n">
        <v>12</v>
      </c>
      <c r="C7" s="8" t="n">
        <v>10</v>
      </c>
      <c r="D7" s="8" t="n">
        <v>14.31</v>
      </c>
      <c r="E7" s="8" t="n">
        <v>0.76</v>
      </c>
      <c r="F7" s="8" t="n">
        <v>200</v>
      </c>
      <c r="G7" s="0" t="str">
        <f aca="false">IFERROR(__xludf.dummyfunction("ROUND(B7/ FILTER('Pokemon CP/HP'!$M$2:$M1000, LOWER('Pokemon CP/HP'!$B$2:$B1000)=LOWER(A7)))"),"1")</f>
        <v>1</v>
      </c>
      <c r="H7" s="0" t="str">
        <f aca="false">IFERROR(__xludf.dummyfunction("FILTER('Leveling Info'!$B$2:$B1000, 'Leveling Info'!$A$2:$A1000 =G7)"),"200")</f>
        <v>200</v>
      </c>
      <c r="I7" s="14" t="n">
        <f aca="false">SQRT(G7)</f>
        <v>1</v>
      </c>
      <c r="J7" s="14" t="str">
        <f aca="false">IFERROR(__xludf.dummyfunction("IF(F7 = H7,C7/FILTER('Base Stats'!$C$2:$C1000, LOWER('Base Stats'!$B$2:$B1000) = LOWER($A7)), """")"),"0.2564102564")</f>
        <v>0.2564102564</v>
      </c>
      <c r="K7" s="0" t="str">
        <f aca="false">IF(F7 = H7, C7/G7, "")</f>
        <v/>
      </c>
      <c r="L7" s="0" t="str">
        <f aca="false">IFERROR(__xludf.dummyfunction("IF(AND(NOT(K7 = """"), G7 &gt;= 15),K7/FILTER('Base Stats'!$C$2:$C1000, LOWER('Base Stats'!$B$2:$B1000) = LOWER($A7)), """")"),"")</f>
        <v/>
      </c>
      <c r="M7" s="0" t="str">
        <f aca="false">IFERROR(__xludf.dummyfunction("1.15 + 0.02 * FILTER('Base Stats'!$C$2:$C1000, LOWER('Base Stats'!$B$2:$B1000) = LOWER($A7))"),"1.93")</f>
        <v>1.93</v>
      </c>
      <c r="N7" s="0" t="e">
        <f aca="false">IFERROR(IF(AND(NOT(K7 = ""), G7 &gt;= 15),K7/M7, ""))</f>
        <v>#VALUE!</v>
      </c>
    </row>
    <row r="8" customFormat="false" ht="15.75" hidden="false" customHeight="false" outlineLevel="0" collapsed="false">
      <c r="A8" s="0" t="s">
        <v>495</v>
      </c>
      <c r="B8" s="0" t="n">
        <v>138</v>
      </c>
      <c r="C8" s="0" t="n">
        <v>31</v>
      </c>
      <c r="D8" s="0" t="n">
        <v>12.28</v>
      </c>
      <c r="E8" s="0" t="n">
        <v>0.55</v>
      </c>
      <c r="F8" s="0" t="n">
        <v>600</v>
      </c>
      <c r="G8" s="0" t="str">
        <f aca="false">IFERROR(__xludf.dummyfunction("ROUND(B8/ FILTER('Pokemon CP/HP'!$M$2:$M1000, LOWER('Pokemon CP/HP'!$B$2:$B1000)=LOWER(A8)))"),"11")</f>
        <v>11</v>
      </c>
      <c r="H8" s="0" t="str">
        <f aca="false">IFERROR(__xludf.dummyfunction("FILTER('Leveling Info'!$B$2:$B1000, 'Leveling Info'!$A$2:$A1000 =G8)"),"600")</f>
        <v>600</v>
      </c>
      <c r="I8" s="14" t="n">
        <f aca="false">SQRT(G8)</f>
        <v>3.3166247903554</v>
      </c>
      <c r="J8" s="14" t="str">
        <f aca="false">IFERROR(__xludf.dummyfunction("IF(F8 = H8,C8/FILTER('Base Stats'!$C$2:$C1000, LOWER('Base Stats'!$B$2:$B1000) = LOWER($A8)), """")"),"0.7045454545")</f>
        <v>0.7045454545</v>
      </c>
      <c r="K8" s="0" t="str">
        <f aca="false">IF(F8 = H8, C8/G8, "")</f>
        <v/>
      </c>
      <c r="L8" s="0" t="str">
        <f aca="false">IFERROR(__xludf.dummyfunction("IF(AND(NOT(K8 = """"), G8 &gt;= 15),K8/FILTER('Base Stats'!$C$2:$C1000, LOWER('Base Stats'!$B$2:$B1000) = LOWER($A8)), """")"),"")</f>
        <v/>
      </c>
      <c r="M8" s="0" t="str">
        <f aca="false">IFERROR(__xludf.dummyfunction("1.15 + 0.02 * FILTER('Base Stats'!$C$2:$C1000, LOWER('Base Stats'!$B$2:$B1000) = LOWER($A8))"),"2.03")</f>
        <v>2.03</v>
      </c>
      <c r="N8" s="0" t="e">
        <f aca="false">IFERROR(IF(AND(NOT(K8 = ""), G8 &gt;= 15),K8/M8, ""))</f>
        <v>#VALUE!</v>
      </c>
    </row>
    <row r="9" customFormat="false" ht="15.75" hidden="false" customHeight="false" outlineLevel="0" collapsed="false">
      <c r="A9" s="0" t="s">
        <v>495</v>
      </c>
      <c r="B9" s="0" t="n">
        <v>135</v>
      </c>
      <c r="C9" s="0" t="n">
        <v>30</v>
      </c>
      <c r="D9" s="0" t="n">
        <v>9.36</v>
      </c>
      <c r="E9" s="0" t="n">
        <v>0.52</v>
      </c>
      <c r="F9" s="0" t="n">
        <v>600</v>
      </c>
      <c r="G9" s="0" t="str">
        <f aca="false">IFERROR(__xludf.dummyfunction("ROUND(B9/ FILTER('Pokemon CP/HP'!$M$2:$M1000, LOWER('Pokemon CP/HP'!$B$2:$B1000)=LOWER(A9)))"),"10")</f>
        <v>10</v>
      </c>
      <c r="H9" s="0" t="str">
        <f aca="false">IFERROR(__xludf.dummyfunction("FILTER('Leveling Info'!$B$2:$B1000, 'Leveling Info'!$A$2:$A1000 =G9)"),"600")</f>
        <v>600</v>
      </c>
      <c r="I9" s="14" t="n">
        <f aca="false">SQRT(G9)</f>
        <v>3.16227766016838</v>
      </c>
      <c r="J9" s="14" t="str">
        <f aca="false">IFERROR(__xludf.dummyfunction("IF(F9 = H9,C9/FILTER('Base Stats'!$C$2:$C1000, LOWER('Base Stats'!$B$2:$B1000) = LOWER($A9)), """")"),"0.6818181818")</f>
        <v>0.6818181818</v>
      </c>
      <c r="K9" s="0" t="str">
        <f aca="false">IF(F9 = H9, C9/G9, "")</f>
        <v/>
      </c>
      <c r="L9" s="0" t="str">
        <f aca="false">IFERROR(__xludf.dummyfunction("IF(AND(NOT(K9 = """"), G9 &gt;= 15),K9/FILTER('Base Stats'!$C$2:$C1000, LOWER('Base Stats'!$B$2:$B1000) = LOWER($A9)), """")"),"")</f>
        <v/>
      </c>
      <c r="M9" s="0" t="str">
        <f aca="false">IFERROR(__xludf.dummyfunction("1.15 + 0.02 * FILTER('Base Stats'!$C$2:$C1000, LOWER('Base Stats'!$B$2:$B1000) = LOWER($A9))"),"2.03")</f>
        <v>2.03</v>
      </c>
      <c r="N9" s="0" t="e">
        <f aca="false">IFERROR(IF(AND(NOT(K9 = ""), G9 &gt;= 15),K9/M9, ""))</f>
        <v>#VALUE!</v>
      </c>
    </row>
    <row r="10" customFormat="false" ht="15.75" hidden="false" customHeight="false" outlineLevel="0" collapsed="false">
      <c r="A10" s="0" t="s">
        <v>495</v>
      </c>
      <c r="B10" s="0" t="n">
        <v>105</v>
      </c>
      <c r="C10" s="0" t="n">
        <v>25</v>
      </c>
      <c r="D10" s="0" t="n">
        <v>9.92</v>
      </c>
      <c r="E10" s="0" t="n">
        <v>0.49</v>
      </c>
      <c r="F10" s="0" t="n">
        <v>600</v>
      </c>
      <c r="G10" s="0" t="str">
        <f aca="false">IFERROR(__xludf.dummyfunction("ROUND(B10/ FILTER('Pokemon CP/HP'!$M$2:$M1000, LOWER('Pokemon CP/HP'!$B$2:$B1000)=LOWER(A10)))"),"8")</f>
        <v>8</v>
      </c>
      <c r="H10" s="0" t="str">
        <f aca="false">IFERROR(__xludf.dummyfunction("FILTER('Leveling Info'!$B$2:$B1000, 'Leveling Info'!$A$2:$A1000 =G10)"),"400")</f>
        <v>400</v>
      </c>
      <c r="I10" s="14" t="n">
        <f aca="false">SQRT(G10)</f>
        <v>2.82842712474619</v>
      </c>
      <c r="J10" s="14" t="str">
        <f aca="false">IFERROR(__xludf.dummyfunction("IF(F10 = H10,C10/FILTER('Base Stats'!$C$2:$C1000, LOWER('Base Stats'!$B$2:$B1000) = LOWER($A10)), """")"),"")</f>
        <v/>
      </c>
      <c r="K10" s="0" t="str">
        <f aca="false">IF(F10 = H10, C10/G10, "")</f>
        <v/>
      </c>
      <c r="L10" s="0" t="str">
        <f aca="false">IFERROR(__xludf.dummyfunction("IF(AND(NOT(K10 = """"), G10 &gt;= 15),K10/FILTER('Base Stats'!$C$2:$C1000, LOWER('Base Stats'!$B$2:$B1000) = LOWER($A10)), """")"),"")</f>
        <v/>
      </c>
      <c r="M10" s="0" t="str">
        <f aca="false">IFERROR(__xludf.dummyfunction("1.15 + 0.02 * FILTER('Base Stats'!$C$2:$C1000, LOWER('Base Stats'!$B$2:$B1000) = LOWER($A10))"),"2.03")</f>
        <v>2.03</v>
      </c>
      <c r="N10" s="0" t="e">
        <f aca="false">IFERROR(IF(AND(NOT(K10 = ""), G10 &gt;= 15),K10/M10, ""))</f>
        <v>#VALUE!</v>
      </c>
    </row>
    <row r="11" customFormat="false" ht="15.75" hidden="false" customHeight="false" outlineLevel="0" collapsed="false">
      <c r="A11" s="8" t="s">
        <v>496</v>
      </c>
      <c r="B11" s="8" t="n">
        <v>110</v>
      </c>
      <c r="C11" s="8" t="n">
        <v>46</v>
      </c>
      <c r="D11" s="8" t="n">
        <v>3.46</v>
      </c>
      <c r="E11" s="8" t="n">
        <v>0.31</v>
      </c>
      <c r="F11" s="8" t="n">
        <v>1300</v>
      </c>
      <c r="G11" s="0" t="str">
        <f aca="false">IFERROR(__xludf.dummyfunction("ROUND(B11/ FILTER('Pokemon CP/HP'!$M$2:$M1000, LOWER('Pokemon CP/HP'!$B$2:$B1000)=LOWER(A11)))"),"22")</f>
        <v>22</v>
      </c>
      <c r="H11" s="0" t="str">
        <f aca="false">IFERROR(__xludf.dummyfunction("FILTER('Leveling Info'!$B$2:$B1000, 'Leveling Info'!$A$2:$A1000 =G11)"),"1300")</f>
        <v>1300</v>
      </c>
      <c r="I11" s="14" t="n">
        <f aca="false">SQRT(G11)</f>
        <v>4.69041575982343</v>
      </c>
      <c r="J11" s="14" t="str">
        <f aca="false">IFERROR(__xludf.dummyfunction("IF(F11 = H11,C11/FILTER('Base Stats'!$C$2:$C1000, LOWER('Base Stats'!$B$2:$B1000) = LOWER($A11)), """")"),"1.022222222")</f>
        <v>1.022222222</v>
      </c>
      <c r="K11" s="0" t="str">
        <f aca="false">IF(F11 = H11, C11/G11, "")</f>
        <v/>
      </c>
      <c r="L11" s="0" t="str">
        <f aca="false">IFERROR(__xludf.dummyfunction("IF(AND(NOT(K11 = """"), G11 &gt;= 15),K11/FILTER('Base Stats'!$C$2:$C1000, LOWER('Base Stats'!$B$2:$B1000) = LOWER($A11)), """")"),"0.04646464646")</f>
        <v>0.04646464646</v>
      </c>
      <c r="M11" s="0" t="str">
        <f aca="false">IFERROR(__xludf.dummyfunction("1.15 + 0.02 * FILTER('Base Stats'!$C$2:$C1000, LOWER('Base Stats'!$B$2:$B1000) = LOWER($A11))"),"2.05")</f>
        <v>2.05</v>
      </c>
      <c r="N11" s="0" t="e">
        <f aca="false">IFERROR(IF(AND(NOT(K11 = ""), G11 &gt;= 15),K11/M11, ""))</f>
        <v>#VALUE!</v>
      </c>
    </row>
    <row r="12" customFormat="false" ht="15.75" hidden="false" customHeight="false" outlineLevel="0" collapsed="false">
      <c r="A12" s="8" t="s">
        <v>496</v>
      </c>
      <c r="B12" s="8" t="n">
        <v>106</v>
      </c>
      <c r="C12" s="8" t="n">
        <v>44</v>
      </c>
      <c r="D12" s="8" t="n">
        <v>4.53</v>
      </c>
      <c r="E12" s="8" t="n">
        <v>0.38</v>
      </c>
      <c r="F12" s="8" t="n">
        <v>1300</v>
      </c>
      <c r="G12" s="0" t="str">
        <f aca="false">IFERROR(__xludf.dummyfunction("ROUND(B12/ FILTER('Pokemon CP/HP'!$M$2:$M1000, LOWER('Pokemon CP/HP'!$B$2:$B1000)=LOWER(A12)))"),"21")</f>
        <v>21</v>
      </c>
      <c r="H12" s="0" t="str">
        <f aca="false">IFERROR(__xludf.dummyfunction("FILTER('Leveling Info'!$B$2:$B1000, 'Leveling Info'!$A$2:$A1000 =G12)"),"1300")</f>
        <v>1300</v>
      </c>
      <c r="I12" s="14" t="n">
        <f aca="false">SQRT(G12)</f>
        <v>4.58257569495584</v>
      </c>
      <c r="J12" s="14" t="str">
        <f aca="false">IFERROR(__xludf.dummyfunction("IF(F12 = H12,C12/FILTER('Base Stats'!$C$2:$C1000, LOWER('Base Stats'!$B$2:$B1000) = LOWER($A12)), """")"),"0.9777777778")</f>
        <v>0.9777777778</v>
      </c>
      <c r="K12" s="0" t="str">
        <f aca="false">IF(F12 = H12, C12/G12, "")</f>
        <v/>
      </c>
      <c r="L12" s="0" t="str">
        <f aca="false">IFERROR(__xludf.dummyfunction("IF(AND(NOT(K12 = """"), G12 &gt;= 15),K12/FILTER('Base Stats'!$C$2:$C1000, LOWER('Base Stats'!$B$2:$B1000) = LOWER($A12)), """")"),"0.04656084656")</f>
        <v>0.04656084656</v>
      </c>
      <c r="M12" s="0" t="str">
        <f aca="false">IFERROR(__xludf.dummyfunction("1.15 + 0.02 * FILTER('Base Stats'!$C$2:$C1000, LOWER('Base Stats'!$B$2:$B1000) = LOWER($A12))"),"2.05")</f>
        <v>2.05</v>
      </c>
      <c r="N12" s="0" t="e">
        <f aca="false">IFERROR(IF(AND(NOT(K12 = ""), G12 &gt;= 15),K12/M12, ""))</f>
        <v>#VALUE!</v>
      </c>
    </row>
    <row r="13" customFormat="false" ht="15.75" hidden="false" customHeight="false" outlineLevel="0" collapsed="false">
      <c r="A13" s="8" t="s">
        <v>496</v>
      </c>
      <c r="B13" s="8" t="n">
        <v>100</v>
      </c>
      <c r="C13" s="8" t="n">
        <v>43</v>
      </c>
      <c r="D13" s="8" t="n">
        <v>2.56</v>
      </c>
      <c r="E13" s="8" t="n">
        <v>0.3</v>
      </c>
      <c r="F13" s="8" t="n">
        <v>1000</v>
      </c>
      <c r="G13" s="0" t="str">
        <f aca="false">IFERROR(__xludf.dummyfunction("ROUND(B13/ FILTER('Pokemon CP/HP'!$M$2:$M1000, LOWER('Pokemon CP/HP'!$B$2:$B1000)=LOWER(A13)))"),"20")</f>
        <v>20</v>
      </c>
      <c r="H13" s="0" t="str">
        <f aca="false">IFERROR(__xludf.dummyfunction("FILTER('Leveling Info'!$B$2:$B1000, 'Leveling Info'!$A$2:$A1000 =G13)"),"1000")</f>
        <v>1000</v>
      </c>
      <c r="I13" s="14" t="n">
        <f aca="false">SQRT(G13)</f>
        <v>4.47213595499958</v>
      </c>
      <c r="J13" s="14" t="str">
        <f aca="false">IFERROR(__xludf.dummyfunction("IF(F13 = H13,C13/FILTER('Base Stats'!$C$2:$C1000, LOWER('Base Stats'!$B$2:$B1000) = LOWER($A13)), """")"),"0.9555555556")</f>
        <v>0.9555555556</v>
      </c>
      <c r="K13" s="0" t="str">
        <f aca="false">IF(F13 = H13, C13/G13, "")</f>
        <v/>
      </c>
      <c r="L13" s="0" t="str">
        <f aca="false">IFERROR(__xludf.dummyfunction("IF(AND(NOT(K13 = """"), G13 &gt;= 15),K13/FILTER('Base Stats'!$C$2:$C1000, LOWER('Base Stats'!$B$2:$B1000) = LOWER($A13)), """")"),"0.04777777778")</f>
        <v>0.04777777778</v>
      </c>
      <c r="M13" s="0" t="str">
        <f aca="false">IFERROR(__xludf.dummyfunction("1.15 + 0.02 * FILTER('Base Stats'!$C$2:$C1000, LOWER('Base Stats'!$B$2:$B1000) = LOWER($A13))"),"2.05")</f>
        <v>2.05</v>
      </c>
      <c r="N13" s="0" t="e">
        <f aca="false">IFERROR(IF(AND(NOT(K13 = ""), G13 &gt;= 15),K13/M13, ""))</f>
        <v>#VALUE!</v>
      </c>
    </row>
    <row r="14" customFormat="false" ht="15.75" hidden="false" customHeight="false" outlineLevel="0" collapsed="false">
      <c r="A14" s="8" t="s">
        <v>496</v>
      </c>
      <c r="B14" s="8" t="n">
        <v>96</v>
      </c>
      <c r="C14" s="8" t="n">
        <v>41</v>
      </c>
      <c r="D14" s="8" t="n">
        <v>3.38</v>
      </c>
      <c r="E14" s="8" t="n">
        <v>0.33</v>
      </c>
      <c r="F14" s="8" t="n">
        <v>1300</v>
      </c>
      <c r="G14" s="0" t="str">
        <f aca="false">IFERROR(__xludf.dummyfunction("ROUND(B14/ FILTER('Pokemon CP/HP'!$M$2:$M1000, LOWER('Pokemon CP/HP'!$B$2:$B1000)=LOWER(A14)))"),"19")</f>
        <v>19</v>
      </c>
      <c r="H14" s="0" t="str">
        <f aca="false">IFERROR(__xludf.dummyfunction("FILTER('Leveling Info'!$B$2:$B1000, 'Leveling Info'!$A$2:$A1000 =G14)"),"1000")</f>
        <v>1000</v>
      </c>
      <c r="I14" s="14" t="n">
        <f aca="false">SQRT(G14)</f>
        <v>4.35889894354067</v>
      </c>
      <c r="J14" s="14" t="str">
        <f aca="false">IFERROR(__xludf.dummyfunction("IF(F14 = H14,C14/FILTER('Base Stats'!$C$2:$C1000, LOWER('Base Stats'!$B$2:$B1000) = LOWER($A14)), """")"),"")</f>
        <v/>
      </c>
      <c r="K14" s="0" t="str">
        <f aca="false">IF(F14 = H14, C14/G14, "")</f>
        <v/>
      </c>
      <c r="L14" s="0" t="str">
        <f aca="false">IFERROR(__xludf.dummyfunction("IF(AND(NOT(K14 = """"), G14 &gt;= 15),K14/FILTER('Base Stats'!$C$2:$C1000, LOWER('Base Stats'!$B$2:$B1000) = LOWER($A14)), """")"),"")</f>
        <v/>
      </c>
      <c r="M14" s="0" t="str">
        <f aca="false">IFERROR(__xludf.dummyfunction("1.15 + 0.02 * FILTER('Base Stats'!$C$2:$C1000, LOWER('Base Stats'!$B$2:$B1000) = LOWER($A14))"),"2.05")</f>
        <v>2.05</v>
      </c>
      <c r="N14" s="0" t="e">
        <f aca="false">IFERROR(IF(AND(NOT(K14 = ""), G14 &gt;= 15),K14/M14, ""))</f>
        <v>#VALUE!</v>
      </c>
    </row>
    <row r="15" customFormat="false" ht="15.75" hidden="false" customHeight="false" outlineLevel="0" collapsed="false">
      <c r="A15" s="8" t="s">
        <v>496</v>
      </c>
      <c r="B15" s="8" t="n">
        <v>91</v>
      </c>
      <c r="C15" s="8" t="n">
        <v>40</v>
      </c>
      <c r="D15" s="8" t="n">
        <v>4.3</v>
      </c>
      <c r="E15" s="8" t="n">
        <v>0.34</v>
      </c>
      <c r="F15" s="8" t="n">
        <v>1000</v>
      </c>
      <c r="G15" s="0" t="str">
        <f aca="false">IFERROR(__xludf.dummyfunction("ROUND(B15/ FILTER('Pokemon CP/HP'!$M$2:$M1000, LOWER('Pokemon CP/HP'!$B$2:$B1000)=LOWER(A15)))"),"18")</f>
        <v>18</v>
      </c>
      <c r="H15" s="0" t="str">
        <f aca="false">IFERROR(__xludf.dummyfunction("FILTER('Leveling Info'!$B$2:$B1000, 'Leveling Info'!$A$2:$A1000 =G15)"),"1000")</f>
        <v>1000</v>
      </c>
      <c r="I15" s="14" t="n">
        <f aca="false">SQRT(G15)</f>
        <v>4.24264068711929</v>
      </c>
      <c r="J15" s="14" t="str">
        <f aca="false">IFERROR(__xludf.dummyfunction("IF(F15 = H15,C15/FILTER('Base Stats'!$C$2:$C1000, LOWER('Base Stats'!$B$2:$B1000) = LOWER($A15)), """")"),"0.8888888889")</f>
        <v>0.8888888889</v>
      </c>
      <c r="K15" s="0" t="str">
        <f aca="false">IF(F15 = H15, C15/G15, "")</f>
        <v/>
      </c>
      <c r="L15" s="0" t="str">
        <f aca="false">IFERROR(__xludf.dummyfunction("IF(AND(NOT(K15 = """"), G15 &gt;= 15),K15/FILTER('Base Stats'!$C$2:$C1000, LOWER('Base Stats'!$B$2:$B1000) = LOWER($A15)), """")"),"0.04938271605")</f>
        <v>0.04938271605</v>
      </c>
      <c r="M15" s="0" t="str">
        <f aca="false">IFERROR(__xludf.dummyfunction("1.15 + 0.02 * FILTER('Base Stats'!$C$2:$C1000, LOWER('Base Stats'!$B$2:$B1000) = LOWER($A15))"),"2.05")</f>
        <v>2.05</v>
      </c>
      <c r="N15" s="0" t="e">
        <f aca="false">IFERROR(IF(AND(NOT(K15 = ""), G15 &gt;= 15),K15/M15, ""))</f>
        <v>#VALUE!</v>
      </c>
    </row>
    <row r="16" customFormat="false" ht="15.75" hidden="false" customHeight="false" outlineLevel="0" collapsed="false">
      <c r="A16" s="8" t="s">
        <v>496</v>
      </c>
      <c r="B16" s="8" t="n">
        <v>90</v>
      </c>
      <c r="C16" s="8" t="n">
        <v>40</v>
      </c>
      <c r="D16" s="8" t="n">
        <v>3.8</v>
      </c>
      <c r="E16" s="8" t="n">
        <v>0.36</v>
      </c>
      <c r="F16" s="8" t="n">
        <v>1000</v>
      </c>
      <c r="G16" s="0" t="str">
        <f aca="false">IFERROR(__xludf.dummyfunction("ROUND(B16/ FILTER('Pokemon CP/HP'!$M$2:$M1000, LOWER('Pokemon CP/HP'!$B$2:$B1000)=LOWER(A16)))"),"18")</f>
        <v>18</v>
      </c>
      <c r="H16" s="0" t="str">
        <f aca="false">IFERROR(__xludf.dummyfunction("FILTER('Leveling Info'!$B$2:$B1000, 'Leveling Info'!$A$2:$A1000 =G16)"),"1000")</f>
        <v>1000</v>
      </c>
      <c r="I16" s="14" t="n">
        <f aca="false">SQRT(G16)</f>
        <v>4.24264068711929</v>
      </c>
      <c r="J16" s="14" t="str">
        <f aca="false">IFERROR(__xludf.dummyfunction("IF(F16 = H16,C16/FILTER('Base Stats'!$C$2:$C1000, LOWER('Base Stats'!$B$2:$B1000) = LOWER($A16)), """")"),"0.8888888889")</f>
        <v>0.8888888889</v>
      </c>
      <c r="K16" s="0" t="str">
        <f aca="false">IF(F16 = H16, C16/G16, "")</f>
        <v/>
      </c>
      <c r="L16" s="0" t="str">
        <f aca="false">IFERROR(__xludf.dummyfunction("IF(AND(NOT(K16 = """"), G16 &gt;= 15),K16/FILTER('Base Stats'!$C$2:$C1000, LOWER('Base Stats'!$B$2:$B1000) = LOWER($A16)), """")"),"0.04938271605")</f>
        <v>0.04938271605</v>
      </c>
      <c r="M16" s="0" t="str">
        <f aca="false">IFERROR(__xludf.dummyfunction("1.15 + 0.02 * FILTER('Base Stats'!$C$2:$C1000, LOWER('Base Stats'!$B$2:$B1000) = LOWER($A16))"),"2.05")</f>
        <v>2.05</v>
      </c>
      <c r="N16" s="0" t="e">
        <f aca="false">IFERROR(IF(AND(NOT(K16 = ""), G16 &gt;= 15),K16/M16, ""))</f>
        <v>#VALUE!</v>
      </c>
    </row>
    <row r="17" customFormat="false" ht="15.75" hidden="false" customHeight="false" outlineLevel="0" collapsed="false">
      <c r="A17" s="8" t="s">
        <v>496</v>
      </c>
      <c r="B17" s="8" t="n">
        <v>75</v>
      </c>
      <c r="C17" s="8" t="n">
        <v>37</v>
      </c>
      <c r="D17" s="8" t="n">
        <v>2.85</v>
      </c>
      <c r="E17" s="8" t="n">
        <v>0.3</v>
      </c>
      <c r="F17" s="8" t="n">
        <v>800</v>
      </c>
      <c r="G17" s="0" t="str">
        <f aca="false">IFERROR(__xludf.dummyfunction("ROUND(B17/ FILTER('Pokemon CP/HP'!$M$2:$M1000, LOWER('Pokemon CP/HP'!$B$2:$B1000)=LOWER(A17)))"),"15")</f>
        <v>15</v>
      </c>
      <c r="H17" s="0" t="str">
        <f aca="false">IFERROR(__xludf.dummyfunction("FILTER('Leveling Info'!$B$2:$B1000, 'Leveling Info'!$A$2:$A1000 =G17)"),"800")</f>
        <v>800</v>
      </c>
      <c r="I17" s="14" t="n">
        <f aca="false">SQRT(G17)</f>
        <v>3.87298334620742</v>
      </c>
      <c r="J17" s="14" t="str">
        <f aca="false">IFERROR(__xludf.dummyfunction("IF(F17 = H17,C17/FILTER('Base Stats'!$C$2:$C1000, LOWER('Base Stats'!$B$2:$B1000) = LOWER($A17)), """")"),"0.8222222222")</f>
        <v>0.8222222222</v>
      </c>
      <c r="K17" s="0" t="str">
        <f aca="false">IF(F17 = H17, C17/G17, "")</f>
        <v/>
      </c>
      <c r="L17" s="0" t="str">
        <f aca="false">IFERROR(__xludf.dummyfunction("IF(AND(NOT(K17 = """"), G17 &gt;= 15),K17/FILTER('Base Stats'!$C$2:$C1000, LOWER('Base Stats'!$B$2:$B1000) = LOWER($A17)), """")"),"0.05481481481")</f>
        <v>0.05481481481</v>
      </c>
      <c r="M17" s="0" t="str">
        <f aca="false">IFERROR(__xludf.dummyfunction("1.15 + 0.02 * FILTER('Base Stats'!$C$2:$C1000, LOWER('Base Stats'!$B$2:$B1000) = LOWER($A17))"),"2.05")</f>
        <v>2.05</v>
      </c>
      <c r="N17" s="0" t="e">
        <f aca="false">IFERROR(IF(AND(NOT(K17 = ""), G17 &gt;= 15),K17/M17, ""))</f>
        <v>#VALUE!</v>
      </c>
    </row>
    <row r="18" customFormat="false" ht="15.75" hidden="false" customHeight="false" outlineLevel="0" collapsed="false">
      <c r="A18" s="8" t="s">
        <v>496</v>
      </c>
      <c r="B18" s="8" t="n">
        <v>65</v>
      </c>
      <c r="C18" s="8" t="n">
        <v>35</v>
      </c>
      <c r="D18" s="8" t="n">
        <v>4.44</v>
      </c>
      <c r="E18" s="8" t="n">
        <v>0.38</v>
      </c>
      <c r="F18" s="8" t="n">
        <v>800</v>
      </c>
      <c r="G18" s="0" t="str">
        <f aca="false">IFERROR(__xludf.dummyfunction("ROUND(B18/ FILTER('Pokemon CP/HP'!$M$2:$M1000, LOWER('Pokemon CP/HP'!$B$2:$B1000)=LOWER(A18)))"),"13")</f>
        <v>13</v>
      </c>
      <c r="H18" s="0" t="str">
        <f aca="false">IFERROR(__xludf.dummyfunction("FILTER('Leveling Info'!$B$2:$B1000, 'Leveling Info'!$A$2:$A1000 =G18)"),"800")</f>
        <v>800</v>
      </c>
      <c r="I18" s="14" t="n">
        <f aca="false">SQRT(G18)</f>
        <v>3.60555127546399</v>
      </c>
      <c r="J18" s="14" t="str">
        <f aca="false">IFERROR(__xludf.dummyfunction("IF(F18 = H18,C18/FILTER('Base Stats'!$C$2:$C1000, LOWER('Base Stats'!$B$2:$B1000) = LOWER($A18)), """")"),"0.7777777778")</f>
        <v>0.7777777778</v>
      </c>
      <c r="K18" s="0" t="str">
        <f aca="false">IF(F18 = H18, C18/G18, "")</f>
        <v/>
      </c>
      <c r="L18" s="0" t="str">
        <f aca="false">IFERROR(__xludf.dummyfunction("IF(AND(NOT(K18 = """"), G18 &gt;= 15),K18/FILTER('Base Stats'!$C$2:$C1000, LOWER('Base Stats'!$B$2:$B1000) = LOWER($A18)), """")"),"")</f>
        <v/>
      </c>
      <c r="M18" s="0" t="str">
        <f aca="false">IFERROR(__xludf.dummyfunction("1.15 + 0.02 * FILTER('Base Stats'!$C$2:$C1000, LOWER('Base Stats'!$B$2:$B1000) = LOWER($A18))"),"2.05")</f>
        <v>2.05</v>
      </c>
      <c r="N18" s="0" t="e">
        <f aca="false">IFERROR(IF(AND(NOT(K18 = ""), G18 &gt;= 15),K18/M18, ""))</f>
        <v>#VALUE!</v>
      </c>
    </row>
    <row r="19" customFormat="false" ht="15.75" hidden="false" customHeight="false" outlineLevel="0" collapsed="false">
      <c r="A19" s="8" t="s">
        <v>496</v>
      </c>
      <c r="B19" s="8" t="n">
        <v>53</v>
      </c>
      <c r="C19" s="8" t="n">
        <v>32</v>
      </c>
      <c r="D19" s="8" t="n">
        <v>2.98</v>
      </c>
      <c r="E19" s="8" t="n">
        <v>0.29</v>
      </c>
      <c r="F19" s="8" t="n">
        <v>600</v>
      </c>
      <c r="G19" s="0" t="str">
        <f aca="false">IFERROR(__xludf.dummyfunction("ROUND(B19/ FILTER('Pokemon CP/HP'!$M$2:$M1000, LOWER('Pokemon CP/HP'!$B$2:$B1000)=LOWER(A19)))"),"11")</f>
        <v>11</v>
      </c>
      <c r="H19" s="0" t="str">
        <f aca="false">IFERROR(__xludf.dummyfunction("FILTER('Leveling Info'!$B$2:$B1000, 'Leveling Info'!$A$2:$A1000 =G19)"),"600")</f>
        <v>600</v>
      </c>
      <c r="I19" s="14" t="n">
        <f aca="false">SQRT(G19)</f>
        <v>3.3166247903554</v>
      </c>
      <c r="J19" s="14" t="str">
        <f aca="false">IFERROR(__xludf.dummyfunction("IF(F19 = H19,C19/FILTER('Base Stats'!$C$2:$C1000, LOWER('Base Stats'!$B$2:$B1000) = LOWER($A19)), """")"),"0.7111111111")</f>
        <v>0.7111111111</v>
      </c>
      <c r="K19" s="0" t="str">
        <f aca="false">IF(F19 = H19, C19/G19, "")</f>
        <v/>
      </c>
      <c r="L19" s="0" t="str">
        <f aca="false">IFERROR(__xludf.dummyfunction("IF(AND(NOT(K19 = """"), G19 &gt;= 15),K19/FILTER('Base Stats'!$C$2:$C1000, LOWER('Base Stats'!$B$2:$B1000) = LOWER($A19)), """")"),"")</f>
        <v/>
      </c>
      <c r="M19" s="0" t="str">
        <f aca="false">IFERROR(__xludf.dummyfunction("1.15 + 0.02 * FILTER('Base Stats'!$C$2:$C1000, LOWER('Base Stats'!$B$2:$B1000) = LOWER($A19))"),"2.05")</f>
        <v>2.05</v>
      </c>
      <c r="N19" s="0" t="e">
        <f aca="false">IFERROR(IF(AND(NOT(K19 = ""), G19 &gt;= 15),K19/M19, ""))</f>
        <v>#VALUE!</v>
      </c>
    </row>
    <row r="20" customFormat="false" ht="15.75" hidden="false" customHeight="false" outlineLevel="0" collapsed="false">
      <c r="A20" s="8" t="s">
        <v>496</v>
      </c>
      <c r="B20" s="8" t="n">
        <v>24</v>
      </c>
      <c r="C20" s="8" t="n">
        <v>20</v>
      </c>
      <c r="D20" s="8" t="n">
        <v>2.69</v>
      </c>
      <c r="E20" s="8" t="n">
        <v>0.27</v>
      </c>
      <c r="F20" s="8" t="n">
        <v>400</v>
      </c>
      <c r="G20" s="0" t="str">
        <f aca="false">IFERROR(__xludf.dummyfunction("ROUND(B20/ FILTER('Pokemon CP/HP'!$M$2:$M1000, LOWER('Pokemon CP/HP'!$B$2:$B1000)=LOWER(A20)))"),"5")</f>
        <v>5</v>
      </c>
      <c r="H20" s="0" t="str">
        <f aca="false">IFERROR(__xludf.dummyfunction("FILTER('Leveling Info'!$B$2:$B1000, 'Leveling Info'!$A$2:$A1000 =G20)"),"400")</f>
        <v>400</v>
      </c>
      <c r="I20" s="14" t="n">
        <f aca="false">SQRT(G20)</f>
        <v>2.23606797749979</v>
      </c>
      <c r="J20" s="14" t="str">
        <f aca="false">IFERROR(__xludf.dummyfunction("IF(F20 = H20,C20/FILTER('Base Stats'!$C$2:$C1000, LOWER('Base Stats'!$B$2:$B1000) = LOWER($A20)), """")"),"0.4444444444")</f>
        <v>0.4444444444</v>
      </c>
      <c r="K20" s="0" t="str">
        <f aca="false">IF(F20 = H20, C20/G20, "")</f>
        <v/>
      </c>
      <c r="L20" s="0" t="str">
        <f aca="false">IFERROR(__xludf.dummyfunction("IF(AND(NOT(K20 = """"), G20 &gt;= 15),K20/FILTER('Base Stats'!$C$2:$C1000, LOWER('Base Stats'!$B$2:$B1000) = LOWER($A20)), """")"),"")</f>
        <v/>
      </c>
      <c r="M20" s="0" t="str">
        <f aca="false">IFERROR(__xludf.dummyfunction("1.15 + 0.02 * FILTER('Base Stats'!$C$2:$C1000, LOWER('Base Stats'!$B$2:$B1000) = LOWER($A20))"),"2.05")</f>
        <v>2.05</v>
      </c>
      <c r="N20" s="0" t="e">
        <f aca="false">IFERROR(IF(AND(NOT(K20 = ""), G20 &gt;= 15),K20/M20, ""))</f>
        <v>#VALUE!</v>
      </c>
    </row>
    <row r="21" customFormat="false" ht="15.75" hidden="false" customHeight="false" outlineLevel="0" collapsed="false">
      <c r="A21" s="8" t="s">
        <v>496</v>
      </c>
      <c r="B21" s="8" t="n">
        <v>23</v>
      </c>
      <c r="C21" s="8" t="n">
        <v>20</v>
      </c>
      <c r="D21" s="8" t="n">
        <v>2.94</v>
      </c>
      <c r="E21" s="8" t="n">
        <v>0.33</v>
      </c>
      <c r="F21" s="8" t="n">
        <v>400</v>
      </c>
      <c r="G21" s="0" t="str">
        <f aca="false">IFERROR(__xludf.dummyfunction("ROUND(B21/ FILTER('Pokemon CP/HP'!$M$2:$M1000, LOWER('Pokemon CP/HP'!$B$2:$B1000)=LOWER(A21)))"),"5")</f>
        <v>5</v>
      </c>
      <c r="H21" s="0" t="str">
        <f aca="false">IFERROR(__xludf.dummyfunction("FILTER('Leveling Info'!$B$2:$B1000, 'Leveling Info'!$A$2:$A1000 =G21)"),"400")</f>
        <v>400</v>
      </c>
      <c r="I21" s="14" t="n">
        <f aca="false">SQRT(G21)</f>
        <v>2.23606797749979</v>
      </c>
      <c r="J21" s="14" t="str">
        <f aca="false">IFERROR(__xludf.dummyfunction("IF(F21 = H21,C21/FILTER('Base Stats'!$C$2:$C1000, LOWER('Base Stats'!$B$2:$B1000) = LOWER($A21)), """")"),"0.4444444444")</f>
        <v>0.4444444444</v>
      </c>
      <c r="K21" s="0" t="str">
        <f aca="false">IF(F21 = H21, C21/G21, "")</f>
        <v/>
      </c>
      <c r="L21" s="0" t="str">
        <f aca="false">IFERROR(__xludf.dummyfunction("IF(AND(NOT(K21 = """"), G21 &gt;= 15),K21/FILTER('Base Stats'!$C$2:$C1000, LOWER('Base Stats'!$B$2:$B1000) = LOWER($A21)), """")"),"")</f>
        <v/>
      </c>
      <c r="M21" s="0" t="str">
        <f aca="false">IFERROR(__xludf.dummyfunction("1.15 + 0.02 * FILTER('Base Stats'!$C$2:$C1000, LOWER('Base Stats'!$B$2:$B1000) = LOWER($A21))"),"2.05")</f>
        <v>2.05</v>
      </c>
      <c r="N21" s="0" t="e">
        <f aca="false">IFERROR(IF(AND(NOT(K21 = ""), G21 &gt;= 15),K21/M21, ""))</f>
        <v>#VALUE!</v>
      </c>
    </row>
    <row r="22" customFormat="false" ht="15.75" hidden="false" customHeight="false" outlineLevel="0" collapsed="false">
      <c r="A22" s="8" t="s">
        <v>496</v>
      </c>
      <c r="B22" s="8" t="n">
        <v>23</v>
      </c>
      <c r="C22" s="8" t="n">
        <v>21</v>
      </c>
      <c r="D22" s="8" t="n">
        <v>3.22</v>
      </c>
      <c r="E22" s="8" t="n">
        <v>0.34</v>
      </c>
      <c r="F22" s="8" t="n">
        <v>400</v>
      </c>
      <c r="G22" s="0" t="str">
        <f aca="false">IFERROR(__xludf.dummyfunction("ROUND(B22/ FILTER('Pokemon CP/HP'!$M$2:$M1000, LOWER('Pokemon CP/HP'!$B$2:$B1000)=LOWER(A22)))"),"5")</f>
        <v>5</v>
      </c>
      <c r="H22" s="0" t="str">
        <f aca="false">IFERROR(__xludf.dummyfunction("FILTER('Leveling Info'!$B$2:$B1000, 'Leveling Info'!$A$2:$A1000 =G22)"),"400")</f>
        <v>400</v>
      </c>
      <c r="I22" s="14" t="n">
        <f aca="false">SQRT(G22)</f>
        <v>2.23606797749979</v>
      </c>
      <c r="J22" s="14" t="str">
        <f aca="false">IFERROR(__xludf.dummyfunction("IF(F22 = H22,C22/FILTER('Base Stats'!$C$2:$C1000, LOWER('Base Stats'!$B$2:$B1000) = LOWER($A22)), """")"),"0.4666666667")</f>
        <v>0.4666666667</v>
      </c>
      <c r="K22" s="0" t="str">
        <f aca="false">IF(F22 = H22, C22/G22, "")</f>
        <v/>
      </c>
      <c r="L22" s="0" t="str">
        <f aca="false">IFERROR(__xludf.dummyfunction("IF(AND(NOT(K22 = """"), G22 &gt;= 15),K22/FILTER('Base Stats'!$C$2:$C1000, LOWER('Base Stats'!$B$2:$B1000) = LOWER($A22)), """")"),"")</f>
        <v/>
      </c>
      <c r="M22" s="0" t="str">
        <f aca="false">IFERROR(__xludf.dummyfunction("1.15 + 0.02 * FILTER('Base Stats'!$C$2:$C1000, LOWER('Base Stats'!$B$2:$B1000) = LOWER($A22))"),"2.05")</f>
        <v>2.05</v>
      </c>
      <c r="N22" s="0" t="e">
        <f aca="false">IFERROR(IF(AND(NOT(K22 = ""), G22 &gt;= 15),K22/M22, ""))</f>
        <v>#VALUE!</v>
      </c>
    </row>
    <row r="23" customFormat="false" ht="15.75" hidden="false" customHeight="false" outlineLevel="0" collapsed="false">
      <c r="A23" s="8" t="s">
        <v>496</v>
      </c>
      <c r="B23" s="8" t="n">
        <v>10</v>
      </c>
      <c r="C23" s="8" t="n">
        <v>10</v>
      </c>
      <c r="D23" s="8" t="n">
        <v>3.72</v>
      </c>
      <c r="E23" s="8" t="n">
        <v>0.34</v>
      </c>
      <c r="F23" s="8" t="n">
        <v>200</v>
      </c>
      <c r="G23" s="0" t="str">
        <f aca="false">IFERROR(__xludf.dummyfunction("ROUND(B23/ FILTER('Pokemon CP/HP'!$M$2:$M1000, LOWER('Pokemon CP/HP'!$B$2:$B1000)=LOWER(A23)))"),"2")</f>
        <v>2</v>
      </c>
      <c r="H23" s="0" t="str">
        <f aca="false">IFERROR(__xludf.dummyfunction("FILTER('Leveling Info'!$B$2:$B1000, 'Leveling Info'!$A$2:$A1000 =G23)"),"200")</f>
        <v>200</v>
      </c>
      <c r="I23" s="14" t="n">
        <f aca="false">SQRT(G23)</f>
        <v>1.4142135623731</v>
      </c>
      <c r="J23" s="14" t="str">
        <f aca="false">IFERROR(__xludf.dummyfunction("IF(F23 = H23,C23/FILTER('Base Stats'!$C$2:$C1000, LOWER('Base Stats'!$B$2:$B1000) = LOWER($A23)), """")"),"0.2222222222")</f>
        <v>0.2222222222</v>
      </c>
      <c r="K23" s="0" t="str">
        <f aca="false">IF(F23 = H23, C23/G23, "")</f>
        <v/>
      </c>
      <c r="L23" s="0" t="str">
        <f aca="false">IFERROR(__xludf.dummyfunction("IF(AND(NOT(K23 = """"), G23 &gt;= 15),K23/FILTER('Base Stats'!$C$2:$C1000, LOWER('Base Stats'!$B$2:$B1000) = LOWER($A23)), """")"),"")</f>
        <v/>
      </c>
      <c r="M23" s="0" t="str">
        <f aca="false">IFERROR(__xludf.dummyfunction("1.15 + 0.02 * FILTER('Base Stats'!$C$2:$C1000, LOWER('Base Stats'!$B$2:$B1000) = LOWER($A23))"),"2.05")</f>
        <v>2.05</v>
      </c>
      <c r="N23" s="0" t="e">
        <f aca="false">IFERROR(IF(AND(NOT(K23 = ""), G23 &gt;= 15),K23/M23, ""))</f>
        <v>#VALUE!</v>
      </c>
    </row>
    <row r="24" customFormat="false" ht="15.75" hidden="false" customHeight="false" outlineLevel="0" collapsed="false">
      <c r="A24" s="8" t="s">
        <v>497</v>
      </c>
      <c r="B24" s="8" t="n">
        <v>113</v>
      </c>
      <c r="C24" s="8" t="n">
        <v>49</v>
      </c>
      <c r="D24" s="8" t="n">
        <v>4.4</v>
      </c>
      <c r="E24" s="8" t="n">
        <v>0.88</v>
      </c>
      <c r="F24" s="8" t="n">
        <v>1300</v>
      </c>
      <c r="G24" s="0" t="str">
        <f aca="false">IFERROR(__xludf.dummyfunction("ROUND(B24/ FILTER('Pokemon CP/HP'!$M$2:$M1000, LOWER('Pokemon CP/HP'!$B$2:$B1000)=LOWER(A24)))"),"21")</f>
        <v>21</v>
      </c>
      <c r="H24" s="0" t="str">
        <f aca="false">IFERROR(__xludf.dummyfunction("FILTER('Leveling Info'!$B$2:$B1000, 'Leveling Info'!$A$2:$A1000 =G24)"),"1300")</f>
        <v>1300</v>
      </c>
      <c r="I24" s="14" t="n">
        <f aca="false">SQRT(G24)</f>
        <v>4.58257569495584</v>
      </c>
      <c r="J24" s="14" t="str">
        <f aca="false">IFERROR(__xludf.dummyfunction("IF(F24 = H24,C24/FILTER('Base Stats'!$C$2:$C1000, LOWER('Base Stats'!$B$2:$B1000) = LOWER($A24)), """")"),"0.98")</f>
        <v>0.98</v>
      </c>
      <c r="K24" s="0" t="str">
        <f aca="false">IF(F24 = H24, C24/G24, "")</f>
        <v/>
      </c>
      <c r="L24" s="0" t="str">
        <f aca="false">IFERROR(__xludf.dummyfunction("IF(AND(NOT(K24 = """"), G24 &gt;= 15),K24/FILTER('Base Stats'!$C$2:$C1000, LOWER('Base Stats'!$B$2:$B1000) = LOWER($A24)), """")"),"0.04666666667")</f>
        <v>0.04666666667</v>
      </c>
      <c r="M24" s="0" t="str">
        <f aca="false">IFERROR(__xludf.dummyfunction("1.15 + 0.02 * FILTER('Base Stats'!$C$2:$C1000, LOWER('Base Stats'!$B$2:$B1000) = LOWER($A24))"),"2.15")</f>
        <v>2.15</v>
      </c>
      <c r="N24" s="0" t="e">
        <f aca="false">IFERROR(IF(AND(NOT(K24 = ""), G24 &gt;= 15),K24/M24, ""))</f>
        <v>#VALUE!</v>
      </c>
    </row>
    <row r="25" customFormat="false" ht="15.75" hidden="false" customHeight="false" outlineLevel="0" collapsed="false">
      <c r="A25" s="8" t="s">
        <v>497</v>
      </c>
      <c r="B25" s="8" t="n">
        <v>99</v>
      </c>
      <c r="C25" s="8" t="n">
        <v>42</v>
      </c>
      <c r="D25" s="8" t="n">
        <v>1.72</v>
      </c>
      <c r="E25" s="8" t="n">
        <v>0.84</v>
      </c>
      <c r="F25" s="8" t="n">
        <v>1000</v>
      </c>
      <c r="G25" s="0" t="str">
        <f aca="false">IFERROR(__xludf.dummyfunction("ROUND(B25/ FILTER('Pokemon CP/HP'!$M$2:$M1000, LOWER('Pokemon CP/HP'!$B$2:$B1000)=LOWER(A25)))"),"18")</f>
        <v>18</v>
      </c>
      <c r="H25" s="0" t="str">
        <f aca="false">IFERROR(__xludf.dummyfunction("FILTER('Leveling Info'!$B$2:$B1000, 'Leveling Info'!$A$2:$A1000 =G25)"),"1000")</f>
        <v>1000</v>
      </c>
      <c r="I25" s="14" t="n">
        <f aca="false">SQRT(G25)</f>
        <v>4.24264068711929</v>
      </c>
      <c r="J25" s="14" t="str">
        <f aca="false">IFERROR(__xludf.dummyfunction("IF(F25 = H25,C25/FILTER('Base Stats'!$C$2:$C1000, LOWER('Base Stats'!$B$2:$B1000) = LOWER($A25)), """")"),"0.84")</f>
        <v>0.84</v>
      </c>
      <c r="K25" s="0" t="str">
        <f aca="false">IF(F25 = H25, C25/G25, "")</f>
        <v/>
      </c>
      <c r="L25" s="0" t="str">
        <f aca="false">IFERROR(__xludf.dummyfunction("IF(AND(NOT(K25 = """"), G25 &gt;= 15),K25/FILTER('Base Stats'!$C$2:$C1000, LOWER('Base Stats'!$B$2:$B1000) = LOWER($A25)), """")"),"0.04666666667")</f>
        <v>0.04666666667</v>
      </c>
      <c r="M25" s="0" t="str">
        <f aca="false">IFERROR(__xludf.dummyfunction("1.15 + 0.02 * FILTER('Base Stats'!$C$2:$C1000, LOWER('Base Stats'!$B$2:$B1000) = LOWER($A25))"),"2.15")</f>
        <v>2.15</v>
      </c>
      <c r="N25" s="0" t="e">
        <f aca="false">IFERROR(IF(AND(NOT(K25 = ""), G25 &gt;= 15),K25/M25, ""))</f>
        <v>#VALUE!</v>
      </c>
    </row>
    <row r="26" customFormat="false" ht="15.75" hidden="false" customHeight="false" outlineLevel="0" collapsed="false">
      <c r="A26" s="8" t="s">
        <v>497</v>
      </c>
      <c r="B26" s="8" t="n">
        <v>106</v>
      </c>
      <c r="C26" s="8" t="n">
        <v>48</v>
      </c>
      <c r="D26" s="8" t="n">
        <v>1.9</v>
      </c>
      <c r="E26" s="8" t="n">
        <v>0.69</v>
      </c>
      <c r="F26" s="8" t="n">
        <v>1000</v>
      </c>
      <c r="G26" s="0" t="str">
        <f aca="false">IFERROR(__xludf.dummyfunction("ROUND(B26/ FILTER('Pokemon CP/HP'!$M$2:$M1000, LOWER('Pokemon CP/HP'!$B$2:$B1000)=LOWER(A26)))"),"19")</f>
        <v>19</v>
      </c>
      <c r="H26" s="0" t="str">
        <f aca="false">IFERROR(__xludf.dummyfunction("FILTER('Leveling Info'!$B$2:$B1000, 'Leveling Info'!$A$2:$A1000 =G26)"),"1000")</f>
        <v>1000</v>
      </c>
      <c r="I26" s="14" t="n">
        <f aca="false">SQRT(G26)</f>
        <v>4.35889894354067</v>
      </c>
      <c r="J26" s="14" t="str">
        <f aca="false">IFERROR(__xludf.dummyfunction("IF(F26 = H26,C26/FILTER('Base Stats'!$C$2:$C1000, LOWER('Base Stats'!$B$2:$B1000) = LOWER($A26)), """")"),"0.96")</f>
        <v>0.96</v>
      </c>
      <c r="K26" s="0" t="str">
        <f aca="false">IF(F26 = H26, C26/G26, "")</f>
        <v/>
      </c>
      <c r="L26" s="0" t="str">
        <f aca="false">IFERROR(__xludf.dummyfunction("IF(AND(NOT(K26 = """"), G26 &gt;= 15),K26/FILTER('Base Stats'!$C$2:$C1000, LOWER('Base Stats'!$B$2:$B1000) = LOWER($A26)), """")"),"0.05052631579")</f>
        <v>0.05052631579</v>
      </c>
      <c r="M26" s="0" t="str">
        <f aca="false">IFERROR(__xludf.dummyfunction("1.15 + 0.02 * FILTER('Base Stats'!$C$2:$C1000, LOWER('Base Stats'!$B$2:$B1000) = LOWER($A26))"),"2.15")</f>
        <v>2.15</v>
      </c>
      <c r="N26" s="0" t="e">
        <f aca="false">IFERROR(IF(AND(NOT(K26 = ""), G26 &gt;= 15),K26/M26, ""))</f>
        <v>#VALUE!</v>
      </c>
    </row>
    <row r="27" customFormat="false" ht="15.75" hidden="false" customHeight="false" outlineLevel="0" collapsed="false">
      <c r="A27" s="8" t="s">
        <v>498</v>
      </c>
      <c r="B27" s="8" t="n">
        <v>110</v>
      </c>
      <c r="C27" s="8" t="n">
        <v>30</v>
      </c>
      <c r="D27" s="8" t="n">
        <v>30.49</v>
      </c>
      <c r="E27" s="8" t="n">
        <v>0.97</v>
      </c>
      <c r="F27" s="8" t="n">
        <v>400</v>
      </c>
      <c r="G27" s="0" t="str">
        <f aca="false">IFERROR(__xludf.dummyfunction("ROUND(B27/ FILTER('Pokemon CP/HP'!$M$2:$M1000, LOWER('Pokemon CP/HP'!$B$2:$B1000)=LOWER(A27)))"),"6")</f>
        <v>6</v>
      </c>
      <c r="H27" s="0" t="str">
        <f aca="false">IFERROR(__xludf.dummyfunction("FILTER('Leveling Info'!$B$2:$B1000, 'Leveling Info'!$A$2:$A1000 =G27)"),"400")</f>
        <v>400</v>
      </c>
      <c r="I27" s="14" t="n">
        <f aca="false">SQRT(G27)</f>
        <v>2.44948974278318</v>
      </c>
      <c r="J27" s="14" t="str">
        <f aca="false">IFERROR(__xludf.dummyfunction("IF(F27 = H27,C27/FILTER('Base Stats'!$C$2:$C1000, LOWER('Base Stats'!$B$2:$B1000) = LOWER($A27)), """")"),"0.5")</f>
        <v>0.5</v>
      </c>
      <c r="K27" s="0" t="str">
        <f aca="false">IF(F27 = H27, C27/G27, "")</f>
        <v/>
      </c>
      <c r="L27" s="0" t="str">
        <f aca="false">IFERROR(__xludf.dummyfunction("IF(AND(NOT(K27 = """"), G27 &gt;= 15),K27/FILTER('Base Stats'!$C$2:$C1000, LOWER('Base Stats'!$B$2:$B1000) = LOWER($A27)), """")"),"")</f>
        <v/>
      </c>
      <c r="M27" s="0" t="str">
        <f aca="false">IFERROR(__xludf.dummyfunction("1.15 + 0.02 * FILTER('Base Stats'!$C$2:$C1000, LOWER('Base Stats'!$B$2:$B1000) = LOWER($A27))"),"2.35")</f>
        <v>2.35</v>
      </c>
      <c r="N27" s="0" t="e">
        <f aca="false">IFERROR(IF(AND(NOT(K27 = ""), G27 &gt;= 15),K27/M27, ""))</f>
        <v>#VALUE!</v>
      </c>
    </row>
    <row r="28" customFormat="false" ht="15.75" hidden="false" customHeight="false" outlineLevel="0" collapsed="false">
      <c r="A28" s="8" t="s">
        <v>499</v>
      </c>
      <c r="B28" s="8" t="n">
        <v>174</v>
      </c>
      <c r="C28" s="8" t="n">
        <v>51</v>
      </c>
      <c r="D28" s="8" t="n">
        <v>2.44</v>
      </c>
      <c r="E28" s="8" t="n">
        <v>0.3</v>
      </c>
      <c r="F28" s="8" t="n">
        <v>2200</v>
      </c>
      <c r="G28" s="0" t="str">
        <f aca="false">IFERROR(__xludf.dummyfunction("ROUND(B28/ FILTER('Pokemon CP/HP'!$M$2:$M1000, LOWER('Pokemon CP/HP'!$B$2:$B1000)=LOWER(A28)))"),"33")</f>
        <v>33</v>
      </c>
      <c r="H28" s="0" t="str">
        <f aca="false">IFERROR(__xludf.dummyfunction("FILTER('Leveling Info'!$B$2:$B1000, 'Leveling Info'!$A$2:$A1000 =G28)"),"2200")</f>
        <v>2200</v>
      </c>
      <c r="I28" s="14" t="n">
        <f aca="false">SQRT(G28)</f>
        <v>5.74456264653803</v>
      </c>
      <c r="J28" s="14" t="str">
        <f aca="false">IFERROR(__xludf.dummyfunction("IF(F28 = H28,C28/FILTER('Base Stats'!$C$2:$C1000, LOWER('Base Stats'!$B$2:$B1000) = LOWER($A28)), """")"),"1.275")</f>
        <v>1.275</v>
      </c>
      <c r="K28" s="0" t="str">
        <f aca="false">IF(F28 = H28, C28/G28, "")</f>
        <v/>
      </c>
      <c r="L28" s="0" t="str">
        <f aca="false">IFERROR(__xludf.dummyfunction("IF(AND(NOT(K28 = """"), G28 &gt;= 15),K28/FILTER('Base Stats'!$C$2:$C1000, LOWER('Base Stats'!$B$2:$B1000) = LOWER($A28)), """")"),"0.03863636364")</f>
        <v>0.03863636364</v>
      </c>
      <c r="M28" s="0" t="str">
        <f aca="false">IFERROR(__xludf.dummyfunction("1.15 + 0.02 * FILTER('Base Stats'!$C$2:$C1000, LOWER('Base Stats'!$B$2:$B1000) = LOWER($A28))"),"1.95")</f>
        <v>1.95</v>
      </c>
      <c r="N28" s="0" t="e">
        <f aca="false">IFERROR(IF(AND(NOT(K28 = ""), G28 &gt;= 15),K28/M28, ""))</f>
        <v>#VALUE!</v>
      </c>
    </row>
    <row r="29" customFormat="false" ht="15.75" hidden="false" customHeight="false" outlineLevel="0" collapsed="false">
      <c r="A29" s="8" t="s">
        <v>499</v>
      </c>
      <c r="B29" s="8" t="n">
        <v>172</v>
      </c>
      <c r="C29" s="8" t="n">
        <v>50</v>
      </c>
      <c r="D29" s="8" t="n">
        <v>2.78</v>
      </c>
      <c r="E29" s="8" t="n">
        <v>0.31</v>
      </c>
      <c r="F29" s="8" t="n">
        <v>1900</v>
      </c>
      <c r="G29" s="0" t="str">
        <f aca="false">IFERROR(__xludf.dummyfunction("ROUND(B29/ FILTER('Pokemon CP/HP'!$M$2:$M1000, LOWER('Pokemon CP/HP'!$B$2:$B1000)=LOWER(A29)))"),"32")</f>
        <v>32</v>
      </c>
      <c r="H29" s="0" t="str">
        <f aca="false">IFERROR(__xludf.dummyfunction("FILTER('Leveling Info'!$B$2:$B1000, 'Leveling Info'!$A$2:$A1000 =G29)"),"1900")</f>
        <v>1900</v>
      </c>
      <c r="I29" s="14" t="n">
        <f aca="false">SQRT(G29)</f>
        <v>5.65685424949238</v>
      </c>
      <c r="J29" s="14" t="str">
        <f aca="false">IFERROR(__xludf.dummyfunction("IF(F29 = H29,C29/FILTER('Base Stats'!$C$2:$C1000, LOWER('Base Stats'!$B$2:$B1000) = LOWER($A29)), """")"),"1.25")</f>
        <v>1.25</v>
      </c>
      <c r="K29" s="0" t="str">
        <f aca="false">IF(F29 = H29, C29/G29, "")</f>
        <v/>
      </c>
      <c r="L29" s="0" t="str">
        <f aca="false">IFERROR(__xludf.dummyfunction("IF(AND(NOT(K29 = """"), G29 &gt;= 15),K29/FILTER('Base Stats'!$C$2:$C1000, LOWER('Base Stats'!$B$2:$B1000) = LOWER($A29)), """")"),"0.0390625")</f>
        <v>0.0390625</v>
      </c>
      <c r="M29" s="0" t="str">
        <f aca="false">IFERROR(__xludf.dummyfunction("1.15 + 0.02 * FILTER('Base Stats'!$C$2:$C1000, LOWER('Base Stats'!$B$2:$B1000) = LOWER($A29))"),"1.95")</f>
        <v>1.95</v>
      </c>
      <c r="N29" s="0" t="e">
        <f aca="false">IFERROR(IF(AND(NOT(K29 = ""), G29 &gt;= 15),K29/M29, ""))</f>
        <v>#VALUE!</v>
      </c>
    </row>
    <row r="30" customFormat="false" ht="15.75" hidden="false" customHeight="false" outlineLevel="0" collapsed="false">
      <c r="A30" s="8" t="s">
        <v>499</v>
      </c>
      <c r="B30" s="8" t="n">
        <v>169</v>
      </c>
      <c r="C30" s="8" t="n">
        <v>46</v>
      </c>
      <c r="D30" s="8" t="n">
        <v>2.89</v>
      </c>
      <c r="E30" s="8" t="n">
        <v>0.28</v>
      </c>
      <c r="F30" s="8" t="n">
        <v>2200</v>
      </c>
      <c r="G30" s="0" t="str">
        <f aca="false">IFERROR(__xludf.dummyfunction("ROUND(B30/ FILTER('Pokemon CP/HP'!$M$2:$M1000, LOWER('Pokemon CP/HP'!$B$2:$B1000)=LOWER(A30)))"),"32")</f>
        <v>32</v>
      </c>
      <c r="H30" s="0" t="str">
        <f aca="false">IFERROR(__xludf.dummyfunction("FILTER('Leveling Info'!$B$2:$B1000, 'Leveling Info'!$A$2:$A1000 =G30)"),"1900")</f>
        <v>1900</v>
      </c>
      <c r="I30" s="14" t="n">
        <f aca="false">SQRT(G30)</f>
        <v>5.65685424949238</v>
      </c>
      <c r="J30" s="14" t="str">
        <f aca="false">IFERROR(__xludf.dummyfunction("IF(F30 = H30,C30/FILTER('Base Stats'!$C$2:$C1000, LOWER('Base Stats'!$B$2:$B1000) = LOWER($A30)), """")"),"")</f>
        <v/>
      </c>
      <c r="K30" s="0" t="str">
        <f aca="false">IF(F30 = H30, C30/G30, "")</f>
        <v/>
      </c>
      <c r="L30" s="0" t="str">
        <f aca="false">IFERROR(__xludf.dummyfunction("IF(AND(NOT(K30 = """"), G30 &gt;= 15),K30/FILTER('Base Stats'!$C$2:$C1000, LOWER('Base Stats'!$B$2:$B1000) = LOWER($A30)), """")"),"")</f>
        <v/>
      </c>
      <c r="M30" s="0" t="str">
        <f aca="false">IFERROR(__xludf.dummyfunction("1.15 + 0.02 * FILTER('Base Stats'!$C$2:$C1000, LOWER('Base Stats'!$B$2:$B1000) = LOWER($A30))"),"1.95")</f>
        <v>1.95</v>
      </c>
      <c r="N30" s="0" t="e">
        <f aca="false">IFERROR(IF(AND(NOT(K30 = ""), G30 &gt;= 15),K30/M30, ""))</f>
        <v>#VALUE!</v>
      </c>
    </row>
    <row r="31" customFormat="false" ht="15.75" hidden="false" customHeight="false" outlineLevel="0" collapsed="false">
      <c r="A31" s="8" t="s">
        <v>499</v>
      </c>
      <c r="B31" s="8" t="n">
        <v>145</v>
      </c>
      <c r="C31" s="8" t="n">
        <v>46</v>
      </c>
      <c r="D31" s="8" t="n">
        <v>3.74</v>
      </c>
      <c r="E31" s="8" t="n">
        <v>0.31</v>
      </c>
      <c r="F31" s="8" t="n">
        <v>1900</v>
      </c>
      <c r="G31" s="0" t="str">
        <f aca="false">IFERROR(__xludf.dummyfunction("ROUND(B31/ FILTER('Pokemon CP/HP'!$M$2:$M1000, LOWER('Pokemon CP/HP'!$B$2:$B1000)=LOWER(A31)))"),"27")</f>
        <v>27</v>
      </c>
      <c r="H31" s="0" t="str">
        <f aca="false">IFERROR(__xludf.dummyfunction("FILTER('Leveling Info'!$B$2:$B1000, 'Leveling Info'!$A$2:$A1000 =G31)"),"1600")</f>
        <v>1600</v>
      </c>
      <c r="I31" s="14" t="n">
        <f aca="false">SQRT(G31)</f>
        <v>5.19615242270663</v>
      </c>
      <c r="J31" s="14" t="str">
        <f aca="false">IFERROR(__xludf.dummyfunction("IF(F31 = H31,C31/FILTER('Base Stats'!$C$2:$C1000, LOWER('Base Stats'!$B$2:$B1000) = LOWER($A31)), """")"),"")</f>
        <v/>
      </c>
      <c r="K31" s="0" t="str">
        <f aca="false">IF(F31 = H31, C31/G31, "")</f>
        <v/>
      </c>
      <c r="L31" s="0" t="str">
        <f aca="false">IFERROR(__xludf.dummyfunction("IF(AND(NOT(K31 = """"), G31 &gt;= 15),K31/FILTER('Base Stats'!$C$2:$C1000, LOWER('Base Stats'!$B$2:$B1000) = LOWER($A31)), """")"),"")</f>
        <v/>
      </c>
      <c r="M31" s="0" t="str">
        <f aca="false">IFERROR(__xludf.dummyfunction("1.15 + 0.02 * FILTER('Base Stats'!$C$2:$C1000, LOWER('Base Stats'!$B$2:$B1000) = LOWER($A31))"),"1.95")</f>
        <v>1.95</v>
      </c>
      <c r="N31" s="0" t="e">
        <f aca="false">IFERROR(IF(AND(NOT(K31 = ""), G31 &gt;= 15),K31/M31, ""))</f>
        <v>#VALUE!</v>
      </c>
    </row>
    <row r="32" customFormat="false" ht="15.75" hidden="false" customHeight="false" outlineLevel="0" collapsed="false">
      <c r="A32" s="8" t="s">
        <v>499</v>
      </c>
      <c r="B32" s="8" t="n">
        <v>128</v>
      </c>
      <c r="C32" s="8" t="n">
        <v>39</v>
      </c>
      <c r="D32" s="8" t="n">
        <v>1.93</v>
      </c>
      <c r="E32" s="8" t="n">
        <v>0.23</v>
      </c>
      <c r="F32" s="8" t="n">
        <v>1600</v>
      </c>
      <c r="G32" s="0" t="str">
        <f aca="false">IFERROR(__xludf.dummyfunction("ROUND(B32/ FILTER('Pokemon CP/HP'!$M$2:$M1000, LOWER('Pokemon CP/HP'!$B$2:$B1000)=LOWER(A32)))"),"24")</f>
        <v>24</v>
      </c>
      <c r="H32" s="0" t="str">
        <f aca="false">IFERROR(__xludf.dummyfunction("FILTER('Leveling Info'!$B$2:$B1000, 'Leveling Info'!$A$2:$A1000 =G32)"),"1300")</f>
        <v>1300</v>
      </c>
      <c r="I32" s="14" t="n">
        <f aca="false">SQRT(G32)</f>
        <v>4.89897948556636</v>
      </c>
      <c r="J32" s="14" t="str">
        <f aca="false">IFERROR(__xludf.dummyfunction("IF(F32 = H32,C32/FILTER('Base Stats'!$C$2:$C1000, LOWER('Base Stats'!$B$2:$B1000) = LOWER($A32)), """")"),"")</f>
        <v/>
      </c>
      <c r="K32" s="0" t="str">
        <f aca="false">IF(F32 = H32, C32/G32, "")</f>
        <v/>
      </c>
      <c r="L32" s="0" t="str">
        <f aca="false">IFERROR(__xludf.dummyfunction("IF(AND(NOT(K32 = """"), G32 &gt;= 15),K32/FILTER('Base Stats'!$C$2:$C1000, LOWER('Base Stats'!$B$2:$B1000) = LOWER($A32)), """")"),"")</f>
        <v/>
      </c>
      <c r="M32" s="0" t="str">
        <f aca="false">IFERROR(__xludf.dummyfunction("1.15 + 0.02 * FILTER('Base Stats'!$C$2:$C1000, LOWER('Base Stats'!$B$2:$B1000) = LOWER($A32))"),"1.95")</f>
        <v>1.95</v>
      </c>
      <c r="N32" s="0" t="e">
        <f aca="false">IFERROR(IF(AND(NOT(K32 = ""), G32 &gt;= 15),K32/M32, ""))</f>
        <v>#VALUE!</v>
      </c>
    </row>
    <row r="33" customFormat="false" ht="15.75" hidden="false" customHeight="false" outlineLevel="0" collapsed="false">
      <c r="A33" s="8" t="s">
        <v>499</v>
      </c>
      <c r="B33" s="8" t="n">
        <v>117</v>
      </c>
      <c r="C33" s="8" t="n">
        <v>38</v>
      </c>
      <c r="D33" s="8" t="n">
        <v>3.49</v>
      </c>
      <c r="E33" s="8" t="n">
        <v>0.31</v>
      </c>
      <c r="F33" s="8" t="n">
        <v>1600</v>
      </c>
      <c r="G33" s="0" t="str">
        <f aca="false">IFERROR(__xludf.dummyfunction("ROUND(B33/ FILTER('Pokemon CP/HP'!$M$2:$M1000, LOWER('Pokemon CP/HP'!$B$2:$B1000)=LOWER(A33)))"),"22")</f>
        <v>22</v>
      </c>
      <c r="H33" s="0" t="str">
        <f aca="false">IFERROR(__xludf.dummyfunction("FILTER('Leveling Info'!$B$2:$B1000, 'Leveling Info'!$A$2:$A1000 =G33)"),"1300")</f>
        <v>1300</v>
      </c>
      <c r="I33" s="14" t="n">
        <f aca="false">SQRT(G33)</f>
        <v>4.69041575982343</v>
      </c>
      <c r="J33" s="14" t="str">
        <f aca="false">IFERROR(__xludf.dummyfunction("IF(F33 = H33,C33/FILTER('Base Stats'!$C$2:$C1000, LOWER('Base Stats'!$B$2:$B1000) = LOWER($A33)), """")"),"")</f>
        <v/>
      </c>
      <c r="K33" s="0" t="str">
        <f aca="false">IF(F33 = H33, C33/G33, "")</f>
        <v/>
      </c>
      <c r="L33" s="0" t="str">
        <f aca="false">IFERROR(__xludf.dummyfunction("IF(AND(NOT(K33 = """"), G33 &gt;= 15),K33/FILTER('Base Stats'!$C$2:$C1000, LOWER('Base Stats'!$B$2:$B1000) = LOWER($A33)), """")"),"")</f>
        <v/>
      </c>
      <c r="M33" s="0" t="str">
        <f aca="false">IFERROR(__xludf.dummyfunction("1.15 + 0.02 * FILTER('Base Stats'!$C$2:$C1000, LOWER('Base Stats'!$B$2:$B1000) = LOWER($A33))"),"1.95")</f>
        <v>1.95</v>
      </c>
      <c r="N33" s="0" t="e">
        <f aca="false">IFERROR(IF(AND(NOT(K33 = ""), G33 &gt;= 15),K33/M33, ""))</f>
        <v>#VALUE!</v>
      </c>
    </row>
    <row r="34" customFormat="false" ht="15.75" hidden="false" customHeight="false" outlineLevel="0" collapsed="false">
      <c r="A34" s="8" t="s">
        <v>499</v>
      </c>
      <c r="B34" s="8" t="n">
        <v>116</v>
      </c>
      <c r="C34" s="8" t="n">
        <v>41</v>
      </c>
      <c r="D34" s="8" t="n">
        <v>2.12</v>
      </c>
      <c r="E34" s="8" t="n">
        <v>0.24</v>
      </c>
      <c r="F34" s="8" t="n">
        <v>1300</v>
      </c>
      <c r="G34" s="0" t="str">
        <f aca="false">IFERROR(__xludf.dummyfunction("ROUND(B34/ FILTER('Pokemon CP/HP'!$M$2:$M1000, LOWER('Pokemon CP/HP'!$B$2:$B1000)=LOWER(A34)))"),"22")</f>
        <v>22</v>
      </c>
      <c r="H34" s="0" t="str">
        <f aca="false">IFERROR(__xludf.dummyfunction("FILTER('Leveling Info'!$B$2:$B1000, 'Leveling Info'!$A$2:$A1000 =G34)"),"1300")</f>
        <v>1300</v>
      </c>
      <c r="I34" s="14" t="n">
        <f aca="false">SQRT(G34)</f>
        <v>4.69041575982343</v>
      </c>
      <c r="J34" s="14" t="str">
        <f aca="false">IFERROR(__xludf.dummyfunction("IF(F34 = H34,C34/FILTER('Base Stats'!$C$2:$C1000, LOWER('Base Stats'!$B$2:$B1000) = LOWER($A34)), """")"),"1.025")</f>
        <v>1.025</v>
      </c>
      <c r="K34" s="0" t="str">
        <f aca="false">IF(F34 = H34, C34/G34, "")</f>
        <v/>
      </c>
      <c r="L34" s="0" t="str">
        <f aca="false">IFERROR(__xludf.dummyfunction("IF(AND(NOT(K34 = """"), G34 &gt;= 15),K34/FILTER('Base Stats'!$C$2:$C1000, LOWER('Base Stats'!$B$2:$B1000) = LOWER($A34)), """")"),"0.04659090909")</f>
        <v>0.04659090909</v>
      </c>
      <c r="M34" s="0" t="str">
        <f aca="false">IFERROR(__xludf.dummyfunction("1.15 + 0.02 * FILTER('Base Stats'!$C$2:$C1000, LOWER('Base Stats'!$B$2:$B1000) = LOWER($A34))"),"1.95")</f>
        <v>1.95</v>
      </c>
      <c r="N34" s="0" t="e">
        <f aca="false">IFERROR(IF(AND(NOT(K34 = ""), G34 &gt;= 15),K34/M34, ""))</f>
        <v>#VALUE!</v>
      </c>
    </row>
    <row r="35" customFormat="false" ht="15.75" hidden="false" customHeight="false" outlineLevel="0" collapsed="false">
      <c r="A35" s="8" t="s">
        <v>499</v>
      </c>
      <c r="B35" s="8" t="n">
        <v>97</v>
      </c>
      <c r="C35" s="8" t="n">
        <v>38</v>
      </c>
      <c r="D35" s="8" t="n">
        <v>2.99</v>
      </c>
      <c r="E35" s="8" t="n">
        <v>0.27</v>
      </c>
      <c r="F35" s="8" t="n">
        <v>1000</v>
      </c>
      <c r="G35" s="0" t="str">
        <f aca="false">IFERROR(__xludf.dummyfunction("ROUND(B35/ FILTER('Pokemon CP/HP'!$M$2:$M1000, LOWER('Pokemon CP/HP'!$B$2:$B1000)=LOWER(A35)))"),"18")</f>
        <v>18</v>
      </c>
      <c r="H35" s="0" t="str">
        <f aca="false">IFERROR(__xludf.dummyfunction("FILTER('Leveling Info'!$B$2:$B1000, 'Leveling Info'!$A$2:$A1000 =G35)"),"1000")</f>
        <v>1000</v>
      </c>
      <c r="I35" s="14" t="n">
        <f aca="false">SQRT(G35)</f>
        <v>4.24264068711929</v>
      </c>
      <c r="J35" s="14" t="str">
        <f aca="false">IFERROR(__xludf.dummyfunction("IF(F35 = H35,C35/FILTER('Base Stats'!$C$2:$C1000, LOWER('Base Stats'!$B$2:$B1000) = LOWER($A35)), """")"),"0.95")</f>
        <v>0.95</v>
      </c>
      <c r="K35" s="0" t="str">
        <f aca="false">IF(F35 = H35, C35/G35, "")</f>
        <v/>
      </c>
      <c r="L35" s="0" t="str">
        <f aca="false">IFERROR(__xludf.dummyfunction("IF(AND(NOT(K35 = """"), G35 &gt;= 15),K35/FILTER('Base Stats'!$C$2:$C1000, LOWER('Base Stats'!$B$2:$B1000) = LOWER($A35)), """")"),"0.05277777778")</f>
        <v>0.05277777778</v>
      </c>
      <c r="M35" s="0" t="str">
        <f aca="false">IFERROR(__xludf.dummyfunction("1.15 + 0.02 * FILTER('Base Stats'!$C$2:$C1000, LOWER('Base Stats'!$B$2:$B1000) = LOWER($A35))"),"1.95")</f>
        <v>1.95</v>
      </c>
      <c r="N35" s="0" t="e">
        <f aca="false">IFERROR(IF(AND(NOT(K35 = ""), G35 &gt;= 15),K35/M35, ""))</f>
        <v>#VALUE!</v>
      </c>
    </row>
    <row r="36" customFormat="false" ht="15.75" hidden="false" customHeight="false" outlineLevel="0" collapsed="false">
      <c r="A36" s="8" t="s">
        <v>499</v>
      </c>
      <c r="B36" s="8" t="n">
        <v>93</v>
      </c>
      <c r="C36" s="8" t="n">
        <v>37</v>
      </c>
      <c r="D36" s="8" t="n">
        <v>2.73</v>
      </c>
      <c r="E36" s="8" t="n">
        <v>0.27</v>
      </c>
      <c r="F36" s="8" t="n">
        <v>1000</v>
      </c>
      <c r="G36" s="0" t="str">
        <f aca="false">IFERROR(__xludf.dummyfunction("ROUND(B36/ FILTER('Pokemon CP/HP'!$M$2:$M1000, LOWER('Pokemon CP/HP'!$B$2:$B1000)=LOWER(A36)))"),"18")</f>
        <v>18</v>
      </c>
      <c r="H36" s="0" t="str">
        <f aca="false">IFERROR(__xludf.dummyfunction("FILTER('Leveling Info'!$B$2:$B1000, 'Leveling Info'!$A$2:$A1000 =G36)"),"1000")</f>
        <v>1000</v>
      </c>
      <c r="I36" s="14" t="n">
        <f aca="false">SQRT(G36)</f>
        <v>4.24264068711929</v>
      </c>
      <c r="J36" s="14" t="str">
        <f aca="false">IFERROR(__xludf.dummyfunction("IF(F36 = H36,C36/FILTER('Base Stats'!$C$2:$C1000, LOWER('Base Stats'!$B$2:$B1000) = LOWER($A36)), """")"),"0.925")</f>
        <v>0.925</v>
      </c>
      <c r="K36" s="0" t="str">
        <f aca="false">IF(F36 = H36, C36/G36, "")</f>
        <v/>
      </c>
      <c r="L36" s="0" t="str">
        <f aca="false">IFERROR(__xludf.dummyfunction("IF(AND(NOT(K36 = """"), G36 &gt;= 15),K36/FILTER('Base Stats'!$C$2:$C1000, LOWER('Base Stats'!$B$2:$B1000) = LOWER($A36)), """")"),"0.05138888889")</f>
        <v>0.05138888889</v>
      </c>
      <c r="M36" s="0" t="str">
        <f aca="false">IFERROR(__xludf.dummyfunction("1.15 + 0.02 * FILTER('Base Stats'!$C$2:$C1000, LOWER('Base Stats'!$B$2:$B1000) = LOWER($A36))"),"1.95")</f>
        <v>1.95</v>
      </c>
      <c r="N36" s="0" t="e">
        <f aca="false">IFERROR(IF(AND(NOT(K36 = ""), G36 &gt;= 15),K36/M36, ""))</f>
        <v>#VALUE!</v>
      </c>
    </row>
    <row r="37" customFormat="false" ht="15.75" hidden="false" customHeight="false" outlineLevel="0" collapsed="false">
      <c r="A37" s="8" t="s">
        <v>499</v>
      </c>
      <c r="B37" s="8" t="n">
        <v>93</v>
      </c>
      <c r="C37" s="8" t="n">
        <v>34</v>
      </c>
      <c r="D37" s="8" t="n">
        <v>5</v>
      </c>
      <c r="E37" s="8" t="n">
        <v>0.37</v>
      </c>
      <c r="F37" s="8" t="n">
        <v>1000</v>
      </c>
      <c r="G37" s="0" t="str">
        <f aca="false">IFERROR(__xludf.dummyfunction("ROUND(B37/ FILTER('Pokemon CP/HP'!$M$2:$M1000, LOWER('Pokemon CP/HP'!$B$2:$B1000)=LOWER(A37)))"),"18")</f>
        <v>18</v>
      </c>
      <c r="H37" s="0" t="str">
        <f aca="false">IFERROR(__xludf.dummyfunction("FILTER('Leveling Info'!$B$2:$B1000, 'Leveling Info'!$A$2:$A1000 =G37)"),"1000")</f>
        <v>1000</v>
      </c>
      <c r="I37" s="14" t="n">
        <f aca="false">SQRT(G37)</f>
        <v>4.24264068711929</v>
      </c>
      <c r="J37" s="14" t="str">
        <f aca="false">IFERROR(__xludf.dummyfunction("IF(F37 = H37,C37/FILTER('Base Stats'!$C$2:$C1000, LOWER('Base Stats'!$B$2:$B1000) = LOWER($A37)), """")"),"0.85")</f>
        <v>0.85</v>
      </c>
      <c r="K37" s="0" t="str">
        <f aca="false">IF(F37 = H37, C37/G37, "")</f>
        <v/>
      </c>
      <c r="L37" s="0" t="str">
        <f aca="false">IFERROR(__xludf.dummyfunction("IF(AND(NOT(K37 = """"), G37 &gt;= 15),K37/FILTER('Base Stats'!$C$2:$C1000, LOWER('Base Stats'!$B$2:$B1000) = LOWER($A37)), """")"),"0.04722222222")</f>
        <v>0.04722222222</v>
      </c>
      <c r="M37" s="0" t="str">
        <f aca="false">IFERROR(__xludf.dummyfunction("1.15 + 0.02 * FILTER('Base Stats'!$C$2:$C1000, LOWER('Base Stats'!$B$2:$B1000) = LOWER($A37))"),"1.95")</f>
        <v>1.95</v>
      </c>
      <c r="N37" s="0" t="e">
        <f aca="false">IFERROR(IF(AND(NOT(K37 = ""), G37 &gt;= 15),K37/M37, ""))</f>
        <v>#VALUE!</v>
      </c>
    </row>
    <row r="38" customFormat="false" ht="15.75" hidden="false" customHeight="false" outlineLevel="0" collapsed="false">
      <c r="A38" s="8" t="s">
        <v>499</v>
      </c>
      <c r="B38" s="8" t="n">
        <v>89</v>
      </c>
      <c r="C38" s="8" t="n">
        <v>36</v>
      </c>
      <c r="D38" s="8" t="n">
        <v>4.21</v>
      </c>
      <c r="E38" s="8" t="n">
        <v>0.34</v>
      </c>
      <c r="F38" s="8" t="n">
        <v>1000</v>
      </c>
      <c r="G38" s="0" t="str">
        <f aca="false">IFERROR(__xludf.dummyfunction("ROUND(B38/ FILTER('Pokemon CP/HP'!$M$2:$M1000, LOWER('Pokemon CP/HP'!$B$2:$B1000)=LOWER(A38)))"),"17")</f>
        <v>17</v>
      </c>
      <c r="H38" s="0" t="str">
        <f aca="false">IFERROR(__xludf.dummyfunction("FILTER('Leveling Info'!$B$2:$B1000, 'Leveling Info'!$A$2:$A1000 =G38)"),"1000")</f>
        <v>1000</v>
      </c>
      <c r="I38" s="14" t="n">
        <f aca="false">SQRT(G38)</f>
        <v>4.12310562561766</v>
      </c>
      <c r="J38" s="14" t="str">
        <f aca="false">IFERROR(__xludf.dummyfunction("IF(F38 = H38,C38/FILTER('Base Stats'!$C$2:$C1000, LOWER('Base Stats'!$B$2:$B1000) = LOWER($A38)), """")"),"0.9")</f>
        <v>0.9</v>
      </c>
      <c r="K38" s="0" t="str">
        <f aca="false">IF(F38 = H38, C38/G38, "")</f>
        <v/>
      </c>
      <c r="L38" s="0" t="str">
        <f aca="false">IFERROR(__xludf.dummyfunction("IF(AND(NOT(K38 = """"), G38 &gt;= 15),K38/FILTER('Base Stats'!$C$2:$C1000, LOWER('Base Stats'!$B$2:$B1000) = LOWER($A38)), """")"),"0.05294117647")</f>
        <v>0.05294117647</v>
      </c>
      <c r="M38" s="0" t="str">
        <f aca="false">IFERROR(__xludf.dummyfunction("1.15 + 0.02 * FILTER('Base Stats'!$C$2:$C1000, LOWER('Base Stats'!$B$2:$B1000) = LOWER($A38))"),"1.95")</f>
        <v>1.95</v>
      </c>
      <c r="N38" s="0" t="e">
        <f aca="false">IFERROR(IF(AND(NOT(K38 = ""), G38 &gt;= 15),K38/M38, ""))</f>
        <v>#VALUE!</v>
      </c>
    </row>
    <row r="39" customFormat="false" ht="15.75" hidden="false" customHeight="false" outlineLevel="0" collapsed="false">
      <c r="A39" s="8" t="s">
        <v>499</v>
      </c>
      <c r="B39" s="8" t="n">
        <v>84</v>
      </c>
      <c r="C39" s="8" t="n">
        <v>35</v>
      </c>
      <c r="D39" s="8" t="n">
        <v>3.48</v>
      </c>
      <c r="E39" s="8" t="n">
        <v>0.31</v>
      </c>
      <c r="F39" s="8" t="n">
        <v>800</v>
      </c>
      <c r="G39" s="0" t="str">
        <f aca="false">IFERROR(__xludf.dummyfunction("ROUND(B39/ FILTER('Pokemon CP/HP'!$M$2:$M1000, LOWER('Pokemon CP/HP'!$B$2:$B1000)=LOWER(A39)))"),"16")</f>
        <v>16</v>
      </c>
      <c r="H39" s="0" t="str">
        <f aca="false">IFERROR(__xludf.dummyfunction("FILTER('Leveling Info'!$B$2:$B1000, 'Leveling Info'!$A$2:$A1000 =G39)"),"800")</f>
        <v>800</v>
      </c>
      <c r="I39" s="14" t="n">
        <f aca="false">SQRT(G39)</f>
        <v>4</v>
      </c>
      <c r="J39" s="14" t="str">
        <f aca="false">IFERROR(__xludf.dummyfunction("IF(F39 = H39,C39/FILTER('Base Stats'!$C$2:$C1000, LOWER('Base Stats'!$B$2:$B1000) = LOWER($A39)), """")"),"0.875")</f>
        <v>0.875</v>
      </c>
      <c r="K39" s="0" t="str">
        <f aca="false">IF(F39 = H39, C39/G39, "")</f>
        <v/>
      </c>
      <c r="L39" s="0" t="str">
        <f aca="false">IFERROR(__xludf.dummyfunction("IF(AND(NOT(K39 = """"), G39 &gt;= 15),K39/FILTER('Base Stats'!$C$2:$C1000, LOWER('Base Stats'!$B$2:$B1000) = LOWER($A39)), """")"),"0.0546875")</f>
        <v>0.0546875</v>
      </c>
      <c r="M39" s="0" t="str">
        <f aca="false">IFERROR(__xludf.dummyfunction("1.15 + 0.02 * FILTER('Base Stats'!$C$2:$C1000, LOWER('Base Stats'!$B$2:$B1000) = LOWER($A39))"),"1.95")</f>
        <v>1.95</v>
      </c>
      <c r="N39" s="0" t="e">
        <f aca="false">IFERROR(IF(AND(NOT(K39 = ""), G39 &gt;= 15),K39/M39, ""))</f>
        <v>#VALUE!</v>
      </c>
    </row>
    <row r="40" customFormat="false" ht="15.75" hidden="false" customHeight="false" outlineLevel="0" collapsed="false">
      <c r="A40" s="8" t="s">
        <v>499</v>
      </c>
      <c r="B40" s="8" t="n">
        <v>83</v>
      </c>
      <c r="C40" s="8" t="n">
        <v>33</v>
      </c>
      <c r="D40" s="8" t="n">
        <v>2.11</v>
      </c>
      <c r="E40" s="8" t="n">
        <v>0.25</v>
      </c>
      <c r="F40" s="8" t="n">
        <v>1000</v>
      </c>
      <c r="G40" s="0" t="str">
        <f aca="false">IFERROR(__xludf.dummyfunction("ROUND(B40/ FILTER('Pokemon CP/HP'!$M$2:$M1000, LOWER('Pokemon CP/HP'!$B$2:$B1000)=LOWER(A40)))"),"16")</f>
        <v>16</v>
      </c>
      <c r="H40" s="0" t="str">
        <f aca="false">IFERROR(__xludf.dummyfunction("FILTER('Leveling Info'!$B$2:$B1000, 'Leveling Info'!$A$2:$A1000 =G40)"),"800")</f>
        <v>800</v>
      </c>
      <c r="I40" s="14" t="n">
        <f aca="false">SQRT(G40)</f>
        <v>4</v>
      </c>
      <c r="J40" s="14" t="str">
        <f aca="false">IFERROR(__xludf.dummyfunction("IF(F40 = H40,C40/FILTER('Base Stats'!$C$2:$C1000, LOWER('Base Stats'!$B$2:$B1000) = LOWER($A40)), """")"),"")</f>
        <v/>
      </c>
      <c r="K40" s="0" t="str">
        <f aca="false">IF(F40 = H40, C40/G40, "")</f>
        <v/>
      </c>
      <c r="L40" s="0" t="str">
        <f aca="false">IFERROR(__xludf.dummyfunction("IF(AND(NOT(K40 = """"), G40 &gt;= 15),K40/FILTER('Base Stats'!$C$2:$C1000, LOWER('Base Stats'!$B$2:$B1000) = LOWER($A40)), """")"),"")</f>
        <v/>
      </c>
      <c r="M40" s="0" t="str">
        <f aca="false">IFERROR(__xludf.dummyfunction("1.15 + 0.02 * FILTER('Base Stats'!$C$2:$C1000, LOWER('Base Stats'!$B$2:$B1000) = LOWER($A40))"),"1.95")</f>
        <v>1.95</v>
      </c>
      <c r="N40" s="0" t="e">
        <f aca="false">IFERROR(IF(AND(NOT(K40 = ""), G40 &gt;= 15),K40/M40, ""))</f>
        <v>#VALUE!</v>
      </c>
    </row>
    <row r="41" customFormat="false" ht="15.75" hidden="false" customHeight="false" outlineLevel="0" collapsed="false">
      <c r="A41" s="8" t="s">
        <v>499</v>
      </c>
      <c r="B41" s="8" t="n">
        <v>83</v>
      </c>
      <c r="C41" s="8" t="n">
        <v>35</v>
      </c>
      <c r="D41" s="8" t="n">
        <v>3.43</v>
      </c>
      <c r="E41" s="8" t="n">
        <v>0.32</v>
      </c>
      <c r="F41" s="8" t="n">
        <v>800</v>
      </c>
      <c r="G41" s="0" t="str">
        <f aca="false">IFERROR(__xludf.dummyfunction("ROUND(B41/ FILTER('Pokemon CP/HP'!$M$2:$M1000, LOWER('Pokemon CP/HP'!$B$2:$B1000)=LOWER(A41)))"),"16")</f>
        <v>16</v>
      </c>
      <c r="H41" s="0" t="str">
        <f aca="false">IFERROR(__xludf.dummyfunction("FILTER('Leveling Info'!$B$2:$B1000, 'Leveling Info'!$A$2:$A1000 =G41)"),"800")</f>
        <v>800</v>
      </c>
      <c r="I41" s="14" t="n">
        <f aca="false">SQRT(G41)</f>
        <v>4</v>
      </c>
      <c r="J41" s="14" t="str">
        <f aca="false">IFERROR(__xludf.dummyfunction("IF(F41 = H41,C41/FILTER('Base Stats'!$C$2:$C1000, LOWER('Base Stats'!$B$2:$B1000) = LOWER($A41)), """")"),"0.875")</f>
        <v>0.875</v>
      </c>
      <c r="K41" s="0" t="str">
        <f aca="false">IF(F41 = H41, C41/G41, "")</f>
        <v/>
      </c>
      <c r="L41" s="0" t="str">
        <f aca="false">IFERROR(__xludf.dummyfunction("IF(AND(NOT(K41 = """"), G41 &gt;= 15),K41/FILTER('Base Stats'!$C$2:$C1000, LOWER('Base Stats'!$B$2:$B1000) = LOWER($A41)), """")"),"0.0546875")</f>
        <v>0.0546875</v>
      </c>
      <c r="M41" s="0" t="str">
        <f aca="false">IFERROR(__xludf.dummyfunction("1.15 + 0.02 * FILTER('Base Stats'!$C$2:$C1000, LOWER('Base Stats'!$B$2:$B1000) = LOWER($A41))"),"1.95")</f>
        <v>1.95</v>
      </c>
      <c r="N41" s="0" t="e">
        <f aca="false">IFERROR(IF(AND(NOT(K41 = ""), G41 &gt;= 15),K41/M41, ""))</f>
        <v>#VALUE!</v>
      </c>
    </row>
    <row r="42" customFormat="false" ht="15.75" hidden="false" customHeight="false" outlineLevel="0" collapsed="false">
      <c r="A42" s="8" t="s">
        <v>499</v>
      </c>
      <c r="B42" s="8" t="n">
        <v>70</v>
      </c>
      <c r="C42" s="8" t="n">
        <v>32</v>
      </c>
      <c r="D42" s="8" t="n">
        <v>2.02</v>
      </c>
      <c r="E42" s="8" t="n">
        <v>0.23</v>
      </c>
      <c r="F42" s="8" t="n">
        <v>800</v>
      </c>
      <c r="G42" s="0" t="str">
        <f aca="false">IFERROR(__xludf.dummyfunction("ROUND(B42/ FILTER('Pokemon CP/HP'!$M$2:$M1000, LOWER('Pokemon CP/HP'!$B$2:$B1000)=LOWER(A42)))"),"13")</f>
        <v>13</v>
      </c>
      <c r="H42" s="0" t="str">
        <f aca="false">IFERROR(__xludf.dummyfunction("FILTER('Leveling Info'!$B$2:$B1000, 'Leveling Info'!$A$2:$A1000 =G42)"),"800")</f>
        <v>800</v>
      </c>
      <c r="I42" s="14" t="n">
        <f aca="false">SQRT(G42)</f>
        <v>3.60555127546399</v>
      </c>
      <c r="J42" s="14" t="str">
        <f aca="false">IFERROR(__xludf.dummyfunction("IF(F42 = H42,C42/FILTER('Base Stats'!$C$2:$C1000, LOWER('Base Stats'!$B$2:$B1000) = LOWER($A42)), """")"),"0.8")</f>
        <v>0.8</v>
      </c>
      <c r="K42" s="0" t="str">
        <f aca="false">IF(F42 = H42, C42/G42, "")</f>
        <v/>
      </c>
      <c r="L42" s="0" t="str">
        <f aca="false">IFERROR(__xludf.dummyfunction("IF(AND(NOT(K42 = """"), G42 &gt;= 15),K42/FILTER('Base Stats'!$C$2:$C1000, LOWER('Base Stats'!$B$2:$B1000) = LOWER($A42)), """")"),"")</f>
        <v/>
      </c>
      <c r="M42" s="0" t="str">
        <f aca="false">IFERROR(__xludf.dummyfunction("1.15 + 0.02 * FILTER('Base Stats'!$C$2:$C1000, LOWER('Base Stats'!$B$2:$B1000) = LOWER($A42))"),"1.95")</f>
        <v>1.95</v>
      </c>
      <c r="N42" s="0" t="e">
        <f aca="false">IFERROR(IF(AND(NOT(K42 = ""), G42 &gt;= 15),K42/M42, ""))</f>
        <v>#VALUE!</v>
      </c>
    </row>
    <row r="43" customFormat="false" ht="15.75" hidden="false" customHeight="false" outlineLevel="0" collapsed="false">
      <c r="A43" s="8" t="s">
        <v>499</v>
      </c>
      <c r="B43" s="8" t="n">
        <v>70</v>
      </c>
      <c r="C43" s="8" t="n">
        <v>30</v>
      </c>
      <c r="D43" s="8" t="n">
        <v>4.17</v>
      </c>
      <c r="E43" s="8" t="n">
        <v>0.38</v>
      </c>
      <c r="F43" s="8" t="n">
        <v>800</v>
      </c>
      <c r="G43" s="0" t="str">
        <f aca="false">IFERROR(__xludf.dummyfunction("ROUND(B43/ FILTER('Pokemon CP/HP'!$M$2:$M1000, LOWER('Pokemon CP/HP'!$B$2:$B1000)=LOWER(A43)))"),"13")</f>
        <v>13</v>
      </c>
      <c r="H43" s="0" t="str">
        <f aca="false">IFERROR(__xludf.dummyfunction("FILTER('Leveling Info'!$B$2:$B1000, 'Leveling Info'!$A$2:$A1000 =G43)"),"800")</f>
        <v>800</v>
      </c>
      <c r="I43" s="14" t="n">
        <f aca="false">SQRT(G43)</f>
        <v>3.60555127546399</v>
      </c>
      <c r="J43" s="14" t="str">
        <f aca="false">IFERROR(__xludf.dummyfunction("IF(F43 = H43,C43/FILTER('Base Stats'!$C$2:$C1000, LOWER('Base Stats'!$B$2:$B1000) = LOWER($A43)), """")"),"0.75")</f>
        <v>0.75</v>
      </c>
      <c r="K43" s="0" t="str">
        <f aca="false">IF(F43 = H43, C43/G43, "")</f>
        <v/>
      </c>
      <c r="L43" s="0" t="str">
        <f aca="false">IFERROR(__xludf.dummyfunction("IF(AND(NOT(K43 = """"), G43 &gt;= 15),K43/FILTER('Base Stats'!$C$2:$C1000, LOWER('Base Stats'!$B$2:$B1000) = LOWER($A43)), """")"),"")</f>
        <v/>
      </c>
      <c r="M43" s="0" t="str">
        <f aca="false">IFERROR(__xludf.dummyfunction("1.15 + 0.02 * FILTER('Base Stats'!$C$2:$C1000, LOWER('Base Stats'!$B$2:$B1000) = LOWER($A43))"),"1.95")</f>
        <v>1.95</v>
      </c>
      <c r="N43" s="0" t="e">
        <f aca="false">IFERROR(IF(AND(NOT(K43 = ""), G43 &gt;= 15),K43/M43, ""))</f>
        <v>#VALUE!</v>
      </c>
    </row>
    <row r="44" customFormat="false" ht="15.75" hidden="false" customHeight="false" outlineLevel="0" collapsed="false">
      <c r="A44" s="8" t="s">
        <v>499</v>
      </c>
      <c r="B44" s="8" t="n">
        <v>67</v>
      </c>
      <c r="C44" s="8" t="n">
        <v>28</v>
      </c>
      <c r="D44" s="8" t="n">
        <v>3.68</v>
      </c>
      <c r="E44" s="8" t="n">
        <v>0.3</v>
      </c>
      <c r="F44" s="8" t="n">
        <v>800</v>
      </c>
      <c r="G44" s="0" t="str">
        <f aca="false">IFERROR(__xludf.dummyfunction("ROUND(B44/ FILTER('Pokemon CP/HP'!$M$2:$M1000, LOWER('Pokemon CP/HP'!$B$2:$B1000)=LOWER(A44)))"),"13")</f>
        <v>13</v>
      </c>
      <c r="H44" s="0" t="str">
        <f aca="false">IFERROR(__xludf.dummyfunction("FILTER('Leveling Info'!$B$2:$B1000, 'Leveling Info'!$A$2:$A1000 =G44)"),"800")</f>
        <v>800</v>
      </c>
      <c r="I44" s="14" t="n">
        <f aca="false">SQRT(G44)</f>
        <v>3.60555127546399</v>
      </c>
      <c r="J44" s="14" t="str">
        <f aca="false">IFERROR(__xludf.dummyfunction("IF(F44 = H44,C44/FILTER('Base Stats'!$C$2:$C1000, LOWER('Base Stats'!$B$2:$B1000) = LOWER($A44)), """")"),"0.7")</f>
        <v>0.7</v>
      </c>
      <c r="K44" s="0" t="str">
        <f aca="false">IF(F44 = H44, C44/G44, "")</f>
        <v/>
      </c>
      <c r="L44" s="0" t="str">
        <f aca="false">IFERROR(__xludf.dummyfunction("IF(AND(NOT(K44 = """"), G44 &gt;= 15),K44/FILTER('Base Stats'!$C$2:$C1000, LOWER('Base Stats'!$B$2:$B1000) = LOWER($A44)), """")"),"")</f>
        <v/>
      </c>
      <c r="M44" s="0" t="str">
        <f aca="false">IFERROR(__xludf.dummyfunction("1.15 + 0.02 * FILTER('Base Stats'!$C$2:$C1000, LOWER('Base Stats'!$B$2:$B1000) = LOWER($A44))"),"1.95")</f>
        <v>1.95</v>
      </c>
      <c r="N44" s="0" t="e">
        <f aca="false">IFERROR(IF(AND(NOT(K44 = ""), G44 &gt;= 15),K44/M44, ""))</f>
        <v>#VALUE!</v>
      </c>
    </row>
    <row r="45" customFormat="false" ht="15.75" hidden="false" customHeight="false" outlineLevel="0" collapsed="false">
      <c r="A45" s="8" t="s">
        <v>499</v>
      </c>
      <c r="B45" s="8" t="n">
        <v>64</v>
      </c>
      <c r="C45" s="8" t="n">
        <v>28</v>
      </c>
      <c r="D45" s="8" t="n">
        <v>3.65</v>
      </c>
      <c r="E45" s="8" t="n">
        <v>0.34</v>
      </c>
      <c r="F45" s="8" t="n">
        <v>800</v>
      </c>
      <c r="G45" s="0" t="str">
        <f aca="false">IFERROR(__xludf.dummyfunction("ROUND(B45/ FILTER('Pokemon CP/HP'!$M$2:$M1000, LOWER('Pokemon CP/HP'!$B$2:$B1000)=LOWER(A45)))"),"12")</f>
        <v>12</v>
      </c>
      <c r="H45" s="0" t="str">
        <f aca="false">IFERROR(__xludf.dummyfunction("FILTER('Leveling Info'!$B$2:$B1000, 'Leveling Info'!$A$2:$A1000 =G45)"),"600")</f>
        <v>600</v>
      </c>
      <c r="I45" s="14" t="n">
        <f aca="false">SQRT(G45)</f>
        <v>3.46410161513775</v>
      </c>
      <c r="J45" s="14" t="str">
        <f aca="false">IFERROR(__xludf.dummyfunction("IF(F45 = H45,C45/FILTER('Base Stats'!$C$2:$C1000, LOWER('Base Stats'!$B$2:$B1000) = LOWER($A45)), """")"),"")</f>
        <v/>
      </c>
      <c r="K45" s="0" t="str">
        <f aca="false">IF(F45 = H45, C45/G45, "")</f>
        <v/>
      </c>
      <c r="L45" s="0" t="str">
        <f aca="false">IFERROR(__xludf.dummyfunction("IF(AND(NOT(K45 = """"), G45 &gt;= 15),K45/FILTER('Base Stats'!$C$2:$C1000, LOWER('Base Stats'!$B$2:$B1000) = LOWER($A45)), """")"),"")</f>
        <v/>
      </c>
      <c r="M45" s="0" t="str">
        <f aca="false">IFERROR(__xludf.dummyfunction("1.15 + 0.02 * FILTER('Base Stats'!$C$2:$C1000, LOWER('Base Stats'!$B$2:$B1000) = LOWER($A45))"),"1.95")</f>
        <v>1.95</v>
      </c>
      <c r="N45" s="0" t="e">
        <f aca="false">IFERROR(IF(AND(NOT(K45 = ""), G45 &gt;= 15),K45/M45, ""))</f>
        <v>#VALUE!</v>
      </c>
    </row>
    <row r="46" customFormat="false" ht="15.75" hidden="false" customHeight="false" outlineLevel="0" collapsed="false">
      <c r="A46" s="8" t="s">
        <v>499</v>
      </c>
      <c r="B46" s="8" t="n">
        <v>59</v>
      </c>
      <c r="C46" s="8" t="n">
        <v>29</v>
      </c>
      <c r="D46" s="8" t="n">
        <v>2.01</v>
      </c>
      <c r="E46" s="8" t="n">
        <v>0.24</v>
      </c>
      <c r="F46" s="8" t="n">
        <v>600</v>
      </c>
      <c r="G46" s="0" t="str">
        <f aca="false">IFERROR(__xludf.dummyfunction("ROUND(B46/ FILTER('Pokemon CP/HP'!$M$2:$M1000, LOWER('Pokemon CP/HP'!$B$2:$B1000)=LOWER(A46)))"),"11")</f>
        <v>11</v>
      </c>
      <c r="H46" s="0" t="str">
        <f aca="false">IFERROR(__xludf.dummyfunction("FILTER('Leveling Info'!$B$2:$B1000, 'Leveling Info'!$A$2:$A1000 =G46)"),"600")</f>
        <v>600</v>
      </c>
      <c r="I46" s="14" t="n">
        <f aca="false">SQRT(G46)</f>
        <v>3.3166247903554</v>
      </c>
      <c r="J46" s="14" t="str">
        <f aca="false">IFERROR(__xludf.dummyfunction("IF(F46 = H46,C46/FILTER('Base Stats'!$C$2:$C1000, LOWER('Base Stats'!$B$2:$B1000) = LOWER($A46)), """")"),"0.725")</f>
        <v>0.725</v>
      </c>
      <c r="K46" s="0" t="str">
        <f aca="false">IF(F46 = H46, C46/G46, "")</f>
        <v/>
      </c>
      <c r="L46" s="0" t="str">
        <f aca="false">IFERROR(__xludf.dummyfunction("IF(AND(NOT(K46 = """"), G46 &gt;= 15),K46/FILTER('Base Stats'!$C$2:$C1000, LOWER('Base Stats'!$B$2:$B1000) = LOWER($A46)), """")"),"")</f>
        <v/>
      </c>
      <c r="M46" s="0" t="str">
        <f aca="false">IFERROR(__xludf.dummyfunction("1.15 + 0.02 * FILTER('Base Stats'!$C$2:$C1000, LOWER('Base Stats'!$B$2:$B1000) = LOWER($A46))"),"1.95")</f>
        <v>1.95</v>
      </c>
      <c r="N46" s="0" t="e">
        <f aca="false">IFERROR(IF(AND(NOT(K46 = ""), G46 &gt;= 15),K46/M46, ""))</f>
        <v>#VALUE!</v>
      </c>
    </row>
    <row r="47" customFormat="false" ht="15.75" hidden="false" customHeight="false" outlineLevel="0" collapsed="false">
      <c r="A47" s="8" t="s">
        <v>499</v>
      </c>
      <c r="B47" s="8" t="n">
        <v>58</v>
      </c>
      <c r="C47" s="8" t="n">
        <v>30</v>
      </c>
      <c r="D47" s="8" t="n">
        <v>3.19</v>
      </c>
      <c r="E47" s="8" t="n">
        <v>0.29</v>
      </c>
      <c r="F47" s="8" t="n">
        <v>600</v>
      </c>
      <c r="G47" s="0" t="str">
        <f aca="false">IFERROR(__xludf.dummyfunction("ROUND(B47/ FILTER('Pokemon CP/HP'!$M$2:$M1000, LOWER('Pokemon CP/HP'!$B$2:$B1000)=LOWER(A47)))"),"11")</f>
        <v>11</v>
      </c>
      <c r="H47" s="0" t="str">
        <f aca="false">IFERROR(__xludf.dummyfunction("FILTER('Leveling Info'!$B$2:$B1000, 'Leveling Info'!$A$2:$A1000 =G47)"),"600")</f>
        <v>600</v>
      </c>
      <c r="I47" s="14" t="n">
        <f aca="false">SQRT(G47)</f>
        <v>3.3166247903554</v>
      </c>
      <c r="J47" s="14" t="str">
        <f aca="false">IFERROR(__xludf.dummyfunction("IF(F47 = H47,C47/FILTER('Base Stats'!$C$2:$C1000, LOWER('Base Stats'!$B$2:$B1000) = LOWER($A47)), """")"),"0.75")</f>
        <v>0.75</v>
      </c>
      <c r="K47" s="0" t="str">
        <f aca="false">IF(F47 = H47, C47/G47, "")</f>
        <v/>
      </c>
      <c r="L47" s="0" t="str">
        <f aca="false">IFERROR(__xludf.dummyfunction("IF(AND(NOT(K47 = """"), G47 &gt;= 15),K47/FILTER('Base Stats'!$C$2:$C1000, LOWER('Base Stats'!$B$2:$B1000) = LOWER($A47)), """")"),"")</f>
        <v/>
      </c>
      <c r="M47" s="0" t="str">
        <f aca="false">IFERROR(__xludf.dummyfunction("1.15 + 0.02 * FILTER('Base Stats'!$C$2:$C1000, LOWER('Base Stats'!$B$2:$B1000) = LOWER($A47))"),"1.95")</f>
        <v>1.95</v>
      </c>
      <c r="N47" s="0" t="e">
        <f aca="false">IFERROR(IF(AND(NOT(K47 = ""), G47 &gt;= 15),K47/M47, ""))</f>
        <v>#VALUE!</v>
      </c>
    </row>
    <row r="48" customFormat="false" ht="15.75" hidden="false" customHeight="false" outlineLevel="0" collapsed="false">
      <c r="A48" s="8" t="s">
        <v>499</v>
      </c>
      <c r="B48" s="8" t="n">
        <v>58</v>
      </c>
      <c r="C48" s="8" t="n">
        <v>28</v>
      </c>
      <c r="D48" s="8" t="n">
        <v>4.39</v>
      </c>
      <c r="E48" s="8" t="n">
        <v>0.35</v>
      </c>
      <c r="F48" s="8" t="n">
        <v>600</v>
      </c>
      <c r="G48" s="0" t="str">
        <f aca="false">IFERROR(__xludf.dummyfunction("ROUND(B48/ FILTER('Pokemon CP/HP'!$M$2:$M1000, LOWER('Pokemon CP/HP'!$B$2:$B1000)=LOWER(A48)))"),"11")</f>
        <v>11</v>
      </c>
      <c r="H48" s="0" t="str">
        <f aca="false">IFERROR(__xludf.dummyfunction("FILTER('Leveling Info'!$B$2:$B1000, 'Leveling Info'!$A$2:$A1000 =G48)"),"600")</f>
        <v>600</v>
      </c>
      <c r="I48" s="14" t="n">
        <f aca="false">SQRT(G48)</f>
        <v>3.3166247903554</v>
      </c>
      <c r="J48" s="14" t="str">
        <f aca="false">IFERROR(__xludf.dummyfunction("IF(F48 = H48,C48/FILTER('Base Stats'!$C$2:$C1000, LOWER('Base Stats'!$B$2:$B1000) = LOWER($A48)), """")"),"0.7")</f>
        <v>0.7</v>
      </c>
      <c r="K48" s="0" t="str">
        <f aca="false">IF(F48 = H48, C48/G48, "")</f>
        <v/>
      </c>
      <c r="L48" s="0" t="str">
        <f aca="false">IFERROR(__xludf.dummyfunction("IF(AND(NOT(K48 = """"), G48 &gt;= 15),K48/FILTER('Base Stats'!$C$2:$C1000, LOWER('Base Stats'!$B$2:$B1000) = LOWER($A48)), """")"),"")</f>
        <v/>
      </c>
      <c r="M48" s="0" t="str">
        <f aca="false">IFERROR(__xludf.dummyfunction("1.15 + 0.02 * FILTER('Base Stats'!$C$2:$C1000, LOWER('Base Stats'!$B$2:$B1000) = LOWER($A48))"),"1.95")</f>
        <v>1.95</v>
      </c>
      <c r="N48" s="0" t="e">
        <f aca="false">IFERROR(IF(AND(NOT(K48 = ""), G48 &gt;= 15),K48/M48, ""))</f>
        <v>#VALUE!</v>
      </c>
    </row>
    <row r="49" customFormat="false" ht="15.75" hidden="false" customHeight="false" outlineLevel="0" collapsed="false">
      <c r="A49" s="8" t="s">
        <v>499</v>
      </c>
      <c r="B49" s="8" t="n">
        <v>55</v>
      </c>
      <c r="C49" s="8" t="n">
        <v>29</v>
      </c>
      <c r="D49" s="8" t="n">
        <v>2.35</v>
      </c>
      <c r="E49" s="8" t="n">
        <v>0.27</v>
      </c>
      <c r="F49" s="8" t="n">
        <v>600</v>
      </c>
      <c r="G49" s="0" t="str">
        <f aca="false">IFERROR(__xludf.dummyfunction("ROUND(B49/ FILTER('Pokemon CP/HP'!$M$2:$M1000, LOWER('Pokemon CP/HP'!$B$2:$B1000)=LOWER(A49)))"),"10")</f>
        <v>10</v>
      </c>
      <c r="H49" s="0" t="str">
        <f aca="false">IFERROR(__xludf.dummyfunction("FILTER('Leveling Info'!$B$2:$B1000, 'Leveling Info'!$A$2:$A1000 =G49)"),"600")</f>
        <v>600</v>
      </c>
      <c r="I49" s="14" t="n">
        <f aca="false">SQRT(G49)</f>
        <v>3.16227766016838</v>
      </c>
      <c r="J49" s="14" t="str">
        <f aca="false">IFERROR(__xludf.dummyfunction("IF(F49 = H49,C49/FILTER('Base Stats'!$C$2:$C1000, LOWER('Base Stats'!$B$2:$B1000) = LOWER($A49)), """")"),"0.725")</f>
        <v>0.725</v>
      </c>
      <c r="K49" s="0" t="str">
        <f aca="false">IF(F49 = H49, C49/G49, "")</f>
        <v/>
      </c>
      <c r="L49" s="0" t="str">
        <f aca="false">IFERROR(__xludf.dummyfunction("IF(AND(NOT(K49 = """"), G49 &gt;= 15),K49/FILTER('Base Stats'!$C$2:$C1000, LOWER('Base Stats'!$B$2:$B1000) = LOWER($A49)), """")"),"")</f>
        <v/>
      </c>
      <c r="M49" s="0" t="str">
        <f aca="false">IFERROR(__xludf.dummyfunction("1.15 + 0.02 * FILTER('Base Stats'!$C$2:$C1000, LOWER('Base Stats'!$B$2:$B1000) = LOWER($A49))"),"1.95")</f>
        <v>1.95</v>
      </c>
      <c r="N49" s="0" t="e">
        <f aca="false">IFERROR(IF(AND(NOT(K49 = ""), G49 &gt;= 15),K49/M49, ""))</f>
        <v>#VALUE!</v>
      </c>
    </row>
    <row r="50" customFormat="false" ht="15.75" hidden="false" customHeight="false" outlineLevel="0" collapsed="false">
      <c r="A50" s="8" t="s">
        <v>499</v>
      </c>
      <c r="B50" s="8" t="n">
        <v>55</v>
      </c>
      <c r="C50" s="8" t="n">
        <v>25</v>
      </c>
      <c r="D50" s="8" t="n">
        <v>2.97</v>
      </c>
      <c r="E50" s="8" t="n">
        <v>0.29</v>
      </c>
      <c r="F50" s="8" t="n">
        <v>600</v>
      </c>
      <c r="G50" s="0" t="str">
        <f aca="false">IFERROR(__xludf.dummyfunction("ROUND(B50/ FILTER('Pokemon CP/HP'!$M$2:$M1000, LOWER('Pokemon CP/HP'!$B$2:$B1000)=LOWER(A50)))"),"10")</f>
        <v>10</v>
      </c>
      <c r="H50" s="0" t="str">
        <f aca="false">IFERROR(__xludf.dummyfunction("FILTER('Leveling Info'!$B$2:$B1000, 'Leveling Info'!$A$2:$A1000 =G50)"),"600")</f>
        <v>600</v>
      </c>
      <c r="I50" s="14" t="n">
        <f aca="false">SQRT(G50)</f>
        <v>3.16227766016838</v>
      </c>
      <c r="J50" s="14" t="str">
        <f aca="false">IFERROR(__xludf.dummyfunction("IF(F50 = H50,C50/FILTER('Base Stats'!$C$2:$C1000, LOWER('Base Stats'!$B$2:$B1000) = LOWER($A50)), """")"),"0.625")</f>
        <v>0.625</v>
      </c>
      <c r="K50" s="0" t="str">
        <f aca="false">IF(F50 = H50, C50/G50, "")</f>
        <v/>
      </c>
      <c r="L50" s="0" t="str">
        <f aca="false">IFERROR(__xludf.dummyfunction("IF(AND(NOT(K50 = """"), G50 &gt;= 15),K50/FILTER('Base Stats'!$C$2:$C1000, LOWER('Base Stats'!$B$2:$B1000) = LOWER($A50)), """")"),"")</f>
        <v/>
      </c>
      <c r="M50" s="0" t="str">
        <f aca="false">IFERROR(__xludf.dummyfunction("1.15 + 0.02 * FILTER('Base Stats'!$C$2:$C1000, LOWER('Base Stats'!$B$2:$B1000) = LOWER($A50))"),"1.95")</f>
        <v>1.95</v>
      </c>
      <c r="N50" s="0" t="e">
        <f aca="false">IFERROR(IF(AND(NOT(K50 = ""), G50 &gt;= 15),K50/M50, ""))</f>
        <v>#VALUE!</v>
      </c>
    </row>
    <row r="51" customFormat="false" ht="15.75" hidden="false" customHeight="false" outlineLevel="0" collapsed="false">
      <c r="A51" s="8" t="s">
        <v>499</v>
      </c>
      <c r="B51" s="8" t="n">
        <v>51</v>
      </c>
      <c r="C51" s="8" t="n">
        <v>27</v>
      </c>
      <c r="D51" s="8" t="n">
        <v>4.94</v>
      </c>
      <c r="E51" s="8" t="n">
        <v>0.34</v>
      </c>
      <c r="F51" s="8" t="n">
        <v>600</v>
      </c>
      <c r="G51" s="0" t="str">
        <f aca="false">IFERROR(__xludf.dummyfunction("ROUND(B51/ FILTER('Pokemon CP/HP'!$M$2:$M1000, LOWER('Pokemon CP/HP'!$B$2:$B1000)=LOWER(A51)))"),"10")</f>
        <v>10</v>
      </c>
      <c r="H51" s="0" t="str">
        <f aca="false">IFERROR(__xludf.dummyfunction("FILTER('Leveling Info'!$B$2:$B1000, 'Leveling Info'!$A$2:$A1000 =G51)"),"600")</f>
        <v>600</v>
      </c>
      <c r="I51" s="14" t="n">
        <f aca="false">SQRT(G51)</f>
        <v>3.16227766016838</v>
      </c>
      <c r="J51" s="14" t="str">
        <f aca="false">IFERROR(__xludf.dummyfunction("IF(F51 = H51,C51/FILTER('Base Stats'!$C$2:$C1000, LOWER('Base Stats'!$B$2:$B1000) = LOWER($A51)), """")"),"0.675")</f>
        <v>0.675</v>
      </c>
      <c r="K51" s="0" t="str">
        <f aca="false">IF(F51 = H51, C51/G51, "")</f>
        <v/>
      </c>
      <c r="L51" s="0" t="str">
        <f aca="false">IFERROR(__xludf.dummyfunction("IF(AND(NOT(K51 = """"), G51 &gt;= 15),K51/FILTER('Base Stats'!$C$2:$C1000, LOWER('Base Stats'!$B$2:$B1000) = LOWER($A51)), """")"),"")</f>
        <v/>
      </c>
      <c r="M51" s="0" t="str">
        <f aca="false">IFERROR(__xludf.dummyfunction("1.15 + 0.02 * FILTER('Base Stats'!$C$2:$C1000, LOWER('Base Stats'!$B$2:$B1000) = LOWER($A51))"),"1.95")</f>
        <v>1.95</v>
      </c>
      <c r="N51" s="0" t="e">
        <f aca="false">IFERROR(IF(AND(NOT(K51 = ""), G51 &gt;= 15),K51/M51, ""))</f>
        <v>#VALUE!</v>
      </c>
    </row>
    <row r="52" customFormat="false" ht="15.75" hidden="false" customHeight="false" outlineLevel="0" collapsed="false">
      <c r="A52" s="8" t="s">
        <v>499</v>
      </c>
      <c r="B52" s="8" t="n">
        <v>48</v>
      </c>
      <c r="C52" s="8" t="n">
        <v>26</v>
      </c>
      <c r="D52" s="8" t="n">
        <v>2.63</v>
      </c>
      <c r="E52" s="8" t="n">
        <v>0.24</v>
      </c>
      <c r="F52" s="8" t="n">
        <v>600</v>
      </c>
      <c r="G52" s="0" t="str">
        <f aca="false">IFERROR(__xludf.dummyfunction("ROUND(B52/ FILTER('Pokemon CP/HP'!$M$2:$M1000, LOWER('Pokemon CP/HP'!$B$2:$B1000)=LOWER(A52)))"),"9")</f>
        <v>9</v>
      </c>
      <c r="H52" s="0" t="str">
        <f aca="false">IFERROR(__xludf.dummyfunction("FILTER('Leveling Info'!$B$2:$B1000, 'Leveling Info'!$A$2:$A1000 =G52)"),"600")</f>
        <v>600</v>
      </c>
      <c r="I52" s="14" t="n">
        <f aca="false">SQRT(G52)</f>
        <v>3</v>
      </c>
      <c r="J52" s="14" t="str">
        <f aca="false">IFERROR(__xludf.dummyfunction("IF(F52 = H52,C52/FILTER('Base Stats'!$C$2:$C1000, LOWER('Base Stats'!$B$2:$B1000) = LOWER($A52)), """")"),"0.65")</f>
        <v>0.65</v>
      </c>
      <c r="K52" s="0" t="str">
        <f aca="false">IF(F52 = H52, C52/G52, "")</f>
        <v/>
      </c>
      <c r="L52" s="0" t="str">
        <f aca="false">IFERROR(__xludf.dummyfunction("IF(AND(NOT(K52 = """"), G52 &gt;= 15),K52/FILTER('Base Stats'!$C$2:$C1000, LOWER('Base Stats'!$B$2:$B1000) = LOWER($A52)), """")"),"")</f>
        <v/>
      </c>
      <c r="M52" s="0" t="str">
        <f aca="false">IFERROR(__xludf.dummyfunction("1.15 + 0.02 * FILTER('Base Stats'!$C$2:$C1000, LOWER('Base Stats'!$B$2:$B1000) = LOWER($A52))"),"1.95")</f>
        <v>1.95</v>
      </c>
      <c r="N52" s="0" t="e">
        <f aca="false">IFERROR(IF(AND(NOT(K52 = ""), G52 &gt;= 15),K52/M52, ""))</f>
        <v>#VALUE!</v>
      </c>
    </row>
    <row r="53" customFormat="false" ht="15.75" hidden="false" customHeight="false" outlineLevel="0" collapsed="false">
      <c r="A53" s="8" t="s">
        <v>499</v>
      </c>
      <c r="B53" s="8" t="n">
        <v>46</v>
      </c>
      <c r="C53" s="8" t="n">
        <v>24</v>
      </c>
      <c r="D53" s="8" t="n">
        <v>2.55</v>
      </c>
      <c r="E53" s="8" t="n">
        <v>0.27</v>
      </c>
      <c r="F53" s="8" t="n">
        <v>600</v>
      </c>
      <c r="G53" s="0" t="str">
        <f aca="false">IFERROR(__xludf.dummyfunction("ROUND(B53/ FILTER('Pokemon CP/HP'!$M$2:$M1000, LOWER('Pokemon CP/HP'!$B$2:$B1000)=LOWER(A53)))"),"9")</f>
        <v>9</v>
      </c>
      <c r="H53" s="0" t="str">
        <f aca="false">IFERROR(__xludf.dummyfunction("FILTER('Leveling Info'!$B$2:$B1000, 'Leveling Info'!$A$2:$A1000 =G53)"),"600")</f>
        <v>600</v>
      </c>
      <c r="I53" s="14" t="n">
        <f aca="false">SQRT(G53)</f>
        <v>3</v>
      </c>
      <c r="J53" s="14" t="str">
        <f aca="false">IFERROR(__xludf.dummyfunction("IF(F53 = H53,C53/FILTER('Base Stats'!$C$2:$C1000, LOWER('Base Stats'!$B$2:$B1000) = LOWER($A53)), """")"),"0.6")</f>
        <v>0.6</v>
      </c>
      <c r="K53" s="0" t="str">
        <f aca="false">IF(F53 = H53, C53/G53, "")</f>
        <v/>
      </c>
      <c r="L53" s="0" t="str">
        <f aca="false">IFERROR(__xludf.dummyfunction("IF(AND(NOT(K53 = """"), G53 &gt;= 15),K53/FILTER('Base Stats'!$C$2:$C1000, LOWER('Base Stats'!$B$2:$B1000) = LOWER($A53)), """")"),"")</f>
        <v/>
      </c>
      <c r="M53" s="0" t="str">
        <f aca="false">IFERROR(__xludf.dummyfunction("1.15 + 0.02 * FILTER('Base Stats'!$C$2:$C1000, LOWER('Base Stats'!$B$2:$B1000) = LOWER($A53))"),"1.95")</f>
        <v>1.95</v>
      </c>
      <c r="N53" s="0" t="e">
        <f aca="false">IFERROR(IF(AND(NOT(K53 = ""), G53 &gt;= 15),K53/M53, ""))</f>
        <v>#VALUE!</v>
      </c>
    </row>
    <row r="54" customFormat="false" ht="15.75" hidden="false" customHeight="false" outlineLevel="0" collapsed="false">
      <c r="A54" s="8" t="s">
        <v>499</v>
      </c>
      <c r="B54" s="8" t="n">
        <v>44</v>
      </c>
      <c r="C54" s="8" t="n">
        <v>23</v>
      </c>
      <c r="D54" s="8" t="n">
        <v>3.35</v>
      </c>
      <c r="E54" s="8" t="n">
        <v>0.31</v>
      </c>
      <c r="F54" s="8" t="n">
        <v>600</v>
      </c>
      <c r="G54" s="0" t="str">
        <f aca="false">IFERROR(__xludf.dummyfunction("ROUND(B54/ FILTER('Pokemon CP/HP'!$M$2:$M1000, LOWER('Pokemon CP/HP'!$B$2:$B1000)=LOWER(A54)))"),"8")</f>
        <v>8</v>
      </c>
      <c r="H54" s="0" t="str">
        <f aca="false">IFERROR(__xludf.dummyfunction("FILTER('Leveling Info'!$B$2:$B1000, 'Leveling Info'!$A$2:$A1000 =G54)"),"400")</f>
        <v>400</v>
      </c>
      <c r="I54" s="14" t="n">
        <f aca="false">SQRT(G54)</f>
        <v>2.82842712474619</v>
      </c>
      <c r="J54" s="14" t="str">
        <f aca="false">IFERROR(__xludf.dummyfunction("IF(F54 = H54,C54/FILTER('Base Stats'!$C$2:$C1000, LOWER('Base Stats'!$B$2:$B1000) = LOWER($A54)), """")"),"")</f>
        <v/>
      </c>
      <c r="K54" s="0" t="str">
        <f aca="false">IF(F54 = H54, C54/G54, "")</f>
        <v/>
      </c>
      <c r="L54" s="0" t="str">
        <f aca="false">IFERROR(__xludf.dummyfunction("IF(AND(NOT(K54 = """"), G54 &gt;= 15),K54/FILTER('Base Stats'!$C$2:$C1000, LOWER('Base Stats'!$B$2:$B1000) = LOWER($A54)), """")"),"")</f>
        <v/>
      </c>
      <c r="M54" s="0" t="str">
        <f aca="false">IFERROR(__xludf.dummyfunction("1.15 + 0.02 * FILTER('Base Stats'!$C$2:$C1000, LOWER('Base Stats'!$B$2:$B1000) = LOWER($A54))"),"1.95")</f>
        <v>1.95</v>
      </c>
      <c r="N54" s="0" t="e">
        <f aca="false">IFERROR(IF(AND(NOT(K54 = ""), G54 &gt;= 15),K54/M54, ""))</f>
        <v>#VALUE!</v>
      </c>
    </row>
    <row r="55" customFormat="false" ht="15.75" hidden="false" customHeight="false" outlineLevel="0" collapsed="false">
      <c r="A55" s="8" t="s">
        <v>499</v>
      </c>
      <c r="B55" s="8" t="n">
        <v>37</v>
      </c>
      <c r="C55" s="8" t="n">
        <v>21</v>
      </c>
      <c r="D55" s="8" t="n">
        <v>1.38</v>
      </c>
      <c r="E55" s="8" t="n">
        <v>0.23</v>
      </c>
      <c r="F55" s="8" t="n">
        <v>400</v>
      </c>
      <c r="G55" s="0" t="str">
        <f aca="false">IFERROR(__xludf.dummyfunction("ROUND(B55/ FILTER('Pokemon CP/HP'!$M$2:$M1000, LOWER('Pokemon CP/HP'!$B$2:$B1000)=LOWER(A55)))"),"7")</f>
        <v>7</v>
      </c>
      <c r="H55" s="0" t="str">
        <f aca="false">IFERROR(__xludf.dummyfunction("FILTER('Leveling Info'!$B$2:$B1000, 'Leveling Info'!$A$2:$A1000 =G55)"),"400")</f>
        <v>400</v>
      </c>
      <c r="I55" s="14" t="n">
        <f aca="false">SQRT(G55)</f>
        <v>2.64575131106459</v>
      </c>
      <c r="J55" s="14" t="str">
        <f aca="false">IFERROR(__xludf.dummyfunction("IF(F55 = H55,C55/FILTER('Base Stats'!$C$2:$C1000, LOWER('Base Stats'!$B$2:$B1000) = LOWER($A55)), """")"),"0.525")</f>
        <v>0.525</v>
      </c>
      <c r="K55" s="0" t="str">
        <f aca="false">IF(F55 = H55, C55/G55, "")</f>
        <v/>
      </c>
      <c r="L55" s="0" t="str">
        <f aca="false">IFERROR(__xludf.dummyfunction("IF(AND(NOT(K55 = """"), G55 &gt;= 15),K55/FILTER('Base Stats'!$C$2:$C1000, LOWER('Base Stats'!$B$2:$B1000) = LOWER($A55)), """")"),"")</f>
        <v/>
      </c>
      <c r="M55" s="0" t="str">
        <f aca="false">IFERROR(__xludf.dummyfunction("1.15 + 0.02 * FILTER('Base Stats'!$C$2:$C1000, LOWER('Base Stats'!$B$2:$B1000) = LOWER($A55))"),"1.95")</f>
        <v>1.95</v>
      </c>
      <c r="N55" s="0" t="e">
        <f aca="false">IFERROR(IF(AND(NOT(K55 = ""), G55 &gt;= 15),K55/M55, ""))</f>
        <v>#VALUE!</v>
      </c>
    </row>
    <row r="56" customFormat="false" ht="15.75" hidden="false" customHeight="false" outlineLevel="0" collapsed="false">
      <c r="A56" s="8" t="s">
        <v>499</v>
      </c>
      <c r="B56" s="8" t="n">
        <v>37</v>
      </c>
      <c r="C56" s="8" t="n">
        <v>20</v>
      </c>
      <c r="D56" s="8" t="n">
        <v>3.64</v>
      </c>
      <c r="E56" s="8" t="n">
        <v>0.32</v>
      </c>
      <c r="F56" s="8" t="n">
        <v>400</v>
      </c>
      <c r="G56" s="0" t="str">
        <f aca="false">IFERROR(__xludf.dummyfunction("ROUND(B56/ FILTER('Pokemon CP/HP'!$M$2:$M1000, LOWER('Pokemon CP/HP'!$B$2:$B1000)=LOWER(A56)))"),"7")</f>
        <v>7</v>
      </c>
      <c r="H56" s="0" t="str">
        <f aca="false">IFERROR(__xludf.dummyfunction("FILTER('Leveling Info'!$B$2:$B1000, 'Leveling Info'!$A$2:$A1000 =G56)"),"400")</f>
        <v>400</v>
      </c>
      <c r="I56" s="14" t="n">
        <f aca="false">SQRT(G56)</f>
        <v>2.64575131106459</v>
      </c>
      <c r="J56" s="14" t="str">
        <f aca="false">IFERROR(__xludf.dummyfunction("IF(F56 = H56,C56/FILTER('Base Stats'!$C$2:$C1000, LOWER('Base Stats'!$B$2:$B1000) = LOWER($A56)), """")"),"0.5")</f>
        <v>0.5</v>
      </c>
      <c r="K56" s="0" t="str">
        <f aca="false">IF(F56 = H56, C56/G56, "")</f>
        <v/>
      </c>
      <c r="L56" s="0" t="str">
        <f aca="false">IFERROR(__xludf.dummyfunction("IF(AND(NOT(K56 = """"), G56 &gt;= 15),K56/FILTER('Base Stats'!$C$2:$C1000, LOWER('Base Stats'!$B$2:$B1000) = LOWER($A56)), """")"),"")</f>
        <v/>
      </c>
      <c r="M56" s="0" t="str">
        <f aca="false">IFERROR(__xludf.dummyfunction("1.15 + 0.02 * FILTER('Base Stats'!$C$2:$C1000, LOWER('Base Stats'!$B$2:$B1000) = LOWER($A56))"),"1.95")</f>
        <v>1.95</v>
      </c>
      <c r="N56" s="0" t="e">
        <f aca="false">IFERROR(IF(AND(NOT(K56 = ""), G56 &gt;= 15),K56/M56, ""))</f>
        <v>#VALUE!</v>
      </c>
    </row>
    <row r="57" customFormat="false" ht="15.75" hidden="false" customHeight="false" outlineLevel="0" collapsed="false">
      <c r="A57" s="8" t="s">
        <v>499</v>
      </c>
      <c r="B57" s="8" t="n">
        <v>37</v>
      </c>
      <c r="C57" s="8" t="n">
        <v>21</v>
      </c>
      <c r="D57" s="8" t="n">
        <v>2.46</v>
      </c>
      <c r="E57" s="8" t="n">
        <v>0.27</v>
      </c>
      <c r="F57" s="8" t="n">
        <v>400</v>
      </c>
      <c r="G57" s="0" t="str">
        <f aca="false">IFERROR(__xludf.dummyfunction("ROUND(B57/ FILTER('Pokemon CP/HP'!$M$2:$M1000, LOWER('Pokemon CP/HP'!$B$2:$B1000)=LOWER(A57)))"),"7")</f>
        <v>7</v>
      </c>
      <c r="H57" s="0" t="str">
        <f aca="false">IFERROR(__xludf.dummyfunction("FILTER('Leveling Info'!$B$2:$B1000, 'Leveling Info'!$A$2:$A1000 =G57)"),"400")</f>
        <v>400</v>
      </c>
      <c r="I57" s="14" t="n">
        <f aca="false">SQRT(G57)</f>
        <v>2.64575131106459</v>
      </c>
      <c r="J57" s="14" t="str">
        <f aca="false">IFERROR(__xludf.dummyfunction("IF(F57 = H57,C57/FILTER('Base Stats'!$C$2:$C1000, LOWER('Base Stats'!$B$2:$B1000) = LOWER($A57)), """")"),"0.525")</f>
        <v>0.525</v>
      </c>
      <c r="K57" s="0" t="str">
        <f aca="false">IF(F57 = H57, C57/G57, "")</f>
        <v/>
      </c>
      <c r="L57" s="0" t="str">
        <f aca="false">IFERROR(__xludf.dummyfunction("IF(AND(NOT(K57 = """"), G57 &gt;= 15),K57/FILTER('Base Stats'!$C$2:$C1000, LOWER('Base Stats'!$B$2:$B1000) = LOWER($A57)), """")"),"")</f>
        <v/>
      </c>
      <c r="M57" s="0" t="str">
        <f aca="false">IFERROR(__xludf.dummyfunction("1.15 + 0.02 * FILTER('Base Stats'!$C$2:$C1000, LOWER('Base Stats'!$B$2:$B1000) = LOWER($A57))"),"1.95")</f>
        <v>1.95</v>
      </c>
      <c r="N57" s="0" t="e">
        <f aca="false">IFERROR(IF(AND(NOT(K57 = ""), G57 &gt;= 15),K57/M57, ""))</f>
        <v>#VALUE!</v>
      </c>
    </row>
    <row r="58" customFormat="false" ht="15.75" hidden="false" customHeight="false" outlineLevel="0" collapsed="false">
      <c r="A58" s="8" t="s">
        <v>499</v>
      </c>
      <c r="B58" s="8" t="n">
        <v>35</v>
      </c>
      <c r="C58" s="8" t="n">
        <v>20</v>
      </c>
      <c r="D58" s="8" t="n">
        <v>2.7</v>
      </c>
      <c r="E58" s="8" t="n">
        <v>0.25</v>
      </c>
      <c r="F58" s="8" t="n">
        <v>400</v>
      </c>
      <c r="G58" s="0" t="str">
        <f aca="false">IFERROR(__xludf.dummyfunction("ROUND(B58/ FILTER('Pokemon CP/HP'!$M$2:$M1000, LOWER('Pokemon CP/HP'!$B$2:$B1000)=LOWER(A58)))"),"7")</f>
        <v>7</v>
      </c>
      <c r="H58" s="0" t="str">
        <f aca="false">IFERROR(__xludf.dummyfunction("FILTER('Leveling Info'!$B$2:$B1000, 'Leveling Info'!$A$2:$A1000 =G58)"),"400")</f>
        <v>400</v>
      </c>
      <c r="I58" s="14" t="n">
        <f aca="false">SQRT(G58)</f>
        <v>2.64575131106459</v>
      </c>
      <c r="J58" s="14" t="str">
        <f aca="false">IFERROR(__xludf.dummyfunction("IF(F58 = H58,C58/FILTER('Base Stats'!$C$2:$C1000, LOWER('Base Stats'!$B$2:$B1000) = LOWER($A58)), """")"),"0.5")</f>
        <v>0.5</v>
      </c>
      <c r="K58" s="0" t="str">
        <f aca="false">IF(F58 = H58, C58/G58, "")</f>
        <v/>
      </c>
      <c r="L58" s="0" t="str">
        <f aca="false">IFERROR(__xludf.dummyfunction("IF(AND(NOT(K58 = """"), G58 &gt;= 15),K58/FILTER('Base Stats'!$C$2:$C1000, LOWER('Base Stats'!$B$2:$B1000) = LOWER($A58)), """")"),"")</f>
        <v/>
      </c>
      <c r="M58" s="0" t="str">
        <f aca="false">IFERROR(__xludf.dummyfunction("1.15 + 0.02 * FILTER('Base Stats'!$C$2:$C1000, LOWER('Base Stats'!$B$2:$B1000) = LOWER($A58))"),"1.95")</f>
        <v>1.95</v>
      </c>
      <c r="N58" s="0" t="e">
        <f aca="false">IFERROR(IF(AND(NOT(K58 = ""), G58 &gt;= 15),K58/M58, ""))</f>
        <v>#VALUE!</v>
      </c>
    </row>
    <row r="59" customFormat="false" ht="15.75" hidden="false" customHeight="false" outlineLevel="0" collapsed="false">
      <c r="A59" s="8" t="s">
        <v>499</v>
      </c>
      <c r="B59" s="8" t="n">
        <v>35</v>
      </c>
      <c r="C59" s="8" t="n">
        <v>21</v>
      </c>
      <c r="D59" s="8" t="n">
        <v>3.85</v>
      </c>
      <c r="E59" s="8" t="n">
        <v>0.34</v>
      </c>
      <c r="F59" s="8" t="n">
        <v>400</v>
      </c>
      <c r="G59" s="0" t="str">
        <f aca="false">IFERROR(__xludf.dummyfunction("ROUND(B59/ FILTER('Pokemon CP/HP'!$M$2:$M1000, LOWER('Pokemon CP/HP'!$B$2:$B1000)=LOWER(A59)))"),"7")</f>
        <v>7</v>
      </c>
      <c r="H59" s="0" t="str">
        <f aca="false">IFERROR(__xludf.dummyfunction("FILTER('Leveling Info'!$B$2:$B1000, 'Leveling Info'!$A$2:$A1000 =G59)"),"400")</f>
        <v>400</v>
      </c>
      <c r="I59" s="14" t="n">
        <f aca="false">SQRT(G59)</f>
        <v>2.64575131106459</v>
      </c>
      <c r="J59" s="14" t="str">
        <f aca="false">IFERROR(__xludf.dummyfunction("IF(F59 = H59,C59/FILTER('Base Stats'!$C$2:$C1000, LOWER('Base Stats'!$B$2:$B1000) = LOWER($A59)), """")"),"0.525")</f>
        <v>0.525</v>
      </c>
      <c r="K59" s="0" t="str">
        <f aca="false">IF(F59 = H59, C59/G59, "")</f>
        <v/>
      </c>
      <c r="L59" s="0" t="str">
        <f aca="false">IFERROR(__xludf.dummyfunction("IF(AND(NOT(K59 = """"), G59 &gt;= 15),K59/FILTER('Base Stats'!$C$2:$C1000, LOWER('Base Stats'!$B$2:$B1000) = LOWER($A59)), """")"),"")</f>
        <v/>
      </c>
      <c r="M59" s="0" t="str">
        <f aca="false">IFERROR(__xludf.dummyfunction("1.15 + 0.02 * FILTER('Base Stats'!$C$2:$C1000, LOWER('Base Stats'!$B$2:$B1000) = LOWER($A59))"),"1.95")</f>
        <v>1.95</v>
      </c>
      <c r="N59" s="0" t="e">
        <f aca="false">IFERROR(IF(AND(NOT(K59 = ""), G59 &gt;= 15),K59/M59, ""))</f>
        <v>#VALUE!</v>
      </c>
    </row>
    <row r="60" customFormat="false" ht="15.75" hidden="false" customHeight="false" outlineLevel="0" collapsed="false">
      <c r="A60" s="8" t="s">
        <v>499</v>
      </c>
      <c r="B60" s="8" t="n">
        <v>35</v>
      </c>
      <c r="C60" s="8" t="n">
        <v>22</v>
      </c>
      <c r="D60" s="8" t="n">
        <v>3.97</v>
      </c>
      <c r="E60" s="8" t="n">
        <v>0.34</v>
      </c>
      <c r="F60" s="8" t="n">
        <v>400</v>
      </c>
      <c r="G60" s="0" t="str">
        <f aca="false">IFERROR(__xludf.dummyfunction("ROUND(B60/ FILTER('Pokemon CP/HP'!$M$2:$M1000, LOWER('Pokemon CP/HP'!$B$2:$B1000)=LOWER(A60)))"),"7")</f>
        <v>7</v>
      </c>
      <c r="H60" s="0" t="str">
        <f aca="false">IFERROR(__xludf.dummyfunction("FILTER('Leveling Info'!$B$2:$B1000, 'Leveling Info'!$A$2:$A1000 =G60)"),"400")</f>
        <v>400</v>
      </c>
      <c r="I60" s="14" t="n">
        <f aca="false">SQRT(G60)</f>
        <v>2.64575131106459</v>
      </c>
      <c r="J60" s="14" t="str">
        <f aca="false">IFERROR(__xludf.dummyfunction("IF(F60 = H60,C60/FILTER('Base Stats'!$C$2:$C1000, LOWER('Base Stats'!$B$2:$B1000) = LOWER($A60)), """")"),"0.55")</f>
        <v>0.55</v>
      </c>
      <c r="K60" s="0" t="str">
        <f aca="false">IF(F60 = H60, C60/G60, "")</f>
        <v/>
      </c>
      <c r="L60" s="0" t="str">
        <f aca="false">IFERROR(__xludf.dummyfunction("IF(AND(NOT(K60 = """"), G60 &gt;= 15),K60/FILTER('Base Stats'!$C$2:$C1000, LOWER('Base Stats'!$B$2:$B1000) = LOWER($A60)), """")"),"")</f>
        <v/>
      </c>
      <c r="M60" s="0" t="str">
        <f aca="false">IFERROR(__xludf.dummyfunction("1.15 + 0.02 * FILTER('Base Stats'!$C$2:$C1000, LOWER('Base Stats'!$B$2:$B1000) = LOWER($A60))"),"1.95")</f>
        <v>1.95</v>
      </c>
      <c r="N60" s="0" t="e">
        <f aca="false">IFERROR(IF(AND(NOT(K60 = ""), G60 &gt;= 15),K60/M60, ""))</f>
        <v>#VALUE!</v>
      </c>
    </row>
    <row r="61" customFormat="false" ht="15.75" hidden="false" customHeight="false" outlineLevel="0" collapsed="false">
      <c r="A61" s="8" t="s">
        <v>499</v>
      </c>
      <c r="B61" s="8" t="n">
        <v>27</v>
      </c>
      <c r="C61" s="8" t="n">
        <v>20</v>
      </c>
      <c r="D61" s="8" t="n">
        <v>2.67</v>
      </c>
      <c r="E61" s="8" t="n">
        <v>0.32</v>
      </c>
      <c r="F61" s="8" t="n">
        <v>400</v>
      </c>
      <c r="G61" s="0" t="str">
        <f aca="false">IFERROR(__xludf.dummyfunction("ROUND(B61/ FILTER('Pokemon CP/HP'!$M$2:$M1000, LOWER('Pokemon CP/HP'!$B$2:$B1000)=LOWER(A61)))"),"5")</f>
        <v>5</v>
      </c>
      <c r="H61" s="0" t="str">
        <f aca="false">IFERROR(__xludf.dummyfunction("FILTER('Leveling Info'!$B$2:$B1000, 'Leveling Info'!$A$2:$A1000 =G61)"),"400")</f>
        <v>400</v>
      </c>
      <c r="I61" s="14" t="n">
        <f aca="false">SQRT(G61)</f>
        <v>2.23606797749979</v>
      </c>
      <c r="J61" s="14" t="str">
        <f aca="false">IFERROR(__xludf.dummyfunction("IF(F61 = H61,C61/FILTER('Base Stats'!$C$2:$C1000, LOWER('Base Stats'!$B$2:$B1000) = LOWER($A61)), """")"),"0.5")</f>
        <v>0.5</v>
      </c>
      <c r="K61" s="0" t="str">
        <f aca="false">IF(F61 = H61, C61/G61, "")</f>
        <v/>
      </c>
      <c r="L61" s="0" t="str">
        <f aca="false">IFERROR(__xludf.dummyfunction("IF(AND(NOT(K61 = """"), G61 &gt;= 15),K61/FILTER('Base Stats'!$C$2:$C1000, LOWER('Base Stats'!$B$2:$B1000) = LOWER($A61)), """")"),"")</f>
        <v/>
      </c>
      <c r="M61" s="0" t="str">
        <f aca="false">IFERROR(__xludf.dummyfunction("1.15 + 0.02 * FILTER('Base Stats'!$C$2:$C1000, LOWER('Base Stats'!$B$2:$B1000) = LOWER($A61))"),"1.95")</f>
        <v>1.95</v>
      </c>
      <c r="N61" s="0" t="e">
        <f aca="false">IFERROR(IF(AND(NOT(K61 = ""), G61 &gt;= 15),K61/M61, ""))</f>
        <v>#VALUE!</v>
      </c>
    </row>
    <row r="62" customFormat="false" ht="15.75" hidden="false" customHeight="false" outlineLevel="0" collapsed="false">
      <c r="A62" s="8" t="s">
        <v>499</v>
      </c>
      <c r="B62" s="8" t="n">
        <v>27</v>
      </c>
      <c r="C62" s="8" t="n">
        <v>20</v>
      </c>
      <c r="D62" s="8" t="n">
        <v>3.91</v>
      </c>
      <c r="E62" s="8" t="n">
        <v>0.35</v>
      </c>
      <c r="F62" s="8" t="n">
        <v>400</v>
      </c>
      <c r="G62" s="0" t="str">
        <f aca="false">IFERROR(__xludf.dummyfunction("ROUND(B62/ FILTER('Pokemon CP/HP'!$M$2:$M1000, LOWER('Pokemon CP/HP'!$B$2:$B1000)=LOWER(A62)))"),"5")</f>
        <v>5</v>
      </c>
      <c r="H62" s="0" t="str">
        <f aca="false">IFERROR(__xludf.dummyfunction("FILTER('Leveling Info'!$B$2:$B1000, 'Leveling Info'!$A$2:$A1000 =G62)"),"400")</f>
        <v>400</v>
      </c>
      <c r="I62" s="14" t="n">
        <f aca="false">SQRT(G62)</f>
        <v>2.23606797749979</v>
      </c>
      <c r="J62" s="14" t="str">
        <f aca="false">IFERROR(__xludf.dummyfunction("IF(F62 = H62,C62/FILTER('Base Stats'!$C$2:$C1000, LOWER('Base Stats'!$B$2:$B1000) = LOWER($A62)), """")"),"0.5")</f>
        <v>0.5</v>
      </c>
      <c r="K62" s="0" t="str">
        <f aca="false">IF(F62 = H62, C62/G62, "")</f>
        <v/>
      </c>
      <c r="L62" s="0" t="str">
        <f aca="false">IFERROR(__xludf.dummyfunction("IF(AND(NOT(K62 = """"), G62 &gt;= 15),K62/FILTER('Base Stats'!$C$2:$C1000, LOWER('Base Stats'!$B$2:$B1000) = LOWER($A62)), """")"),"")</f>
        <v/>
      </c>
      <c r="M62" s="0" t="str">
        <f aca="false">IFERROR(__xludf.dummyfunction("1.15 + 0.02 * FILTER('Base Stats'!$C$2:$C1000, LOWER('Base Stats'!$B$2:$B1000) = LOWER($A62))"),"1.95")</f>
        <v>1.95</v>
      </c>
      <c r="N62" s="0" t="e">
        <f aca="false">IFERROR(IF(AND(NOT(K62 = ""), G62 &gt;= 15),K62/M62, ""))</f>
        <v>#VALUE!</v>
      </c>
    </row>
    <row r="63" customFormat="false" ht="15.75" hidden="false" customHeight="false" outlineLevel="0" collapsed="false">
      <c r="A63" s="8" t="s">
        <v>499</v>
      </c>
      <c r="B63" s="8" t="n">
        <v>26</v>
      </c>
      <c r="C63" s="8" t="n">
        <v>20</v>
      </c>
      <c r="D63" s="8" t="n">
        <v>2.8</v>
      </c>
      <c r="E63" s="8" t="n">
        <v>0.29</v>
      </c>
      <c r="F63" s="8" t="n">
        <v>400</v>
      </c>
      <c r="G63" s="0" t="str">
        <f aca="false">IFERROR(__xludf.dummyfunction("ROUND(B63/ FILTER('Pokemon CP/HP'!$M$2:$M1000, LOWER('Pokemon CP/HP'!$B$2:$B1000)=LOWER(A63)))"),"5")</f>
        <v>5</v>
      </c>
      <c r="H63" s="0" t="str">
        <f aca="false">IFERROR(__xludf.dummyfunction("FILTER('Leveling Info'!$B$2:$B1000, 'Leveling Info'!$A$2:$A1000 =G63)"),"400")</f>
        <v>400</v>
      </c>
      <c r="I63" s="14" t="n">
        <f aca="false">SQRT(G63)</f>
        <v>2.23606797749979</v>
      </c>
      <c r="J63" s="14" t="str">
        <f aca="false">IFERROR(__xludf.dummyfunction("IF(F63 = H63,C63/FILTER('Base Stats'!$C$2:$C1000, LOWER('Base Stats'!$B$2:$B1000) = LOWER($A63)), """")"),"0.5")</f>
        <v>0.5</v>
      </c>
      <c r="K63" s="0" t="str">
        <f aca="false">IF(F63 = H63, C63/G63, "")</f>
        <v/>
      </c>
      <c r="L63" s="0" t="str">
        <f aca="false">IFERROR(__xludf.dummyfunction("IF(AND(NOT(K63 = """"), G63 &gt;= 15),K63/FILTER('Base Stats'!$C$2:$C1000, LOWER('Base Stats'!$B$2:$B1000) = LOWER($A63)), """")"),"")</f>
        <v/>
      </c>
      <c r="M63" s="0" t="str">
        <f aca="false">IFERROR(__xludf.dummyfunction("1.15 + 0.02 * FILTER('Base Stats'!$C$2:$C1000, LOWER('Base Stats'!$B$2:$B1000) = LOWER($A63))"),"1.95")</f>
        <v>1.95</v>
      </c>
      <c r="N63" s="0" t="e">
        <f aca="false">IFERROR(IF(AND(NOT(K63 = ""), G63 &gt;= 15),K63/M63, ""))</f>
        <v>#VALUE!</v>
      </c>
    </row>
    <row r="64" customFormat="false" ht="15.75" hidden="false" customHeight="false" outlineLevel="0" collapsed="false">
      <c r="A64" s="8" t="s">
        <v>499</v>
      </c>
      <c r="B64" s="8" t="n">
        <v>16</v>
      </c>
      <c r="C64" s="8" t="n">
        <v>15</v>
      </c>
      <c r="D64" s="8" t="n">
        <v>1.89</v>
      </c>
      <c r="E64" s="8" t="n">
        <v>0.26</v>
      </c>
      <c r="F64" s="8" t="n">
        <v>200</v>
      </c>
      <c r="G64" s="0" t="str">
        <f aca="false">IFERROR(__xludf.dummyfunction("ROUND(B64/ FILTER('Pokemon CP/HP'!$M$2:$M1000, LOWER('Pokemon CP/HP'!$B$2:$B1000)=LOWER(A64)))"),"3")</f>
        <v>3</v>
      </c>
      <c r="H64" s="0" t="str">
        <f aca="false">IFERROR(__xludf.dummyfunction("FILTER('Leveling Info'!$B$2:$B1000, 'Leveling Info'!$A$2:$A1000 =G64)"),"200")</f>
        <v>200</v>
      </c>
      <c r="I64" s="14" t="n">
        <f aca="false">SQRT(G64)</f>
        <v>1.73205080756888</v>
      </c>
      <c r="J64" s="14" t="str">
        <f aca="false">IFERROR(__xludf.dummyfunction("IF(F64 = H64,C64/FILTER('Base Stats'!$C$2:$C1000, LOWER('Base Stats'!$B$2:$B1000) = LOWER($A64)), """")"),"0.375")</f>
        <v>0.375</v>
      </c>
      <c r="K64" s="0" t="str">
        <f aca="false">IF(F64 = H64, C64/G64, "")</f>
        <v/>
      </c>
      <c r="L64" s="0" t="str">
        <f aca="false">IFERROR(__xludf.dummyfunction("IF(AND(NOT(K64 = """"), G64 &gt;= 15),K64/FILTER('Base Stats'!$C$2:$C1000, LOWER('Base Stats'!$B$2:$B1000) = LOWER($A64)), """")"),"")</f>
        <v/>
      </c>
      <c r="M64" s="0" t="str">
        <f aca="false">IFERROR(__xludf.dummyfunction("1.15 + 0.02 * FILTER('Base Stats'!$C$2:$C1000, LOWER('Base Stats'!$B$2:$B1000) = LOWER($A64))"),"1.95")</f>
        <v>1.95</v>
      </c>
      <c r="N64" s="0" t="e">
        <f aca="false">IFERROR(IF(AND(NOT(K64 = ""), G64 &gt;= 15),K64/M64, ""))</f>
        <v>#VALUE!</v>
      </c>
    </row>
    <row r="65" customFormat="false" ht="15.75" hidden="false" customHeight="false" outlineLevel="0" collapsed="false">
      <c r="A65" s="8" t="s">
        <v>499</v>
      </c>
      <c r="B65" s="8" t="n">
        <v>15</v>
      </c>
      <c r="C65" s="8" t="n">
        <v>14</v>
      </c>
      <c r="D65" s="8" t="n">
        <v>3.18</v>
      </c>
      <c r="E65" s="8" t="n">
        <v>0.29</v>
      </c>
      <c r="F65" s="8" t="n">
        <v>200</v>
      </c>
      <c r="G65" s="0" t="str">
        <f aca="false">IFERROR(__xludf.dummyfunction("ROUND(B65/ FILTER('Pokemon CP/HP'!$M$2:$M1000, LOWER('Pokemon CP/HP'!$B$2:$B1000)=LOWER(A65)))"),"3")</f>
        <v>3</v>
      </c>
      <c r="H65" s="0" t="str">
        <f aca="false">IFERROR(__xludf.dummyfunction("FILTER('Leveling Info'!$B$2:$B1000, 'Leveling Info'!$A$2:$A1000 =G65)"),"200")</f>
        <v>200</v>
      </c>
      <c r="I65" s="14" t="n">
        <f aca="false">SQRT(G65)</f>
        <v>1.73205080756888</v>
      </c>
      <c r="J65" s="14" t="str">
        <f aca="false">IFERROR(__xludf.dummyfunction("IF(F65 = H65,C65/FILTER('Base Stats'!$C$2:$C1000, LOWER('Base Stats'!$B$2:$B1000) = LOWER($A65)), """")"),"0.35")</f>
        <v>0.35</v>
      </c>
      <c r="K65" s="0" t="str">
        <f aca="false">IF(F65 = H65, C65/G65, "")</f>
        <v/>
      </c>
      <c r="L65" s="0" t="str">
        <f aca="false">IFERROR(__xludf.dummyfunction("IF(AND(NOT(K65 = """"), G65 &gt;= 15),K65/FILTER('Base Stats'!$C$2:$C1000, LOWER('Base Stats'!$B$2:$B1000) = LOWER($A65)), """")"),"")</f>
        <v/>
      </c>
      <c r="M65" s="0" t="str">
        <f aca="false">IFERROR(__xludf.dummyfunction("1.15 + 0.02 * FILTER('Base Stats'!$C$2:$C1000, LOWER('Base Stats'!$B$2:$B1000) = LOWER($A65))"),"1.95")</f>
        <v>1.95</v>
      </c>
      <c r="N65" s="0" t="e">
        <f aca="false">IFERROR(IF(AND(NOT(K65 = ""), G65 &gt;= 15),K65/M65, ""))</f>
        <v>#VALUE!</v>
      </c>
    </row>
    <row r="66" customFormat="false" ht="15.75" hidden="false" customHeight="false" outlineLevel="0" collapsed="false">
      <c r="A66" s="8" t="s">
        <v>499</v>
      </c>
      <c r="B66" s="8" t="n">
        <v>15</v>
      </c>
      <c r="C66" s="8" t="n">
        <v>15</v>
      </c>
      <c r="D66" s="8" t="n">
        <v>3.65</v>
      </c>
      <c r="E66" s="8" t="n">
        <v>0.32</v>
      </c>
      <c r="F66" s="8" t="n">
        <v>400</v>
      </c>
      <c r="G66" s="0" t="str">
        <f aca="false">IFERROR(__xludf.dummyfunction("ROUND(B66/ FILTER('Pokemon CP/HP'!$M$2:$M1000, LOWER('Pokemon CP/HP'!$B$2:$B1000)=LOWER(A66)))"),"3")</f>
        <v>3</v>
      </c>
      <c r="H66" s="0" t="str">
        <f aca="false">IFERROR(__xludf.dummyfunction("FILTER('Leveling Info'!$B$2:$B1000, 'Leveling Info'!$A$2:$A1000 =G66)"),"200")</f>
        <v>200</v>
      </c>
      <c r="I66" s="14" t="n">
        <f aca="false">SQRT(G66)</f>
        <v>1.73205080756888</v>
      </c>
      <c r="J66" s="14" t="str">
        <f aca="false">IFERROR(__xludf.dummyfunction("IF(F66 = H66,C66/FILTER('Base Stats'!$C$2:$C1000, LOWER('Base Stats'!$B$2:$B1000) = LOWER($A66)), """")"),"")</f>
        <v/>
      </c>
      <c r="K66" s="0" t="str">
        <f aca="false">IF(F66 = H66, C66/G66, "")</f>
        <v/>
      </c>
      <c r="L66" s="0" t="str">
        <f aca="false">IFERROR(__xludf.dummyfunction("IF(AND(NOT(K66 = """"), G66 &gt;= 15),K66/FILTER('Base Stats'!$C$2:$C1000, LOWER('Base Stats'!$B$2:$B1000) = LOWER($A66)), """")"),"")</f>
        <v/>
      </c>
      <c r="M66" s="0" t="str">
        <f aca="false">IFERROR(__xludf.dummyfunction("1.15 + 0.02 * FILTER('Base Stats'!$C$2:$C1000, LOWER('Base Stats'!$B$2:$B1000) = LOWER($A66))"),"1.95")</f>
        <v>1.95</v>
      </c>
      <c r="N66" s="0" t="e">
        <f aca="false">IFERROR(IF(AND(NOT(K66 = ""), G66 &gt;= 15),K66/M66, ""))</f>
        <v>#VALUE!</v>
      </c>
    </row>
    <row r="67" customFormat="false" ht="15.75" hidden="false" customHeight="false" outlineLevel="0" collapsed="false">
      <c r="A67" s="8" t="s">
        <v>499</v>
      </c>
      <c r="B67" s="8" t="n">
        <v>14</v>
      </c>
      <c r="C67" s="8" t="n">
        <v>14</v>
      </c>
      <c r="D67" s="8" t="n">
        <v>2.55</v>
      </c>
      <c r="E67" s="8" t="n">
        <v>0.29</v>
      </c>
      <c r="F67" s="8" t="n">
        <v>200</v>
      </c>
      <c r="G67" s="0" t="str">
        <f aca="false">IFERROR(__xludf.dummyfunction("ROUND(B67/ FILTER('Pokemon CP/HP'!$M$2:$M1000, LOWER('Pokemon CP/HP'!$B$2:$B1000)=LOWER(A67)))"),"3")</f>
        <v>3</v>
      </c>
      <c r="H67" s="0" t="str">
        <f aca="false">IFERROR(__xludf.dummyfunction("FILTER('Leveling Info'!$B$2:$B1000, 'Leveling Info'!$A$2:$A1000 =G67)"),"200")</f>
        <v>200</v>
      </c>
      <c r="I67" s="14" t="n">
        <f aca="false">SQRT(G67)</f>
        <v>1.73205080756888</v>
      </c>
      <c r="J67" s="14" t="str">
        <f aca="false">IFERROR(__xludf.dummyfunction("IF(F67 = H67,C67/FILTER('Base Stats'!$C$2:$C1000, LOWER('Base Stats'!$B$2:$B1000) = LOWER($A67)), """")"),"0.35")</f>
        <v>0.35</v>
      </c>
      <c r="K67" s="0" t="str">
        <f aca="false">IF(F67 = H67, C67/G67, "")</f>
        <v/>
      </c>
      <c r="L67" s="0" t="str">
        <f aca="false">IFERROR(__xludf.dummyfunction("IF(AND(NOT(K67 = """"), G67 &gt;= 15),K67/FILTER('Base Stats'!$C$2:$C1000, LOWER('Base Stats'!$B$2:$B1000) = LOWER($A67)), """")"),"")</f>
        <v/>
      </c>
      <c r="M67" s="0" t="str">
        <f aca="false">IFERROR(__xludf.dummyfunction("1.15 + 0.02 * FILTER('Base Stats'!$C$2:$C1000, LOWER('Base Stats'!$B$2:$B1000) = LOWER($A67))"),"1.95")</f>
        <v>1.95</v>
      </c>
      <c r="N67" s="0" t="e">
        <f aca="false">IFERROR(IF(AND(NOT(K67 = ""), G67 &gt;= 15),K67/M67, ""))</f>
        <v>#VALUE!</v>
      </c>
    </row>
    <row r="68" customFormat="false" ht="15.75" hidden="false" customHeight="false" outlineLevel="0" collapsed="false">
      <c r="A68" s="8" t="s">
        <v>499</v>
      </c>
      <c r="B68" s="8" t="n">
        <v>14</v>
      </c>
      <c r="C68" s="8" t="n">
        <v>14</v>
      </c>
      <c r="D68" s="8" t="n">
        <v>3.82</v>
      </c>
      <c r="E68" s="8" t="n">
        <v>0.36</v>
      </c>
      <c r="F68" s="8" t="n">
        <v>200</v>
      </c>
      <c r="G68" s="0" t="str">
        <f aca="false">IFERROR(__xludf.dummyfunction("ROUND(B68/ FILTER('Pokemon CP/HP'!$M$2:$M1000, LOWER('Pokemon CP/HP'!$B$2:$B1000)=LOWER(A68)))"),"3")</f>
        <v>3</v>
      </c>
      <c r="H68" s="0" t="str">
        <f aca="false">IFERROR(__xludf.dummyfunction("FILTER('Leveling Info'!$B$2:$B1000, 'Leveling Info'!$A$2:$A1000 =G68)"),"200")</f>
        <v>200</v>
      </c>
      <c r="I68" s="14" t="n">
        <f aca="false">SQRT(G68)</f>
        <v>1.73205080756888</v>
      </c>
      <c r="J68" s="14" t="str">
        <f aca="false">IFERROR(__xludf.dummyfunction("IF(F68 = H68,C68/FILTER('Base Stats'!$C$2:$C1000, LOWER('Base Stats'!$B$2:$B1000) = LOWER($A68)), """")"),"0.35")</f>
        <v>0.35</v>
      </c>
      <c r="K68" s="0" t="str">
        <f aca="false">IF(F68 = H68, C68/G68, "")</f>
        <v/>
      </c>
      <c r="L68" s="0" t="str">
        <f aca="false">IFERROR(__xludf.dummyfunction("IF(AND(NOT(K68 = """"), G68 &gt;= 15),K68/FILTER('Base Stats'!$C$2:$C1000, LOWER('Base Stats'!$B$2:$B1000) = LOWER($A68)), """")"),"")</f>
        <v/>
      </c>
      <c r="M68" s="0" t="str">
        <f aca="false">IFERROR(__xludf.dummyfunction("1.15 + 0.02 * FILTER('Base Stats'!$C$2:$C1000, LOWER('Base Stats'!$B$2:$B1000) = LOWER($A68))"),"1.95")</f>
        <v>1.95</v>
      </c>
      <c r="N68" s="0" t="e">
        <f aca="false">IFERROR(IF(AND(NOT(K68 = ""), G68 &gt;= 15),K68/M68, ""))</f>
        <v>#VALUE!</v>
      </c>
    </row>
    <row r="69" customFormat="false" ht="15.75" hidden="false" customHeight="false" outlineLevel="0" collapsed="false">
      <c r="A69" s="8" t="s">
        <v>499</v>
      </c>
      <c r="B69" s="8" t="n">
        <v>10</v>
      </c>
      <c r="C69" s="8" t="n">
        <v>10</v>
      </c>
      <c r="D69" s="8" t="n">
        <v>3.3</v>
      </c>
      <c r="E69" s="8" t="n">
        <v>0.31</v>
      </c>
      <c r="F69" s="8" t="n">
        <v>200</v>
      </c>
      <c r="G69" s="0" t="str">
        <f aca="false">IFERROR(__xludf.dummyfunction("ROUND(B69/ FILTER('Pokemon CP/HP'!$M$2:$M1000, LOWER('Pokemon CP/HP'!$B$2:$B1000)=LOWER(A69)))"),"2")</f>
        <v>2</v>
      </c>
      <c r="H69" s="0" t="str">
        <f aca="false">IFERROR(__xludf.dummyfunction("FILTER('Leveling Info'!$B$2:$B1000, 'Leveling Info'!$A$2:$A1000 =G69)"),"200")</f>
        <v>200</v>
      </c>
      <c r="I69" s="14" t="n">
        <f aca="false">SQRT(G69)</f>
        <v>1.4142135623731</v>
      </c>
      <c r="J69" s="14" t="str">
        <f aca="false">IFERROR(__xludf.dummyfunction("IF(F69 = H69,C69/FILTER('Base Stats'!$C$2:$C1000, LOWER('Base Stats'!$B$2:$B1000) = LOWER($A69)), """")"),"0.25")</f>
        <v>0.25</v>
      </c>
      <c r="K69" s="0" t="str">
        <f aca="false">IF(F69 = H69, C69/G69, "")</f>
        <v/>
      </c>
      <c r="L69" s="0" t="str">
        <f aca="false">IFERROR(__xludf.dummyfunction("IF(AND(NOT(K69 = """"), G69 &gt;= 15),K69/FILTER('Base Stats'!$C$2:$C1000, LOWER('Base Stats'!$B$2:$B1000) = LOWER($A69)), """")"),"")</f>
        <v/>
      </c>
      <c r="M69" s="0" t="str">
        <f aca="false">IFERROR(__xludf.dummyfunction("1.15 + 0.02 * FILTER('Base Stats'!$C$2:$C1000, LOWER('Base Stats'!$B$2:$B1000) = LOWER($A69))"),"1.95")</f>
        <v>1.95</v>
      </c>
      <c r="N69" s="0" t="e">
        <f aca="false">IFERROR(IF(AND(NOT(K69 = ""), G69 &gt;= 15),K69/M69, ""))</f>
        <v>#VALUE!</v>
      </c>
    </row>
    <row r="70" customFormat="false" ht="15.75" hidden="false" customHeight="false" outlineLevel="0" collapsed="false">
      <c r="A70" s="8" t="s">
        <v>499</v>
      </c>
      <c r="B70" s="8" t="n">
        <v>10</v>
      </c>
      <c r="C70" s="8" t="n">
        <v>10</v>
      </c>
      <c r="D70" s="8" t="n">
        <v>3.49</v>
      </c>
      <c r="E70" s="8" t="n">
        <v>0.29</v>
      </c>
      <c r="F70" s="8" t="n">
        <v>200</v>
      </c>
      <c r="G70" s="0" t="str">
        <f aca="false">IFERROR(__xludf.dummyfunction("ROUND(B70/ FILTER('Pokemon CP/HP'!$M$2:$M1000, LOWER('Pokemon CP/HP'!$B$2:$B1000)=LOWER(A70)))"),"2")</f>
        <v>2</v>
      </c>
      <c r="H70" s="0" t="str">
        <f aca="false">IFERROR(__xludf.dummyfunction("FILTER('Leveling Info'!$B$2:$B1000, 'Leveling Info'!$A$2:$A1000 =G70)"),"200")</f>
        <v>200</v>
      </c>
      <c r="I70" s="14" t="n">
        <f aca="false">SQRT(G70)</f>
        <v>1.4142135623731</v>
      </c>
      <c r="J70" s="14" t="str">
        <f aca="false">IFERROR(__xludf.dummyfunction("IF(F70 = H70,C70/FILTER('Base Stats'!$C$2:$C1000, LOWER('Base Stats'!$B$2:$B1000) = LOWER($A70)), """")"),"0.25")</f>
        <v>0.25</v>
      </c>
      <c r="K70" s="0" t="str">
        <f aca="false">IF(F70 = H70, C70/G70, "")</f>
        <v/>
      </c>
      <c r="L70" s="0" t="str">
        <f aca="false">IFERROR(__xludf.dummyfunction("IF(AND(NOT(K70 = """"), G70 &gt;= 15),K70/FILTER('Base Stats'!$C$2:$C1000, LOWER('Base Stats'!$B$2:$B1000) = LOWER($A70)), """")"),"")</f>
        <v/>
      </c>
      <c r="M70" s="0" t="str">
        <f aca="false">IFERROR(__xludf.dummyfunction("1.15 + 0.02 * FILTER('Base Stats'!$C$2:$C1000, LOWER('Base Stats'!$B$2:$B1000) = LOWER($A70))"),"1.95")</f>
        <v>1.95</v>
      </c>
      <c r="N70" s="0" t="e">
        <f aca="false">IFERROR(IF(AND(NOT(K70 = ""), G70 &gt;= 15),K70/M70, ""))</f>
        <v>#VALUE!</v>
      </c>
    </row>
    <row r="71" customFormat="false" ht="15.75" hidden="false" customHeight="false" outlineLevel="0" collapsed="false">
      <c r="A71" s="8" t="s">
        <v>499</v>
      </c>
      <c r="B71" s="8" t="n">
        <v>10</v>
      </c>
      <c r="C71" s="8" t="n">
        <v>10</v>
      </c>
      <c r="D71" s="8" t="n">
        <v>4.27</v>
      </c>
      <c r="E71" s="8" t="n">
        <v>0.33</v>
      </c>
      <c r="F71" s="8" t="n">
        <v>200</v>
      </c>
      <c r="G71" s="0" t="str">
        <f aca="false">IFERROR(__xludf.dummyfunction("ROUND(B71/ FILTER('Pokemon CP/HP'!$M$2:$M1000, LOWER('Pokemon CP/HP'!$B$2:$B1000)=LOWER(A71)))"),"2")</f>
        <v>2</v>
      </c>
      <c r="H71" s="0" t="str">
        <f aca="false">IFERROR(__xludf.dummyfunction("FILTER('Leveling Info'!$B$2:$B1000, 'Leveling Info'!$A$2:$A1000 =G71)"),"200")</f>
        <v>200</v>
      </c>
      <c r="I71" s="14" t="n">
        <f aca="false">SQRT(G71)</f>
        <v>1.4142135623731</v>
      </c>
      <c r="J71" s="14" t="str">
        <f aca="false">IFERROR(__xludf.dummyfunction("IF(F71 = H71,C71/FILTER('Base Stats'!$C$2:$C1000, LOWER('Base Stats'!$B$2:$B1000) = LOWER($A71)), """")"),"0.25")</f>
        <v>0.25</v>
      </c>
      <c r="K71" s="0" t="str">
        <f aca="false">IF(F71 = H71, C71/G71, "")</f>
        <v/>
      </c>
      <c r="L71" s="0" t="str">
        <f aca="false">IFERROR(__xludf.dummyfunction("IF(AND(NOT(K71 = """"), G71 &gt;= 15),K71/FILTER('Base Stats'!$C$2:$C1000, LOWER('Base Stats'!$B$2:$B1000) = LOWER($A71)), """")"),"")</f>
        <v/>
      </c>
      <c r="M71" s="0" t="str">
        <f aca="false">IFERROR(__xludf.dummyfunction("1.15 + 0.02 * FILTER('Base Stats'!$C$2:$C1000, LOWER('Base Stats'!$B$2:$B1000) = LOWER($A71))"),"1.95")</f>
        <v>1.95</v>
      </c>
      <c r="N71" s="0" t="e">
        <f aca="false">IFERROR(IF(AND(NOT(K71 = ""), G71 &gt;= 15),K71/M71, ""))</f>
        <v>#VALUE!</v>
      </c>
    </row>
    <row r="72" customFormat="false" ht="15.75" hidden="false" customHeight="false" outlineLevel="0" collapsed="false">
      <c r="A72" s="8" t="s">
        <v>500</v>
      </c>
      <c r="B72" s="8" t="n">
        <v>185</v>
      </c>
      <c r="C72" s="8" t="n">
        <v>56</v>
      </c>
      <c r="D72" s="8" t="n">
        <v>1.26</v>
      </c>
      <c r="E72" s="8" t="n">
        <v>0.63</v>
      </c>
      <c r="F72" s="8" t="n">
        <v>1900</v>
      </c>
      <c r="G72" s="0" t="str">
        <f aca="false">IFERROR(__xludf.dummyfunction("ROUND(B72/ FILTER('Pokemon CP/HP'!$M$2:$M1000, LOWER('Pokemon CP/HP'!$B$2:$B1000)=LOWER(A72)))"),"28")</f>
        <v>28</v>
      </c>
      <c r="H72" s="0" t="str">
        <f aca="false">IFERROR(__xludf.dummyfunction("FILTER('Leveling Info'!$B$2:$B1000, 'Leveling Info'!$A$2:$A1000 =G72)"),"1600")</f>
        <v>1600</v>
      </c>
      <c r="I72" s="14" t="n">
        <f aca="false">SQRT(G72)</f>
        <v>5.29150262212918</v>
      </c>
      <c r="J72" s="14" t="str">
        <f aca="false">IFERROR(__xludf.dummyfunction("IF(F72 = H72,C72/FILTER('Base Stats'!$C$2:$C1000, LOWER('Base Stats'!$B$2:$B1000) = LOWER($A72)), """")"),"")</f>
        <v/>
      </c>
      <c r="K72" s="0" t="str">
        <f aca="false">IF(F72 = H72, C72/G72, "")</f>
        <v/>
      </c>
      <c r="L72" s="0" t="str">
        <f aca="false">IFERROR(__xludf.dummyfunction("IF(AND(NOT(K72 = """"), G72 &gt;= 15),K72/FILTER('Base Stats'!$C$2:$C1000, LOWER('Base Stats'!$B$2:$B1000) = LOWER($A72)), """")"),"")</f>
        <v/>
      </c>
      <c r="M72" s="0" t="str">
        <f aca="false">IFERROR(__xludf.dummyfunction("1.15 + 0.02 * FILTER('Base Stats'!$C$2:$C1000, LOWER('Base Stats'!$B$2:$B1000) = LOWER($A72))"),"2.05")</f>
        <v>2.05</v>
      </c>
      <c r="N72" s="0" t="e">
        <f aca="false">IFERROR(IF(AND(NOT(K72 = ""), G72 &gt;= 15),K72/M72, ""))</f>
        <v>#VALUE!</v>
      </c>
    </row>
    <row r="73" customFormat="false" ht="15.75" hidden="false" customHeight="false" outlineLevel="0" collapsed="false">
      <c r="A73" s="8" t="s">
        <v>500</v>
      </c>
      <c r="B73" s="8" t="n">
        <v>133</v>
      </c>
      <c r="C73" s="8" t="n">
        <v>46</v>
      </c>
      <c r="D73" s="8" t="n">
        <v>2.41</v>
      </c>
      <c r="E73" s="8" t="n">
        <v>0.55</v>
      </c>
      <c r="F73" s="8" t="n">
        <v>1300</v>
      </c>
      <c r="G73" s="0" t="str">
        <f aca="false">IFERROR(__xludf.dummyfunction("ROUND(B73/ FILTER('Pokemon CP/HP'!$M$2:$M1000, LOWER('Pokemon CP/HP'!$B$2:$B1000)=LOWER(A73)))"),"20")</f>
        <v>20</v>
      </c>
      <c r="H73" s="0" t="str">
        <f aca="false">IFERROR(__xludf.dummyfunction("FILTER('Leveling Info'!$B$2:$B1000, 'Leveling Info'!$A$2:$A1000 =G73)"),"1000")</f>
        <v>1000</v>
      </c>
      <c r="I73" s="14" t="n">
        <f aca="false">SQRT(G73)</f>
        <v>4.47213595499958</v>
      </c>
      <c r="J73" s="14" t="str">
        <f aca="false">IFERROR(__xludf.dummyfunction("IF(F73 = H73,C73/FILTER('Base Stats'!$C$2:$C1000, LOWER('Base Stats'!$B$2:$B1000) = LOWER($A73)), """")"),"")</f>
        <v/>
      </c>
      <c r="K73" s="0" t="str">
        <f aca="false">IF(F73 = H73, C73/G73, "")</f>
        <v/>
      </c>
      <c r="L73" s="0" t="str">
        <f aca="false">IFERROR(__xludf.dummyfunction("IF(AND(NOT(K73 = """"), G73 &gt;= 15),K73/FILTER('Base Stats'!$C$2:$C1000, LOWER('Base Stats'!$B$2:$B1000) = LOWER($A73)), """")"),"")</f>
        <v/>
      </c>
      <c r="M73" s="0" t="str">
        <f aca="false">IFERROR(__xludf.dummyfunction("1.15 + 0.02 * FILTER('Base Stats'!$C$2:$C1000, LOWER('Base Stats'!$B$2:$B1000) = LOWER($A73))"),"2.05")</f>
        <v>2.05</v>
      </c>
      <c r="N73" s="0" t="e">
        <f aca="false">IFERROR(IF(AND(NOT(K73 = ""), G73 &gt;= 15),K73/M73, ""))</f>
        <v>#VALUE!</v>
      </c>
    </row>
    <row r="74" customFormat="false" ht="15.75" hidden="false" customHeight="false" outlineLevel="0" collapsed="false">
      <c r="A74" s="8" t="s">
        <v>500</v>
      </c>
      <c r="B74" s="8" t="n">
        <v>101</v>
      </c>
      <c r="C74" s="8" t="n">
        <v>41</v>
      </c>
      <c r="D74" s="8" t="n">
        <v>2.76</v>
      </c>
      <c r="E74" s="8" t="n">
        <v>0.59</v>
      </c>
      <c r="F74" s="8" t="n">
        <v>1000</v>
      </c>
      <c r="G74" s="0" t="str">
        <f aca="false">IFERROR(__xludf.dummyfunction("ROUND(B74/ FILTER('Pokemon CP/HP'!$M$2:$M1000, LOWER('Pokemon CP/HP'!$B$2:$B1000)=LOWER(A74)))"),"16")</f>
        <v>16</v>
      </c>
      <c r="H74" s="0" t="str">
        <f aca="false">IFERROR(__xludf.dummyfunction("FILTER('Leveling Info'!$B$2:$B1000, 'Leveling Info'!$A$2:$A1000 =G74)"),"800")</f>
        <v>800</v>
      </c>
      <c r="I74" s="14" t="n">
        <f aca="false">SQRT(G74)</f>
        <v>4</v>
      </c>
      <c r="J74" s="14" t="str">
        <f aca="false">IFERROR(__xludf.dummyfunction("IF(F74 = H74,C74/FILTER('Base Stats'!$C$2:$C1000, LOWER('Base Stats'!$B$2:$B1000) = LOWER($A74)), """")"),"")</f>
        <v/>
      </c>
      <c r="K74" s="0" t="str">
        <f aca="false">IF(F74 = H74, C74/G74, "")</f>
        <v/>
      </c>
      <c r="L74" s="0" t="str">
        <f aca="false">IFERROR(__xludf.dummyfunction("IF(AND(NOT(K74 = """"), G74 &gt;= 15),K74/FILTER('Base Stats'!$C$2:$C1000, LOWER('Base Stats'!$B$2:$B1000) = LOWER($A74)), """")"),"")</f>
        <v/>
      </c>
      <c r="M74" s="0" t="str">
        <f aca="false">IFERROR(__xludf.dummyfunction("1.15 + 0.02 * FILTER('Base Stats'!$C$2:$C1000, LOWER('Base Stats'!$B$2:$B1000) = LOWER($A74))"),"2.05")</f>
        <v>2.05</v>
      </c>
      <c r="N74" s="0" t="e">
        <f aca="false">IFERROR(IF(AND(NOT(K74 = ""), G74 &gt;= 15),K74/M74, ""))</f>
        <v>#VALUE!</v>
      </c>
    </row>
    <row r="75" customFormat="false" ht="15.75" hidden="false" customHeight="false" outlineLevel="0" collapsed="false">
      <c r="A75" s="8" t="s">
        <v>500</v>
      </c>
      <c r="B75" s="8" t="n">
        <v>100</v>
      </c>
      <c r="C75" s="8" t="n">
        <v>41</v>
      </c>
      <c r="D75" s="8" t="n">
        <v>3.16</v>
      </c>
      <c r="E75" s="8" t="n">
        <v>0.53</v>
      </c>
      <c r="F75" s="8" t="n">
        <v>1000</v>
      </c>
      <c r="G75" s="0" t="str">
        <f aca="false">IFERROR(__xludf.dummyfunction("ROUND(B75/ FILTER('Pokemon CP/HP'!$M$2:$M1000, LOWER('Pokemon CP/HP'!$B$2:$B1000)=LOWER(A75)))"),"15")</f>
        <v>15</v>
      </c>
      <c r="H75" s="0" t="str">
        <f aca="false">IFERROR(__xludf.dummyfunction("FILTER('Leveling Info'!$B$2:$B1000, 'Leveling Info'!$A$2:$A1000 =G75)"),"800")</f>
        <v>800</v>
      </c>
      <c r="I75" s="14" t="n">
        <f aca="false">SQRT(G75)</f>
        <v>3.87298334620742</v>
      </c>
      <c r="J75" s="14" t="str">
        <f aca="false">IFERROR(__xludf.dummyfunction("IF(F75 = H75,C75/FILTER('Base Stats'!$C$2:$C1000, LOWER('Base Stats'!$B$2:$B1000) = LOWER($A75)), """")"),"")</f>
        <v/>
      </c>
      <c r="K75" s="0" t="str">
        <f aca="false">IF(F75 = H75, C75/G75, "")</f>
        <v/>
      </c>
      <c r="L75" s="0" t="str">
        <f aca="false">IFERROR(__xludf.dummyfunction("IF(AND(NOT(K75 = """"), G75 &gt;= 15),K75/FILTER('Base Stats'!$C$2:$C1000, LOWER('Base Stats'!$B$2:$B1000) = LOWER($A75)), """")"),"")</f>
        <v/>
      </c>
      <c r="M75" s="0" t="str">
        <f aca="false">IFERROR(__xludf.dummyfunction("1.15 + 0.02 * FILTER('Base Stats'!$C$2:$C1000, LOWER('Base Stats'!$B$2:$B1000) = LOWER($A75))"),"2.05")</f>
        <v>2.05</v>
      </c>
      <c r="N75" s="0" t="e">
        <f aca="false">IFERROR(IF(AND(NOT(K75 = ""), G75 &gt;= 15),K75/M75, ""))</f>
        <v>#VALUE!</v>
      </c>
    </row>
    <row r="76" customFormat="false" ht="15.75" hidden="false" customHeight="false" outlineLevel="0" collapsed="false">
      <c r="A76" s="8" t="s">
        <v>500</v>
      </c>
      <c r="B76" s="8" t="n">
        <v>42</v>
      </c>
      <c r="C76" s="8" t="n">
        <v>26</v>
      </c>
      <c r="D76" s="8" t="n">
        <v>3.69</v>
      </c>
      <c r="E76" s="8" t="n">
        <v>0.62</v>
      </c>
      <c r="F76" s="8" t="n">
        <v>400</v>
      </c>
      <c r="G76" s="0" t="str">
        <f aca="false">IFERROR(__xludf.dummyfunction("ROUND(B76/ FILTER('Pokemon CP/HP'!$M$2:$M1000, LOWER('Pokemon CP/HP'!$B$2:$B1000)=LOWER(A76)))"),"6")</f>
        <v>6</v>
      </c>
      <c r="H76" s="0" t="str">
        <f aca="false">IFERROR(__xludf.dummyfunction("FILTER('Leveling Info'!$B$2:$B1000, 'Leveling Info'!$A$2:$A1000 =G76)"),"400")</f>
        <v>400</v>
      </c>
      <c r="I76" s="14" t="n">
        <f aca="false">SQRT(G76)</f>
        <v>2.44948974278318</v>
      </c>
      <c r="J76" s="14" t="str">
        <f aca="false">IFERROR(__xludf.dummyfunction("IF(F76 = H76,C76/FILTER('Base Stats'!$C$2:$C1000, LOWER('Base Stats'!$B$2:$B1000) = LOWER($A76)), """")"),"0.5777777778")</f>
        <v>0.5777777778</v>
      </c>
      <c r="K76" s="0" t="str">
        <f aca="false">IF(F76 = H76, C76/G76, "")</f>
        <v/>
      </c>
      <c r="L76" s="0" t="str">
        <f aca="false">IFERROR(__xludf.dummyfunction("IF(AND(NOT(K76 = """"), G76 &gt;= 15),K76/FILTER('Base Stats'!$C$2:$C1000, LOWER('Base Stats'!$B$2:$B1000) = LOWER($A76)), """")"),"")</f>
        <v/>
      </c>
      <c r="M76" s="0" t="str">
        <f aca="false">IFERROR(__xludf.dummyfunction("1.15 + 0.02 * FILTER('Base Stats'!$C$2:$C1000, LOWER('Base Stats'!$B$2:$B1000) = LOWER($A76))"),"2.05")</f>
        <v>2.05</v>
      </c>
      <c r="N76" s="0" t="e">
        <f aca="false">IFERROR(IF(AND(NOT(K76 = ""), G76 &gt;= 15),K76/M76, ""))</f>
        <v>#VALUE!</v>
      </c>
    </row>
    <row r="77" customFormat="false" ht="15.75" hidden="false" customHeight="false" outlineLevel="0" collapsed="false">
      <c r="A77" s="8" t="s">
        <v>501</v>
      </c>
      <c r="B77" s="8" t="n">
        <v>602</v>
      </c>
      <c r="C77" s="8" t="n">
        <v>77</v>
      </c>
      <c r="D77" s="8" t="n">
        <v>29.5</v>
      </c>
      <c r="E77" s="8" t="n">
        <v>1.05</v>
      </c>
      <c r="F77" s="8" t="n">
        <v>1900</v>
      </c>
      <c r="G77" s="0" t="str">
        <f aca="false">IFERROR(__xludf.dummyfunction("ROUND(B77/ FILTER('Pokemon CP/HP'!$M$2:$M1000, LOWER('Pokemon CP/HP'!$B$2:$B1000)=LOWER(A77)))"),"31")</f>
        <v>31</v>
      </c>
      <c r="H77" s="0" t="str">
        <f aca="false">IFERROR(__xludf.dummyfunction("FILTER('Leveling Info'!$B$2:$B1000, 'Leveling Info'!$A$2:$A1000 =G77)"),"1900")</f>
        <v>1900</v>
      </c>
      <c r="I77" s="14" t="n">
        <f aca="false">SQRT(G77)</f>
        <v>5.56776436283002</v>
      </c>
      <c r="J77" s="14" t="str">
        <f aca="false">IFERROR(__xludf.dummyfunction("IF(F77 = H77,C77/FILTER('Base Stats'!$C$2:$C1000, LOWER('Base Stats'!$B$2:$B1000) = LOWER($A77)), """")"),"1.184615385")</f>
        <v>1.184615385</v>
      </c>
      <c r="K77" s="0" t="str">
        <f aca="false">IF(F77 = H77, C77/G77, "")</f>
        <v/>
      </c>
      <c r="L77" s="0" t="str">
        <f aca="false">IFERROR(__xludf.dummyfunction("IF(AND(NOT(K77 = """"), G77 &gt;= 15),K77/FILTER('Base Stats'!$C$2:$C1000, LOWER('Base Stats'!$B$2:$B1000) = LOWER($A77)), """")"),"0.0382133995")</f>
        <v>0.0382133995</v>
      </c>
      <c r="M77" s="0" t="str">
        <f aca="false">IFERROR(__xludf.dummyfunction("1.15 + 0.02 * FILTER('Base Stats'!$C$2:$C1000, LOWER('Base Stats'!$B$2:$B1000) = LOWER($A77))"),"2.45")</f>
        <v>2.45</v>
      </c>
      <c r="N77" s="0" t="e">
        <f aca="false">IFERROR(IF(AND(NOT(K77 = ""), G77 &gt;= 15),K77/M77, ""))</f>
        <v>#VALUE!</v>
      </c>
    </row>
    <row r="78" customFormat="false" ht="15.75" hidden="false" customHeight="false" outlineLevel="0" collapsed="false">
      <c r="A78" s="8" t="s">
        <v>501</v>
      </c>
      <c r="B78" s="8" t="n">
        <v>138</v>
      </c>
      <c r="C78" s="8" t="n">
        <v>36</v>
      </c>
      <c r="D78" s="8" t="n">
        <v>29.5</v>
      </c>
      <c r="E78" s="8" t="n">
        <v>1.04</v>
      </c>
      <c r="F78" s="8" t="n">
        <v>400</v>
      </c>
      <c r="G78" s="0" t="str">
        <f aca="false">IFERROR(__xludf.dummyfunction("ROUND(B78/ FILTER('Pokemon CP/HP'!$M$2:$M1000, LOWER('Pokemon CP/HP'!$B$2:$B1000)=LOWER(A78)))"),"7")</f>
        <v>7</v>
      </c>
      <c r="H78" s="0" t="str">
        <f aca="false">IFERROR(__xludf.dummyfunction("FILTER('Leveling Info'!$B$2:$B1000, 'Leveling Info'!$A$2:$A1000 =G78)"),"400")</f>
        <v>400</v>
      </c>
      <c r="I78" s="14" t="n">
        <f aca="false">SQRT(G78)</f>
        <v>2.64575131106459</v>
      </c>
      <c r="J78" s="14" t="str">
        <f aca="false">IFERROR(__xludf.dummyfunction("IF(F78 = H78,C78/FILTER('Base Stats'!$C$2:$C1000, LOWER('Base Stats'!$B$2:$B1000) = LOWER($A78)), """")"),"0.5538461538")</f>
        <v>0.5538461538</v>
      </c>
      <c r="K78" s="0" t="str">
        <f aca="false">IF(F78 = H78, C78/G78, "")</f>
        <v/>
      </c>
      <c r="L78" s="0" t="str">
        <f aca="false">IFERROR(__xludf.dummyfunction("IF(AND(NOT(K78 = """"), G78 &gt;= 15),K78/FILTER('Base Stats'!$C$2:$C1000, LOWER('Base Stats'!$B$2:$B1000) = LOWER($A78)), """")"),"")</f>
        <v/>
      </c>
      <c r="M78" s="0" t="str">
        <f aca="false">IFERROR(__xludf.dummyfunction("1.15 + 0.02 * FILTER('Base Stats'!$C$2:$C1000, LOWER('Base Stats'!$B$2:$B1000) = LOWER($A78))"),"2.45")</f>
        <v>2.45</v>
      </c>
      <c r="N78" s="0" t="e">
        <f aca="false">IFERROR(IF(AND(NOT(K78 = ""), G78 &gt;= 15),K78/M78, ""))</f>
        <v>#VALUE!</v>
      </c>
    </row>
    <row r="79" customFormat="false" ht="15.75" hidden="false" customHeight="false" outlineLevel="0" collapsed="false">
      <c r="A79" s="8" t="s">
        <v>502</v>
      </c>
      <c r="B79" s="8" t="n">
        <v>357</v>
      </c>
      <c r="C79" s="8" t="n">
        <v>47</v>
      </c>
      <c r="D79" s="8" t="n">
        <v>1.64</v>
      </c>
      <c r="E79" s="8" t="n">
        <v>0.28</v>
      </c>
      <c r="F79" s="8" t="n">
        <v>1900</v>
      </c>
      <c r="G79" s="0" t="str">
        <f aca="false">IFERROR(__xludf.dummyfunction("ROUND(B79/ FILTER('Pokemon CP/HP'!$M$2:$M1000, LOWER('Pokemon CP/HP'!$B$2:$B1000)=LOWER(A79)))"),"35")</f>
        <v>35</v>
      </c>
      <c r="H79" s="0" t="str">
        <f aca="false">IFERROR(__xludf.dummyfunction("FILTER('Leveling Info'!$B$2:$B1000, 'Leveling Info'!$A$2:$A1000 =G79)"),"2200")</f>
        <v>2200</v>
      </c>
      <c r="I79" s="14" t="n">
        <f aca="false">SQRT(G79)</f>
        <v>5.91607978309962</v>
      </c>
      <c r="J79" s="14" t="str">
        <f aca="false">IFERROR(__xludf.dummyfunction("IF(F79 = H79,C79/FILTER('Base Stats'!$C$2:$C1000, LOWER('Base Stats'!$B$2:$B1000) = LOWER($A79)), """")"),"")</f>
        <v/>
      </c>
      <c r="K79" s="0" t="str">
        <f aca="false">IF(F79 = H79, C79/G79, "")</f>
        <v/>
      </c>
      <c r="L79" s="0" t="str">
        <f aca="false">IFERROR(__xludf.dummyfunction("IF(AND(NOT(K79 = """"), G79 &gt;= 15),K79/FILTER('Base Stats'!$C$2:$C1000, LOWER('Base Stats'!$B$2:$B1000) = LOWER($A79)), """")"),"")</f>
        <v/>
      </c>
      <c r="M79" s="0" t="str">
        <f aca="false">IFERROR(__xludf.dummyfunction("1.15 + 0.02 * FILTER('Base Stats'!$C$2:$C1000, LOWER('Base Stats'!$B$2:$B1000) = LOWER($A79))"),"1.95")</f>
        <v>1.95</v>
      </c>
      <c r="N79" s="0" t="e">
        <f aca="false">IFERROR(IF(AND(NOT(K79 = ""), G79 &gt;= 15),K79/M79, ""))</f>
        <v>#VALUE!</v>
      </c>
    </row>
    <row r="80" customFormat="false" ht="15.75" hidden="false" customHeight="false" outlineLevel="0" collapsed="false">
      <c r="A80" s="8" t="s">
        <v>502</v>
      </c>
      <c r="B80" s="8" t="n">
        <v>247</v>
      </c>
      <c r="C80" s="8" t="n">
        <v>47</v>
      </c>
      <c r="D80" s="8" t="n">
        <v>1</v>
      </c>
      <c r="E80" s="8" t="n">
        <v>0.31</v>
      </c>
      <c r="F80" s="8" t="n">
        <v>1900</v>
      </c>
      <c r="G80" s="0" t="str">
        <f aca="false">IFERROR(__xludf.dummyfunction("ROUND(B80/ FILTER('Pokemon CP/HP'!$M$2:$M1000, LOWER('Pokemon CP/HP'!$B$2:$B1000)=LOWER(A80)))"),"24")</f>
        <v>24</v>
      </c>
      <c r="H80" s="0" t="str">
        <f aca="false">IFERROR(__xludf.dummyfunction("FILTER('Leveling Info'!$B$2:$B1000, 'Leveling Info'!$A$2:$A1000 =G80)"),"1300")</f>
        <v>1300</v>
      </c>
      <c r="I80" s="14" t="n">
        <f aca="false">SQRT(G80)</f>
        <v>4.89897948556636</v>
      </c>
      <c r="J80" s="14" t="str">
        <f aca="false">IFERROR(__xludf.dummyfunction("IF(F80 = H80,C80/FILTER('Base Stats'!$C$2:$C1000, LOWER('Base Stats'!$B$2:$B1000) = LOWER($A80)), """")"),"")</f>
        <v/>
      </c>
      <c r="K80" s="0" t="str">
        <f aca="false">IF(F80 = H80, C80/G80, "")</f>
        <v/>
      </c>
      <c r="L80" s="0" t="str">
        <f aca="false">IFERROR(__xludf.dummyfunction("IF(AND(NOT(K80 = """"), G80 &gt;= 15),K80/FILTER('Base Stats'!$C$2:$C1000, LOWER('Base Stats'!$B$2:$B1000) = LOWER($A80)), """")"),"")</f>
        <v/>
      </c>
      <c r="M80" s="0" t="str">
        <f aca="false">IFERROR(__xludf.dummyfunction("1.15 + 0.02 * FILTER('Base Stats'!$C$2:$C1000, LOWER('Base Stats'!$B$2:$B1000) = LOWER($A80))"),"1.95")</f>
        <v>1.95</v>
      </c>
      <c r="N80" s="0" t="e">
        <f aca="false">IFERROR(IF(AND(NOT(K80 = ""), G80 &gt;= 15),K80/M80, ""))</f>
        <v>#VALUE!</v>
      </c>
    </row>
    <row r="81" customFormat="false" ht="15.75" hidden="false" customHeight="false" outlineLevel="0" collapsed="false">
      <c r="A81" s="8" t="s">
        <v>502</v>
      </c>
      <c r="B81" s="8" t="n">
        <v>201</v>
      </c>
      <c r="C81" s="8" t="n">
        <v>39</v>
      </c>
      <c r="D81" s="8" t="n">
        <v>1.13</v>
      </c>
      <c r="E81" s="8" t="n">
        <v>0.26</v>
      </c>
      <c r="F81" s="8" t="n">
        <v>1600</v>
      </c>
      <c r="G81" s="0" t="str">
        <f aca="false">IFERROR(__xludf.dummyfunction("ROUND(B81/ FILTER('Pokemon CP/HP'!$M$2:$M1000, LOWER('Pokemon CP/HP'!$B$2:$B1000)=LOWER(A81)))"),"20")</f>
        <v>20</v>
      </c>
      <c r="H81" s="0" t="str">
        <f aca="false">IFERROR(__xludf.dummyfunction("FILTER('Leveling Info'!$B$2:$B1000, 'Leveling Info'!$A$2:$A1000 =G81)"),"1000")</f>
        <v>1000</v>
      </c>
      <c r="I81" s="14" t="n">
        <f aca="false">SQRT(G81)</f>
        <v>4.47213595499958</v>
      </c>
      <c r="J81" s="14" t="str">
        <f aca="false">IFERROR(__xludf.dummyfunction("IF(F81 = H81,C81/FILTER('Base Stats'!$C$2:$C1000, LOWER('Base Stats'!$B$2:$B1000) = LOWER($A81)), """")"),"")</f>
        <v/>
      </c>
      <c r="K81" s="0" t="str">
        <f aca="false">IF(F81 = H81, C81/G81, "")</f>
        <v/>
      </c>
      <c r="L81" s="0" t="str">
        <f aca="false">IFERROR(__xludf.dummyfunction("IF(AND(NOT(K81 = """"), G81 &gt;= 15),K81/FILTER('Base Stats'!$C$2:$C1000, LOWER('Base Stats'!$B$2:$B1000) = LOWER($A81)), """")"),"")</f>
        <v/>
      </c>
      <c r="M81" s="0" t="str">
        <f aca="false">IFERROR(__xludf.dummyfunction("1.15 + 0.02 * FILTER('Base Stats'!$C$2:$C1000, LOWER('Base Stats'!$B$2:$B1000) = LOWER($A81))"),"1.95")</f>
        <v>1.95</v>
      </c>
      <c r="N81" s="0" t="e">
        <f aca="false">IFERROR(IF(AND(NOT(K81 = ""), G81 &gt;= 15),K81/M81, ""))</f>
        <v>#VALUE!</v>
      </c>
    </row>
    <row r="82" customFormat="false" ht="15.75" hidden="false" customHeight="false" outlineLevel="0" collapsed="false">
      <c r="A82" s="8" t="s">
        <v>502</v>
      </c>
      <c r="B82" s="8" t="n">
        <v>194</v>
      </c>
      <c r="C82" s="8" t="n">
        <v>40</v>
      </c>
      <c r="D82" s="8" t="n">
        <v>2.43</v>
      </c>
      <c r="E82" s="8" t="n">
        <v>0.37</v>
      </c>
      <c r="F82" s="8" t="n">
        <v>1300</v>
      </c>
      <c r="G82" s="0" t="str">
        <f aca="false">IFERROR(__xludf.dummyfunction("ROUND(B82/ FILTER('Pokemon CP/HP'!$M$2:$M1000, LOWER('Pokemon CP/HP'!$B$2:$B1000)=LOWER(A82)))"),"19")</f>
        <v>19</v>
      </c>
      <c r="H82" s="0" t="str">
        <f aca="false">IFERROR(__xludf.dummyfunction("FILTER('Leveling Info'!$B$2:$B1000, 'Leveling Info'!$A$2:$A1000 =G82)"),"1000")</f>
        <v>1000</v>
      </c>
      <c r="I82" s="14" t="n">
        <f aca="false">SQRT(G82)</f>
        <v>4.35889894354067</v>
      </c>
      <c r="J82" s="14" t="str">
        <f aca="false">IFERROR(__xludf.dummyfunction("IF(F82 = H82,C82/FILTER('Base Stats'!$C$2:$C1000, LOWER('Base Stats'!$B$2:$B1000) = LOWER($A82)), """")"),"")</f>
        <v/>
      </c>
      <c r="K82" s="0" t="str">
        <f aca="false">IF(F82 = H82, C82/G82, "")</f>
        <v/>
      </c>
      <c r="L82" s="0" t="str">
        <f aca="false">IFERROR(__xludf.dummyfunction("IF(AND(NOT(K82 = """"), G82 &gt;= 15),K82/FILTER('Base Stats'!$C$2:$C1000, LOWER('Base Stats'!$B$2:$B1000) = LOWER($A82)), """")"),"")</f>
        <v/>
      </c>
      <c r="M82" s="0" t="str">
        <f aca="false">IFERROR(__xludf.dummyfunction("1.15 + 0.02 * FILTER('Base Stats'!$C$2:$C1000, LOWER('Base Stats'!$B$2:$B1000) = LOWER($A82))"),"1.95")</f>
        <v>1.95</v>
      </c>
      <c r="N82" s="0" t="e">
        <f aca="false">IFERROR(IF(AND(NOT(K82 = ""), G82 &gt;= 15),K82/M82, ""))</f>
        <v>#VALUE!</v>
      </c>
    </row>
    <row r="83" customFormat="false" ht="15.75" hidden="false" customHeight="false" outlineLevel="0" collapsed="false">
      <c r="A83" s="8" t="s">
        <v>502</v>
      </c>
      <c r="B83" s="8" t="n">
        <v>193</v>
      </c>
      <c r="C83" s="8" t="n">
        <v>38</v>
      </c>
      <c r="D83" s="8" t="n">
        <v>1.84</v>
      </c>
      <c r="E83" s="8" t="n">
        <v>0.3</v>
      </c>
      <c r="F83" s="8" t="n">
        <v>1300</v>
      </c>
      <c r="G83" s="0" t="str">
        <f aca="false">IFERROR(__xludf.dummyfunction("ROUND(B83/ FILTER('Pokemon CP/HP'!$M$2:$M1000, LOWER('Pokemon CP/HP'!$B$2:$B1000)=LOWER(A83)))"),"19")</f>
        <v>19</v>
      </c>
      <c r="H83" s="0" t="str">
        <f aca="false">IFERROR(__xludf.dummyfunction("FILTER('Leveling Info'!$B$2:$B1000, 'Leveling Info'!$A$2:$A1000 =G83)"),"1000")</f>
        <v>1000</v>
      </c>
      <c r="I83" s="14" t="n">
        <f aca="false">SQRT(G83)</f>
        <v>4.35889894354067</v>
      </c>
      <c r="J83" s="14" t="str">
        <f aca="false">IFERROR(__xludf.dummyfunction("IF(F83 = H83,C83/FILTER('Base Stats'!$C$2:$C1000, LOWER('Base Stats'!$B$2:$B1000) = LOWER($A83)), """")"),"")</f>
        <v/>
      </c>
      <c r="K83" s="0" t="str">
        <f aca="false">IF(F83 = H83, C83/G83, "")</f>
        <v/>
      </c>
      <c r="L83" s="0" t="str">
        <f aca="false">IFERROR(__xludf.dummyfunction("IF(AND(NOT(K83 = """"), G83 &gt;= 15),K83/FILTER('Base Stats'!$C$2:$C1000, LOWER('Base Stats'!$B$2:$B1000) = LOWER($A83)), """")"),"")</f>
        <v/>
      </c>
      <c r="M83" s="0" t="str">
        <f aca="false">IFERROR(__xludf.dummyfunction("1.15 + 0.02 * FILTER('Base Stats'!$C$2:$C1000, LOWER('Base Stats'!$B$2:$B1000) = LOWER($A83))"),"1.95")</f>
        <v>1.95</v>
      </c>
      <c r="N83" s="0" t="e">
        <f aca="false">IFERROR(IF(AND(NOT(K83 = ""), G83 &gt;= 15),K83/M83, ""))</f>
        <v>#VALUE!</v>
      </c>
    </row>
    <row r="84" customFormat="false" ht="15.75" hidden="false" customHeight="false" outlineLevel="0" collapsed="false">
      <c r="A84" s="8" t="s">
        <v>502</v>
      </c>
      <c r="B84" s="8" t="n">
        <v>190</v>
      </c>
      <c r="C84" s="8" t="n">
        <v>41</v>
      </c>
      <c r="D84" s="8" t="n">
        <v>2.24</v>
      </c>
      <c r="E84" s="8" t="n">
        <v>0.32</v>
      </c>
      <c r="F84" s="8" t="n">
        <v>1300</v>
      </c>
      <c r="G84" s="0" t="str">
        <f aca="false">IFERROR(__xludf.dummyfunction("ROUND(B84/ FILTER('Pokemon CP/HP'!$M$2:$M1000, LOWER('Pokemon CP/HP'!$B$2:$B1000)=LOWER(A84)))"),"19")</f>
        <v>19</v>
      </c>
      <c r="H84" s="0" t="str">
        <f aca="false">IFERROR(__xludf.dummyfunction("FILTER('Leveling Info'!$B$2:$B1000, 'Leveling Info'!$A$2:$A1000 =G84)"),"1000")</f>
        <v>1000</v>
      </c>
      <c r="I84" s="14" t="n">
        <f aca="false">SQRT(G84)</f>
        <v>4.35889894354067</v>
      </c>
      <c r="J84" s="14" t="str">
        <f aca="false">IFERROR(__xludf.dummyfunction("IF(F84 = H84,C84/FILTER('Base Stats'!$C$2:$C1000, LOWER('Base Stats'!$B$2:$B1000) = LOWER($A84)), """")"),"")</f>
        <v/>
      </c>
      <c r="K84" s="0" t="str">
        <f aca="false">IF(F84 = H84, C84/G84, "")</f>
        <v/>
      </c>
      <c r="L84" s="0" t="str">
        <f aca="false">IFERROR(__xludf.dummyfunction("IF(AND(NOT(K84 = """"), G84 &gt;= 15),K84/FILTER('Base Stats'!$C$2:$C1000, LOWER('Base Stats'!$B$2:$B1000) = LOWER($A84)), """")"),"")</f>
        <v/>
      </c>
      <c r="M84" s="0" t="str">
        <f aca="false">IFERROR(__xludf.dummyfunction("1.15 + 0.02 * FILTER('Base Stats'!$C$2:$C1000, LOWER('Base Stats'!$B$2:$B1000) = LOWER($A84))"),"1.95")</f>
        <v>1.95</v>
      </c>
      <c r="N84" s="0" t="e">
        <f aca="false">IFERROR(IF(AND(NOT(K84 = ""), G84 &gt;= 15),K84/M84, ""))</f>
        <v>#VALUE!</v>
      </c>
    </row>
    <row r="85" customFormat="false" ht="15.75" hidden="false" customHeight="false" outlineLevel="0" collapsed="false">
      <c r="A85" s="8" t="s">
        <v>502</v>
      </c>
      <c r="B85" s="8" t="n">
        <v>188</v>
      </c>
      <c r="C85" s="8" t="n">
        <v>40</v>
      </c>
      <c r="D85" s="8" t="n">
        <v>1.61</v>
      </c>
      <c r="E85" s="8" t="n">
        <v>0.29</v>
      </c>
      <c r="F85" s="8" t="n">
        <v>1300</v>
      </c>
      <c r="G85" s="0" t="str">
        <f aca="false">IFERROR(__xludf.dummyfunction("ROUND(B85/ FILTER('Pokemon CP/HP'!$M$2:$M1000, LOWER('Pokemon CP/HP'!$B$2:$B1000)=LOWER(A85)))"),"18")</f>
        <v>18</v>
      </c>
      <c r="H85" s="0" t="str">
        <f aca="false">IFERROR(__xludf.dummyfunction("FILTER('Leveling Info'!$B$2:$B1000, 'Leveling Info'!$A$2:$A1000 =G85)"),"1000")</f>
        <v>1000</v>
      </c>
      <c r="I85" s="14" t="n">
        <f aca="false">SQRT(G85)</f>
        <v>4.24264068711929</v>
      </c>
      <c r="J85" s="14" t="str">
        <f aca="false">IFERROR(__xludf.dummyfunction("IF(F85 = H85,C85/FILTER('Base Stats'!$C$2:$C1000, LOWER('Base Stats'!$B$2:$B1000) = LOWER($A85)), """")"),"")</f>
        <v/>
      </c>
      <c r="K85" s="0" t="str">
        <f aca="false">IF(F85 = H85, C85/G85, "")</f>
        <v/>
      </c>
      <c r="L85" s="0" t="str">
        <f aca="false">IFERROR(__xludf.dummyfunction("IF(AND(NOT(K85 = """"), G85 &gt;= 15),K85/FILTER('Base Stats'!$C$2:$C1000, LOWER('Base Stats'!$B$2:$B1000) = LOWER($A85)), """")"),"")</f>
        <v/>
      </c>
      <c r="M85" s="0" t="str">
        <f aca="false">IFERROR(__xludf.dummyfunction("1.15 + 0.02 * FILTER('Base Stats'!$C$2:$C1000, LOWER('Base Stats'!$B$2:$B1000) = LOWER($A85))"),"1.95")</f>
        <v>1.95</v>
      </c>
      <c r="N85" s="0" t="e">
        <f aca="false">IFERROR(IF(AND(NOT(K85 = ""), G85 &gt;= 15),K85/M85, ""))</f>
        <v>#VALUE!</v>
      </c>
    </row>
    <row r="86" customFormat="false" ht="15.75" hidden="false" customHeight="false" outlineLevel="0" collapsed="false">
      <c r="A86" s="8" t="s">
        <v>502</v>
      </c>
      <c r="B86" s="8" t="n">
        <v>183</v>
      </c>
      <c r="C86" s="8" t="n">
        <v>38</v>
      </c>
      <c r="D86" s="8" t="n">
        <v>1.72</v>
      </c>
      <c r="E86" s="8" t="n">
        <v>0.32</v>
      </c>
      <c r="F86" s="8" t="n">
        <v>1300</v>
      </c>
      <c r="G86" s="0" t="str">
        <f aca="false">IFERROR(__xludf.dummyfunction("ROUND(B86/ FILTER('Pokemon CP/HP'!$M$2:$M1000, LOWER('Pokemon CP/HP'!$B$2:$B1000)=LOWER(A86)))"),"18")</f>
        <v>18</v>
      </c>
      <c r="H86" s="0" t="str">
        <f aca="false">IFERROR(__xludf.dummyfunction("FILTER('Leveling Info'!$B$2:$B1000, 'Leveling Info'!$A$2:$A1000 =G86)"),"1000")</f>
        <v>1000</v>
      </c>
      <c r="I86" s="14" t="n">
        <f aca="false">SQRT(G86)</f>
        <v>4.24264068711929</v>
      </c>
      <c r="J86" s="14" t="str">
        <f aca="false">IFERROR(__xludf.dummyfunction("IF(F86 = H86,C86/FILTER('Base Stats'!$C$2:$C1000, LOWER('Base Stats'!$B$2:$B1000) = LOWER($A86)), """")"),"")</f>
        <v/>
      </c>
      <c r="K86" s="0" t="str">
        <f aca="false">IF(F86 = H86, C86/G86, "")</f>
        <v/>
      </c>
      <c r="L86" s="0" t="str">
        <f aca="false">IFERROR(__xludf.dummyfunction("IF(AND(NOT(K86 = """"), G86 &gt;= 15),K86/FILTER('Base Stats'!$C$2:$C1000, LOWER('Base Stats'!$B$2:$B1000) = LOWER($A86)), """")"),"")</f>
        <v/>
      </c>
      <c r="M86" s="0" t="str">
        <f aca="false">IFERROR(__xludf.dummyfunction("1.15 + 0.02 * FILTER('Base Stats'!$C$2:$C1000, LOWER('Base Stats'!$B$2:$B1000) = LOWER($A86))"),"1.95")</f>
        <v>1.95</v>
      </c>
      <c r="N86" s="0" t="e">
        <f aca="false">IFERROR(IF(AND(NOT(K86 = ""), G86 &gt;= 15),K86/M86, ""))</f>
        <v>#VALUE!</v>
      </c>
    </row>
    <row r="87" customFormat="false" ht="15.75" hidden="false" customHeight="false" outlineLevel="0" collapsed="false">
      <c r="A87" s="8" t="s">
        <v>502</v>
      </c>
      <c r="B87" s="8" t="n">
        <v>179</v>
      </c>
      <c r="C87" s="8" t="n">
        <v>39</v>
      </c>
      <c r="D87" s="8" t="n">
        <v>1.41</v>
      </c>
      <c r="E87" s="8" t="n">
        <v>0.26</v>
      </c>
      <c r="F87" s="8" t="n">
        <v>1300</v>
      </c>
      <c r="G87" s="0" t="str">
        <f aca="false">IFERROR(__xludf.dummyfunction("ROUND(B87/ FILTER('Pokemon CP/HP'!$M$2:$M1000, LOWER('Pokemon CP/HP'!$B$2:$B1000)=LOWER(A87)))"),"18")</f>
        <v>18</v>
      </c>
      <c r="H87" s="0" t="str">
        <f aca="false">IFERROR(__xludf.dummyfunction("FILTER('Leveling Info'!$B$2:$B1000, 'Leveling Info'!$A$2:$A1000 =G87)"),"1000")</f>
        <v>1000</v>
      </c>
      <c r="I87" s="14" t="n">
        <f aca="false">SQRT(G87)</f>
        <v>4.24264068711929</v>
      </c>
      <c r="J87" s="14" t="str">
        <f aca="false">IFERROR(__xludf.dummyfunction("IF(F87 = H87,C87/FILTER('Base Stats'!$C$2:$C1000, LOWER('Base Stats'!$B$2:$B1000) = LOWER($A87)), """")"),"")</f>
        <v/>
      </c>
      <c r="K87" s="0" t="str">
        <f aca="false">IF(F87 = H87, C87/G87, "")</f>
        <v/>
      </c>
      <c r="L87" s="0" t="str">
        <f aca="false">IFERROR(__xludf.dummyfunction("IF(AND(NOT(K87 = """"), G87 &gt;= 15),K87/FILTER('Base Stats'!$C$2:$C1000, LOWER('Base Stats'!$B$2:$B1000) = LOWER($A87)), """")"),"")</f>
        <v/>
      </c>
      <c r="M87" s="0" t="str">
        <f aca="false">IFERROR(__xludf.dummyfunction("1.15 + 0.02 * FILTER('Base Stats'!$C$2:$C1000, LOWER('Base Stats'!$B$2:$B1000) = LOWER($A87))"),"1.95")</f>
        <v>1.95</v>
      </c>
      <c r="N87" s="0" t="e">
        <f aca="false">IFERROR(IF(AND(NOT(K87 = ""), G87 &gt;= 15),K87/M87, ""))</f>
        <v>#VALUE!</v>
      </c>
    </row>
    <row r="88" customFormat="false" ht="15.75" hidden="false" customHeight="false" outlineLevel="0" collapsed="false">
      <c r="A88" s="8" t="s">
        <v>502</v>
      </c>
      <c r="B88" s="8" t="n">
        <v>176</v>
      </c>
      <c r="C88" s="8" t="n">
        <v>40</v>
      </c>
      <c r="D88" s="8" t="n">
        <v>2.26</v>
      </c>
      <c r="E88" s="8" t="n">
        <v>0.32</v>
      </c>
      <c r="F88" s="8" t="n">
        <v>1300</v>
      </c>
      <c r="G88" s="0" t="str">
        <f aca="false">IFERROR(__xludf.dummyfunction("ROUND(B88/ FILTER('Pokemon CP/HP'!$M$2:$M1000, LOWER('Pokemon CP/HP'!$B$2:$B1000)=LOWER(A88)))"),"17")</f>
        <v>17</v>
      </c>
      <c r="H88" s="0" t="str">
        <f aca="false">IFERROR(__xludf.dummyfunction("FILTER('Leveling Info'!$B$2:$B1000, 'Leveling Info'!$A$2:$A1000 =G88)"),"1000")</f>
        <v>1000</v>
      </c>
      <c r="I88" s="14" t="n">
        <f aca="false">SQRT(G88)</f>
        <v>4.12310562561766</v>
      </c>
      <c r="J88" s="14" t="str">
        <f aca="false">IFERROR(__xludf.dummyfunction("IF(F88 = H88,C88/FILTER('Base Stats'!$C$2:$C1000, LOWER('Base Stats'!$B$2:$B1000) = LOWER($A88)), """")"),"")</f>
        <v/>
      </c>
      <c r="K88" s="0" t="str">
        <f aca="false">IF(F88 = H88, C88/G88, "")</f>
        <v/>
      </c>
      <c r="L88" s="0" t="str">
        <f aca="false">IFERROR(__xludf.dummyfunction("IF(AND(NOT(K88 = """"), G88 &gt;= 15),K88/FILTER('Base Stats'!$C$2:$C1000, LOWER('Base Stats'!$B$2:$B1000) = LOWER($A88)), """")"),"")</f>
        <v/>
      </c>
      <c r="M88" s="0" t="str">
        <f aca="false">IFERROR(__xludf.dummyfunction("1.15 + 0.02 * FILTER('Base Stats'!$C$2:$C1000, LOWER('Base Stats'!$B$2:$B1000) = LOWER($A88))"),"1.95")</f>
        <v>1.95</v>
      </c>
      <c r="N88" s="0" t="e">
        <f aca="false">IFERROR(IF(AND(NOT(K88 = ""), G88 &gt;= 15),K88/M88, ""))</f>
        <v>#VALUE!</v>
      </c>
    </row>
    <row r="89" customFormat="false" ht="15.75" hidden="false" customHeight="false" outlineLevel="0" collapsed="false">
      <c r="A89" s="8" t="s">
        <v>502</v>
      </c>
      <c r="B89" s="8" t="n">
        <v>171</v>
      </c>
      <c r="C89" s="8" t="n">
        <v>38</v>
      </c>
      <c r="D89" s="8" t="n">
        <v>2.47</v>
      </c>
      <c r="E89" s="8" t="n">
        <v>0.36</v>
      </c>
      <c r="F89" s="8" t="n">
        <v>1000</v>
      </c>
      <c r="G89" s="0" t="str">
        <f aca="false">IFERROR(__xludf.dummyfunction("ROUND(B89/ FILTER('Pokemon CP/HP'!$M$2:$M1000, LOWER('Pokemon CP/HP'!$B$2:$B1000)=LOWER(A89)))"),"17")</f>
        <v>17</v>
      </c>
      <c r="H89" s="0" t="str">
        <f aca="false">IFERROR(__xludf.dummyfunction("FILTER('Leveling Info'!$B$2:$B1000, 'Leveling Info'!$A$2:$A1000 =G89)"),"1000")</f>
        <v>1000</v>
      </c>
      <c r="I89" s="14" t="n">
        <f aca="false">SQRT(G89)</f>
        <v>4.12310562561766</v>
      </c>
      <c r="J89" s="14" t="str">
        <f aca="false">IFERROR(__xludf.dummyfunction("IF(F89 = H89,C89/FILTER('Base Stats'!$C$2:$C1000, LOWER('Base Stats'!$B$2:$B1000) = LOWER($A89)), """")"),"0.95")</f>
        <v>0.95</v>
      </c>
      <c r="K89" s="0" t="str">
        <f aca="false">IF(F89 = H89, C89/G89, "")</f>
        <v/>
      </c>
      <c r="L89" s="0" t="str">
        <f aca="false">IFERROR(__xludf.dummyfunction("IF(AND(NOT(K89 = """"), G89 &gt;= 15),K89/FILTER('Base Stats'!$C$2:$C1000, LOWER('Base Stats'!$B$2:$B1000) = LOWER($A89)), """")"),"0.05588235294")</f>
        <v>0.05588235294</v>
      </c>
      <c r="M89" s="0" t="str">
        <f aca="false">IFERROR(__xludf.dummyfunction("1.15 + 0.02 * FILTER('Base Stats'!$C$2:$C1000, LOWER('Base Stats'!$B$2:$B1000) = LOWER($A89))"),"1.95")</f>
        <v>1.95</v>
      </c>
      <c r="N89" s="0" t="e">
        <f aca="false">IFERROR(IF(AND(NOT(K89 = ""), G89 &gt;= 15),K89/M89, ""))</f>
        <v>#VALUE!</v>
      </c>
    </row>
    <row r="90" customFormat="false" ht="15.75" hidden="false" customHeight="false" outlineLevel="0" collapsed="false">
      <c r="A90" s="8" t="s">
        <v>502</v>
      </c>
      <c r="B90" s="8" t="n">
        <v>164</v>
      </c>
      <c r="C90" s="8" t="n">
        <v>39</v>
      </c>
      <c r="D90" s="8" t="n">
        <v>1.34</v>
      </c>
      <c r="E90" s="8" t="n">
        <v>0.27</v>
      </c>
      <c r="F90" s="8" t="n">
        <v>1000</v>
      </c>
      <c r="G90" s="0" t="str">
        <f aca="false">IFERROR(__xludf.dummyfunction("ROUND(B90/ FILTER('Pokemon CP/HP'!$M$2:$M1000, LOWER('Pokemon CP/HP'!$B$2:$B1000)=LOWER(A90)))"),"16")</f>
        <v>16</v>
      </c>
      <c r="H90" s="0" t="str">
        <f aca="false">IFERROR(__xludf.dummyfunction("FILTER('Leveling Info'!$B$2:$B1000, 'Leveling Info'!$A$2:$A1000 =G90)"),"800")</f>
        <v>800</v>
      </c>
      <c r="I90" s="14" t="n">
        <f aca="false">SQRT(G90)</f>
        <v>4</v>
      </c>
      <c r="J90" s="14" t="str">
        <f aca="false">IFERROR(__xludf.dummyfunction("IF(F90 = H90,C90/FILTER('Base Stats'!$C$2:$C1000, LOWER('Base Stats'!$B$2:$B1000) = LOWER($A90)), """")"),"")</f>
        <v/>
      </c>
      <c r="K90" s="0" t="str">
        <f aca="false">IF(F90 = H90, C90/G90, "")</f>
        <v/>
      </c>
      <c r="L90" s="0" t="str">
        <f aca="false">IFERROR(__xludf.dummyfunction("IF(AND(NOT(K90 = """"), G90 &gt;= 15),K90/FILTER('Base Stats'!$C$2:$C1000, LOWER('Base Stats'!$B$2:$B1000) = LOWER($A90)), """")"),"")</f>
        <v/>
      </c>
      <c r="M90" s="0" t="str">
        <f aca="false">IFERROR(__xludf.dummyfunction("1.15 + 0.02 * FILTER('Base Stats'!$C$2:$C1000, LOWER('Base Stats'!$B$2:$B1000) = LOWER($A90))"),"1.95")</f>
        <v>1.95</v>
      </c>
      <c r="N90" s="0" t="e">
        <f aca="false">IFERROR(IF(AND(NOT(K90 = ""), G90 &gt;= 15),K90/M90, ""))</f>
        <v>#VALUE!</v>
      </c>
    </row>
    <row r="91" customFormat="false" ht="15.75" hidden="false" customHeight="false" outlineLevel="0" collapsed="false">
      <c r="A91" s="8" t="s">
        <v>502</v>
      </c>
      <c r="B91" s="8" t="n">
        <v>161</v>
      </c>
      <c r="C91" s="8" t="n">
        <v>37</v>
      </c>
      <c r="D91" s="8" t="n">
        <v>1.98</v>
      </c>
      <c r="E91" s="8" t="n">
        <v>0.29</v>
      </c>
      <c r="F91" s="8" t="n">
        <v>1000</v>
      </c>
      <c r="G91" s="0" t="str">
        <f aca="false">IFERROR(__xludf.dummyfunction("ROUND(B91/ FILTER('Pokemon CP/HP'!$M$2:$M1000, LOWER('Pokemon CP/HP'!$B$2:$B1000)=LOWER(A91)))"),"16")</f>
        <v>16</v>
      </c>
      <c r="H91" s="0" t="str">
        <f aca="false">IFERROR(__xludf.dummyfunction("FILTER('Leveling Info'!$B$2:$B1000, 'Leveling Info'!$A$2:$A1000 =G91)"),"800")</f>
        <v>800</v>
      </c>
      <c r="I91" s="14" t="n">
        <f aca="false">SQRT(G91)</f>
        <v>4</v>
      </c>
      <c r="J91" s="14" t="str">
        <f aca="false">IFERROR(__xludf.dummyfunction("IF(F91 = H91,C91/FILTER('Base Stats'!$C$2:$C1000, LOWER('Base Stats'!$B$2:$B1000) = LOWER($A91)), """")"),"")</f>
        <v/>
      </c>
      <c r="K91" s="0" t="str">
        <f aca="false">IF(F91 = H91, C91/G91, "")</f>
        <v/>
      </c>
      <c r="L91" s="0" t="str">
        <f aca="false">IFERROR(__xludf.dummyfunction("IF(AND(NOT(K91 = """"), G91 &gt;= 15),K91/FILTER('Base Stats'!$C$2:$C1000, LOWER('Base Stats'!$B$2:$B1000) = LOWER($A91)), """")"),"")</f>
        <v/>
      </c>
      <c r="M91" s="0" t="str">
        <f aca="false">IFERROR(__xludf.dummyfunction("1.15 + 0.02 * FILTER('Base Stats'!$C$2:$C1000, LOWER('Base Stats'!$B$2:$B1000) = LOWER($A91))"),"1.95")</f>
        <v>1.95</v>
      </c>
      <c r="N91" s="0" t="e">
        <f aca="false">IFERROR(IF(AND(NOT(K91 = ""), G91 &gt;= 15),K91/M91, ""))</f>
        <v>#VALUE!</v>
      </c>
    </row>
    <row r="92" customFormat="false" ht="15.75" hidden="false" customHeight="false" outlineLevel="0" collapsed="false">
      <c r="A92" s="8" t="s">
        <v>502</v>
      </c>
      <c r="B92" s="8" t="n">
        <v>156</v>
      </c>
      <c r="C92" s="8" t="n">
        <v>35</v>
      </c>
      <c r="D92" s="8" t="n">
        <v>1.48</v>
      </c>
      <c r="E92" s="8" t="n">
        <v>0.29</v>
      </c>
      <c r="F92" s="8" t="n">
        <v>1000</v>
      </c>
      <c r="G92" s="0" t="str">
        <f aca="false">IFERROR(__xludf.dummyfunction("ROUND(B92/ FILTER('Pokemon CP/HP'!$M$2:$M1000, LOWER('Pokemon CP/HP'!$B$2:$B1000)=LOWER(A92)))"),"15")</f>
        <v>15</v>
      </c>
      <c r="H92" s="0" t="str">
        <f aca="false">IFERROR(__xludf.dummyfunction("FILTER('Leveling Info'!$B$2:$B1000, 'Leveling Info'!$A$2:$A1000 =G92)"),"800")</f>
        <v>800</v>
      </c>
      <c r="I92" s="14" t="n">
        <f aca="false">SQRT(G92)</f>
        <v>3.87298334620742</v>
      </c>
      <c r="J92" s="14" t="str">
        <f aca="false">IFERROR(__xludf.dummyfunction("IF(F92 = H92,C92/FILTER('Base Stats'!$C$2:$C1000, LOWER('Base Stats'!$B$2:$B1000) = LOWER($A92)), """")"),"")</f>
        <v/>
      </c>
      <c r="K92" s="0" t="str">
        <f aca="false">IF(F92 = H92, C92/G92, "")</f>
        <v/>
      </c>
      <c r="L92" s="0" t="str">
        <f aca="false">IFERROR(__xludf.dummyfunction("IF(AND(NOT(K92 = """"), G92 &gt;= 15),K92/FILTER('Base Stats'!$C$2:$C1000, LOWER('Base Stats'!$B$2:$B1000) = LOWER($A92)), """")"),"")</f>
        <v/>
      </c>
      <c r="M92" s="0" t="str">
        <f aca="false">IFERROR(__xludf.dummyfunction("1.15 + 0.02 * FILTER('Base Stats'!$C$2:$C1000, LOWER('Base Stats'!$B$2:$B1000) = LOWER($A92))"),"1.95")</f>
        <v>1.95</v>
      </c>
      <c r="N92" s="0" t="e">
        <f aca="false">IFERROR(IF(AND(NOT(K92 = ""), G92 &gt;= 15),K92/M92, ""))</f>
        <v>#VALUE!</v>
      </c>
    </row>
    <row r="93" customFormat="false" ht="15.75" hidden="false" customHeight="false" outlineLevel="0" collapsed="false">
      <c r="A93" s="8" t="s">
        <v>502</v>
      </c>
      <c r="B93" s="8" t="n">
        <v>154</v>
      </c>
      <c r="C93" s="8" t="n">
        <v>36</v>
      </c>
      <c r="D93" s="8" t="n">
        <v>0.84</v>
      </c>
      <c r="E93" s="8" t="n">
        <v>0.22</v>
      </c>
      <c r="F93" s="8" t="n">
        <v>1000</v>
      </c>
      <c r="G93" s="0" t="str">
        <f aca="false">IFERROR(__xludf.dummyfunction("ROUND(B93/ FILTER('Pokemon CP/HP'!$M$2:$M1000, LOWER('Pokemon CP/HP'!$B$2:$B1000)=LOWER(A93)))"),"15")</f>
        <v>15</v>
      </c>
      <c r="H93" s="0" t="str">
        <f aca="false">IFERROR(__xludf.dummyfunction("FILTER('Leveling Info'!$B$2:$B1000, 'Leveling Info'!$A$2:$A1000 =G93)"),"800")</f>
        <v>800</v>
      </c>
      <c r="I93" s="14" t="n">
        <f aca="false">SQRT(G93)</f>
        <v>3.87298334620742</v>
      </c>
      <c r="J93" s="14" t="str">
        <f aca="false">IFERROR(__xludf.dummyfunction("IF(F93 = H93,C93/FILTER('Base Stats'!$C$2:$C1000, LOWER('Base Stats'!$B$2:$B1000) = LOWER($A93)), """")"),"")</f>
        <v/>
      </c>
      <c r="K93" s="0" t="str">
        <f aca="false">IF(F93 = H93, C93/G93, "")</f>
        <v/>
      </c>
      <c r="L93" s="0" t="str">
        <f aca="false">IFERROR(__xludf.dummyfunction("IF(AND(NOT(K93 = """"), G93 &gt;= 15),K93/FILTER('Base Stats'!$C$2:$C1000, LOWER('Base Stats'!$B$2:$B1000) = LOWER($A93)), """")"),"")</f>
        <v/>
      </c>
      <c r="M93" s="0" t="str">
        <f aca="false">IFERROR(__xludf.dummyfunction("1.15 + 0.02 * FILTER('Base Stats'!$C$2:$C1000, LOWER('Base Stats'!$B$2:$B1000) = LOWER($A93))"),"1.95")</f>
        <v>1.95</v>
      </c>
      <c r="N93" s="0" t="e">
        <f aca="false">IFERROR(IF(AND(NOT(K93 = ""), G93 &gt;= 15),K93/M93, ""))</f>
        <v>#VALUE!</v>
      </c>
    </row>
    <row r="94" customFormat="false" ht="15.75" hidden="false" customHeight="false" outlineLevel="0" collapsed="false">
      <c r="A94" s="8" t="s">
        <v>502</v>
      </c>
      <c r="B94" s="8" t="n">
        <v>154</v>
      </c>
      <c r="C94" s="8" t="n">
        <v>33</v>
      </c>
      <c r="D94" s="8" t="n">
        <v>2.09</v>
      </c>
      <c r="E94" s="8" t="n">
        <v>0.3</v>
      </c>
      <c r="F94" s="8" t="n">
        <v>1000</v>
      </c>
      <c r="G94" s="0" t="str">
        <f aca="false">IFERROR(__xludf.dummyfunction("ROUND(B94/ FILTER('Pokemon CP/HP'!$M$2:$M1000, LOWER('Pokemon CP/HP'!$B$2:$B1000)=LOWER(A94)))"),"15")</f>
        <v>15</v>
      </c>
      <c r="H94" s="0" t="str">
        <f aca="false">IFERROR(__xludf.dummyfunction("FILTER('Leveling Info'!$B$2:$B1000, 'Leveling Info'!$A$2:$A1000 =G94)"),"800")</f>
        <v>800</v>
      </c>
      <c r="I94" s="14" t="n">
        <f aca="false">SQRT(G94)</f>
        <v>3.87298334620742</v>
      </c>
      <c r="J94" s="14" t="str">
        <f aca="false">IFERROR(__xludf.dummyfunction("IF(F94 = H94,C94/FILTER('Base Stats'!$C$2:$C1000, LOWER('Base Stats'!$B$2:$B1000) = LOWER($A94)), """")"),"")</f>
        <v/>
      </c>
      <c r="K94" s="0" t="str">
        <f aca="false">IF(F94 = H94, C94/G94, "")</f>
        <v/>
      </c>
      <c r="L94" s="0" t="str">
        <f aca="false">IFERROR(__xludf.dummyfunction("IF(AND(NOT(K94 = """"), G94 &gt;= 15),K94/FILTER('Base Stats'!$C$2:$C1000, LOWER('Base Stats'!$B$2:$B1000) = LOWER($A94)), """")"),"")</f>
        <v/>
      </c>
      <c r="M94" s="0" t="str">
        <f aca="false">IFERROR(__xludf.dummyfunction("1.15 + 0.02 * FILTER('Base Stats'!$C$2:$C1000, LOWER('Base Stats'!$B$2:$B1000) = LOWER($A94))"),"1.95")</f>
        <v>1.95</v>
      </c>
      <c r="N94" s="0" t="e">
        <f aca="false">IFERROR(IF(AND(NOT(K94 = ""), G94 &gt;= 15),K94/M94, ""))</f>
        <v>#VALUE!</v>
      </c>
    </row>
    <row r="95" customFormat="false" ht="15.75" hidden="false" customHeight="false" outlineLevel="0" collapsed="false">
      <c r="A95" s="8" t="s">
        <v>502</v>
      </c>
      <c r="B95" s="8" t="n">
        <v>142</v>
      </c>
      <c r="C95" s="8" t="n">
        <v>31</v>
      </c>
      <c r="D95" s="8" t="n">
        <v>3</v>
      </c>
      <c r="E95" s="8" t="n">
        <v>0.36</v>
      </c>
      <c r="F95" s="8" t="n">
        <v>1000</v>
      </c>
      <c r="G95" s="0" t="str">
        <f aca="false">IFERROR(__xludf.dummyfunction("ROUND(B95/ FILTER('Pokemon CP/HP'!$M$2:$M1000, LOWER('Pokemon CP/HP'!$B$2:$B1000)=LOWER(A95)))"),"14")</f>
        <v>14</v>
      </c>
      <c r="H95" s="0" t="str">
        <f aca="false">IFERROR(__xludf.dummyfunction("FILTER('Leveling Info'!$B$2:$B1000, 'Leveling Info'!$A$2:$A1000 =G95)"),"800")</f>
        <v>800</v>
      </c>
      <c r="I95" s="14" t="n">
        <f aca="false">SQRT(G95)</f>
        <v>3.74165738677394</v>
      </c>
      <c r="J95" s="14" t="str">
        <f aca="false">IFERROR(__xludf.dummyfunction("IF(F95 = H95,C95/FILTER('Base Stats'!$C$2:$C1000, LOWER('Base Stats'!$B$2:$B1000) = LOWER($A95)), """")"),"")</f>
        <v/>
      </c>
      <c r="K95" s="0" t="str">
        <f aca="false">IF(F95 = H95, C95/G95, "")</f>
        <v/>
      </c>
      <c r="L95" s="0" t="str">
        <f aca="false">IFERROR(__xludf.dummyfunction("IF(AND(NOT(K95 = """"), G95 &gt;= 15),K95/FILTER('Base Stats'!$C$2:$C1000, LOWER('Base Stats'!$B$2:$B1000) = LOWER($A95)), """")"),"")</f>
        <v/>
      </c>
      <c r="M95" s="0" t="str">
        <f aca="false">IFERROR(__xludf.dummyfunction("1.15 + 0.02 * FILTER('Base Stats'!$C$2:$C1000, LOWER('Base Stats'!$B$2:$B1000) = LOWER($A95))"),"1.95")</f>
        <v>1.95</v>
      </c>
      <c r="N95" s="0" t="e">
        <f aca="false">IFERROR(IF(AND(NOT(K95 = ""), G95 &gt;= 15),K95/M95, ""))</f>
        <v>#VALUE!</v>
      </c>
    </row>
    <row r="96" customFormat="false" ht="15.75" hidden="false" customHeight="false" outlineLevel="0" collapsed="false">
      <c r="A96" s="8" t="s">
        <v>502</v>
      </c>
      <c r="B96" s="8" t="n">
        <v>135</v>
      </c>
      <c r="C96" s="8" t="n">
        <v>34</v>
      </c>
      <c r="D96" s="8" t="n">
        <v>1.7</v>
      </c>
      <c r="E96" s="8" t="n">
        <v>0.33</v>
      </c>
      <c r="F96" s="8" t="n">
        <v>800</v>
      </c>
      <c r="G96" s="0" t="str">
        <f aca="false">IFERROR(__xludf.dummyfunction("ROUND(B96/ FILTER('Pokemon CP/HP'!$M$2:$M1000, LOWER('Pokemon CP/HP'!$B$2:$B1000)=LOWER(A96)))"),"13")</f>
        <v>13</v>
      </c>
      <c r="H96" s="0" t="str">
        <f aca="false">IFERROR(__xludf.dummyfunction("FILTER('Leveling Info'!$B$2:$B1000, 'Leveling Info'!$A$2:$A1000 =G96)"),"800")</f>
        <v>800</v>
      </c>
      <c r="I96" s="14" t="n">
        <f aca="false">SQRT(G96)</f>
        <v>3.60555127546399</v>
      </c>
      <c r="J96" s="14" t="str">
        <f aca="false">IFERROR(__xludf.dummyfunction("IF(F96 = H96,C96/FILTER('Base Stats'!$C$2:$C1000, LOWER('Base Stats'!$B$2:$B1000) = LOWER($A96)), """")"),"0.85")</f>
        <v>0.85</v>
      </c>
      <c r="K96" s="0" t="str">
        <f aca="false">IF(F96 = H96, C96/G96, "")</f>
        <v/>
      </c>
      <c r="L96" s="0" t="str">
        <f aca="false">IFERROR(__xludf.dummyfunction("IF(AND(NOT(K96 = """"), G96 &gt;= 15),K96/FILTER('Base Stats'!$C$2:$C1000, LOWER('Base Stats'!$B$2:$B1000) = LOWER($A96)), """")"),"")</f>
        <v/>
      </c>
      <c r="M96" s="0" t="str">
        <f aca="false">IFERROR(__xludf.dummyfunction("1.15 + 0.02 * FILTER('Base Stats'!$C$2:$C1000, LOWER('Base Stats'!$B$2:$B1000) = LOWER($A96))"),"1.95")</f>
        <v>1.95</v>
      </c>
      <c r="N96" s="0" t="e">
        <f aca="false">IFERROR(IF(AND(NOT(K96 = ""), G96 &gt;= 15),K96/M96, ""))</f>
        <v>#VALUE!</v>
      </c>
    </row>
    <row r="97" customFormat="false" ht="15.75" hidden="false" customHeight="false" outlineLevel="0" collapsed="false">
      <c r="A97" s="8" t="s">
        <v>502</v>
      </c>
      <c r="B97" s="8" t="n">
        <v>131</v>
      </c>
      <c r="C97" s="8" t="n">
        <v>33</v>
      </c>
      <c r="D97" s="8" t="n">
        <v>1.26</v>
      </c>
      <c r="E97" s="8" t="n">
        <v>0.26</v>
      </c>
      <c r="F97" s="8" t="n">
        <v>800</v>
      </c>
      <c r="G97" s="0" t="str">
        <f aca="false">IFERROR(__xludf.dummyfunction("ROUND(B97/ FILTER('Pokemon CP/HP'!$M$2:$M1000, LOWER('Pokemon CP/HP'!$B$2:$B1000)=LOWER(A97)))"),"13")</f>
        <v>13</v>
      </c>
      <c r="H97" s="0" t="str">
        <f aca="false">IFERROR(__xludf.dummyfunction("FILTER('Leveling Info'!$B$2:$B1000, 'Leveling Info'!$A$2:$A1000 =G97)"),"800")</f>
        <v>800</v>
      </c>
      <c r="I97" s="14" t="n">
        <f aca="false">SQRT(G97)</f>
        <v>3.60555127546399</v>
      </c>
      <c r="J97" s="14" t="str">
        <f aca="false">IFERROR(__xludf.dummyfunction("IF(F97 = H97,C97/FILTER('Base Stats'!$C$2:$C1000, LOWER('Base Stats'!$B$2:$B1000) = LOWER($A97)), """")"),"0.825")</f>
        <v>0.825</v>
      </c>
      <c r="K97" s="0" t="str">
        <f aca="false">IF(F97 = H97, C97/G97, "")</f>
        <v/>
      </c>
      <c r="L97" s="0" t="str">
        <f aca="false">IFERROR(__xludf.dummyfunction("IF(AND(NOT(K97 = """"), G97 &gt;= 15),K97/FILTER('Base Stats'!$C$2:$C1000, LOWER('Base Stats'!$B$2:$B1000) = LOWER($A97)), """")"),"")</f>
        <v/>
      </c>
      <c r="M97" s="0" t="str">
        <f aca="false">IFERROR(__xludf.dummyfunction("1.15 + 0.02 * FILTER('Base Stats'!$C$2:$C1000, LOWER('Base Stats'!$B$2:$B1000) = LOWER($A97))"),"1.95")</f>
        <v>1.95</v>
      </c>
      <c r="N97" s="0" t="e">
        <f aca="false">IFERROR(IF(AND(NOT(K97 = ""), G97 &gt;= 15),K97/M97, ""))</f>
        <v>#VALUE!</v>
      </c>
    </row>
    <row r="98" customFormat="false" ht="15.75" hidden="false" customHeight="false" outlineLevel="0" collapsed="false">
      <c r="A98" s="8" t="s">
        <v>502</v>
      </c>
      <c r="B98" s="8" t="n">
        <v>131</v>
      </c>
      <c r="C98" s="8" t="n">
        <v>30</v>
      </c>
      <c r="D98" s="8" t="n">
        <v>2.01</v>
      </c>
      <c r="E98" s="8" t="n">
        <v>0.28</v>
      </c>
      <c r="F98" s="8" t="n">
        <v>800</v>
      </c>
      <c r="G98" s="0" t="str">
        <f aca="false">IFERROR(__xludf.dummyfunction("ROUND(B98/ FILTER('Pokemon CP/HP'!$M$2:$M1000, LOWER('Pokemon CP/HP'!$B$2:$B1000)=LOWER(A98)))"),"13")</f>
        <v>13</v>
      </c>
      <c r="H98" s="0" t="str">
        <f aca="false">IFERROR(__xludf.dummyfunction("FILTER('Leveling Info'!$B$2:$B1000, 'Leveling Info'!$A$2:$A1000 =G98)"),"800")</f>
        <v>800</v>
      </c>
      <c r="I98" s="14" t="n">
        <f aca="false">SQRT(G98)</f>
        <v>3.60555127546399</v>
      </c>
      <c r="J98" s="14" t="str">
        <f aca="false">IFERROR(__xludf.dummyfunction("IF(F98 = H98,C98/FILTER('Base Stats'!$C$2:$C1000, LOWER('Base Stats'!$B$2:$B1000) = LOWER($A98)), """")"),"0.75")</f>
        <v>0.75</v>
      </c>
      <c r="K98" s="0" t="str">
        <f aca="false">IF(F98 = H98, C98/G98, "")</f>
        <v/>
      </c>
      <c r="L98" s="0" t="str">
        <f aca="false">IFERROR(__xludf.dummyfunction("IF(AND(NOT(K98 = """"), G98 &gt;= 15),K98/FILTER('Base Stats'!$C$2:$C1000, LOWER('Base Stats'!$B$2:$B1000) = LOWER($A98)), """")"),"")</f>
        <v/>
      </c>
      <c r="M98" s="0" t="str">
        <f aca="false">IFERROR(__xludf.dummyfunction("1.15 + 0.02 * FILTER('Base Stats'!$C$2:$C1000, LOWER('Base Stats'!$B$2:$B1000) = LOWER($A98))"),"1.95")</f>
        <v>1.95</v>
      </c>
      <c r="N98" s="0" t="e">
        <f aca="false">IFERROR(IF(AND(NOT(K98 = ""), G98 &gt;= 15),K98/M98, ""))</f>
        <v>#VALUE!</v>
      </c>
    </row>
    <row r="99" customFormat="false" ht="15.75" hidden="false" customHeight="false" outlineLevel="0" collapsed="false">
      <c r="A99" s="8" t="s">
        <v>502</v>
      </c>
      <c r="B99" s="8" t="n">
        <v>126</v>
      </c>
      <c r="C99" s="8" t="n">
        <v>31</v>
      </c>
      <c r="D99" s="8" t="n">
        <v>1.74</v>
      </c>
      <c r="E99" s="8" t="n">
        <v>0.3</v>
      </c>
      <c r="F99" s="8" t="n">
        <v>800</v>
      </c>
      <c r="G99" s="0" t="str">
        <f aca="false">IFERROR(__xludf.dummyfunction("ROUND(B99/ FILTER('Pokemon CP/HP'!$M$2:$M1000, LOWER('Pokemon CP/HP'!$B$2:$B1000)=LOWER(A99)))"),"12")</f>
        <v>12</v>
      </c>
      <c r="H99" s="0" t="str">
        <f aca="false">IFERROR(__xludf.dummyfunction("FILTER('Leveling Info'!$B$2:$B1000, 'Leveling Info'!$A$2:$A1000 =G99)"),"600")</f>
        <v>600</v>
      </c>
      <c r="I99" s="14" t="n">
        <f aca="false">SQRT(G99)</f>
        <v>3.46410161513775</v>
      </c>
      <c r="J99" s="14" t="str">
        <f aca="false">IFERROR(__xludf.dummyfunction("IF(F99 = H99,C99/FILTER('Base Stats'!$C$2:$C1000, LOWER('Base Stats'!$B$2:$B1000) = LOWER($A99)), """")"),"")</f>
        <v/>
      </c>
      <c r="K99" s="0" t="str">
        <f aca="false">IF(F99 = H99, C99/G99, "")</f>
        <v/>
      </c>
      <c r="L99" s="0" t="str">
        <f aca="false">IFERROR(__xludf.dummyfunction("IF(AND(NOT(K99 = """"), G99 &gt;= 15),K99/FILTER('Base Stats'!$C$2:$C1000, LOWER('Base Stats'!$B$2:$B1000) = LOWER($A99)), """")"),"")</f>
        <v/>
      </c>
      <c r="M99" s="0" t="str">
        <f aca="false">IFERROR(__xludf.dummyfunction("1.15 + 0.02 * FILTER('Base Stats'!$C$2:$C1000, LOWER('Base Stats'!$B$2:$B1000) = LOWER($A99))"),"1.95")</f>
        <v>1.95</v>
      </c>
      <c r="N99" s="0" t="e">
        <f aca="false">IFERROR(IF(AND(NOT(K99 = ""), G99 &gt;= 15),K99/M99, ""))</f>
        <v>#VALUE!</v>
      </c>
    </row>
    <row r="100" customFormat="false" ht="15.75" hidden="false" customHeight="false" outlineLevel="0" collapsed="false">
      <c r="A100" s="8" t="s">
        <v>502</v>
      </c>
      <c r="B100" s="8" t="n">
        <v>110</v>
      </c>
      <c r="C100" s="8" t="n">
        <v>31</v>
      </c>
      <c r="D100" s="8" t="n">
        <v>1.8</v>
      </c>
      <c r="E100" s="8" t="n">
        <v>0.3</v>
      </c>
      <c r="F100" s="8" t="n">
        <v>800</v>
      </c>
      <c r="G100" s="0" t="str">
        <f aca="false">IFERROR(__xludf.dummyfunction("ROUND(B100/ FILTER('Pokemon CP/HP'!$M$2:$M1000, LOWER('Pokemon CP/HP'!$B$2:$B1000)=LOWER(A100)))"),"11")</f>
        <v>11</v>
      </c>
      <c r="H100" s="0" t="str">
        <f aca="false">IFERROR(__xludf.dummyfunction("FILTER('Leveling Info'!$B$2:$B1000, 'Leveling Info'!$A$2:$A1000 =G100)"),"600")</f>
        <v>600</v>
      </c>
      <c r="I100" s="14" t="n">
        <f aca="false">SQRT(G100)</f>
        <v>3.3166247903554</v>
      </c>
      <c r="J100" s="14" t="str">
        <f aca="false">IFERROR(__xludf.dummyfunction("IF(F100 = H100,C100/FILTER('Base Stats'!$C$2:$C1000, LOWER('Base Stats'!$B$2:$B1000) = LOWER($A100)), """")"),"")</f>
        <v/>
      </c>
      <c r="K100" s="0" t="str">
        <f aca="false">IF(F100 = H100, C100/G100, "")</f>
        <v/>
      </c>
      <c r="L100" s="0" t="str">
        <f aca="false">IFERROR(__xludf.dummyfunction("IF(AND(NOT(K100 = """"), G100 &gt;= 15),K100/FILTER('Base Stats'!$C$2:$C1000, LOWER('Base Stats'!$B$2:$B1000) = LOWER($A100)), """")"),"")</f>
        <v/>
      </c>
      <c r="M100" s="0" t="str">
        <f aca="false">IFERROR(__xludf.dummyfunction("1.15 + 0.02 * FILTER('Base Stats'!$C$2:$C1000, LOWER('Base Stats'!$B$2:$B1000) = LOWER($A100))"),"1.95")</f>
        <v>1.95</v>
      </c>
      <c r="N100" s="0" t="e">
        <f aca="false">IFERROR(IF(AND(NOT(K100 = ""), G100 &gt;= 15),K100/M100, ""))</f>
        <v>#VALUE!</v>
      </c>
    </row>
    <row r="101" customFormat="false" ht="15.75" hidden="false" customHeight="false" outlineLevel="0" collapsed="false">
      <c r="A101" s="8" t="s">
        <v>502</v>
      </c>
      <c r="B101" s="8" t="n">
        <v>110</v>
      </c>
      <c r="C101" s="8" t="n">
        <v>32</v>
      </c>
      <c r="D101" s="8" t="n">
        <v>2.46</v>
      </c>
      <c r="E101" s="8" t="n">
        <v>0.34</v>
      </c>
      <c r="F101" s="8" t="n">
        <v>800</v>
      </c>
      <c r="G101" s="0" t="str">
        <f aca="false">IFERROR(__xludf.dummyfunction("ROUND(B101/ FILTER('Pokemon CP/HP'!$M$2:$M1000, LOWER('Pokemon CP/HP'!$B$2:$B1000)=LOWER(A101)))"),"11")</f>
        <v>11</v>
      </c>
      <c r="H101" s="0" t="str">
        <f aca="false">IFERROR(__xludf.dummyfunction("FILTER('Leveling Info'!$B$2:$B1000, 'Leveling Info'!$A$2:$A1000 =G101)"),"600")</f>
        <v>600</v>
      </c>
      <c r="I101" s="14" t="n">
        <f aca="false">SQRT(G101)</f>
        <v>3.3166247903554</v>
      </c>
      <c r="J101" s="14" t="str">
        <f aca="false">IFERROR(__xludf.dummyfunction("IF(F101 = H101,C101/FILTER('Base Stats'!$C$2:$C1000, LOWER('Base Stats'!$B$2:$B1000) = LOWER($A101)), """")"),"")</f>
        <v/>
      </c>
      <c r="K101" s="0" t="str">
        <f aca="false">IF(F101 = H101, C101/G101, "")</f>
        <v/>
      </c>
      <c r="L101" s="0" t="str">
        <f aca="false">IFERROR(__xludf.dummyfunction("IF(AND(NOT(K101 = """"), G101 &gt;= 15),K101/FILTER('Base Stats'!$C$2:$C1000, LOWER('Base Stats'!$B$2:$B1000) = LOWER($A101)), """")"),"")</f>
        <v/>
      </c>
      <c r="M101" s="0" t="str">
        <f aca="false">IFERROR(__xludf.dummyfunction("1.15 + 0.02 * FILTER('Base Stats'!$C$2:$C1000, LOWER('Base Stats'!$B$2:$B1000) = LOWER($A101))"),"1.95")</f>
        <v>1.95</v>
      </c>
      <c r="N101" s="0" t="e">
        <f aca="false">IFERROR(IF(AND(NOT(K101 = ""), G101 &gt;= 15),K101/M101, ""))</f>
        <v>#VALUE!</v>
      </c>
    </row>
    <row r="102" customFormat="false" ht="15.75" hidden="false" customHeight="false" outlineLevel="0" collapsed="false">
      <c r="A102" s="8" t="s">
        <v>502</v>
      </c>
      <c r="B102" s="8" t="n">
        <v>109</v>
      </c>
      <c r="C102" s="8" t="n">
        <v>29</v>
      </c>
      <c r="D102" s="8" t="n">
        <v>1.43</v>
      </c>
      <c r="E102" s="8" t="n">
        <v>0.25</v>
      </c>
      <c r="F102" s="8" t="n">
        <v>800</v>
      </c>
      <c r="G102" s="0" t="str">
        <f aca="false">IFERROR(__xludf.dummyfunction("ROUND(B102/ FILTER('Pokemon CP/HP'!$M$2:$M1000, LOWER('Pokemon CP/HP'!$B$2:$B1000)=LOWER(A102)))"),"11")</f>
        <v>11</v>
      </c>
      <c r="H102" s="0" t="str">
        <f aca="false">IFERROR(__xludf.dummyfunction("FILTER('Leveling Info'!$B$2:$B1000, 'Leveling Info'!$A$2:$A1000 =G102)"),"600")</f>
        <v>600</v>
      </c>
      <c r="I102" s="14" t="n">
        <f aca="false">SQRT(G102)</f>
        <v>3.3166247903554</v>
      </c>
      <c r="J102" s="14" t="str">
        <f aca="false">IFERROR(__xludf.dummyfunction("IF(F102 = H102,C102/FILTER('Base Stats'!$C$2:$C1000, LOWER('Base Stats'!$B$2:$B1000) = LOWER($A102)), """")"),"")</f>
        <v/>
      </c>
      <c r="K102" s="0" t="str">
        <f aca="false">IF(F102 = H102, C102/G102, "")</f>
        <v/>
      </c>
      <c r="L102" s="0" t="str">
        <f aca="false">IFERROR(__xludf.dummyfunction("IF(AND(NOT(K102 = """"), G102 &gt;= 15),K102/FILTER('Base Stats'!$C$2:$C1000, LOWER('Base Stats'!$B$2:$B1000) = LOWER($A102)), """")"),"")</f>
        <v/>
      </c>
      <c r="M102" s="0" t="str">
        <f aca="false">IFERROR(__xludf.dummyfunction("1.15 + 0.02 * FILTER('Base Stats'!$C$2:$C1000, LOWER('Base Stats'!$B$2:$B1000) = LOWER($A102))"),"1.95")</f>
        <v>1.95</v>
      </c>
      <c r="N102" s="0" t="e">
        <f aca="false">IFERROR(IF(AND(NOT(K102 = ""), G102 &gt;= 15),K102/M102, ""))</f>
        <v>#VALUE!</v>
      </c>
    </row>
    <row r="103" customFormat="false" ht="15.75" hidden="false" customHeight="false" outlineLevel="0" collapsed="false">
      <c r="A103" s="8" t="s">
        <v>502</v>
      </c>
      <c r="B103" s="8" t="n">
        <v>108</v>
      </c>
      <c r="C103" s="8" t="n">
        <v>30</v>
      </c>
      <c r="D103" s="8" t="n">
        <v>1.23</v>
      </c>
      <c r="E103" s="8" t="n">
        <v>0.25</v>
      </c>
      <c r="F103" s="8" t="n">
        <v>800</v>
      </c>
      <c r="G103" s="0" t="str">
        <f aca="false">IFERROR(__xludf.dummyfunction("ROUND(B103/ FILTER('Pokemon CP/HP'!$M$2:$M1000, LOWER('Pokemon CP/HP'!$B$2:$B1000)=LOWER(A103)))"),"11")</f>
        <v>11</v>
      </c>
      <c r="H103" s="0" t="str">
        <f aca="false">IFERROR(__xludf.dummyfunction("FILTER('Leveling Info'!$B$2:$B1000, 'Leveling Info'!$A$2:$A1000 =G103)"),"600")</f>
        <v>600</v>
      </c>
      <c r="I103" s="14" t="n">
        <f aca="false">SQRT(G103)</f>
        <v>3.3166247903554</v>
      </c>
      <c r="J103" s="14" t="str">
        <f aca="false">IFERROR(__xludf.dummyfunction("IF(F103 = H103,C103/FILTER('Base Stats'!$C$2:$C1000, LOWER('Base Stats'!$B$2:$B1000) = LOWER($A103)), """")"),"")</f>
        <v/>
      </c>
      <c r="K103" s="0" t="str">
        <f aca="false">IF(F103 = H103, C103/G103, "")</f>
        <v/>
      </c>
      <c r="L103" s="0" t="str">
        <f aca="false">IFERROR(__xludf.dummyfunction("IF(AND(NOT(K103 = """"), G103 &gt;= 15),K103/FILTER('Base Stats'!$C$2:$C1000, LOWER('Base Stats'!$B$2:$B1000) = LOWER($A103)), """")"),"")</f>
        <v/>
      </c>
      <c r="M103" s="0" t="str">
        <f aca="false">IFERROR(__xludf.dummyfunction("1.15 + 0.02 * FILTER('Base Stats'!$C$2:$C1000, LOWER('Base Stats'!$B$2:$B1000) = LOWER($A103))"),"1.95")</f>
        <v>1.95</v>
      </c>
      <c r="N103" s="0" t="e">
        <f aca="false">IFERROR(IF(AND(NOT(K103 = ""), G103 &gt;= 15),K103/M103, ""))</f>
        <v>#VALUE!</v>
      </c>
    </row>
    <row r="104" customFormat="false" ht="15.75" hidden="false" customHeight="false" outlineLevel="0" collapsed="false">
      <c r="A104" s="8" t="s">
        <v>502</v>
      </c>
      <c r="B104" s="8" t="n">
        <v>107</v>
      </c>
      <c r="C104" s="8" t="n">
        <v>28</v>
      </c>
      <c r="D104" s="8" t="n">
        <v>1.99</v>
      </c>
      <c r="E104" s="8" t="n">
        <v>0.32</v>
      </c>
      <c r="F104" s="8" t="n">
        <v>800</v>
      </c>
      <c r="G104" s="0" t="str">
        <f aca="false">IFERROR(__xludf.dummyfunction("ROUND(B104/ FILTER('Pokemon CP/HP'!$M$2:$M1000, LOWER('Pokemon CP/HP'!$B$2:$B1000)=LOWER(A104)))"),"10")</f>
        <v>10</v>
      </c>
      <c r="H104" s="0" t="str">
        <f aca="false">IFERROR(__xludf.dummyfunction("FILTER('Leveling Info'!$B$2:$B1000, 'Leveling Info'!$A$2:$A1000 =G104)"),"600")</f>
        <v>600</v>
      </c>
      <c r="I104" s="14" t="n">
        <f aca="false">SQRT(G104)</f>
        <v>3.16227766016838</v>
      </c>
      <c r="J104" s="14" t="str">
        <f aca="false">IFERROR(__xludf.dummyfunction("IF(F104 = H104,C104/FILTER('Base Stats'!$C$2:$C1000, LOWER('Base Stats'!$B$2:$B1000) = LOWER($A104)), """")"),"")</f>
        <v/>
      </c>
      <c r="K104" s="0" t="str">
        <f aca="false">IF(F104 = H104, C104/G104, "")</f>
        <v/>
      </c>
      <c r="L104" s="0" t="str">
        <f aca="false">IFERROR(__xludf.dummyfunction("IF(AND(NOT(K104 = """"), G104 &gt;= 15),K104/FILTER('Base Stats'!$C$2:$C1000, LOWER('Base Stats'!$B$2:$B1000) = LOWER($A104)), """")"),"")</f>
        <v/>
      </c>
      <c r="M104" s="0" t="str">
        <f aca="false">IFERROR(__xludf.dummyfunction("1.15 + 0.02 * FILTER('Base Stats'!$C$2:$C1000, LOWER('Base Stats'!$B$2:$B1000) = LOWER($A104))"),"1.95")</f>
        <v>1.95</v>
      </c>
      <c r="N104" s="0" t="e">
        <f aca="false">IFERROR(IF(AND(NOT(K104 = ""), G104 &gt;= 15),K104/M104, ""))</f>
        <v>#VALUE!</v>
      </c>
    </row>
    <row r="105" customFormat="false" ht="15.75" hidden="false" customHeight="false" outlineLevel="0" collapsed="false">
      <c r="A105" s="8" t="s">
        <v>502</v>
      </c>
      <c r="B105" s="8" t="n">
        <v>99</v>
      </c>
      <c r="C105" s="8" t="n">
        <v>27</v>
      </c>
      <c r="D105" s="8" t="n">
        <v>1.43</v>
      </c>
      <c r="E105" s="8" t="n">
        <v>0.28</v>
      </c>
      <c r="F105" s="8" t="n">
        <v>600</v>
      </c>
      <c r="G105" s="0" t="str">
        <f aca="false">IFERROR(__xludf.dummyfunction("ROUND(B105/ FILTER('Pokemon CP/HP'!$M$2:$M1000, LOWER('Pokemon CP/HP'!$B$2:$B1000)=LOWER(A105)))"),"10")</f>
        <v>10</v>
      </c>
      <c r="H105" s="0" t="str">
        <f aca="false">IFERROR(__xludf.dummyfunction("FILTER('Leveling Info'!$B$2:$B1000, 'Leveling Info'!$A$2:$A1000 =G105)"),"600")</f>
        <v>600</v>
      </c>
      <c r="I105" s="14" t="n">
        <f aca="false">SQRT(G105)</f>
        <v>3.16227766016838</v>
      </c>
      <c r="J105" s="14" t="str">
        <f aca="false">IFERROR(__xludf.dummyfunction("IF(F105 = H105,C105/FILTER('Base Stats'!$C$2:$C1000, LOWER('Base Stats'!$B$2:$B1000) = LOWER($A105)), """")"),"0.675")</f>
        <v>0.675</v>
      </c>
      <c r="K105" s="0" t="str">
        <f aca="false">IF(F105 = H105, C105/G105, "")</f>
        <v/>
      </c>
      <c r="L105" s="0" t="str">
        <f aca="false">IFERROR(__xludf.dummyfunction("IF(AND(NOT(K105 = """"), G105 &gt;= 15),K105/FILTER('Base Stats'!$C$2:$C1000, LOWER('Base Stats'!$B$2:$B1000) = LOWER($A105)), """")"),"")</f>
        <v/>
      </c>
      <c r="M105" s="0" t="str">
        <f aca="false">IFERROR(__xludf.dummyfunction("1.15 + 0.02 * FILTER('Base Stats'!$C$2:$C1000, LOWER('Base Stats'!$B$2:$B1000) = LOWER($A105))"),"1.95")</f>
        <v>1.95</v>
      </c>
      <c r="N105" s="0" t="e">
        <f aca="false">IFERROR(IF(AND(NOT(K105 = ""), G105 &gt;= 15),K105/M105, ""))</f>
        <v>#VALUE!</v>
      </c>
    </row>
    <row r="106" customFormat="false" ht="15.75" hidden="false" customHeight="false" outlineLevel="0" collapsed="false">
      <c r="A106" s="8" t="s">
        <v>502</v>
      </c>
      <c r="B106" s="8" t="n">
        <v>98</v>
      </c>
      <c r="C106" s="8" t="n">
        <v>29</v>
      </c>
      <c r="D106" s="8" t="n">
        <v>1.07</v>
      </c>
      <c r="E106" s="8" t="n">
        <v>0.23</v>
      </c>
      <c r="F106" s="8" t="n">
        <v>600</v>
      </c>
      <c r="G106" s="0" t="str">
        <f aca="false">IFERROR(__xludf.dummyfunction("ROUND(B106/ FILTER('Pokemon CP/HP'!$M$2:$M1000, LOWER('Pokemon CP/HP'!$B$2:$B1000)=LOWER(A106)))"),"10")</f>
        <v>10</v>
      </c>
      <c r="H106" s="0" t="str">
        <f aca="false">IFERROR(__xludf.dummyfunction("FILTER('Leveling Info'!$B$2:$B1000, 'Leveling Info'!$A$2:$A1000 =G106)"),"600")</f>
        <v>600</v>
      </c>
      <c r="I106" s="14" t="n">
        <f aca="false">SQRT(G106)</f>
        <v>3.16227766016838</v>
      </c>
      <c r="J106" s="14" t="str">
        <f aca="false">IFERROR(__xludf.dummyfunction("IF(F106 = H106,C106/FILTER('Base Stats'!$C$2:$C1000, LOWER('Base Stats'!$B$2:$B1000) = LOWER($A106)), """")"),"0.725")</f>
        <v>0.725</v>
      </c>
      <c r="K106" s="0" t="str">
        <f aca="false">IF(F106 = H106, C106/G106, "")</f>
        <v/>
      </c>
      <c r="L106" s="0" t="str">
        <f aca="false">IFERROR(__xludf.dummyfunction("IF(AND(NOT(K106 = """"), G106 &gt;= 15),K106/FILTER('Base Stats'!$C$2:$C1000, LOWER('Base Stats'!$B$2:$B1000) = LOWER($A106)), """")"),"")</f>
        <v/>
      </c>
      <c r="M106" s="0" t="str">
        <f aca="false">IFERROR(__xludf.dummyfunction("1.15 + 0.02 * FILTER('Base Stats'!$C$2:$C1000, LOWER('Base Stats'!$B$2:$B1000) = LOWER($A106))"),"1.95")</f>
        <v>1.95</v>
      </c>
      <c r="N106" s="0" t="e">
        <f aca="false">IFERROR(IF(AND(NOT(K106 = ""), G106 &gt;= 15),K106/M106, ""))</f>
        <v>#VALUE!</v>
      </c>
    </row>
    <row r="107" customFormat="false" ht="15.75" hidden="false" customHeight="false" outlineLevel="0" collapsed="false">
      <c r="A107" s="8" t="s">
        <v>502</v>
      </c>
      <c r="B107" s="8" t="n">
        <v>96</v>
      </c>
      <c r="C107" s="8" t="n">
        <v>28</v>
      </c>
      <c r="D107" s="8" t="n">
        <v>1.71</v>
      </c>
      <c r="E107" s="8" t="n">
        <v>0.29</v>
      </c>
      <c r="F107" s="8" t="n">
        <v>600</v>
      </c>
      <c r="G107" s="0" t="str">
        <f aca="false">IFERROR(__xludf.dummyfunction("ROUND(B107/ FILTER('Pokemon CP/HP'!$M$2:$M1000, LOWER('Pokemon CP/HP'!$B$2:$B1000)=LOWER(A107)))"),"9")</f>
        <v>9</v>
      </c>
      <c r="H107" s="0" t="str">
        <f aca="false">IFERROR(__xludf.dummyfunction("FILTER('Leveling Info'!$B$2:$B1000, 'Leveling Info'!$A$2:$A1000 =G107)"),"600")</f>
        <v>600</v>
      </c>
      <c r="I107" s="14" t="n">
        <f aca="false">SQRT(G107)</f>
        <v>3</v>
      </c>
      <c r="J107" s="14" t="str">
        <f aca="false">IFERROR(__xludf.dummyfunction("IF(F107 = H107,C107/FILTER('Base Stats'!$C$2:$C1000, LOWER('Base Stats'!$B$2:$B1000) = LOWER($A107)), """")"),"0.7")</f>
        <v>0.7</v>
      </c>
      <c r="K107" s="0" t="str">
        <f aca="false">IF(F107 = H107, C107/G107, "")</f>
        <v/>
      </c>
      <c r="L107" s="0" t="str">
        <f aca="false">IFERROR(__xludf.dummyfunction("IF(AND(NOT(K107 = """"), G107 &gt;= 15),K107/FILTER('Base Stats'!$C$2:$C1000, LOWER('Base Stats'!$B$2:$B1000) = LOWER($A107)), """")"),"")</f>
        <v/>
      </c>
      <c r="M107" s="0" t="str">
        <f aca="false">IFERROR(__xludf.dummyfunction("1.15 + 0.02 * FILTER('Base Stats'!$C$2:$C1000, LOWER('Base Stats'!$B$2:$B1000) = LOWER($A107))"),"1.95")</f>
        <v>1.95</v>
      </c>
      <c r="N107" s="0" t="e">
        <f aca="false">IFERROR(IF(AND(NOT(K107 = ""), G107 &gt;= 15),K107/M107, ""))</f>
        <v>#VALUE!</v>
      </c>
    </row>
    <row r="108" customFormat="false" ht="15.75" hidden="false" customHeight="false" outlineLevel="0" collapsed="false">
      <c r="A108" s="8" t="s">
        <v>502</v>
      </c>
      <c r="B108" s="8" t="n">
        <v>94</v>
      </c>
      <c r="C108" s="8" t="n">
        <v>26</v>
      </c>
      <c r="D108" s="8" t="n">
        <v>1.77</v>
      </c>
      <c r="E108" s="8" t="n">
        <v>0.3</v>
      </c>
      <c r="F108" s="8" t="n">
        <v>600</v>
      </c>
      <c r="G108" s="0" t="str">
        <f aca="false">IFERROR(__xludf.dummyfunction("ROUND(B108/ FILTER('Pokemon CP/HP'!$M$2:$M1000, LOWER('Pokemon CP/HP'!$B$2:$B1000)=LOWER(A108)))"),"9")</f>
        <v>9</v>
      </c>
      <c r="H108" s="0" t="str">
        <f aca="false">IFERROR(__xludf.dummyfunction("FILTER('Leveling Info'!$B$2:$B1000, 'Leveling Info'!$A$2:$A1000 =G108)"),"600")</f>
        <v>600</v>
      </c>
      <c r="I108" s="14" t="n">
        <f aca="false">SQRT(G108)</f>
        <v>3</v>
      </c>
      <c r="J108" s="14" t="str">
        <f aca="false">IFERROR(__xludf.dummyfunction("IF(F108 = H108,C108/FILTER('Base Stats'!$C$2:$C1000, LOWER('Base Stats'!$B$2:$B1000) = LOWER($A108)), """")"),"0.65")</f>
        <v>0.65</v>
      </c>
      <c r="K108" s="0" t="str">
        <f aca="false">IF(F108 = H108, C108/G108, "")</f>
        <v/>
      </c>
      <c r="L108" s="0" t="str">
        <f aca="false">IFERROR(__xludf.dummyfunction("IF(AND(NOT(K108 = """"), G108 &gt;= 15),K108/FILTER('Base Stats'!$C$2:$C1000, LOWER('Base Stats'!$B$2:$B1000) = LOWER($A108)), """")"),"")</f>
        <v/>
      </c>
      <c r="M108" s="0" t="str">
        <f aca="false">IFERROR(__xludf.dummyfunction("1.15 + 0.02 * FILTER('Base Stats'!$C$2:$C1000, LOWER('Base Stats'!$B$2:$B1000) = LOWER($A108))"),"1.95")</f>
        <v>1.95</v>
      </c>
      <c r="N108" s="0" t="e">
        <f aca="false">IFERROR(IF(AND(NOT(K108 = ""), G108 &gt;= 15),K108/M108, ""))</f>
        <v>#VALUE!</v>
      </c>
    </row>
    <row r="109" customFormat="false" ht="15.75" hidden="false" customHeight="false" outlineLevel="0" collapsed="false">
      <c r="A109" s="8" t="s">
        <v>502</v>
      </c>
      <c r="B109" s="8" t="n">
        <v>93</v>
      </c>
      <c r="C109" s="8" t="n">
        <v>26</v>
      </c>
      <c r="D109" s="8" t="n">
        <v>1.38</v>
      </c>
      <c r="E109" s="8" t="n">
        <v>0.29</v>
      </c>
      <c r="F109" s="8" t="n">
        <v>600</v>
      </c>
      <c r="G109" s="0" t="str">
        <f aca="false">IFERROR(__xludf.dummyfunction("ROUND(B109/ FILTER('Pokemon CP/HP'!$M$2:$M1000, LOWER('Pokemon CP/HP'!$B$2:$B1000)=LOWER(A109)))"),"9")</f>
        <v>9</v>
      </c>
      <c r="H109" s="0" t="str">
        <f aca="false">IFERROR(__xludf.dummyfunction("FILTER('Leveling Info'!$B$2:$B1000, 'Leveling Info'!$A$2:$A1000 =G109)"),"600")</f>
        <v>600</v>
      </c>
      <c r="I109" s="14" t="n">
        <f aca="false">SQRT(G109)</f>
        <v>3</v>
      </c>
      <c r="J109" s="14" t="str">
        <f aca="false">IFERROR(__xludf.dummyfunction("IF(F109 = H109,C109/FILTER('Base Stats'!$C$2:$C1000, LOWER('Base Stats'!$B$2:$B1000) = LOWER($A109)), """")"),"0.65")</f>
        <v>0.65</v>
      </c>
      <c r="K109" s="0" t="str">
        <f aca="false">IF(F109 = H109, C109/G109, "")</f>
        <v/>
      </c>
      <c r="L109" s="0" t="str">
        <f aca="false">IFERROR(__xludf.dummyfunction("IF(AND(NOT(K109 = """"), G109 &gt;= 15),K109/FILTER('Base Stats'!$C$2:$C1000, LOWER('Base Stats'!$B$2:$B1000) = LOWER($A109)), """")"),"")</f>
        <v/>
      </c>
      <c r="M109" s="0" t="str">
        <f aca="false">IFERROR(__xludf.dummyfunction("1.15 + 0.02 * FILTER('Base Stats'!$C$2:$C1000, LOWER('Base Stats'!$B$2:$B1000) = LOWER($A109))"),"1.95")</f>
        <v>1.95</v>
      </c>
      <c r="N109" s="0" t="e">
        <f aca="false">IFERROR(IF(AND(NOT(K109 = ""), G109 &gt;= 15),K109/M109, ""))</f>
        <v>#VALUE!</v>
      </c>
    </row>
    <row r="110" customFormat="false" ht="15.75" hidden="false" customHeight="false" outlineLevel="0" collapsed="false">
      <c r="A110" s="8" t="s">
        <v>502</v>
      </c>
      <c r="B110" s="8" t="n">
        <v>93</v>
      </c>
      <c r="C110" s="8" t="n">
        <v>29</v>
      </c>
      <c r="D110" s="8" t="n">
        <v>2.55</v>
      </c>
      <c r="E110" s="8" t="n">
        <v>0.35</v>
      </c>
      <c r="F110" s="8" t="n">
        <v>600</v>
      </c>
      <c r="G110" s="0" t="str">
        <f aca="false">IFERROR(__xludf.dummyfunction("ROUND(B110/ FILTER('Pokemon CP/HP'!$M$2:$M1000, LOWER('Pokemon CP/HP'!$B$2:$B1000)=LOWER(A110)))"),"9")</f>
        <v>9</v>
      </c>
      <c r="H110" s="0" t="str">
        <f aca="false">IFERROR(__xludf.dummyfunction("FILTER('Leveling Info'!$B$2:$B1000, 'Leveling Info'!$A$2:$A1000 =G110)"),"600")</f>
        <v>600</v>
      </c>
      <c r="I110" s="14" t="n">
        <f aca="false">SQRT(G110)</f>
        <v>3</v>
      </c>
      <c r="J110" s="14" t="str">
        <f aca="false">IFERROR(__xludf.dummyfunction("IF(F110 = H110,C110/FILTER('Base Stats'!$C$2:$C1000, LOWER('Base Stats'!$B$2:$B1000) = LOWER($A110)), """")"),"0.725")</f>
        <v>0.725</v>
      </c>
      <c r="K110" s="0" t="str">
        <f aca="false">IF(F110 = H110, C110/G110, "")</f>
        <v/>
      </c>
      <c r="L110" s="0" t="str">
        <f aca="false">IFERROR(__xludf.dummyfunction("IF(AND(NOT(K110 = """"), G110 &gt;= 15),K110/FILTER('Base Stats'!$C$2:$C1000, LOWER('Base Stats'!$B$2:$B1000) = LOWER($A110)), """")"),"")</f>
        <v/>
      </c>
      <c r="M110" s="0" t="str">
        <f aca="false">IFERROR(__xludf.dummyfunction("1.15 + 0.02 * FILTER('Base Stats'!$C$2:$C1000, LOWER('Base Stats'!$B$2:$B1000) = LOWER($A110))"),"1.95")</f>
        <v>1.95</v>
      </c>
      <c r="N110" s="0" t="e">
        <f aca="false">IFERROR(IF(AND(NOT(K110 = ""), G110 &gt;= 15),K110/M110, ""))</f>
        <v>#VALUE!</v>
      </c>
    </row>
    <row r="111" customFormat="false" ht="15.75" hidden="false" customHeight="false" outlineLevel="0" collapsed="false">
      <c r="A111" s="8" t="s">
        <v>502</v>
      </c>
      <c r="B111" s="8" t="n">
        <v>88</v>
      </c>
      <c r="C111" s="8" t="n">
        <v>26</v>
      </c>
      <c r="D111" s="8" t="n">
        <v>1.55</v>
      </c>
      <c r="E111" s="8" t="n">
        <v>0.25</v>
      </c>
      <c r="F111" s="8" t="n">
        <v>600</v>
      </c>
      <c r="G111" s="0" t="str">
        <f aca="false">IFERROR(__xludf.dummyfunction("ROUND(B111/ FILTER('Pokemon CP/HP'!$M$2:$M1000, LOWER('Pokemon CP/HP'!$B$2:$B1000)=LOWER(A111)))"),"9")</f>
        <v>9</v>
      </c>
      <c r="H111" s="0" t="str">
        <f aca="false">IFERROR(__xludf.dummyfunction("FILTER('Leveling Info'!$B$2:$B1000, 'Leveling Info'!$A$2:$A1000 =G111)"),"600")</f>
        <v>600</v>
      </c>
      <c r="I111" s="14" t="n">
        <f aca="false">SQRT(G111)</f>
        <v>3</v>
      </c>
      <c r="J111" s="14" t="str">
        <f aca="false">IFERROR(__xludf.dummyfunction("IF(F111 = H111,C111/FILTER('Base Stats'!$C$2:$C1000, LOWER('Base Stats'!$B$2:$B1000) = LOWER($A111)), """")"),"0.65")</f>
        <v>0.65</v>
      </c>
      <c r="K111" s="0" t="str">
        <f aca="false">IF(F111 = H111, C111/G111, "")</f>
        <v/>
      </c>
      <c r="L111" s="0" t="str">
        <f aca="false">IFERROR(__xludf.dummyfunction("IF(AND(NOT(K111 = """"), G111 &gt;= 15),K111/FILTER('Base Stats'!$C$2:$C1000, LOWER('Base Stats'!$B$2:$B1000) = LOWER($A111)), """")"),"")</f>
        <v/>
      </c>
      <c r="M111" s="0" t="str">
        <f aca="false">IFERROR(__xludf.dummyfunction("1.15 + 0.02 * FILTER('Base Stats'!$C$2:$C1000, LOWER('Base Stats'!$B$2:$B1000) = LOWER($A111))"),"1.95")</f>
        <v>1.95</v>
      </c>
      <c r="N111" s="0" t="e">
        <f aca="false">IFERROR(IF(AND(NOT(K111 = ""), G111 &gt;= 15),K111/M111, ""))</f>
        <v>#VALUE!</v>
      </c>
    </row>
    <row r="112" customFormat="false" ht="15.75" hidden="false" customHeight="false" outlineLevel="0" collapsed="false">
      <c r="A112" s="8" t="s">
        <v>502</v>
      </c>
      <c r="B112" s="8" t="n">
        <v>87</v>
      </c>
      <c r="C112" s="8" t="n">
        <v>27</v>
      </c>
      <c r="D112" s="8" t="n">
        <v>1.03</v>
      </c>
      <c r="E112" s="8" t="n">
        <v>0.22</v>
      </c>
      <c r="F112" s="8" t="n">
        <v>600</v>
      </c>
      <c r="G112" s="0" t="str">
        <f aca="false">IFERROR(__xludf.dummyfunction("ROUND(B112/ FILTER('Pokemon CP/HP'!$M$2:$M1000, LOWER('Pokemon CP/HP'!$B$2:$B1000)=LOWER(A112)))"),"9")</f>
        <v>9</v>
      </c>
      <c r="H112" s="0" t="str">
        <f aca="false">IFERROR(__xludf.dummyfunction("FILTER('Leveling Info'!$B$2:$B1000, 'Leveling Info'!$A$2:$A1000 =G112)"),"600")</f>
        <v>600</v>
      </c>
      <c r="I112" s="14" t="n">
        <f aca="false">SQRT(G112)</f>
        <v>3</v>
      </c>
      <c r="J112" s="14" t="str">
        <f aca="false">IFERROR(__xludf.dummyfunction("IF(F112 = H112,C112/FILTER('Base Stats'!$C$2:$C1000, LOWER('Base Stats'!$B$2:$B1000) = LOWER($A112)), """")"),"0.675")</f>
        <v>0.675</v>
      </c>
      <c r="K112" s="0" t="str">
        <f aca="false">IF(F112 = H112, C112/G112, "")</f>
        <v/>
      </c>
      <c r="L112" s="0" t="str">
        <f aca="false">IFERROR(__xludf.dummyfunction("IF(AND(NOT(K112 = """"), G112 &gt;= 15),K112/FILTER('Base Stats'!$C$2:$C1000, LOWER('Base Stats'!$B$2:$B1000) = LOWER($A112)), """")"),"")</f>
        <v/>
      </c>
      <c r="M112" s="0" t="str">
        <f aca="false">IFERROR(__xludf.dummyfunction("1.15 + 0.02 * FILTER('Base Stats'!$C$2:$C1000, LOWER('Base Stats'!$B$2:$B1000) = LOWER($A112))"),"1.95")</f>
        <v>1.95</v>
      </c>
      <c r="N112" s="0" t="e">
        <f aca="false">IFERROR(IF(AND(NOT(K112 = ""), G112 &gt;= 15),K112/M112, ""))</f>
        <v>#VALUE!</v>
      </c>
    </row>
    <row r="113" customFormat="false" ht="15.75" hidden="false" customHeight="false" outlineLevel="0" collapsed="false">
      <c r="A113" s="8" t="s">
        <v>502</v>
      </c>
      <c r="B113" s="8" t="n">
        <v>83</v>
      </c>
      <c r="C113" s="8" t="n">
        <v>24</v>
      </c>
      <c r="D113" s="8" t="n">
        <v>1.88</v>
      </c>
      <c r="E113" s="8" t="n">
        <v>0.34</v>
      </c>
      <c r="F113" s="8" t="n">
        <v>600</v>
      </c>
      <c r="G113" s="0" t="str">
        <f aca="false">IFERROR(__xludf.dummyfunction("ROUND(B113/ FILTER('Pokemon CP/HP'!$M$2:$M1000, LOWER('Pokemon CP/HP'!$B$2:$B1000)=LOWER(A113)))"),"8")</f>
        <v>8</v>
      </c>
      <c r="H113" s="0" t="str">
        <f aca="false">IFERROR(__xludf.dummyfunction("FILTER('Leveling Info'!$B$2:$B1000, 'Leveling Info'!$A$2:$A1000 =G113)"),"400")</f>
        <v>400</v>
      </c>
      <c r="I113" s="14" t="n">
        <f aca="false">SQRT(G113)</f>
        <v>2.82842712474619</v>
      </c>
      <c r="J113" s="14" t="str">
        <f aca="false">IFERROR(__xludf.dummyfunction("IF(F113 = H113,C113/FILTER('Base Stats'!$C$2:$C1000, LOWER('Base Stats'!$B$2:$B1000) = LOWER($A113)), """")"),"")</f>
        <v/>
      </c>
      <c r="K113" s="0" t="str">
        <f aca="false">IF(F113 = H113, C113/G113, "")</f>
        <v/>
      </c>
      <c r="L113" s="0" t="str">
        <f aca="false">IFERROR(__xludf.dummyfunction("IF(AND(NOT(K113 = """"), G113 &gt;= 15),K113/FILTER('Base Stats'!$C$2:$C1000, LOWER('Base Stats'!$B$2:$B1000) = LOWER($A113)), """")"),"")</f>
        <v/>
      </c>
      <c r="M113" s="0" t="str">
        <f aca="false">IFERROR(__xludf.dummyfunction("1.15 + 0.02 * FILTER('Base Stats'!$C$2:$C1000, LOWER('Base Stats'!$B$2:$B1000) = LOWER($A113))"),"1.95")</f>
        <v>1.95</v>
      </c>
      <c r="N113" s="0" t="e">
        <f aca="false">IFERROR(IF(AND(NOT(K113 = ""), G113 &gt;= 15),K113/M113, ""))</f>
        <v>#VALUE!</v>
      </c>
    </row>
    <row r="114" customFormat="false" ht="15.75" hidden="false" customHeight="false" outlineLevel="0" collapsed="false">
      <c r="A114" s="8" t="s">
        <v>502</v>
      </c>
      <c r="B114" s="8" t="n">
        <v>79</v>
      </c>
      <c r="C114" s="8" t="n">
        <v>27</v>
      </c>
      <c r="D114" s="8" t="n">
        <v>1.62</v>
      </c>
      <c r="E114" s="8" t="n">
        <v>0.3</v>
      </c>
      <c r="F114" s="8" t="n">
        <v>600</v>
      </c>
      <c r="G114" s="0" t="str">
        <f aca="false">IFERROR(__xludf.dummyfunction("ROUND(B114/ FILTER('Pokemon CP/HP'!$M$2:$M1000, LOWER('Pokemon CP/HP'!$B$2:$B1000)=LOWER(A114)))"),"8")</f>
        <v>8</v>
      </c>
      <c r="H114" s="0" t="str">
        <f aca="false">IFERROR(__xludf.dummyfunction("FILTER('Leveling Info'!$B$2:$B1000, 'Leveling Info'!$A$2:$A1000 =G114)"),"400")</f>
        <v>400</v>
      </c>
      <c r="I114" s="14" t="n">
        <f aca="false">SQRT(G114)</f>
        <v>2.82842712474619</v>
      </c>
      <c r="J114" s="14" t="str">
        <f aca="false">IFERROR(__xludf.dummyfunction("IF(F114 = H114,C114/FILTER('Base Stats'!$C$2:$C1000, LOWER('Base Stats'!$B$2:$B1000) = LOWER($A114)), """")"),"")</f>
        <v/>
      </c>
      <c r="K114" s="0" t="str">
        <f aca="false">IF(F114 = H114, C114/G114, "")</f>
        <v/>
      </c>
      <c r="L114" s="0" t="str">
        <f aca="false">IFERROR(__xludf.dummyfunction("IF(AND(NOT(K114 = """"), G114 &gt;= 15),K114/FILTER('Base Stats'!$C$2:$C1000, LOWER('Base Stats'!$B$2:$B1000) = LOWER($A114)), """")"),"")</f>
        <v/>
      </c>
      <c r="M114" s="0" t="str">
        <f aca="false">IFERROR(__xludf.dummyfunction("1.15 + 0.02 * FILTER('Base Stats'!$C$2:$C1000, LOWER('Base Stats'!$B$2:$B1000) = LOWER($A114))"),"1.95")</f>
        <v>1.95</v>
      </c>
      <c r="N114" s="0" t="e">
        <f aca="false">IFERROR(IF(AND(NOT(K114 = ""), G114 &gt;= 15),K114/M114, ""))</f>
        <v>#VALUE!</v>
      </c>
    </row>
    <row r="115" customFormat="false" ht="15.75" hidden="false" customHeight="false" outlineLevel="0" collapsed="false">
      <c r="A115" s="8" t="s">
        <v>502</v>
      </c>
      <c r="B115" s="8" t="n">
        <v>78</v>
      </c>
      <c r="C115" s="8" t="n">
        <v>26</v>
      </c>
      <c r="D115" s="8" t="n">
        <v>2.83</v>
      </c>
      <c r="E115" s="8" t="n">
        <v>0.38</v>
      </c>
      <c r="F115" s="8" t="n">
        <v>600</v>
      </c>
      <c r="G115" s="0" t="str">
        <f aca="false">IFERROR(__xludf.dummyfunction("ROUND(B115/ FILTER('Pokemon CP/HP'!$M$2:$M1000, LOWER('Pokemon CP/HP'!$B$2:$B1000)=LOWER(A115)))"),"8")</f>
        <v>8</v>
      </c>
      <c r="H115" s="0" t="str">
        <f aca="false">IFERROR(__xludf.dummyfunction("FILTER('Leveling Info'!$B$2:$B1000, 'Leveling Info'!$A$2:$A1000 =G115)"),"400")</f>
        <v>400</v>
      </c>
      <c r="I115" s="14" t="n">
        <f aca="false">SQRT(G115)</f>
        <v>2.82842712474619</v>
      </c>
      <c r="J115" s="14" t="str">
        <f aca="false">IFERROR(__xludf.dummyfunction("IF(F115 = H115,C115/FILTER('Base Stats'!$C$2:$C1000, LOWER('Base Stats'!$B$2:$B1000) = LOWER($A115)), """")"),"")</f>
        <v/>
      </c>
      <c r="K115" s="0" t="str">
        <f aca="false">IF(F115 = H115, C115/G115, "")</f>
        <v/>
      </c>
      <c r="L115" s="0" t="str">
        <f aca="false">IFERROR(__xludf.dummyfunction("IF(AND(NOT(K115 = """"), G115 &gt;= 15),K115/FILTER('Base Stats'!$C$2:$C1000, LOWER('Base Stats'!$B$2:$B1000) = LOWER($A115)), """")"),"")</f>
        <v/>
      </c>
      <c r="M115" s="0" t="str">
        <f aca="false">IFERROR(__xludf.dummyfunction("1.15 + 0.02 * FILTER('Base Stats'!$C$2:$C1000, LOWER('Base Stats'!$B$2:$B1000) = LOWER($A115))"),"1.95")</f>
        <v>1.95</v>
      </c>
      <c r="N115" s="0" t="e">
        <f aca="false">IFERROR(IF(AND(NOT(K115 = ""), G115 &gt;= 15),K115/M115, ""))</f>
        <v>#VALUE!</v>
      </c>
    </row>
    <row r="116" customFormat="false" ht="15.75" hidden="false" customHeight="false" outlineLevel="0" collapsed="false">
      <c r="A116" s="8" t="s">
        <v>502</v>
      </c>
      <c r="B116" s="8" t="n">
        <v>76</v>
      </c>
      <c r="C116" s="8" t="n">
        <v>23</v>
      </c>
      <c r="D116" s="8" t="n">
        <v>1.77</v>
      </c>
      <c r="E116" s="8" t="n">
        <v>0.3</v>
      </c>
      <c r="F116" s="8" t="n">
        <v>600</v>
      </c>
      <c r="G116" s="0" t="str">
        <f aca="false">IFERROR(__xludf.dummyfunction("ROUND(B116/ FILTER('Pokemon CP/HP'!$M$2:$M1000, LOWER('Pokemon CP/HP'!$B$2:$B1000)=LOWER(A116)))"),"7")</f>
        <v>7</v>
      </c>
      <c r="H116" s="0" t="str">
        <f aca="false">IFERROR(__xludf.dummyfunction("FILTER('Leveling Info'!$B$2:$B1000, 'Leveling Info'!$A$2:$A1000 =G116)"),"400")</f>
        <v>400</v>
      </c>
      <c r="I116" s="14" t="n">
        <f aca="false">SQRT(G116)</f>
        <v>2.64575131106459</v>
      </c>
      <c r="J116" s="14" t="str">
        <f aca="false">IFERROR(__xludf.dummyfunction("IF(F116 = H116,C116/FILTER('Base Stats'!$C$2:$C1000, LOWER('Base Stats'!$B$2:$B1000) = LOWER($A116)), """")"),"")</f>
        <v/>
      </c>
      <c r="K116" s="0" t="str">
        <f aca="false">IF(F116 = H116, C116/G116, "")</f>
        <v/>
      </c>
      <c r="L116" s="0" t="str">
        <f aca="false">IFERROR(__xludf.dummyfunction("IF(AND(NOT(K116 = """"), G116 &gt;= 15),K116/FILTER('Base Stats'!$C$2:$C1000, LOWER('Base Stats'!$B$2:$B1000) = LOWER($A116)), """")"),"")</f>
        <v/>
      </c>
      <c r="M116" s="0" t="str">
        <f aca="false">IFERROR(__xludf.dummyfunction("1.15 + 0.02 * FILTER('Base Stats'!$C$2:$C1000, LOWER('Base Stats'!$B$2:$B1000) = LOWER($A116))"),"1.95")</f>
        <v>1.95</v>
      </c>
      <c r="N116" s="0" t="e">
        <f aca="false">IFERROR(IF(AND(NOT(K116 = ""), G116 &gt;= 15),K116/M116, ""))</f>
        <v>#VALUE!</v>
      </c>
    </row>
    <row r="117" customFormat="false" ht="15.75" hidden="false" customHeight="false" outlineLevel="0" collapsed="false">
      <c r="A117" s="8" t="s">
        <v>502</v>
      </c>
      <c r="B117" s="8" t="n">
        <v>76</v>
      </c>
      <c r="C117" s="8" t="n">
        <v>25</v>
      </c>
      <c r="D117" s="8" t="n">
        <v>1.98</v>
      </c>
      <c r="E117" s="8" t="n">
        <v>0.29</v>
      </c>
      <c r="F117" s="8" t="n">
        <v>600</v>
      </c>
      <c r="G117" s="0" t="str">
        <f aca="false">IFERROR(__xludf.dummyfunction("ROUND(B117/ FILTER('Pokemon CP/HP'!$M$2:$M1000, LOWER('Pokemon CP/HP'!$B$2:$B1000)=LOWER(A117)))"),"7")</f>
        <v>7</v>
      </c>
      <c r="H117" s="0" t="str">
        <f aca="false">IFERROR(__xludf.dummyfunction("FILTER('Leveling Info'!$B$2:$B1000, 'Leveling Info'!$A$2:$A1000 =G117)"),"400")</f>
        <v>400</v>
      </c>
      <c r="I117" s="14" t="n">
        <f aca="false">SQRT(G117)</f>
        <v>2.64575131106459</v>
      </c>
      <c r="J117" s="14" t="str">
        <f aca="false">IFERROR(__xludf.dummyfunction("IF(F117 = H117,C117/FILTER('Base Stats'!$C$2:$C1000, LOWER('Base Stats'!$B$2:$B1000) = LOWER($A117)), """")"),"")</f>
        <v/>
      </c>
      <c r="K117" s="0" t="str">
        <f aca="false">IF(F117 = H117, C117/G117, "")</f>
        <v/>
      </c>
      <c r="L117" s="0" t="str">
        <f aca="false">IFERROR(__xludf.dummyfunction("IF(AND(NOT(K117 = """"), G117 &gt;= 15),K117/FILTER('Base Stats'!$C$2:$C1000, LOWER('Base Stats'!$B$2:$B1000) = LOWER($A117)), """")"),"")</f>
        <v/>
      </c>
      <c r="M117" s="0" t="str">
        <f aca="false">IFERROR(__xludf.dummyfunction("1.15 + 0.02 * FILTER('Base Stats'!$C$2:$C1000, LOWER('Base Stats'!$B$2:$B1000) = LOWER($A117))"),"1.95")</f>
        <v>1.95</v>
      </c>
      <c r="N117" s="0" t="e">
        <f aca="false">IFERROR(IF(AND(NOT(K117 = ""), G117 &gt;= 15),K117/M117, ""))</f>
        <v>#VALUE!</v>
      </c>
    </row>
    <row r="118" customFormat="false" ht="15.75" hidden="false" customHeight="false" outlineLevel="0" collapsed="false">
      <c r="A118" s="8" t="s">
        <v>502</v>
      </c>
      <c r="B118" s="8" t="n">
        <v>76</v>
      </c>
      <c r="C118" s="8" t="n">
        <v>26</v>
      </c>
      <c r="D118" s="8" t="n">
        <v>2.27</v>
      </c>
      <c r="E118" s="8" t="n">
        <v>0.31</v>
      </c>
      <c r="F118" s="8" t="n">
        <v>600</v>
      </c>
      <c r="G118" s="0" t="str">
        <f aca="false">IFERROR(__xludf.dummyfunction("ROUND(B118/ FILTER('Pokemon CP/HP'!$M$2:$M1000, LOWER('Pokemon CP/HP'!$B$2:$B1000)=LOWER(A118)))"),"7")</f>
        <v>7</v>
      </c>
      <c r="H118" s="0" t="str">
        <f aca="false">IFERROR(__xludf.dummyfunction("FILTER('Leveling Info'!$B$2:$B1000, 'Leveling Info'!$A$2:$A1000 =G118)"),"400")</f>
        <v>400</v>
      </c>
      <c r="I118" s="14" t="n">
        <f aca="false">SQRT(G118)</f>
        <v>2.64575131106459</v>
      </c>
      <c r="J118" s="14" t="str">
        <f aca="false">IFERROR(__xludf.dummyfunction("IF(F118 = H118,C118/FILTER('Base Stats'!$C$2:$C1000, LOWER('Base Stats'!$B$2:$B1000) = LOWER($A118)), """")"),"")</f>
        <v/>
      </c>
      <c r="K118" s="0" t="str">
        <f aca="false">IF(F118 = H118, C118/G118, "")</f>
        <v/>
      </c>
      <c r="L118" s="0" t="str">
        <f aca="false">IFERROR(__xludf.dummyfunction("IF(AND(NOT(K118 = """"), G118 &gt;= 15),K118/FILTER('Base Stats'!$C$2:$C1000, LOWER('Base Stats'!$B$2:$B1000) = LOWER($A118)), """")"),"")</f>
        <v/>
      </c>
      <c r="M118" s="0" t="str">
        <f aca="false">IFERROR(__xludf.dummyfunction("1.15 + 0.02 * FILTER('Base Stats'!$C$2:$C1000, LOWER('Base Stats'!$B$2:$B1000) = LOWER($A118))"),"1.95")</f>
        <v>1.95</v>
      </c>
      <c r="N118" s="0" t="e">
        <f aca="false">IFERROR(IF(AND(NOT(K118 = ""), G118 &gt;= 15),K118/M118, ""))</f>
        <v>#VALUE!</v>
      </c>
    </row>
    <row r="119" customFormat="false" ht="15.75" hidden="false" customHeight="false" outlineLevel="0" collapsed="false">
      <c r="A119" s="8" t="s">
        <v>502</v>
      </c>
      <c r="B119" s="8" t="n">
        <v>73</v>
      </c>
      <c r="C119" s="8" t="n">
        <v>23</v>
      </c>
      <c r="D119" s="8" t="n">
        <v>1.55</v>
      </c>
      <c r="E119" s="8" t="n">
        <v>0.3</v>
      </c>
      <c r="F119" s="8" t="n">
        <v>600</v>
      </c>
      <c r="G119" s="0" t="str">
        <f aca="false">IFERROR(__xludf.dummyfunction("ROUND(B119/ FILTER('Pokemon CP/HP'!$M$2:$M1000, LOWER('Pokemon CP/HP'!$B$2:$B1000)=LOWER(A119)))"),"7")</f>
        <v>7</v>
      </c>
      <c r="H119" s="0" t="str">
        <f aca="false">IFERROR(__xludf.dummyfunction("FILTER('Leveling Info'!$B$2:$B1000, 'Leveling Info'!$A$2:$A1000 =G119)"),"400")</f>
        <v>400</v>
      </c>
      <c r="I119" s="14" t="n">
        <f aca="false">SQRT(G119)</f>
        <v>2.64575131106459</v>
      </c>
      <c r="J119" s="14" t="str">
        <f aca="false">IFERROR(__xludf.dummyfunction("IF(F119 = H119,C119/FILTER('Base Stats'!$C$2:$C1000, LOWER('Base Stats'!$B$2:$B1000) = LOWER($A119)), """")"),"")</f>
        <v/>
      </c>
      <c r="K119" s="0" t="str">
        <f aca="false">IF(F119 = H119, C119/G119, "")</f>
        <v/>
      </c>
      <c r="L119" s="0" t="str">
        <f aca="false">IFERROR(__xludf.dummyfunction("IF(AND(NOT(K119 = """"), G119 &gt;= 15),K119/FILTER('Base Stats'!$C$2:$C1000, LOWER('Base Stats'!$B$2:$B1000) = LOWER($A119)), """")"),"")</f>
        <v/>
      </c>
      <c r="M119" s="0" t="str">
        <f aca="false">IFERROR(__xludf.dummyfunction("1.15 + 0.02 * FILTER('Base Stats'!$C$2:$C1000, LOWER('Base Stats'!$B$2:$B1000) = LOWER($A119))"),"1.95")</f>
        <v>1.95</v>
      </c>
      <c r="N119" s="0" t="e">
        <f aca="false">IFERROR(IF(AND(NOT(K119 = ""), G119 &gt;= 15),K119/M119, ""))</f>
        <v>#VALUE!</v>
      </c>
    </row>
    <row r="120" customFormat="false" ht="15.75" hidden="false" customHeight="false" outlineLevel="0" collapsed="false">
      <c r="A120" s="8" t="s">
        <v>502</v>
      </c>
      <c r="B120" s="8" t="n">
        <v>72</v>
      </c>
      <c r="C120" s="8" t="n">
        <v>24</v>
      </c>
      <c r="D120" s="8" t="n">
        <v>2.01</v>
      </c>
      <c r="E120" s="8" t="n">
        <v>0.32</v>
      </c>
      <c r="F120" s="8" t="n">
        <v>400</v>
      </c>
      <c r="G120" s="0" t="str">
        <f aca="false">IFERROR(__xludf.dummyfunction("ROUND(B120/ FILTER('Pokemon CP/HP'!$M$2:$M1000, LOWER('Pokemon CP/HP'!$B$2:$B1000)=LOWER(A120)))"),"7")</f>
        <v>7</v>
      </c>
      <c r="H120" s="0" t="str">
        <f aca="false">IFERROR(__xludf.dummyfunction("FILTER('Leveling Info'!$B$2:$B1000, 'Leveling Info'!$A$2:$A1000 =G120)"),"400")</f>
        <v>400</v>
      </c>
      <c r="I120" s="14" t="n">
        <f aca="false">SQRT(G120)</f>
        <v>2.64575131106459</v>
      </c>
      <c r="J120" s="14" t="str">
        <f aca="false">IFERROR(__xludf.dummyfunction("IF(F120 = H120,C120/FILTER('Base Stats'!$C$2:$C1000, LOWER('Base Stats'!$B$2:$B1000) = LOWER($A120)), """")"),"0.6")</f>
        <v>0.6</v>
      </c>
      <c r="K120" s="0" t="str">
        <f aca="false">IF(F120 = H120, C120/G120, "")</f>
        <v/>
      </c>
      <c r="L120" s="0" t="str">
        <f aca="false">IFERROR(__xludf.dummyfunction("IF(AND(NOT(K120 = """"), G120 &gt;= 15),K120/FILTER('Base Stats'!$C$2:$C1000, LOWER('Base Stats'!$B$2:$B1000) = LOWER($A120)), """")"),"")</f>
        <v/>
      </c>
      <c r="M120" s="0" t="str">
        <f aca="false">IFERROR(__xludf.dummyfunction("1.15 + 0.02 * FILTER('Base Stats'!$C$2:$C1000, LOWER('Base Stats'!$B$2:$B1000) = LOWER($A120))"),"1.95")</f>
        <v>1.95</v>
      </c>
      <c r="N120" s="0" t="e">
        <f aca="false">IFERROR(IF(AND(NOT(K120 = ""), G120 &gt;= 15),K120/M120, ""))</f>
        <v>#VALUE!</v>
      </c>
    </row>
    <row r="121" customFormat="false" ht="15.75" hidden="false" customHeight="false" outlineLevel="0" collapsed="false">
      <c r="A121" s="8" t="s">
        <v>502</v>
      </c>
      <c r="B121" s="8" t="n">
        <v>70</v>
      </c>
      <c r="C121" s="8" t="n">
        <v>24</v>
      </c>
      <c r="D121" s="8" t="n">
        <v>2.37</v>
      </c>
      <c r="E121" s="8" t="n">
        <v>0.32</v>
      </c>
      <c r="F121" s="8" t="n">
        <v>600</v>
      </c>
      <c r="G121" s="0" t="str">
        <f aca="false">IFERROR(__xludf.dummyfunction("ROUND(B121/ FILTER('Pokemon CP/HP'!$M$2:$M1000, LOWER('Pokemon CP/HP'!$B$2:$B1000)=LOWER(A121)))"),"7")</f>
        <v>7</v>
      </c>
      <c r="H121" s="0" t="str">
        <f aca="false">IFERROR(__xludf.dummyfunction("FILTER('Leveling Info'!$B$2:$B1000, 'Leveling Info'!$A$2:$A1000 =G121)"),"400")</f>
        <v>400</v>
      </c>
      <c r="I121" s="14" t="n">
        <f aca="false">SQRT(G121)</f>
        <v>2.64575131106459</v>
      </c>
      <c r="J121" s="14" t="str">
        <f aca="false">IFERROR(__xludf.dummyfunction("IF(F121 = H121,C121/FILTER('Base Stats'!$C$2:$C1000, LOWER('Base Stats'!$B$2:$B1000) = LOWER($A121)), """")"),"")</f>
        <v/>
      </c>
      <c r="K121" s="0" t="str">
        <f aca="false">IF(F121 = H121, C121/G121, "")</f>
        <v/>
      </c>
      <c r="L121" s="0" t="str">
        <f aca="false">IFERROR(__xludf.dummyfunction("IF(AND(NOT(K121 = """"), G121 &gt;= 15),K121/FILTER('Base Stats'!$C$2:$C1000, LOWER('Base Stats'!$B$2:$B1000) = LOWER($A121)), """")"),"")</f>
        <v/>
      </c>
      <c r="M121" s="0" t="str">
        <f aca="false">IFERROR(__xludf.dummyfunction("1.15 + 0.02 * FILTER('Base Stats'!$C$2:$C1000, LOWER('Base Stats'!$B$2:$B1000) = LOWER($A121))"),"1.95")</f>
        <v>1.95</v>
      </c>
      <c r="N121" s="0" t="e">
        <f aca="false">IFERROR(IF(AND(NOT(K121 = ""), G121 &gt;= 15),K121/M121, ""))</f>
        <v>#VALUE!</v>
      </c>
    </row>
    <row r="122" customFormat="false" ht="15.75" hidden="false" customHeight="false" outlineLevel="0" collapsed="false">
      <c r="A122" s="8" t="s">
        <v>502</v>
      </c>
      <c r="B122" s="8" t="n">
        <v>63</v>
      </c>
      <c r="C122" s="8" t="n">
        <v>23</v>
      </c>
      <c r="D122" s="8" t="n">
        <v>2.62</v>
      </c>
      <c r="E122" s="8" t="n">
        <v>0.34</v>
      </c>
      <c r="F122" s="8" t="n">
        <v>400</v>
      </c>
      <c r="G122" s="0" t="str">
        <f aca="false">IFERROR(__xludf.dummyfunction("ROUND(B122/ FILTER('Pokemon CP/HP'!$M$2:$M1000, LOWER('Pokemon CP/HP'!$B$2:$B1000)=LOWER(A122)))"),"6")</f>
        <v>6</v>
      </c>
      <c r="H122" s="0" t="str">
        <f aca="false">IFERROR(__xludf.dummyfunction("FILTER('Leveling Info'!$B$2:$B1000, 'Leveling Info'!$A$2:$A1000 =G122)"),"400")</f>
        <v>400</v>
      </c>
      <c r="I122" s="14" t="n">
        <f aca="false">SQRT(G122)</f>
        <v>2.44948974278318</v>
      </c>
      <c r="J122" s="14" t="str">
        <f aca="false">IFERROR(__xludf.dummyfunction("IF(F122 = H122,C122/FILTER('Base Stats'!$C$2:$C1000, LOWER('Base Stats'!$B$2:$B1000) = LOWER($A122)), """")"),"0.575")</f>
        <v>0.575</v>
      </c>
      <c r="K122" s="0" t="str">
        <f aca="false">IF(F122 = H122, C122/G122, "")</f>
        <v/>
      </c>
      <c r="L122" s="0" t="str">
        <f aca="false">IFERROR(__xludf.dummyfunction("IF(AND(NOT(K122 = """"), G122 &gt;= 15),K122/FILTER('Base Stats'!$C$2:$C1000, LOWER('Base Stats'!$B$2:$B1000) = LOWER($A122)), """")"),"")</f>
        <v/>
      </c>
      <c r="M122" s="0" t="str">
        <f aca="false">IFERROR(__xludf.dummyfunction("1.15 + 0.02 * FILTER('Base Stats'!$C$2:$C1000, LOWER('Base Stats'!$B$2:$B1000) = LOWER($A122))"),"1.95")</f>
        <v>1.95</v>
      </c>
      <c r="N122" s="0" t="e">
        <f aca="false">IFERROR(IF(AND(NOT(K122 = ""), G122 &gt;= 15),K122/M122, ""))</f>
        <v>#VALUE!</v>
      </c>
    </row>
    <row r="123" customFormat="false" ht="15.75" hidden="false" customHeight="false" outlineLevel="0" collapsed="false">
      <c r="A123" s="8" t="s">
        <v>502</v>
      </c>
      <c r="B123" s="8" t="n">
        <v>62</v>
      </c>
      <c r="C123" s="8" t="n">
        <v>23</v>
      </c>
      <c r="D123" s="8" t="n">
        <v>1.78</v>
      </c>
      <c r="E123" s="8" t="n">
        <v>0.28</v>
      </c>
      <c r="F123" s="8" t="n">
        <v>400</v>
      </c>
      <c r="G123" s="0" t="str">
        <f aca="false">IFERROR(__xludf.dummyfunction("ROUND(B123/ FILTER('Pokemon CP/HP'!$M$2:$M1000, LOWER('Pokemon CP/HP'!$B$2:$B1000)=LOWER(A123)))"),"6")</f>
        <v>6</v>
      </c>
      <c r="H123" s="0" t="str">
        <f aca="false">IFERROR(__xludf.dummyfunction("FILTER('Leveling Info'!$B$2:$B1000, 'Leveling Info'!$A$2:$A1000 =G123)"),"400")</f>
        <v>400</v>
      </c>
      <c r="I123" s="14" t="n">
        <f aca="false">SQRT(G123)</f>
        <v>2.44948974278318</v>
      </c>
      <c r="J123" s="14" t="str">
        <f aca="false">IFERROR(__xludf.dummyfunction("IF(F123 = H123,C123/FILTER('Base Stats'!$C$2:$C1000, LOWER('Base Stats'!$B$2:$B1000) = LOWER($A123)), """")"),"0.575")</f>
        <v>0.575</v>
      </c>
      <c r="K123" s="0" t="str">
        <f aca="false">IF(F123 = H123, C123/G123, "")</f>
        <v/>
      </c>
      <c r="L123" s="0" t="str">
        <f aca="false">IFERROR(__xludf.dummyfunction("IF(AND(NOT(K123 = """"), G123 &gt;= 15),K123/FILTER('Base Stats'!$C$2:$C1000, LOWER('Base Stats'!$B$2:$B1000) = LOWER($A123)), """")"),"")</f>
        <v/>
      </c>
      <c r="M123" s="0" t="str">
        <f aca="false">IFERROR(__xludf.dummyfunction("1.15 + 0.02 * FILTER('Base Stats'!$C$2:$C1000, LOWER('Base Stats'!$B$2:$B1000) = LOWER($A123))"),"1.95")</f>
        <v>1.95</v>
      </c>
      <c r="N123" s="0" t="e">
        <f aca="false">IFERROR(IF(AND(NOT(K123 = ""), G123 &gt;= 15),K123/M123, ""))</f>
        <v>#VALUE!</v>
      </c>
    </row>
    <row r="124" customFormat="false" ht="15.75" hidden="false" customHeight="false" outlineLevel="0" collapsed="false">
      <c r="A124" s="8" t="s">
        <v>502</v>
      </c>
      <c r="B124" s="8" t="n">
        <v>61</v>
      </c>
      <c r="C124" s="8" t="n">
        <v>24</v>
      </c>
      <c r="D124" s="8" t="n">
        <v>2.55</v>
      </c>
      <c r="E124" s="8" t="n">
        <v>0.31</v>
      </c>
      <c r="F124" s="8" t="n">
        <v>400</v>
      </c>
      <c r="G124" s="0" t="str">
        <f aca="false">IFERROR(__xludf.dummyfunction("ROUND(B124/ FILTER('Pokemon CP/HP'!$M$2:$M1000, LOWER('Pokemon CP/HP'!$B$2:$B1000)=LOWER(A124)))"),"6")</f>
        <v>6</v>
      </c>
      <c r="H124" s="0" t="str">
        <f aca="false">IFERROR(__xludf.dummyfunction("FILTER('Leveling Info'!$B$2:$B1000, 'Leveling Info'!$A$2:$A1000 =G124)"),"400")</f>
        <v>400</v>
      </c>
      <c r="I124" s="14" t="n">
        <f aca="false">SQRT(G124)</f>
        <v>2.44948974278318</v>
      </c>
      <c r="J124" s="14" t="str">
        <f aca="false">IFERROR(__xludf.dummyfunction("IF(F124 = H124,C124/FILTER('Base Stats'!$C$2:$C1000, LOWER('Base Stats'!$B$2:$B1000) = LOWER($A124)), """")"),"0.6")</f>
        <v>0.6</v>
      </c>
      <c r="K124" s="0" t="str">
        <f aca="false">IF(F124 = H124, C124/G124, "")</f>
        <v/>
      </c>
      <c r="L124" s="0" t="str">
        <f aca="false">IFERROR(__xludf.dummyfunction("IF(AND(NOT(K124 = """"), G124 &gt;= 15),K124/FILTER('Base Stats'!$C$2:$C1000, LOWER('Base Stats'!$B$2:$B1000) = LOWER($A124)), """")"),"")</f>
        <v/>
      </c>
      <c r="M124" s="0" t="str">
        <f aca="false">IFERROR(__xludf.dummyfunction("1.15 + 0.02 * FILTER('Base Stats'!$C$2:$C1000, LOWER('Base Stats'!$B$2:$B1000) = LOWER($A124))"),"1.95")</f>
        <v>1.95</v>
      </c>
      <c r="N124" s="0" t="e">
        <f aca="false">IFERROR(IF(AND(NOT(K124 = ""), G124 &gt;= 15),K124/M124, ""))</f>
        <v>#VALUE!</v>
      </c>
    </row>
    <row r="125" customFormat="false" ht="15.75" hidden="false" customHeight="false" outlineLevel="0" collapsed="false">
      <c r="A125" s="8" t="s">
        <v>502</v>
      </c>
      <c r="B125" s="8" t="n">
        <v>60</v>
      </c>
      <c r="C125" s="8" t="n">
        <v>22</v>
      </c>
      <c r="D125" s="8" t="n">
        <v>1.85</v>
      </c>
      <c r="E125" s="8" t="n">
        <v>0.33</v>
      </c>
      <c r="F125" s="8" t="n">
        <v>400</v>
      </c>
      <c r="G125" s="0" t="str">
        <f aca="false">IFERROR(__xludf.dummyfunction("ROUND(B125/ FILTER('Pokemon CP/HP'!$M$2:$M1000, LOWER('Pokemon CP/HP'!$B$2:$B1000)=LOWER(A125)))"),"6")</f>
        <v>6</v>
      </c>
      <c r="H125" s="0" t="str">
        <f aca="false">IFERROR(__xludf.dummyfunction("FILTER('Leveling Info'!$B$2:$B1000, 'Leveling Info'!$A$2:$A1000 =G125)"),"400")</f>
        <v>400</v>
      </c>
      <c r="I125" s="14" t="n">
        <f aca="false">SQRT(G125)</f>
        <v>2.44948974278318</v>
      </c>
      <c r="J125" s="14" t="str">
        <f aca="false">IFERROR(__xludf.dummyfunction("IF(F125 = H125,C125/FILTER('Base Stats'!$C$2:$C1000, LOWER('Base Stats'!$B$2:$B1000) = LOWER($A125)), """")"),"0.55")</f>
        <v>0.55</v>
      </c>
      <c r="K125" s="0" t="str">
        <f aca="false">IF(F125 = H125, C125/G125, "")</f>
        <v/>
      </c>
      <c r="L125" s="0" t="str">
        <f aca="false">IFERROR(__xludf.dummyfunction("IF(AND(NOT(K125 = """"), G125 &gt;= 15),K125/FILTER('Base Stats'!$C$2:$C1000, LOWER('Base Stats'!$B$2:$B1000) = LOWER($A125)), """")"),"")</f>
        <v/>
      </c>
      <c r="M125" s="0" t="str">
        <f aca="false">IFERROR(__xludf.dummyfunction("1.15 + 0.02 * FILTER('Base Stats'!$C$2:$C1000, LOWER('Base Stats'!$B$2:$B1000) = LOWER($A125))"),"1.95")</f>
        <v>1.95</v>
      </c>
      <c r="N125" s="0" t="e">
        <f aca="false">IFERROR(IF(AND(NOT(K125 = ""), G125 &gt;= 15),K125/M125, ""))</f>
        <v>#VALUE!</v>
      </c>
    </row>
    <row r="126" customFormat="false" ht="15.75" hidden="false" customHeight="false" outlineLevel="0" collapsed="false">
      <c r="A126" s="8" t="s">
        <v>502</v>
      </c>
      <c r="B126" s="8" t="n">
        <v>59</v>
      </c>
      <c r="C126" s="8" t="n">
        <v>23</v>
      </c>
      <c r="D126" s="8" t="n">
        <v>1.19</v>
      </c>
      <c r="E126" s="8" t="n">
        <v>0.26</v>
      </c>
      <c r="F126" s="8" t="n">
        <v>400</v>
      </c>
      <c r="G126" s="0" t="str">
        <f aca="false">IFERROR(__xludf.dummyfunction("ROUND(B126/ FILTER('Pokemon CP/HP'!$M$2:$M1000, LOWER('Pokemon CP/HP'!$B$2:$B1000)=LOWER(A126)))"),"6")</f>
        <v>6</v>
      </c>
      <c r="H126" s="0" t="str">
        <f aca="false">IFERROR(__xludf.dummyfunction("FILTER('Leveling Info'!$B$2:$B1000, 'Leveling Info'!$A$2:$A1000 =G126)"),"400")</f>
        <v>400</v>
      </c>
      <c r="I126" s="14" t="n">
        <f aca="false">SQRT(G126)</f>
        <v>2.44948974278318</v>
      </c>
      <c r="J126" s="14" t="str">
        <f aca="false">IFERROR(__xludf.dummyfunction("IF(F126 = H126,C126/FILTER('Base Stats'!$C$2:$C1000, LOWER('Base Stats'!$B$2:$B1000) = LOWER($A126)), """")"),"0.575")</f>
        <v>0.575</v>
      </c>
      <c r="K126" s="0" t="str">
        <f aca="false">IF(F126 = H126, C126/G126, "")</f>
        <v/>
      </c>
      <c r="L126" s="0" t="str">
        <f aca="false">IFERROR(__xludf.dummyfunction("IF(AND(NOT(K126 = """"), G126 &gt;= 15),K126/FILTER('Base Stats'!$C$2:$C1000, LOWER('Base Stats'!$B$2:$B1000) = LOWER($A126)), """")"),"")</f>
        <v/>
      </c>
      <c r="M126" s="0" t="str">
        <f aca="false">IFERROR(__xludf.dummyfunction("1.15 + 0.02 * FILTER('Base Stats'!$C$2:$C1000, LOWER('Base Stats'!$B$2:$B1000) = LOWER($A126))"),"1.95")</f>
        <v>1.95</v>
      </c>
      <c r="N126" s="0" t="e">
        <f aca="false">IFERROR(IF(AND(NOT(K126 = ""), G126 &gt;= 15),K126/M126, ""))</f>
        <v>#VALUE!</v>
      </c>
    </row>
    <row r="127" customFormat="false" ht="15.75" hidden="false" customHeight="false" outlineLevel="0" collapsed="false">
      <c r="A127" s="8" t="s">
        <v>502</v>
      </c>
      <c r="B127" s="8" t="n">
        <v>44</v>
      </c>
      <c r="C127" s="8" t="n">
        <v>19</v>
      </c>
      <c r="D127" s="8" t="n">
        <v>1.7</v>
      </c>
      <c r="E127" s="8" t="n">
        <v>0.33</v>
      </c>
      <c r="F127" s="8" t="n">
        <v>400</v>
      </c>
      <c r="G127" s="0" t="str">
        <f aca="false">IFERROR(__xludf.dummyfunction("ROUND(B127/ FILTER('Pokemon CP/HP'!$M$2:$M1000, LOWER('Pokemon CP/HP'!$B$2:$B1000)=LOWER(A127)))"),"4")</f>
        <v>4</v>
      </c>
      <c r="H127" s="0" t="str">
        <f aca="false">IFERROR(__xludf.dummyfunction("FILTER('Leveling Info'!$B$2:$B1000, 'Leveling Info'!$A$2:$A1000 =G127)"),"200")</f>
        <v>200</v>
      </c>
      <c r="I127" s="14" t="n">
        <f aca="false">SQRT(G127)</f>
        <v>2</v>
      </c>
      <c r="J127" s="14" t="str">
        <f aca="false">IFERROR(__xludf.dummyfunction("IF(F127 = H127,C127/FILTER('Base Stats'!$C$2:$C1000, LOWER('Base Stats'!$B$2:$B1000) = LOWER($A127)), """")"),"")</f>
        <v/>
      </c>
      <c r="K127" s="0" t="str">
        <f aca="false">IF(F127 = H127, C127/G127, "")</f>
        <v/>
      </c>
      <c r="L127" s="0" t="str">
        <f aca="false">IFERROR(__xludf.dummyfunction("IF(AND(NOT(K127 = """"), G127 &gt;= 15),K127/FILTER('Base Stats'!$C$2:$C1000, LOWER('Base Stats'!$B$2:$B1000) = LOWER($A127)), """")"),"")</f>
        <v/>
      </c>
      <c r="M127" s="0" t="str">
        <f aca="false">IFERROR(__xludf.dummyfunction("1.15 + 0.02 * FILTER('Base Stats'!$C$2:$C1000, LOWER('Base Stats'!$B$2:$B1000) = LOWER($A127))"),"1.95")</f>
        <v>1.95</v>
      </c>
      <c r="N127" s="0" t="e">
        <f aca="false">IFERROR(IF(AND(NOT(K127 = ""), G127 &gt;= 15),K127/M127, ""))</f>
        <v>#VALUE!</v>
      </c>
    </row>
    <row r="128" customFormat="false" ht="15.75" hidden="false" customHeight="false" outlineLevel="0" collapsed="false">
      <c r="A128" s="8" t="s">
        <v>502</v>
      </c>
      <c r="B128" s="8" t="n">
        <v>44</v>
      </c>
      <c r="C128" s="8" t="n">
        <v>19</v>
      </c>
      <c r="D128" s="8" t="s">
        <v>503</v>
      </c>
      <c r="E128" s="8" t="n">
        <v>0.34</v>
      </c>
      <c r="F128" s="8" t="n">
        <v>400</v>
      </c>
      <c r="G128" s="0" t="str">
        <f aca="false">IFERROR(__xludf.dummyfunction("ROUND(B128/ FILTER('Pokemon CP/HP'!$M$2:$M1000, LOWER('Pokemon CP/HP'!$B$2:$B1000)=LOWER(A128)))"),"4")</f>
        <v>4</v>
      </c>
      <c r="H128" s="0" t="str">
        <f aca="false">IFERROR(__xludf.dummyfunction("FILTER('Leveling Info'!$B$2:$B1000, 'Leveling Info'!$A$2:$A1000 =G128)"),"200")</f>
        <v>200</v>
      </c>
      <c r="I128" s="14" t="n">
        <f aca="false">SQRT(G128)</f>
        <v>2</v>
      </c>
      <c r="J128" s="14" t="str">
        <f aca="false">IFERROR(__xludf.dummyfunction("IF(F128 = H128,C128/FILTER('Base Stats'!$C$2:$C1000, LOWER('Base Stats'!$B$2:$B1000) = LOWER($A128)), """")"),"")</f>
        <v/>
      </c>
      <c r="K128" s="0" t="str">
        <f aca="false">IF(F128 = H128, C128/G128, "")</f>
        <v/>
      </c>
      <c r="L128" s="0" t="str">
        <f aca="false">IFERROR(__xludf.dummyfunction("IF(AND(NOT(K128 = """"), G128 &gt;= 15),K128/FILTER('Base Stats'!$C$2:$C1000, LOWER('Base Stats'!$B$2:$B1000) = LOWER($A128)), """")"),"")</f>
        <v/>
      </c>
      <c r="M128" s="0" t="str">
        <f aca="false">IFERROR(__xludf.dummyfunction("1.15 + 0.02 * FILTER('Base Stats'!$C$2:$C1000, LOWER('Base Stats'!$B$2:$B1000) = LOWER($A128))"),"1.95")</f>
        <v>1.95</v>
      </c>
      <c r="N128" s="0" t="e">
        <f aca="false">IFERROR(IF(AND(NOT(K128 = ""), G128 &gt;= 15),K128/M128, ""))</f>
        <v>#VALUE!</v>
      </c>
    </row>
    <row r="129" customFormat="false" ht="15.75" hidden="false" customHeight="false" outlineLevel="0" collapsed="false">
      <c r="A129" s="8" t="s">
        <v>502</v>
      </c>
      <c r="B129" s="8" t="n">
        <v>43</v>
      </c>
      <c r="C129" s="8" t="n">
        <v>20</v>
      </c>
      <c r="D129" s="8" t="n">
        <v>1.2</v>
      </c>
      <c r="E129" s="8" t="n">
        <v>0.26</v>
      </c>
      <c r="F129" s="8" t="n">
        <v>400</v>
      </c>
      <c r="G129" s="0" t="str">
        <f aca="false">IFERROR(__xludf.dummyfunction("ROUND(B129/ FILTER('Pokemon CP/HP'!$M$2:$M1000, LOWER('Pokemon CP/HP'!$B$2:$B1000)=LOWER(A129)))"),"4")</f>
        <v>4</v>
      </c>
      <c r="H129" s="0" t="str">
        <f aca="false">IFERROR(__xludf.dummyfunction("FILTER('Leveling Info'!$B$2:$B1000, 'Leveling Info'!$A$2:$A1000 =G129)"),"200")</f>
        <v>200</v>
      </c>
      <c r="I129" s="14" t="n">
        <f aca="false">SQRT(G129)</f>
        <v>2</v>
      </c>
      <c r="J129" s="14" t="str">
        <f aca="false">IFERROR(__xludf.dummyfunction("IF(F129 = H129,C129/FILTER('Base Stats'!$C$2:$C1000, LOWER('Base Stats'!$B$2:$B1000) = LOWER($A129)), """")"),"")</f>
        <v/>
      </c>
      <c r="K129" s="0" t="str">
        <f aca="false">IF(F129 = H129, C129/G129, "")</f>
        <v/>
      </c>
      <c r="L129" s="0" t="str">
        <f aca="false">IFERROR(__xludf.dummyfunction("IF(AND(NOT(K129 = """"), G129 &gt;= 15),K129/FILTER('Base Stats'!$C$2:$C1000, LOWER('Base Stats'!$B$2:$B1000) = LOWER($A129)), """")"),"")</f>
        <v/>
      </c>
      <c r="M129" s="0" t="str">
        <f aca="false">IFERROR(__xludf.dummyfunction("1.15 + 0.02 * FILTER('Base Stats'!$C$2:$C1000, LOWER('Base Stats'!$B$2:$B1000) = LOWER($A129))"),"1.95")</f>
        <v>1.95</v>
      </c>
      <c r="N129" s="0" t="e">
        <f aca="false">IFERROR(IF(AND(NOT(K129 = ""), G129 &gt;= 15),K129/M129, ""))</f>
        <v>#VALUE!</v>
      </c>
    </row>
    <row r="130" customFormat="false" ht="15.75" hidden="false" customHeight="false" outlineLevel="0" collapsed="false">
      <c r="A130" s="8" t="s">
        <v>502</v>
      </c>
      <c r="B130" s="8" t="n">
        <v>42</v>
      </c>
      <c r="C130" s="8" t="n">
        <v>20</v>
      </c>
      <c r="D130" s="8" t="n">
        <v>0.99</v>
      </c>
      <c r="E130" s="8" t="n">
        <v>0.24</v>
      </c>
      <c r="F130" s="8" t="n">
        <v>400</v>
      </c>
      <c r="G130" s="0" t="str">
        <f aca="false">IFERROR(__xludf.dummyfunction("ROUND(B130/ FILTER('Pokemon CP/HP'!$M$2:$M1000, LOWER('Pokemon CP/HP'!$B$2:$B1000)=LOWER(A130)))"),"4")</f>
        <v>4</v>
      </c>
      <c r="H130" s="0" t="str">
        <f aca="false">IFERROR(__xludf.dummyfunction("FILTER('Leveling Info'!$B$2:$B1000, 'Leveling Info'!$A$2:$A1000 =G130)"),"200")</f>
        <v>200</v>
      </c>
      <c r="I130" s="14" t="n">
        <f aca="false">SQRT(G130)</f>
        <v>2</v>
      </c>
      <c r="J130" s="14" t="str">
        <f aca="false">IFERROR(__xludf.dummyfunction("IF(F130 = H130,C130/FILTER('Base Stats'!$C$2:$C1000, LOWER('Base Stats'!$B$2:$B1000) = LOWER($A130)), """")"),"")</f>
        <v/>
      </c>
      <c r="K130" s="0" t="str">
        <f aca="false">IF(F130 = H130, C130/G130, "")</f>
        <v/>
      </c>
      <c r="L130" s="0" t="str">
        <f aca="false">IFERROR(__xludf.dummyfunction("IF(AND(NOT(K130 = """"), G130 &gt;= 15),K130/FILTER('Base Stats'!$C$2:$C1000, LOWER('Base Stats'!$B$2:$B1000) = LOWER($A130)), """")"),"")</f>
        <v/>
      </c>
      <c r="M130" s="0" t="str">
        <f aca="false">IFERROR(__xludf.dummyfunction("1.15 + 0.02 * FILTER('Base Stats'!$C$2:$C1000, LOWER('Base Stats'!$B$2:$B1000) = LOWER($A130))"),"1.95")</f>
        <v>1.95</v>
      </c>
      <c r="N130" s="0" t="e">
        <f aca="false">IFERROR(IF(AND(NOT(K130 = ""), G130 &gt;= 15),K130/M130, ""))</f>
        <v>#VALUE!</v>
      </c>
    </row>
    <row r="131" customFormat="false" ht="15.75" hidden="false" customHeight="false" outlineLevel="0" collapsed="false">
      <c r="A131" s="8" t="s">
        <v>502</v>
      </c>
      <c r="B131" s="8" t="n">
        <v>41</v>
      </c>
      <c r="C131" s="8" t="n">
        <v>17</v>
      </c>
      <c r="D131" s="8" t="n">
        <v>1.22</v>
      </c>
      <c r="E131" s="8" t="n">
        <v>0.27</v>
      </c>
      <c r="F131" s="8" t="n">
        <v>400</v>
      </c>
      <c r="G131" s="0" t="str">
        <f aca="false">IFERROR(__xludf.dummyfunction("ROUND(B131/ FILTER('Pokemon CP/HP'!$M$2:$M1000, LOWER('Pokemon CP/HP'!$B$2:$B1000)=LOWER(A131)))"),"4")</f>
        <v>4</v>
      </c>
      <c r="H131" s="0" t="str">
        <f aca="false">IFERROR(__xludf.dummyfunction("FILTER('Leveling Info'!$B$2:$B1000, 'Leveling Info'!$A$2:$A1000 =G131)"),"200")</f>
        <v>200</v>
      </c>
      <c r="I131" s="14" t="n">
        <f aca="false">SQRT(G131)</f>
        <v>2</v>
      </c>
      <c r="J131" s="14" t="str">
        <f aca="false">IFERROR(__xludf.dummyfunction("IF(F131 = H131,C131/FILTER('Base Stats'!$C$2:$C1000, LOWER('Base Stats'!$B$2:$B1000) = LOWER($A131)), """")"),"")</f>
        <v/>
      </c>
      <c r="K131" s="0" t="str">
        <f aca="false">IF(F131 = H131, C131/G131, "")</f>
        <v/>
      </c>
      <c r="L131" s="0" t="str">
        <f aca="false">IFERROR(__xludf.dummyfunction("IF(AND(NOT(K131 = """"), G131 &gt;= 15),K131/FILTER('Base Stats'!$C$2:$C1000, LOWER('Base Stats'!$B$2:$B1000) = LOWER($A131)), """")"),"")</f>
        <v/>
      </c>
      <c r="M131" s="0" t="str">
        <f aca="false">IFERROR(__xludf.dummyfunction("1.15 + 0.02 * FILTER('Base Stats'!$C$2:$C1000, LOWER('Base Stats'!$B$2:$B1000) = LOWER($A131))"),"1.95")</f>
        <v>1.95</v>
      </c>
      <c r="N131" s="0" t="e">
        <f aca="false">IFERROR(IF(AND(NOT(K131 = ""), G131 &gt;= 15),K131/M131, ""))</f>
        <v>#VALUE!</v>
      </c>
    </row>
    <row r="132" customFormat="false" ht="15.75" hidden="false" customHeight="false" outlineLevel="0" collapsed="false">
      <c r="A132" s="8" t="s">
        <v>502</v>
      </c>
      <c r="B132" s="8" t="n">
        <v>39</v>
      </c>
      <c r="C132" s="8" t="n">
        <v>17</v>
      </c>
      <c r="D132" s="8" t="n">
        <v>1.8</v>
      </c>
      <c r="E132" s="8" t="n">
        <v>0.31</v>
      </c>
      <c r="F132" s="8" t="n">
        <v>400</v>
      </c>
      <c r="G132" s="0" t="str">
        <f aca="false">IFERROR(__xludf.dummyfunction("ROUND(B132/ FILTER('Pokemon CP/HP'!$M$2:$M1000, LOWER('Pokemon CP/HP'!$B$2:$B1000)=LOWER(A132)))"),"4")</f>
        <v>4</v>
      </c>
      <c r="H132" s="0" t="str">
        <f aca="false">IFERROR(__xludf.dummyfunction("FILTER('Leveling Info'!$B$2:$B1000, 'Leveling Info'!$A$2:$A1000 =G132)"),"200")</f>
        <v>200</v>
      </c>
      <c r="I132" s="14" t="n">
        <f aca="false">SQRT(G132)</f>
        <v>2</v>
      </c>
      <c r="J132" s="14" t="str">
        <f aca="false">IFERROR(__xludf.dummyfunction("IF(F132 = H132,C132/FILTER('Base Stats'!$C$2:$C1000, LOWER('Base Stats'!$B$2:$B1000) = LOWER($A132)), """")"),"")</f>
        <v/>
      </c>
      <c r="K132" s="0" t="str">
        <f aca="false">IF(F132 = H132, C132/G132, "")</f>
        <v/>
      </c>
      <c r="L132" s="0" t="str">
        <f aca="false">IFERROR(__xludf.dummyfunction("IF(AND(NOT(K132 = """"), G132 &gt;= 15),K132/FILTER('Base Stats'!$C$2:$C1000, LOWER('Base Stats'!$B$2:$B1000) = LOWER($A132)), """")"),"")</f>
        <v/>
      </c>
      <c r="M132" s="0" t="str">
        <f aca="false">IFERROR(__xludf.dummyfunction("1.15 + 0.02 * FILTER('Base Stats'!$C$2:$C1000, LOWER('Base Stats'!$B$2:$B1000) = LOWER($A132))"),"1.95")</f>
        <v>1.95</v>
      </c>
      <c r="N132" s="0" t="e">
        <f aca="false">IFERROR(IF(AND(NOT(K132 = ""), G132 &gt;= 15),K132/M132, ""))</f>
        <v>#VALUE!</v>
      </c>
    </row>
    <row r="133" customFormat="false" ht="15.75" hidden="false" customHeight="false" outlineLevel="0" collapsed="false">
      <c r="A133" s="8" t="s">
        <v>502</v>
      </c>
      <c r="B133" s="8" t="n">
        <v>25</v>
      </c>
      <c r="C133" s="8" t="n">
        <v>15</v>
      </c>
      <c r="D133" s="8" t="n">
        <v>1.76</v>
      </c>
      <c r="E133" s="8" t="n">
        <v>0.3</v>
      </c>
      <c r="F133" s="8" t="n">
        <v>200</v>
      </c>
      <c r="G133" s="0" t="str">
        <f aca="false">IFERROR(__xludf.dummyfunction("ROUND(B133/ FILTER('Pokemon CP/HP'!$M$2:$M1000, LOWER('Pokemon CP/HP'!$B$2:$B1000)=LOWER(A133)))"),"2")</f>
        <v>2</v>
      </c>
      <c r="H133" s="0" t="str">
        <f aca="false">IFERROR(__xludf.dummyfunction("FILTER('Leveling Info'!$B$2:$B1000, 'Leveling Info'!$A$2:$A1000 =G133)"),"200")</f>
        <v>200</v>
      </c>
      <c r="I133" s="14" t="n">
        <f aca="false">SQRT(G133)</f>
        <v>1.4142135623731</v>
      </c>
      <c r="J133" s="14" t="str">
        <f aca="false">IFERROR(__xludf.dummyfunction("IF(F133 = H133,C133/FILTER('Base Stats'!$C$2:$C1000, LOWER('Base Stats'!$B$2:$B1000) = LOWER($A133)), """")"),"0.375")</f>
        <v>0.375</v>
      </c>
      <c r="K133" s="0" t="str">
        <f aca="false">IF(F133 = H133, C133/G133, "")</f>
        <v/>
      </c>
      <c r="L133" s="0" t="str">
        <f aca="false">IFERROR(__xludf.dummyfunction("IF(AND(NOT(K133 = """"), G133 &gt;= 15),K133/FILTER('Base Stats'!$C$2:$C1000, LOWER('Base Stats'!$B$2:$B1000) = LOWER($A133)), """")"),"")</f>
        <v/>
      </c>
      <c r="M133" s="0" t="str">
        <f aca="false">IFERROR(__xludf.dummyfunction("1.15 + 0.02 * FILTER('Base Stats'!$C$2:$C1000, LOWER('Base Stats'!$B$2:$B1000) = LOWER($A133))"),"1.95")</f>
        <v>1.95</v>
      </c>
      <c r="N133" s="0" t="e">
        <f aca="false">IFERROR(IF(AND(NOT(K133 = ""), G133 &gt;= 15),K133/M133, ""))</f>
        <v>#VALUE!</v>
      </c>
    </row>
    <row r="134" customFormat="false" ht="15.75" hidden="false" customHeight="false" outlineLevel="0" collapsed="false">
      <c r="A134" s="8" t="s">
        <v>502</v>
      </c>
      <c r="B134" s="8" t="n">
        <v>24</v>
      </c>
      <c r="C134" s="8" t="n">
        <v>14</v>
      </c>
      <c r="D134" s="8" t="n">
        <v>1.12</v>
      </c>
      <c r="E134" s="8" t="n">
        <v>0.26</v>
      </c>
      <c r="F134" s="8" t="n">
        <v>200</v>
      </c>
      <c r="G134" s="0" t="str">
        <f aca="false">IFERROR(__xludf.dummyfunction("ROUND(B134/ FILTER('Pokemon CP/HP'!$M$2:$M1000, LOWER('Pokemon CP/HP'!$B$2:$B1000)=LOWER(A134)))"),"2")</f>
        <v>2</v>
      </c>
      <c r="H134" s="0" t="str">
        <f aca="false">IFERROR(__xludf.dummyfunction("FILTER('Leveling Info'!$B$2:$B1000, 'Leveling Info'!$A$2:$A1000 =G134)"),"200")</f>
        <v>200</v>
      </c>
      <c r="I134" s="14" t="n">
        <f aca="false">SQRT(G134)</f>
        <v>1.4142135623731</v>
      </c>
      <c r="J134" s="14" t="str">
        <f aca="false">IFERROR(__xludf.dummyfunction("IF(F134 = H134,C134/FILTER('Base Stats'!$C$2:$C1000, LOWER('Base Stats'!$B$2:$B1000) = LOWER($A134)), """")"),"0.35")</f>
        <v>0.35</v>
      </c>
      <c r="K134" s="0" t="str">
        <f aca="false">IF(F134 = H134, C134/G134, "")</f>
        <v/>
      </c>
      <c r="L134" s="0" t="str">
        <f aca="false">IFERROR(__xludf.dummyfunction("IF(AND(NOT(K134 = """"), G134 &gt;= 15),K134/FILTER('Base Stats'!$C$2:$C1000, LOWER('Base Stats'!$B$2:$B1000) = LOWER($A134)), """")"),"")</f>
        <v/>
      </c>
      <c r="M134" s="0" t="str">
        <f aca="false">IFERROR(__xludf.dummyfunction("1.15 + 0.02 * FILTER('Base Stats'!$C$2:$C1000, LOWER('Base Stats'!$B$2:$B1000) = LOWER($A134))"),"1.95")</f>
        <v>1.95</v>
      </c>
      <c r="N134" s="0" t="e">
        <f aca="false">IFERROR(IF(AND(NOT(K134 = ""), G134 &gt;= 15),K134/M134, ""))</f>
        <v>#VALUE!</v>
      </c>
    </row>
    <row r="135" customFormat="false" ht="15.75" hidden="false" customHeight="false" outlineLevel="0" collapsed="false">
      <c r="A135" s="8" t="s">
        <v>502</v>
      </c>
      <c r="B135" s="8" t="n">
        <v>24</v>
      </c>
      <c r="C135" s="8" t="n">
        <v>14</v>
      </c>
      <c r="D135" s="8" t="n">
        <v>1.71</v>
      </c>
      <c r="E135" s="8" t="n">
        <v>0.3</v>
      </c>
      <c r="F135" s="8" t="n">
        <v>200</v>
      </c>
      <c r="G135" s="0" t="str">
        <f aca="false">IFERROR(__xludf.dummyfunction("ROUND(B135/ FILTER('Pokemon CP/HP'!$M$2:$M1000, LOWER('Pokemon CP/HP'!$B$2:$B1000)=LOWER(A135)))"),"2")</f>
        <v>2</v>
      </c>
      <c r="H135" s="0" t="str">
        <f aca="false">IFERROR(__xludf.dummyfunction("FILTER('Leveling Info'!$B$2:$B1000, 'Leveling Info'!$A$2:$A1000 =G135)"),"200")</f>
        <v>200</v>
      </c>
      <c r="I135" s="14" t="n">
        <f aca="false">SQRT(G135)</f>
        <v>1.4142135623731</v>
      </c>
      <c r="J135" s="14" t="str">
        <f aca="false">IFERROR(__xludf.dummyfunction("IF(F135 = H135,C135/FILTER('Base Stats'!$C$2:$C1000, LOWER('Base Stats'!$B$2:$B1000) = LOWER($A135)), """")"),"0.35")</f>
        <v>0.35</v>
      </c>
      <c r="K135" s="0" t="str">
        <f aca="false">IF(F135 = H135, C135/G135, "")</f>
        <v/>
      </c>
      <c r="L135" s="0" t="str">
        <f aca="false">IFERROR(__xludf.dummyfunction("IF(AND(NOT(K135 = """"), G135 &gt;= 15),K135/FILTER('Base Stats'!$C$2:$C1000, LOWER('Base Stats'!$B$2:$B1000) = LOWER($A135)), """")"),"")</f>
        <v/>
      </c>
      <c r="M135" s="0" t="str">
        <f aca="false">IFERROR(__xludf.dummyfunction("1.15 + 0.02 * FILTER('Base Stats'!$C$2:$C1000, LOWER('Base Stats'!$B$2:$B1000) = LOWER($A135))"),"1.95")</f>
        <v>1.95</v>
      </c>
      <c r="N135" s="0" t="e">
        <f aca="false">IFERROR(IF(AND(NOT(K135 = ""), G135 &gt;= 15),K135/M135, ""))</f>
        <v>#VALUE!</v>
      </c>
    </row>
    <row r="136" customFormat="false" ht="15.75" hidden="false" customHeight="false" outlineLevel="0" collapsed="false">
      <c r="A136" s="8" t="s">
        <v>502</v>
      </c>
      <c r="B136" s="8" t="n">
        <v>23</v>
      </c>
      <c r="C136" s="8" t="n">
        <v>13</v>
      </c>
      <c r="D136" s="8" t="n">
        <v>2.14</v>
      </c>
      <c r="E136" s="8" t="n">
        <v>0.32</v>
      </c>
      <c r="F136" s="8" t="n">
        <v>200</v>
      </c>
      <c r="G136" s="0" t="str">
        <f aca="false">IFERROR(__xludf.dummyfunction("ROUND(B136/ FILTER('Pokemon CP/HP'!$M$2:$M1000, LOWER('Pokemon CP/HP'!$B$2:$B1000)=LOWER(A136)))"),"2")</f>
        <v>2</v>
      </c>
      <c r="H136" s="0" t="str">
        <f aca="false">IFERROR(__xludf.dummyfunction("FILTER('Leveling Info'!$B$2:$B1000, 'Leveling Info'!$A$2:$A1000 =G136)"),"200")</f>
        <v>200</v>
      </c>
      <c r="I136" s="14" t="n">
        <f aca="false">SQRT(G136)</f>
        <v>1.4142135623731</v>
      </c>
      <c r="J136" s="14" t="str">
        <f aca="false">IFERROR(__xludf.dummyfunction("IF(F136 = H136,C136/FILTER('Base Stats'!$C$2:$C1000, LOWER('Base Stats'!$B$2:$B1000) = LOWER($A136)), """")"),"0.325")</f>
        <v>0.325</v>
      </c>
      <c r="K136" s="0" t="str">
        <f aca="false">IF(F136 = H136, C136/G136, "")</f>
        <v/>
      </c>
      <c r="L136" s="0" t="str">
        <f aca="false">IFERROR(__xludf.dummyfunction("IF(AND(NOT(K136 = """"), G136 &gt;= 15),K136/FILTER('Base Stats'!$C$2:$C1000, LOWER('Base Stats'!$B$2:$B1000) = LOWER($A136)), """")"),"")</f>
        <v/>
      </c>
      <c r="M136" s="0" t="str">
        <f aca="false">IFERROR(__xludf.dummyfunction("1.15 + 0.02 * FILTER('Base Stats'!$C$2:$C1000, LOWER('Base Stats'!$B$2:$B1000) = LOWER($A136))"),"1.95")</f>
        <v>1.95</v>
      </c>
      <c r="N136" s="0" t="e">
        <f aca="false">IFERROR(IF(AND(NOT(K136 = ""), G136 &gt;= 15),K136/M136, ""))</f>
        <v>#VALUE!</v>
      </c>
    </row>
    <row r="137" customFormat="false" ht="15.75" hidden="false" customHeight="false" outlineLevel="0" collapsed="false">
      <c r="A137" s="8" t="s">
        <v>502</v>
      </c>
      <c r="B137" s="8" t="n">
        <v>10</v>
      </c>
      <c r="C137" s="8" t="n">
        <v>10</v>
      </c>
      <c r="D137" s="8" t="n">
        <v>1.44</v>
      </c>
      <c r="E137" s="8" t="n">
        <v>0.27</v>
      </c>
      <c r="F137" s="8" t="n">
        <v>200</v>
      </c>
      <c r="G137" s="0" t="str">
        <f aca="false">IFERROR(__xludf.dummyfunction("ROUND(B137/ FILTER('Pokemon CP/HP'!$M$2:$M1000, LOWER('Pokemon CP/HP'!$B$2:$B1000)=LOWER(A137)))"),"1")</f>
        <v>1</v>
      </c>
      <c r="H137" s="0" t="str">
        <f aca="false">IFERROR(__xludf.dummyfunction("FILTER('Leveling Info'!$B$2:$B1000, 'Leveling Info'!$A$2:$A1000 =G137)"),"200")</f>
        <v>200</v>
      </c>
      <c r="I137" s="14" t="n">
        <f aca="false">SQRT(G137)</f>
        <v>1</v>
      </c>
      <c r="J137" s="14" t="str">
        <f aca="false">IFERROR(__xludf.dummyfunction("IF(F137 = H137,C137/FILTER('Base Stats'!$C$2:$C1000, LOWER('Base Stats'!$B$2:$B1000) = LOWER($A137)), """")"),"0.25")</f>
        <v>0.25</v>
      </c>
      <c r="K137" s="0" t="str">
        <f aca="false">IF(F137 = H137, C137/G137, "")</f>
        <v/>
      </c>
      <c r="L137" s="0" t="str">
        <f aca="false">IFERROR(__xludf.dummyfunction("IF(AND(NOT(K137 = """"), G137 &gt;= 15),K137/FILTER('Base Stats'!$C$2:$C1000, LOWER('Base Stats'!$B$2:$B1000) = LOWER($A137)), """")"),"")</f>
        <v/>
      </c>
      <c r="M137" s="0" t="str">
        <f aca="false">IFERROR(__xludf.dummyfunction("1.15 + 0.02 * FILTER('Base Stats'!$C$2:$C1000, LOWER('Base Stats'!$B$2:$B1000) = LOWER($A137))"),"1.95")</f>
        <v>1.95</v>
      </c>
      <c r="N137" s="0" t="e">
        <f aca="false">IFERROR(IF(AND(NOT(K137 = ""), G137 &gt;= 15),K137/M137, ""))</f>
        <v>#VALUE!</v>
      </c>
    </row>
    <row r="138" customFormat="false" ht="15.75" hidden="false" customHeight="false" outlineLevel="0" collapsed="false">
      <c r="A138" s="8" t="s">
        <v>502</v>
      </c>
      <c r="B138" s="8" t="n">
        <v>10</v>
      </c>
      <c r="C138" s="8" t="n">
        <v>10</v>
      </c>
      <c r="D138" s="8" t="n">
        <v>1.44</v>
      </c>
      <c r="E138" s="8" t="n">
        <v>0.27</v>
      </c>
      <c r="F138" s="8" t="n">
        <v>200</v>
      </c>
      <c r="G138" s="0" t="str">
        <f aca="false">IFERROR(__xludf.dummyfunction("ROUND(B138/ FILTER('Pokemon CP/HP'!$M$2:$M1000, LOWER('Pokemon CP/HP'!$B$2:$B1000)=LOWER(A138)))"),"1")</f>
        <v>1</v>
      </c>
      <c r="H138" s="0" t="str">
        <f aca="false">IFERROR(__xludf.dummyfunction("FILTER('Leveling Info'!$B$2:$B1000, 'Leveling Info'!$A$2:$A1000 =G138)"),"200")</f>
        <v>200</v>
      </c>
      <c r="I138" s="14" t="n">
        <f aca="false">SQRT(G138)</f>
        <v>1</v>
      </c>
      <c r="J138" s="14" t="str">
        <f aca="false">IFERROR(__xludf.dummyfunction("IF(F138 = H138,C138/FILTER('Base Stats'!$C$2:$C1000, LOWER('Base Stats'!$B$2:$B1000) = LOWER($A138)), """")"),"0.25")</f>
        <v>0.25</v>
      </c>
      <c r="K138" s="0" t="str">
        <f aca="false">IF(F138 = H138, C138/G138, "")</f>
        <v/>
      </c>
      <c r="L138" s="0" t="str">
        <f aca="false">IFERROR(__xludf.dummyfunction("IF(AND(NOT(K138 = """"), G138 &gt;= 15),K138/FILTER('Base Stats'!$C$2:$C1000, LOWER('Base Stats'!$B$2:$B1000) = LOWER($A138)), """")"),"")</f>
        <v/>
      </c>
      <c r="M138" s="0" t="str">
        <f aca="false">IFERROR(__xludf.dummyfunction("1.15 + 0.02 * FILTER('Base Stats'!$C$2:$C1000, LOWER('Base Stats'!$B$2:$B1000) = LOWER($A138))"),"1.95")</f>
        <v>1.95</v>
      </c>
      <c r="N138" s="0" t="e">
        <f aca="false">IFERROR(IF(AND(NOT(K138 = ""), G138 &gt;= 15),K138/M138, ""))</f>
        <v>#VALUE!</v>
      </c>
    </row>
    <row r="139" customFormat="false" ht="15.75" hidden="false" customHeight="false" outlineLevel="0" collapsed="false">
      <c r="A139" s="8" t="s">
        <v>502</v>
      </c>
      <c r="B139" s="8" t="n">
        <v>10</v>
      </c>
      <c r="C139" s="8" t="n">
        <v>10</v>
      </c>
      <c r="D139" s="8" t="n">
        <v>1.87</v>
      </c>
      <c r="E139" s="8" t="n">
        <v>0.32</v>
      </c>
      <c r="F139" s="8" t="n">
        <v>200</v>
      </c>
      <c r="G139" s="0" t="str">
        <f aca="false">IFERROR(__xludf.dummyfunction("ROUND(B139/ FILTER('Pokemon CP/HP'!$M$2:$M1000, LOWER('Pokemon CP/HP'!$B$2:$B1000)=LOWER(A139)))"),"1")</f>
        <v>1</v>
      </c>
      <c r="H139" s="0" t="str">
        <f aca="false">IFERROR(__xludf.dummyfunction("FILTER('Leveling Info'!$B$2:$B1000, 'Leveling Info'!$A$2:$A1000 =G139)"),"200")</f>
        <v>200</v>
      </c>
      <c r="I139" s="14" t="n">
        <f aca="false">SQRT(G139)</f>
        <v>1</v>
      </c>
      <c r="J139" s="14" t="str">
        <f aca="false">IFERROR(__xludf.dummyfunction("IF(F139 = H139,C139/FILTER('Base Stats'!$C$2:$C1000, LOWER('Base Stats'!$B$2:$B1000) = LOWER($A139)), """")"),"0.25")</f>
        <v>0.25</v>
      </c>
      <c r="K139" s="0" t="str">
        <f aca="false">IF(F139 = H139, C139/G139, "")</f>
        <v/>
      </c>
      <c r="L139" s="0" t="str">
        <f aca="false">IFERROR(__xludf.dummyfunction("IF(AND(NOT(K139 = """"), G139 &gt;= 15),K139/FILTER('Base Stats'!$C$2:$C1000, LOWER('Base Stats'!$B$2:$B1000) = LOWER($A139)), """")"),"")</f>
        <v/>
      </c>
      <c r="M139" s="0" t="str">
        <f aca="false">IFERROR(__xludf.dummyfunction("1.15 + 0.02 * FILTER('Base Stats'!$C$2:$C1000, LOWER('Base Stats'!$B$2:$B1000) = LOWER($A139))"),"1.95")</f>
        <v>1.95</v>
      </c>
      <c r="N139" s="0" t="e">
        <f aca="false">IFERROR(IF(AND(NOT(K139 = ""), G139 &gt;= 15),K139/M139, ""))</f>
        <v>#VALUE!</v>
      </c>
    </row>
    <row r="140" customFormat="false" ht="15.75" hidden="false" customHeight="false" outlineLevel="0" collapsed="false">
      <c r="A140" s="8" t="s">
        <v>502</v>
      </c>
      <c r="B140" s="8" t="n">
        <v>10</v>
      </c>
      <c r="C140" s="8" t="n">
        <v>10</v>
      </c>
      <c r="D140" s="8" t="n">
        <v>1.88</v>
      </c>
      <c r="E140" s="8" t="n">
        <v>0.32</v>
      </c>
      <c r="F140" s="8" t="n">
        <v>200</v>
      </c>
      <c r="G140" s="0" t="str">
        <f aca="false">IFERROR(__xludf.dummyfunction("ROUND(B140/ FILTER('Pokemon CP/HP'!$M$2:$M1000, LOWER('Pokemon CP/HP'!$B$2:$B1000)=LOWER(A140)))"),"1")</f>
        <v>1</v>
      </c>
      <c r="H140" s="0" t="str">
        <f aca="false">IFERROR(__xludf.dummyfunction("FILTER('Leveling Info'!$B$2:$B1000, 'Leveling Info'!$A$2:$A1000 =G140)"),"200")</f>
        <v>200</v>
      </c>
      <c r="I140" s="14" t="n">
        <f aca="false">SQRT(G140)</f>
        <v>1</v>
      </c>
      <c r="J140" s="14" t="str">
        <f aca="false">IFERROR(__xludf.dummyfunction("IF(F140 = H140,C140/FILTER('Base Stats'!$C$2:$C1000, LOWER('Base Stats'!$B$2:$B1000) = LOWER($A140)), """")"),"0.25")</f>
        <v>0.25</v>
      </c>
      <c r="K140" s="0" t="str">
        <f aca="false">IF(F140 = H140, C140/G140, "")</f>
        <v/>
      </c>
      <c r="L140" s="0" t="str">
        <f aca="false">IFERROR(__xludf.dummyfunction("IF(AND(NOT(K140 = """"), G140 &gt;= 15),K140/FILTER('Base Stats'!$C$2:$C1000, LOWER('Base Stats'!$B$2:$B1000) = LOWER($A140)), """")"),"")</f>
        <v/>
      </c>
      <c r="M140" s="0" t="str">
        <f aca="false">IFERROR(__xludf.dummyfunction("1.15 + 0.02 * FILTER('Base Stats'!$C$2:$C1000, LOWER('Base Stats'!$B$2:$B1000) = LOWER($A140))"),"1.95")</f>
        <v>1.95</v>
      </c>
      <c r="N140" s="0" t="e">
        <f aca="false">IFERROR(IF(AND(NOT(K140 = ""), G140 &gt;= 15),K140/M140, ""))</f>
        <v>#VALUE!</v>
      </c>
    </row>
    <row r="141" customFormat="false" ht="15.75" hidden="false" customHeight="false" outlineLevel="0" collapsed="false">
      <c r="A141" s="8" t="s">
        <v>502</v>
      </c>
      <c r="B141" s="8" t="n">
        <v>10</v>
      </c>
      <c r="C141" s="8" t="n">
        <v>10</v>
      </c>
      <c r="D141" s="8" t="n">
        <v>2.17</v>
      </c>
      <c r="E141" s="8" t="n">
        <v>0.33</v>
      </c>
      <c r="F141" s="8" t="n">
        <v>200</v>
      </c>
      <c r="G141" s="0" t="str">
        <f aca="false">IFERROR(__xludf.dummyfunction("ROUND(B141/ FILTER('Pokemon CP/HP'!$M$2:$M1000, LOWER('Pokemon CP/HP'!$B$2:$B1000)=LOWER(A141)))"),"1")</f>
        <v>1</v>
      </c>
      <c r="H141" s="0" t="str">
        <f aca="false">IFERROR(__xludf.dummyfunction("FILTER('Leveling Info'!$B$2:$B1000, 'Leveling Info'!$A$2:$A1000 =G141)"),"200")</f>
        <v>200</v>
      </c>
      <c r="I141" s="14" t="n">
        <f aca="false">SQRT(G141)</f>
        <v>1</v>
      </c>
      <c r="J141" s="14" t="str">
        <f aca="false">IFERROR(__xludf.dummyfunction("IF(F141 = H141,C141/FILTER('Base Stats'!$C$2:$C1000, LOWER('Base Stats'!$B$2:$B1000) = LOWER($A141)), """")"),"0.25")</f>
        <v>0.25</v>
      </c>
      <c r="K141" s="0" t="str">
        <f aca="false">IF(F141 = H141, C141/G141, "")</f>
        <v/>
      </c>
      <c r="L141" s="0" t="str">
        <f aca="false">IFERROR(__xludf.dummyfunction("IF(AND(NOT(K141 = """"), G141 &gt;= 15),K141/FILTER('Base Stats'!$C$2:$C1000, LOWER('Base Stats'!$B$2:$B1000) = LOWER($A141)), """")"),"")</f>
        <v/>
      </c>
      <c r="M141" s="0" t="str">
        <f aca="false">IFERROR(__xludf.dummyfunction("1.15 + 0.02 * FILTER('Base Stats'!$C$2:$C1000, LOWER('Base Stats'!$B$2:$B1000) = LOWER($A141))"),"1.95")</f>
        <v>1.95</v>
      </c>
      <c r="N141" s="0" t="e">
        <f aca="false">IFERROR(IF(AND(NOT(K141 = ""), G141 &gt;= 15),K141/M141, ""))</f>
        <v>#VALUE!</v>
      </c>
    </row>
    <row r="142" customFormat="false" ht="15.75" hidden="false" customHeight="false" outlineLevel="0" collapsed="false">
      <c r="A142" s="8" t="s">
        <v>502</v>
      </c>
      <c r="B142" s="8" t="n">
        <v>10</v>
      </c>
      <c r="C142" s="8" t="n">
        <v>10</v>
      </c>
      <c r="D142" s="8" t="n">
        <v>2.2</v>
      </c>
      <c r="E142" s="8" t="n">
        <v>0.36</v>
      </c>
      <c r="F142" s="8" t="n">
        <v>200</v>
      </c>
      <c r="G142" s="0" t="str">
        <f aca="false">IFERROR(__xludf.dummyfunction("ROUND(B142/ FILTER('Pokemon CP/HP'!$M$2:$M1000, LOWER('Pokemon CP/HP'!$B$2:$B1000)=LOWER(A142)))"),"1")</f>
        <v>1</v>
      </c>
      <c r="H142" s="0" t="str">
        <f aca="false">IFERROR(__xludf.dummyfunction("FILTER('Leveling Info'!$B$2:$B1000, 'Leveling Info'!$A$2:$A1000 =G142)"),"200")</f>
        <v>200</v>
      </c>
      <c r="I142" s="14" t="n">
        <f aca="false">SQRT(G142)</f>
        <v>1</v>
      </c>
      <c r="J142" s="14" t="str">
        <f aca="false">IFERROR(__xludf.dummyfunction("IF(F142 = H142,C142/FILTER('Base Stats'!$C$2:$C1000, LOWER('Base Stats'!$B$2:$B1000) = LOWER($A142)), """")"),"0.25")</f>
        <v>0.25</v>
      </c>
      <c r="K142" s="0" t="str">
        <f aca="false">IF(F142 = H142, C142/G142, "")</f>
        <v/>
      </c>
      <c r="L142" s="0" t="str">
        <f aca="false">IFERROR(__xludf.dummyfunction("IF(AND(NOT(K142 = """"), G142 &gt;= 15),K142/FILTER('Base Stats'!$C$2:$C1000, LOWER('Base Stats'!$B$2:$B1000) = LOWER($A142)), """")"),"")</f>
        <v/>
      </c>
      <c r="M142" s="0" t="str">
        <f aca="false">IFERROR(__xludf.dummyfunction("1.15 + 0.02 * FILTER('Base Stats'!$C$2:$C1000, LOWER('Base Stats'!$B$2:$B1000) = LOWER($A142))"),"1.95")</f>
        <v>1.95</v>
      </c>
      <c r="N142" s="0" t="e">
        <f aca="false">IFERROR(IF(AND(NOT(K142 = ""), G142 &gt;= 15),K142/M142, ""))</f>
        <v>#VALUE!</v>
      </c>
    </row>
    <row r="143" customFormat="false" ht="15.75" hidden="false" customHeight="false" outlineLevel="0" collapsed="false">
      <c r="A143" s="8" t="s">
        <v>504</v>
      </c>
      <c r="B143" s="8" t="n">
        <v>422</v>
      </c>
      <c r="C143" s="8" t="n">
        <v>67</v>
      </c>
      <c r="D143" s="8" t="n">
        <v>5.75</v>
      </c>
      <c r="E143" s="8" t="n">
        <v>1.05</v>
      </c>
      <c r="F143" s="8" t="n">
        <v>1600</v>
      </c>
      <c r="G143" s="0" t="str">
        <f aca="false">IFERROR(__xludf.dummyfunction("ROUND(B143/ FILTER('Pokemon CP/HP'!$M$2:$M1000, LOWER('Pokemon CP/HP'!$B$2:$B1000)=LOWER(A143)))"),"23")</f>
        <v>23</v>
      </c>
      <c r="H143" s="0" t="str">
        <f aca="false">IFERROR(__xludf.dummyfunction("FILTER('Leveling Info'!$B$2:$B1000, 'Leveling Info'!$A$2:$A1000 =G143)"),"1300")</f>
        <v>1300</v>
      </c>
      <c r="I143" s="14" t="n">
        <f aca="false">SQRT(G143)</f>
        <v>4.79583152331272</v>
      </c>
      <c r="J143" s="14" t="str">
        <f aca="false">IFERROR(__xludf.dummyfunction("IF(F143 = H143,C143/FILTER('Base Stats'!$C$2:$C1000, LOWER('Base Stats'!$B$2:$B1000) = LOWER($A143)), """")"),"")</f>
        <v/>
      </c>
      <c r="K143" s="0" t="str">
        <f aca="false">IF(F143 = H143, C143/G143, "")</f>
        <v/>
      </c>
      <c r="L143" s="0" t="str">
        <f aca="false">IFERROR(__xludf.dummyfunction("IF(AND(NOT(K143 = """"), G143 &gt;= 15),K143/FILTER('Base Stats'!$C$2:$C1000, LOWER('Base Stats'!$B$2:$B1000) = LOWER($A143)), """")"),"")</f>
        <v/>
      </c>
      <c r="M143" s="0" t="str">
        <f aca="false">IFERROR(__xludf.dummyfunction("1.15 + 0.02 * FILTER('Base Stats'!$C$2:$C1000, LOWER('Base Stats'!$B$2:$B1000) = LOWER($A143))"),"2.41")</f>
        <v>2.41</v>
      </c>
      <c r="N143" s="0" t="e">
        <f aca="false">IFERROR(IF(AND(NOT(K143 = ""), G143 &gt;= 15),K143/M143, ""))</f>
        <v>#VALUE!</v>
      </c>
    </row>
    <row r="144" customFormat="false" ht="15.75" hidden="false" customHeight="false" outlineLevel="0" collapsed="false">
      <c r="A144" s="8" t="s">
        <v>504</v>
      </c>
      <c r="B144" s="8" t="n">
        <v>417</v>
      </c>
      <c r="C144" s="8" t="n">
        <v>67</v>
      </c>
      <c r="D144" s="8" t="n">
        <v>2.63</v>
      </c>
      <c r="E144" s="8" t="n">
        <v>0.83</v>
      </c>
      <c r="F144" s="8" t="n">
        <v>1600</v>
      </c>
      <c r="G144" s="0" t="str">
        <f aca="false">IFERROR(__xludf.dummyfunction("ROUND(B144/ FILTER('Pokemon CP/HP'!$M$2:$M1000, LOWER('Pokemon CP/HP'!$B$2:$B1000)=LOWER(A144)))"),"23")</f>
        <v>23</v>
      </c>
      <c r="H144" s="0" t="str">
        <f aca="false">IFERROR(__xludf.dummyfunction("FILTER('Leveling Info'!$B$2:$B1000, 'Leveling Info'!$A$2:$A1000 =G144)"),"1300")</f>
        <v>1300</v>
      </c>
      <c r="I144" s="14" t="n">
        <f aca="false">SQRT(G144)</f>
        <v>4.79583152331272</v>
      </c>
      <c r="J144" s="14" t="str">
        <f aca="false">IFERROR(__xludf.dummyfunction("IF(F144 = H144,C144/FILTER('Base Stats'!$C$2:$C1000, LOWER('Base Stats'!$B$2:$B1000) = LOWER($A144)), """")"),"")</f>
        <v/>
      </c>
      <c r="K144" s="0" t="str">
        <f aca="false">IF(F144 = H144, C144/G144, "")</f>
        <v/>
      </c>
      <c r="L144" s="0" t="str">
        <f aca="false">IFERROR(__xludf.dummyfunction("IF(AND(NOT(K144 = """"), G144 &gt;= 15),K144/FILTER('Base Stats'!$C$2:$C1000, LOWER('Base Stats'!$B$2:$B1000) = LOWER($A144)), """")"),"")</f>
        <v/>
      </c>
      <c r="M144" s="0" t="str">
        <f aca="false">IFERROR(__xludf.dummyfunction("1.15 + 0.02 * FILTER('Base Stats'!$C$2:$C1000, LOWER('Base Stats'!$B$2:$B1000) = LOWER($A144))"),"2.41")</f>
        <v>2.41</v>
      </c>
      <c r="N144" s="0" t="e">
        <f aca="false">IFERROR(IF(AND(NOT(K144 = ""), G144 &gt;= 15),K144/M144, ""))</f>
        <v>#VALUE!</v>
      </c>
    </row>
    <row r="145" customFormat="false" ht="15.75" hidden="false" customHeight="false" outlineLevel="0" collapsed="false">
      <c r="A145" s="8" t="s">
        <v>504</v>
      </c>
      <c r="B145" s="8" t="n">
        <v>363</v>
      </c>
      <c r="C145" s="8" t="n">
        <v>58</v>
      </c>
      <c r="D145" s="8" t="n">
        <v>34.66</v>
      </c>
      <c r="E145" s="8" t="n">
        <v>1.18</v>
      </c>
      <c r="F145" s="8" t="n">
        <v>1300</v>
      </c>
      <c r="G145" s="0" t="str">
        <f aca="false">IFERROR(__xludf.dummyfunction("ROUND(B145/ FILTER('Pokemon CP/HP'!$M$2:$M1000, LOWER('Pokemon CP/HP'!$B$2:$B1000)=LOWER(A145)))"),"20")</f>
        <v>20</v>
      </c>
      <c r="H145" s="0" t="str">
        <f aca="false">IFERROR(__xludf.dummyfunction("FILTER('Leveling Info'!$B$2:$B1000, 'Leveling Info'!$A$2:$A1000 =G145)"),"1000")</f>
        <v>1000</v>
      </c>
      <c r="I145" s="14" t="n">
        <f aca="false">SQRT(G145)</f>
        <v>4.47213595499958</v>
      </c>
      <c r="J145" s="14" t="str">
        <f aca="false">IFERROR(__xludf.dummyfunction("IF(F145 = H145,C145/FILTER('Base Stats'!$C$2:$C1000, LOWER('Base Stats'!$B$2:$B1000) = LOWER($A145)), """")"),"")</f>
        <v/>
      </c>
      <c r="K145" s="0" t="str">
        <f aca="false">IF(F145 = H145, C145/G145, "")</f>
        <v/>
      </c>
      <c r="L145" s="0" t="str">
        <f aca="false">IFERROR(__xludf.dummyfunction("IF(AND(NOT(K145 = """"), G145 &gt;= 15),K145/FILTER('Base Stats'!$C$2:$C1000, LOWER('Base Stats'!$B$2:$B1000) = LOWER($A145)), """")"),"")</f>
        <v/>
      </c>
      <c r="M145" s="0" t="str">
        <f aca="false">IFERROR(__xludf.dummyfunction("1.15 + 0.02 * FILTER('Base Stats'!$C$2:$C1000, LOWER('Base Stats'!$B$2:$B1000) = LOWER($A145))"),"2.41")</f>
        <v>2.41</v>
      </c>
      <c r="N145" s="0" t="e">
        <f aca="false">IFERROR(IF(AND(NOT(K145 = ""), G145 &gt;= 15),K145/M145, ""))</f>
        <v>#VALUE!</v>
      </c>
    </row>
    <row r="146" customFormat="false" ht="15.75" hidden="false" customHeight="false" outlineLevel="0" collapsed="false">
      <c r="A146" s="8" t="s">
        <v>504</v>
      </c>
      <c r="B146" s="8" t="n">
        <v>320</v>
      </c>
      <c r="C146" s="8" t="n">
        <v>58</v>
      </c>
      <c r="D146" s="8" t="n">
        <v>30</v>
      </c>
      <c r="E146" s="8" t="n">
        <v>1.06</v>
      </c>
      <c r="F146" s="8" t="n">
        <v>1300</v>
      </c>
      <c r="G146" s="0" t="str">
        <f aca="false">IFERROR(__xludf.dummyfunction("ROUND(B146/ FILTER('Pokemon CP/HP'!$M$2:$M1000, LOWER('Pokemon CP/HP'!$B$2:$B1000)=LOWER(A146)))"),"18")</f>
        <v>18</v>
      </c>
      <c r="H146" s="0" t="str">
        <f aca="false">IFERROR(__xludf.dummyfunction("FILTER('Leveling Info'!$B$2:$B1000, 'Leveling Info'!$A$2:$A1000 =G146)"),"1000")</f>
        <v>1000</v>
      </c>
      <c r="I146" s="14" t="n">
        <f aca="false">SQRT(G146)</f>
        <v>4.24264068711929</v>
      </c>
      <c r="J146" s="14" t="str">
        <f aca="false">IFERROR(__xludf.dummyfunction("IF(F146 = H146,C146/FILTER('Base Stats'!$C$2:$C1000, LOWER('Base Stats'!$B$2:$B1000) = LOWER($A146)), """")"),"")</f>
        <v/>
      </c>
      <c r="K146" s="0" t="str">
        <f aca="false">IF(F146 = H146, C146/G146, "")</f>
        <v/>
      </c>
      <c r="L146" s="0" t="str">
        <f aca="false">IFERROR(__xludf.dummyfunction("IF(AND(NOT(K146 = """"), G146 &gt;= 15),K146/FILTER('Base Stats'!$C$2:$C1000, LOWER('Base Stats'!$B$2:$B1000) = LOWER($A146)), """")"),"")</f>
        <v/>
      </c>
      <c r="M146" s="0" t="str">
        <f aca="false">IFERROR(__xludf.dummyfunction("1.15 + 0.02 * FILTER('Base Stats'!$C$2:$C1000, LOWER('Base Stats'!$B$2:$B1000) = LOWER($A146))"),"2.41")</f>
        <v>2.41</v>
      </c>
      <c r="N146" s="0" t="e">
        <f aca="false">IFERROR(IF(AND(NOT(K146 = ""), G146 &gt;= 15),K146/M146, ""))</f>
        <v>#VALUE!</v>
      </c>
    </row>
    <row r="147" customFormat="false" ht="15.75" hidden="false" customHeight="false" outlineLevel="0" collapsed="false">
      <c r="A147" s="8" t="s">
        <v>504</v>
      </c>
      <c r="B147" s="8" t="n">
        <v>308</v>
      </c>
      <c r="C147" s="8" t="n">
        <v>59</v>
      </c>
      <c r="D147" s="8" t="n">
        <v>30</v>
      </c>
      <c r="E147" s="8" t="n">
        <v>1</v>
      </c>
      <c r="F147" s="8" t="n">
        <v>1000</v>
      </c>
      <c r="G147" s="0" t="str">
        <f aca="false">IFERROR(__xludf.dummyfunction("ROUND(B147/ FILTER('Pokemon CP/HP'!$M$2:$M1000, LOWER('Pokemon CP/HP'!$B$2:$B1000)=LOWER(A147)))"),"17")</f>
        <v>17</v>
      </c>
      <c r="H147" s="0" t="str">
        <f aca="false">IFERROR(__xludf.dummyfunction("FILTER('Leveling Info'!$B$2:$B1000, 'Leveling Info'!$A$2:$A1000 =G147)"),"1000")</f>
        <v>1000</v>
      </c>
      <c r="I147" s="14" t="n">
        <f aca="false">SQRT(G147)</f>
        <v>4.12310562561766</v>
      </c>
      <c r="J147" s="14" t="str">
        <f aca="false">IFERROR(__xludf.dummyfunction("IF(F147 = H147,C147/FILTER('Base Stats'!$C$2:$C1000, LOWER('Base Stats'!$B$2:$B1000) = LOWER($A147)), """")"),"0.9365079365")</f>
        <v>0.9365079365</v>
      </c>
      <c r="K147" s="0" t="str">
        <f aca="false">IF(F147 = H147, C147/G147, "")</f>
        <v/>
      </c>
      <c r="L147" s="0" t="str">
        <f aca="false">IFERROR(__xludf.dummyfunction("IF(AND(NOT(K147 = """"), G147 &gt;= 15),K147/FILTER('Base Stats'!$C$2:$C1000, LOWER('Base Stats'!$B$2:$B1000) = LOWER($A147)), """")"),"0.05508870215")</f>
        <v>0.05508870215</v>
      </c>
      <c r="M147" s="0" t="str">
        <f aca="false">IFERROR(__xludf.dummyfunction("1.15 + 0.02 * FILTER('Base Stats'!$C$2:$C1000, LOWER('Base Stats'!$B$2:$B1000) = LOWER($A147))"),"2.41")</f>
        <v>2.41</v>
      </c>
      <c r="N147" s="0" t="e">
        <f aca="false">IFERROR(IF(AND(NOT(K147 = ""), G147 &gt;= 15),K147/M147, ""))</f>
        <v>#VALUE!</v>
      </c>
    </row>
    <row r="148" customFormat="false" ht="15.75" hidden="false" customHeight="false" outlineLevel="0" collapsed="false">
      <c r="A148" s="8" t="s">
        <v>504</v>
      </c>
      <c r="B148" s="8" t="n">
        <v>205</v>
      </c>
      <c r="C148" s="8" t="n">
        <v>46</v>
      </c>
      <c r="D148" s="8" t="n">
        <v>0.83</v>
      </c>
      <c r="E148" s="8" t="n">
        <v>0.92</v>
      </c>
      <c r="F148" s="8" t="n">
        <v>0.92</v>
      </c>
      <c r="G148" s="0" t="str">
        <f aca="false">IFERROR(__xludf.dummyfunction("ROUND(B148/ FILTER('Pokemon CP/HP'!$M$2:$M1000, LOWER('Pokemon CP/HP'!$B$2:$B1000)=LOWER(A148)))"),"11")</f>
        <v>11</v>
      </c>
      <c r="H148" s="0" t="str">
        <f aca="false">IFERROR(__xludf.dummyfunction("FILTER('Leveling Info'!$B$2:$B1000, 'Leveling Info'!$A$2:$A1000 =G148)"),"600")</f>
        <v>600</v>
      </c>
      <c r="I148" s="14" t="n">
        <f aca="false">SQRT(G148)</f>
        <v>3.3166247903554</v>
      </c>
      <c r="J148" s="14" t="str">
        <f aca="false">IFERROR(__xludf.dummyfunction("IF(F148 = H148,C148/FILTER('Base Stats'!$C$2:$C1000, LOWER('Base Stats'!$B$2:$B1000) = LOWER($A148)), """")"),"")</f>
        <v/>
      </c>
      <c r="K148" s="0" t="str">
        <f aca="false">IF(F148 = H148, C148/G148, "")</f>
        <v/>
      </c>
      <c r="L148" s="0" t="str">
        <f aca="false">IFERROR(__xludf.dummyfunction("IF(AND(NOT(K148 = """"), G148 &gt;= 15),K148/FILTER('Base Stats'!$C$2:$C1000, LOWER('Base Stats'!$B$2:$B1000) = LOWER($A148)), """")"),"")</f>
        <v/>
      </c>
      <c r="M148" s="0" t="str">
        <f aca="false">IFERROR(__xludf.dummyfunction("1.15 + 0.02 * FILTER('Base Stats'!$C$2:$C1000, LOWER('Base Stats'!$B$2:$B1000) = LOWER($A148))"),"2.41")</f>
        <v>2.41</v>
      </c>
      <c r="N148" s="0" t="e">
        <f aca="false">IFERROR(IF(AND(NOT(K148 = ""), G148 &gt;= 15),K148/M148, ""))</f>
        <v>#VALUE!</v>
      </c>
    </row>
    <row r="149" customFormat="false" ht="15.75" hidden="false" customHeight="false" outlineLevel="0" collapsed="false">
      <c r="A149" s="8" t="s">
        <v>504</v>
      </c>
      <c r="B149" s="8" t="n">
        <v>170</v>
      </c>
      <c r="C149" s="8" t="n">
        <v>41</v>
      </c>
      <c r="D149" s="8" t="n">
        <v>28.74</v>
      </c>
      <c r="E149" s="8" t="n">
        <v>1.03</v>
      </c>
      <c r="F149" s="8" t="n">
        <v>600</v>
      </c>
      <c r="G149" s="0" t="str">
        <f aca="false">IFERROR(__xludf.dummyfunction("ROUND(B149/ FILTER('Pokemon CP/HP'!$M$2:$M1000, LOWER('Pokemon CP/HP'!$B$2:$B1000)=LOWER(A149)))"),"9")</f>
        <v>9</v>
      </c>
      <c r="H149" s="0" t="str">
        <f aca="false">IFERROR(__xludf.dummyfunction("FILTER('Leveling Info'!$B$2:$B1000, 'Leveling Info'!$A$2:$A1000 =G149)"),"600")</f>
        <v>600</v>
      </c>
      <c r="I149" s="14" t="n">
        <f aca="false">SQRT(G149)</f>
        <v>3</v>
      </c>
      <c r="J149" s="14" t="str">
        <f aca="false">IFERROR(__xludf.dummyfunction("IF(F149 = H149,C149/FILTER('Base Stats'!$C$2:$C1000, LOWER('Base Stats'!$B$2:$B1000) = LOWER($A149)), """")"),"0.6507936508")</f>
        <v>0.6507936508</v>
      </c>
      <c r="K149" s="0" t="str">
        <f aca="false">IF(F149 = H149, C149/G149, "")</f>
        <v/>
      </c>
      <c r="L149" s="0" t="str">
        <f aca="false">IFERROR(__xludf.dummyfunction("IF(AND(NOT(K149 = """"), G149 &gt;= 15),K149/FILTER('Base Stats'!$C$2:$C1000, LOWER('Base Stats'!$B$2:$B1000) = LOWER($A149)), """")"),"")</f>
        <v/>
      </c>
      <c r="M149" s="0" t="str">
        <f aca="false">IFERROR(__xludf.dummyfunction("1.15 + 0.02 * FILTER('Base Stats'!$C$2:$C1000, LOWER('Base Stats'!$B$2:$B1000) = LOWER($A149))"),"2.41")</f>
        <v>2.41</v>
      </c>
      <c r="N149" s="0" t="e">
        <f aca="false">IFERROR(IF(AND(NOT(K149 = ""), G149 &gt;= 15),K149/M149, ""))</f>
        <v>#VALUE!</v>
      </c>
    </row>
    <row r="150" customFormat="false" ht="15.75" hidden="false" customHeight="false" outlineLevel="0" collapsed="false">
      <c r="A150" s="8" t="s">
        <v>504</v>
      </c>
      <c r="B150" s="8" t="n">
        <v>116</v>
      </c>
      <c r="C150" s="8" t="n">
        <v>36</v>
      </c>
      <c r="D150" s="8" t="n">
        <v>37.02</v>
      </c>
      <c r="E150" s="8" t="n">
        <v>1.21</v>
      </c>
      <c r="F150" s="8" t="n">
        <v>400</v>
      </c>
      <c r="G150" s="0" t="str">
        <f aca="false">IFERROR(__xludf.dummyfunction("ROUND(B150/ FILTER('Pokemon CP/HP'!$M$2:$M1000, LOWER('Pokemon CP/HP'!$B$2:$B1000)=LOWER(A150)))"),"6")</f>
        <v>6</v>
      </c>
      <c r="H150" s="0" t="str">
        <f aca="false">IFERROR(__xludf.dummyfunction("FILTER('Leveling Info'!$B$2:$B1000, 'Leveling Info'!$A$2:$A1000 =G150)"),"400")</f>
        <v>400</v>
      </c>
      <c r="I150" s="14" t="n">
        <f aca="false">SQRT(G150)</f>
        <v>2.44948974278318</v>
      </c>
      <c r="J150" s="14" t="str">
        <f aca="false">IFERROR(__xludf.dummyfunction("IF(F150 = H150,C150/FILTER('Base Stats'!$C$2:$C1000, LOWER('Base Stats'!$B$2:$B1000) = LOWER($A150)), """")"),"0.5714285714")</f>
        <v>0.5714285714</v>
      </c>
      <c r="K150" s="0" t="str">
        <f aca="false">IF(F150 = H150, C150/G150, "")</f>
        <v/>
      </c>
      <c r="L150" s="0" t="str">
        <f aca="false">IFERROR(__xludf.dummyfunction("IF(AND(NOT(K150 = """"), G150 &gt;= 15),K150/FILTER('Base Stats'!$C$2:$C1000, LOWER('Base Stats'!$B$2:$B1000) = LOWER($A150)), """")"),"")</f>
        <v/>
      </c>
      <c r="M150" s="0" t="str">
        <f aca="false">IFERROR(__xludf.dummyfunction("1.15 + 0.02 * FILTER('Base Stats'!$C$2:$C1000, LOWER('Base Stats'!$B$2:$B1000) = LOWER($A150))"),"2.41")</f>
        <v>2.41</v>
      </c>
      <c r="N150" s="0" t="e">
        <f aca="false">IFERROR(IF(AND(NOT(K150 = ""), G150 &gt;= 15),K150/M150, ""))</f>
        <v>#VALUE!</v>
      </c>
    </row>
    <row r="151" customFormat="false" ht="15.75" hidden="false" customHeight="false" outlineLevel="0" collapsed="false">
      <c r="A151" s="8" t="s">
        <v>505</v>
      </c>
      <c r="B151" s="8" t="n">
        <v>836</v>
      </c>
      <c r="C151" s="8" t="n">
        <v>91</v>
      </c>
      <c r="D151" s="8" t="n">
        <v>39.5</v>
      </c>
      <c r="E151" s="8" t="n">
        <v>1.42</v>
      </c>
      <c r="F151" s="8" t="n">
        <v>1900</v>
      </c>
      <c r="G151" s="0" t="str">
        <f aca="false">IFERROR(__xludf.dummyfunction("ROUND(B151/ FILTER('Pokemon CP/HP'!$M$2:$M1000, LOWER('Pokemon CP/HP'!$B$2:$B1000)=LOWER(A151)))"),"30")</f>
        <v>30</v>
      </c>
      <c r="H151" s="0" t="str">
        <f aca="false">IFERROR(__xludf.dummyfunction("FILTER('Leveling Info'!$B$2:$B1000, 'Leveling Info'!$A$2:$A1000 =G151)"),"1900")</f>
        <v>1900</v>
      </c>
      <c r="I151" s="14" t="n">
        <f aca="false">SQRT(G151)</f>
        <v>5.47722557505166</v>
      </c>
      <c r="J151" s="14" t="str">
        <f aca="false">IFERROR(__xludf.dummyfunction("IF(F151 = H151,C151/FILTER('Base Stats'!$C$2:$C1000, LOWER('Base Stats'!$B$2:$B1000) = LOWER($A151)), """")"),"1.096385542")</f>
        <v>1.096385542</v>
      </c>
      <c r="K151" s="0" t="str">
        <f aca="false">IF(F151 = H151, C151/G151, "")</f>
        <v/>
      </c>
      <c r="L151" s="0" t="str">
        <f aca="false">IFERROR(__xludf.dummyfunction("IF(AND(NOT(K151 = """"), G151 &gt;= 15),K151/FILTER('Base Stats'!$C$2:$C1000, LOWER('Base Stats'!$B$2:$B1000) = LOWER($A151)), """")"),"0.03654618474")</f>
        <v>0.03654618474</v>
      </c>
      <c r="M151" s="0" t="str">
        <f aca="false">IFERROR(__xludf.dummyfunction("1.15 + 0.02 * FILTER('Base Stats'!$C$2:$C1000, LOWER('Base Stats'!$B$2:$B1000) = LOWER($A151))"),"2.81")</f>
        <v>2.81</v>
      </c>
      <c r="N151" s="0" t="e">
        <f aca="false">IFERROR(IF(AND(NOT(K151 = ""), G151 &gt;= 15),K151/M151, ""))</f>
        <v>#VALUE!</v>
      </c>
    </row>
    <row r="152" customFormat="false" ht="15.75" hidden="false" customHeight="false" outlineLevel="0" collapsed="false">
      <c r="A152" s="8" t="s">
        <v>505</v>
      </c>
      <c r="B152" s="8" t="n">
        <v>739</v>
      </c>
      <c r="C152" s="8" t="n">
        <v>85</v>
      </c>
      <c r="D152" s="8" t="n">
        <v>39.5</v>
      </c>
      <c r="E152" s="8" t="n">
        <v>1.67</v>
      </c>
      <c r="F152" s="8" t="n">
        <v>1600</v>
      </c>
      <c r="G152" s="0" t="str">
        <f aca="false">IFERROR(__xludf.dummyfunction("ROUND(B152/ FILTER('Pokemon CP/HP'!$M$2:$M1000, LOWER('Pokemon CP/HP'!$B$2:$B1000)=LOWER(A152)))"),"27")</f>
        <v>27</v>
      </c>
      <c r="H152" s="0" t="str">
        <f aca="false">IFERROR(__xludf.dummyfunction("FILTER('Leveling Info'!$B$2:$B1000, 'Leveling Info'!$A$2:$A1000 =G152)"),"1600")</f>
        <v>1600</v>
      </c>
      <c r="I152" s="14" t="n">
        <f aca="false">SQRT(G152)</f>
        <v>5.19615242270663</v>
      </c>
      <c r="J152" s="14" t="str">
        <f aca="false">IFERROR(__xludf.dummyfunction("IF(F152 = H152,C152/FILTER('Base Stats'!$C$2:$C1000, LOWER('Base Stats'!$B$2:$B1000) = LOWER($A152)), """")"),"1.024096386")</f>
        <v>1.024096386</v>
      </c>
      <c r="K152" s="0" t="str">
        <f aca="false">IF(F152 = H152, C152/G152, "")</f>
        <v/>
      </c>
      <c r="L152" s="0" t="str">
        <f aca="false">IFERROR(__xludf.dummyfunction("IF(AND(NOT(K152 = """"), G152 &gt;= 15),K152/FILTER('Base Stats'!$C$2:$C1000, LOWER('Base Stats'!$B$2:$B1000) = LOWER($A152)), """")"),"0.03792949576")</f>
        <v>0.03792949576</v>
      </c>
      <c r="M152" s="0" t="str">
        <f aca="false">IFERROR(__xludf.dummyfunction("1.15 + 0.02 * FILTER('Base Stats'!$C$2:$C1000, LOWER('Base Stats'!$B$2:$B1000) = LOWER($A152))"),"2.81")</f>
        <v>2.81</v>
      </c>
      <c r="N152" s="0" t="e">
        <f aca="false">IFERROR(IF(AND(NOT(K152 = ""), G152 &gt;= 15),K152/M152, ""))</f>
        <v>#VALUE!</v>
      </c>
    </row>
    <row r="153" customFormat="false" ht="15.75" hidden="false" customHeight="false" outlineLevel="0" collapsed="false">
      <c r="A153" s="8" t="s">
        <v>505</v>
      </c>
      <c r="B153" s="8" t="n">
        <v>318</v>
      </c>
      <c r="C153" s="8" t="n">
        <v>57</v>
      </c>
      <c r="D153" s="8" t="n">
        <v>52.5</v>
      </c>
      <c r="E153" s="8" t="n">
        <v>1.9</v>
      </c>
      <c r="F153" s="8" t="n">
        <v>600</v>
      </c>
      <c r="G153" s="0" t="str">
        <f aca="false">IFERROR(__xludf.dummyfunction("ROUND(B153/ FILTER('Pokemon CP/HP'!$M$2:$M1000, LOWER('Pokemon CP/HP'!$B$2:$B1000)=LOWER(A153)))"),"11")</f>
        <v>11</v>
      </c>
      <c r="H153" s="0" t="str">
        <f aca="false">IFERROR(__xludf.dummyfunction("FILTER('Leveling Info'!$B$2:$B1000, 'Leveling Info'!$A$2:$A1000 =G153)"),"600")</f>
        <v>600</v>
      </c>
      <c r="I153" s="14" t="n">
        <f aca="false">SQRT(G153)</f>
        <v>3.3166247903554</v>
      </c>
      <c r="J153" s="14" t="str">
        <f aca="false">IFERROR(__xludf.dummyfunction("IF(F153 = H153,C153/FILTER('Base Stats'!$C$2:$C1000, LOWER('Base Stats'!$B$2:$B1000) = LOWER($A153)), """")"),"0.686746988")</f>
        <v>0.686746988</v>
      </c>
      <c r="K153" s="0" t="str">
        <f aca="false">IF(F153 = H153, C153/G153, "")</f>
        <v/>
      </c>
      <c r="L153" s="0" t="str">
        <f aca="false">IFERROR(__xludf.dummyfunction("IF(AND(NOT(K153 = """"), G153 &gt;= 15),K153/FILTER('Base Stats'!$C$2:$C1000, LOWER('Base Stats'!$B$2:$B1000) = LOWER($A153)), """")"),"")</f>
        <v/>
      </c>
      <c r="M153" s="0" t="str">
        <f aca="false">IFERROR(__xludf.dummyfunction("1.15 + 0.02 * FILTER('Base Stats'!$C$2:$C1000, LOWER('Base Stats'!$B$2:$B1000) = LOWER($A153))"),"2.81")</f>
        <v>2.81</v>
      </c>
      <c r="N153" s="0" t="e">
        <f aca="false">IFERROR(IF(AND(NOT(K153 = ""), G153 &gt;= 15),K153/M153, ""))</f>
        <v>#VALUE!</v>
      </c>
    </row>
    <row r="154" customFormat="false" ht="15.75" hidden="false" customHeight="false" outlineLevel="0" collapsed="false">
      <c r="A154" s="8" t="s">
        <v>506</v>
      </c>
      <c r="B154" s="8" t="n">
        <v>165</v>
      </c>
      <c r="C154" s="8" t="n">
        <v>32</v>
      </c>
      <c r="D154" s="8" t="n">
        <v>2.35</v>
      </c>
      <c r="E154" s="8" t="n">
        <v>0.25</v>
      </c>
      <c r="F154" s="8" t="n">
        <v>1300</v>
      </c>
      <c r="G154" s="0" t="str">
        <f aca="false">IFERROR(__xludf.dummyfunction("ROUND(B154/ FILTER('Pokemon CP/HP'!$M$2:$M1000, LOWER('Pokemon CP/HP'!$B$2:$B1000)=LOWER(A154)))"),"22")</f>
        <v>22</v>
      </c>
      <c r="H154" s="0" t="str">
        <f aca="false">IFERROR(__xludf.dummyfunction("FILTER('Leveling Info'!$B$2:$B1000, 'Leveling Info'!$A$2:$A1000 =G154)"),"1300")</f>
        <v>1300</v>
      </c>
      <c r="I154" s="14" t="n">
        <f aca="false">SQRT(G154)</f>
        <v>4.69041575982343</v>
      </c>
      <c r="J154" s="14" t="str">
        <f aca="false">IFERROR(__xludf.dummyfunction("IF(F154 = H154,C154/FILTER('Base Stats'!$C$2:$C1000, LOWER('Base Stats'!$B$2:$B1000) = LOWER($A154)), """")"),"1.066666667")</f>
        <v>1.066666667</v>
      </c>
      <c r="K154" s="0" t="str">
        <f aca="false">IF(F154 = H154, C154/G154, "")</f>
        <v/>
      </c>
      <c r="L154" s="0" t="str">
        <f aca="false">IFERROR(__xludf.dummyfunction("IF(AND(NOT(K154 = """"), G154 &gt;= 15),K154/FILTER('Base Stats'!$C$2:$C1000, LOWER('Base Stats'!$B$2:$B1000) = LOWER($A154)), """")"),"0.04848484848")</f>
        <v>0.04848484848</v>
      </c>
      <c r="M154" s="0" t="str">
        <f aca="false">IFERROR(__xludf.dummyfunction("1.15 + 0.02 * FILTER('Base Stats'!$C$2:$C1000, LOWER('Base Stats'!$B$2:$B1000) = LOWER($A154))"),"1.75")</f>
        <v>1.75</v>
      </c>
      <c r="N154" s="0" t="e">
        <f aca="false">IFERROR(IF(AND(NOT(K154 = ""), G154 &gt;= 15),K154/M154, ""))</f>
        <v>#VALUE!</v>
      </c>
    </row>
    <row r="155" customFormat="false" ht="15.75" hidden="false" customHeight="false" outlineLevel="0" collapsed="false">
      <c r="A155" s="8" t="s">
        <v>506</v>
      </c>
      <c r="B155" s="8" t="n">
        <v>144</v>
      </c>
      <c r="C155" s="8" t="n">
        <v>28</v>
      </c>
      <c r="D155" s="8" t="n">
        <v>2.61</v>
      </c>
      <c r="E155" s="8" t="n">
        <v>0.25</v>
      </c>
      <c r="F155" s="8" t="n">
        <v>1000</v>
      </c>
      <c r="G155" s="0" t="str">
        <f aca="false">IFERROR(__xludf.dummyfunction("ROUND(B155/ FILTER('Pokemon CP/HP'!$M$2:$M1000, LOWER('Pokemon CP/HP'!$B$2:$B1000)=LOWER(A155)))"),"19")</f>
        <v>19</v>
      </c>
      <c r="H155" s="0" t="str">
        <f aca="false">IFERROR(__xludf.dummyfunction("FILTER('Leveling Info'!$B$2:$B1000, 'Leveling Info'!$A$2:$A1000 =G155)"),"1000")</f>
        <v>1000</v>
      </c>
      <c r="I155" s="14" t="n">
        <f aca="false">SQRT(G155)</f>
        <v>4.35889894354067</v>
      </c>
      <c r="J155" s="14" t="str">
        <f aca="false">IFERROR(__xludf.dummyfunction("IF(F155 = H155,C155/FILTER('Base Stats'!$C$2:$C1000, LOWER('Base Stats'!$B$2:$B1000) = LOWER($A155)), """")"),"0.9333333333")</f>
        <v>0.9333333333</v>
      </c>
      <c r="K155" s="0" t="str">
        <f aca="false">IF(F155 = H155, C155/G155, "")</f>
        <v/>
      </c>
      <c r="L155" s="0" t="str">
        <f aca="false">IFERROR(__xludf.dummyfunction("IF(AND(NOT(K155 = """"), G155 &gt;= 15),K155/FILTER('Base Stats'!$C$2:$C1000, LOWER('Base Stats'!$B$2:$B1000) = LOWER($A155)), """")"),"0.04912280702")</f>
        <v>0.04912280702</v>
      </c>
      <c r="M155" s="0" t="str">
        <f aca="false">IFERROR(__xludf.dummyfunction("1.15 + 0.02 * FILTER('Base Stats'!$C$2:$C1000, LOWER('Base Stats'!$B$2:$B1000) = LOWER($A155))"),"1.75")</f>
        <v>1.75</v>
      </c>
      <c r="N155" s="0" t="e">
        <f aca="false">IFERROR(IF(AND(NOT(K155 = ""), G155 &gt;= 15),K155/M155, ""))</f>
        <v>#VALUE!</v>
      </c>
    </row>
    <row r="156" customFormat="false" ht="15.75" hidden="false" customHeight="false" outlineLevel="0" collapsed="false">
      <c r="A156" s="8" t="s">
        <v>506</v>
      </c>
      <c r="B156" s="8" t="n">
        <v>136</v>
      </c>
      <c r="C156" s="8" t="n">
        <v>27</v>
      </c>
      <c r="D156" s="8" t="n">
        <v>2.58</v>
      </c>
      <c r="E156" s="8" t="n">
        <v>0.27</v>
      </c>
      <c r="F156" s="8" t="n">
        <v>1000</v>
      </c>
      <c r="G156" s="0" t="str">
        <f aca="false">IFERROR(__xludf.dummyfunction("ROUND(B156/ FILTER('Pokemon CP/HP'!$M$2:$M1000, LOWER('Pokemon CP/HP'!$B$2:$B1000)=LOWER(A156)))"),"18")</f>
        <v>18</v>
      </c>
      <c r="H156" s="0" t="str">
        <f aca="false">IFERROR(__xludf.dummyfunction("FILTER('Leveling Info'!$B$2:$B1000, 'Leveling Info'!$A$2:$A1000 =G156)"),"1000")</f>
        <v>1000</v>
      </c>
      <c r="I156" s="14" t="n">
        <f aca="false">SQRT(G156)</f>
        <v>4.24264068711929</v>
      </c>
      <c r="J156" s="14" t="str">
        <f aca="false">IFERROR(__xludf.dummyfunction("IF(F156 = H156,C156/FILTER('Base Stats'!$C$2:$C1000, LOWER('Base Stats'!$B$2:$B1000) = LOWER($A156)), """")"),"0.9")</f>
        <v>0.9</v>
      </c>
      <c r="K156" s="0" t="str">
        <f aca="false">IF(F156 = H156, C156/G156, "")</f>
        <v/>
      </c>
      <c r="L156" s="0" t="str">
        <f aca="false">IFERROR(__xludf.dummyfunction("IF(AND(NOT(K156 = """"), G156 &gt;= 15),K156/FILTER('Base Stats'!$C$2:$C1000, LOWER('Base Stats'!$B$2:$B1000) = LOWER($A156)), """")"),"0.05")</f>
        <v>0.05</v>
      </c>
      <c r="M156" s="0" t="str">
        <f aca="false">IFERROR(__xludf.dummyfunction("1.15 + 0.02 * FILTER('Base Stats'!$C$2:$C1000, LOWER('Base Stats'!$B$2:$B1000) = LOWER($A156))"),"1.75")</f>
        <v>1.75</v>
      </c>
      <c r="N156" s="0" t="e">
        <f aca="false">IFERROR(IF(AND(NOT(K156 = ""), G156 &gt;= 15),K156/M156, ""))</f>
        <v>#VALUE!</v>
      </c>
    </row>
    <row r="157" customFormat="false" ht="15.75" hidden="false" customHeight="false" outlineLevel="0" collapsed="false">
      <c r="A157" s="8" t="s">
        <v>506</v>
      </c>
      <c r="B157" s="8" t="n">
        <v>136</v>
      </c>
      <c r="C157" s="8" t="n">
        <v>28</v>
      </c>
      <c r="D157" s="8" t="n">
        <v>5.1</v>
      </c>
      <c r="E157" s="8" t="n">
        <v>0.38</v>
      </c>
      <c r="F157" s="8" t="n">
        <v>1000</v>
      </c>
      <c r="G157" s="0" t="str">
        <f aca="false">IFERROR(__xludf.dummyfunction("ROUND(B157/ FILTER('Pokemon CP/HP'!$M$2:$M1000, LOWER('Pokemon CP/HP'!$B$2:$B1000)=LOWER(A157)))"),"18")</f>
        <v>18</v>
      </c>
      <c r="H157" s="0" t="str">
        <f aca="false">IFERROR(__xludf.dummyfunction("FILTER('Leveling Info'!$B$2:$B1000, 'Leveling Info'!$A$2:$A1000 =G157)"),"1000")</f>
        <v>1000</v>
      </c>
      <c r="I157" s="14" t="n">
        <f aca="false">SQRT(G157)</f>
        <v>4.24264068711929</v>
      </c>
      <c r="J157" s="14" t="str">
        <f aca="false">IFERROR(__xludf.dummyfunction("IF(F157 = H157,C157/FILTER('Base Stats'!$C$2:$C1000, LOWER('Base Stats'!$B$2:$B1000) = LOWER($A157)), """")"),"0.9333333333")</f>
        <v>0.9333333333</v>
      </c>
      <c r="K157" s="0" t="str">
        <f aca="false">IF(F157 = H157, C157/G157, "")</f>
        <v/>
      </c>
      <c r="L157" s="0" t="str">
        <f aca="false">IFERROR(__xludf.dummyfunction("IF(AND(NOT(K157 = """"), G157 &gt;= 15),K157/FILTER('Base Stats'!$C$2:$C1000, LOWER('Base Stats'!$B$2:$B1000) = LOWER($A157)), """")"),"0.05185185185")</f>
        <v>0.05185185185</v>
      </c>
      <c r="M157" s="0" t="str">
        <f aca="false">IFERROR(__xludf.dummyfunction("1.15 + 0.02 * FILTER('Base Stats'!$C$2:$C1000, LOWER('Base Stats'!$B$2:$B1000) = LOWER($A157))"),"1.75")</f>
        <v>1.75</v>
      </c>
      <c r="N157" s="0" t="e">
        <f aca="false">IFERROR(IF(AND(NOT(K157 = ""), G157 &gt;= 15),K157/M157, ""))</f>
        <v>#VALUE!</v>
      </c>
    </row>
    <row r="158" customFormat="false" ht="15.75" hidden="false" customHeight="false" outlineLevel="0" collapsed="false">
      <c r="A158" s="8" t="s">
        <v>506</v>
      </c>
      <c r="B158" s="8" t="n">
        <v>130</v>
      </c>
      <c r="C158" s="8" t="n">
        <v>26</v>
      </c>
      <c r="D158" s="8" t="n">
        <v>1.96</v>
      </c>
      <c r="E158" s="8" t="n">
        <v>0.26</v>
      </c>
      <c r="F158" s="8" t="n">
        <v>1000</v>
      </c>
      <c r="G158" s="0" t="str">
        <f aca="false">IFERROR(__xludf.dummyfunction("ROUND(B158/ FILTER('Pokemon CP/HP'!$M$2:$M1000, LOWER('Pokemon CP/HP'!$B$2:$B1000)=LOWER(A158)))"),"17")</f>
        <v>17</v>
      </c>
      <c r="H158" s="0" t="str">
        <f aca="false">IFERROR(__xludf.dummyfunction("FILTER('Leveling Info'!$B$2:$B1000, 'Leveling Info'!$A$2:$A1000 =G158)"),"1000")</f>
        <v>1000</v>
      </c>
      <c r="I158" s="14" t="n">
        <f aca="false">SQRT(G158)</f>
        <v>4.12310562561766</v>
      </c>
      <c r="J158" s="14" t="str">
        <f aca="false">IFERROR(__xludf.dummyfunction("IF(F158 = H158,C158/FILTER('Base Stats'!$C$2:$C1000, LOWER('Base Stats'!$B$2:$B1000) = LOWER($A158)), """")"),"0.8666666667")</f>
        <v>0.8666666667</v>
      </c>
      <c r="K158" s="0" t="str">
        <f aca="false">IF(F158 = H158, C158/G158, "")</f>
        <v/>
      </c>
      <c r="L158" s="0" t="str">
        <f aca="false">IFERROR(__xludf.dummyfunction("IF(AND(NOT(K158 = """"), G158 &gt;= 15),K158/FILTER('Base Stats'!$C$2:$C1000, LOWER('Base Stats'!$B$2:$B1000) = LOWER($A158)), """")"),"0.05098039216")</f>
        <v>0.05098039216</v>
      </c>
      <c r="M158" s="0" t="str">
        <f aca="false">IFERROR(__xludf.dummyfunction("1.15 + 0.02 * FILTER('Base Stats'!$C$2:$C1000, LOWER('Base Stats'!$B$2:$B1000) = LOWER($A158))"),"1.75")</f>
        <v>1.75</v>
      </c>
      <c r="N158" s="0" t="e">
        <f aca="false">IFERROR(IF(AND(NOT(K158 = ""), G158 &gt;= 15),K158/M158, ""))</f>
        <v>#VALUE!</v>
      </c>
    </row>
    <row r="159" customFormat="false" ht="15.75" hidden="false" customHeight="false" outlineLevel="0" collapsed="false">
      <c r="A159" s="8" t="s">
        <v>506</v>
      </c>
      <c r="B159" s="8" t="n">
        <v>123</v>
      </c>
      <c r="C159" s="8" t="n">
        <v>27</v>
      </c>
      <c r="D159" s="8" t="n">
        <v>3.5</v>
      </c>
      <c r="E159" s="8" t="n">
        <v>0.29</v>
      </c>
      <c r="F159" s="8" t="n">
        <v>800</v>
      </c>
      <c r="G159" s="0" t="str">
        <f aca="false">IFERROR(__xludf.dummyfunction("ROUND(B159/ FILTER('Pokemon CP/HP'!$M$2:$M1000, LOWER('Pokemon CP/HP'!$B$2:$B1000)=LOWER(A159)))"),"16")</f>
        <v>16</v>
      </c>
      <c r="H159" s="0" t="str">
        <f aca="false">IFERROR(__xludf.dummyfunction("FILTER('Leveling Info'!$B$2:$B1000, 'Leveling Info'!$A$2:$A1000 =G159)"),"800")</f>
        <v>800</v>
      </c>
      <c r="I159" s="14" t="n">
        <f aca="false">SQRT(G159)</f>
        <v>4</v>
      </c>
      <c r="J159" s="14" t="str">
        <f aca="false">IFERROR(__xludf.dummyfunction("IF(F159 = H159,C159/FILTER('Base Stats'!$C$2:$C1000, LOWER('Base Stats'!$B$2:$B1000) = LOWER($A159)), """")"),"0.9")</f>
        <v>0.9</v>
      </c>
      <c r="K159" s="0" t="str">
        <f aca="false">IF(F159 = H159, C159/G159, "")</f>
        <v/>
      </c>
      <c r="L159" s="0" t="str">
        <f aca="false">IFERROR(__xludf.dummyfunction("IF(AND(NOT(K159 = """"), G159 &gt;= 15),K159/FILTER('Base Stats'!$C$2:$C1000, LOWER('Base Stats'!$B$2:$B1000) = LOWER($A159)), """")"),"0.05625")</f>
        <v>0.05625</v>
      </c>
      <c r="M159" s="0" t="str">
        <f aca="false">IFERROR(__xludf.dummyfunction("1.15 + 0.02 * FILTER('Base Stats'!$C$2:$C1000, LOWER('Base Stats'!$B$2:$B1000) = LOWER($A159))"),"1.75")</f>
        <v>1.75</v>
      </c>
      <c r="N159" s="0" t="e">
        <f aca="false">IFERROR(IF(AND(NOT(K159 = ""), G159 &gt;= 15),K159/M159, ""))</f>
        <v>#VALUE!</v>
      </c>
    </row>
    <row r="160" customFormat="false" ht="15.75" hidden="false" customHeight="false" outlineLevel="0" collapsed="false">
      <c r="A160" s="8" t="s">
        <v>506</v>
      </c>
      <c r="B160" s="8" t="n">
        <v>111</v>
      </c>
      <c r="C160" s="8" t="n">
        <v>24</v>
      </c>
      <c r="D160" s="8" t="n">
        <v>1.98</v>
      </c>
      <c r="E160" s="8" t="n">
        <v>0.2</v>
      </c>
      <c r="F160" s="8" t="n">
        <v>800</v>
      </c>
      <c r="G160" s="0" t="str">
        <f aca="false">IFERROR(__xludf.dummyfunction("ROUND(B160/ FILTER('Pokemon CP/HP'!$M$2:$M1000, LOWER('Pokemon CP/HP'!$B$2:$B1000)=LOWER(A160)))"),"15")</f>
        <v>15</v>
      </c>
      <c r="H160" s="0" t="str">
        <f aca="false">IFERROR(__xludf.dummyfunction("FILTER('Leveling Info'!$B$2:$B1000, 'Leveling Info'!$A$2:$A1000 =G160)"),"800")</f>
        <v>800</v>
      </c>
      <c r="I160" s="14" t="n">
        <f aca="false">SQRT(G160)</f>
        <v>3.87298334620742</v>
      </c>
      <c r="J160" s="14" t="str">
        <f aca="false">IFERROR(__xludf.dummyfunction("IF(F160 = H160,C160/FILTER('Base Stats'!$C$2:$C1000, LOWER('Base Stats'!$B$2:$B1000) = LOWER($A160)), """")"),"0.8")</f>
        <v>0.8</v>
      </c>
      <c r="K160" s="0" t="str">
        <f aca="false">IF(F160 = H160, C160/G160, "")</f>
        <v/>
      </c>
      <c r="L160" s="0" t="str">
        <f aca="false">IFERROR(__xludf.dummyfunction("IF(AND(NOT(K160 = """"), G160 &gt;= 15),K160/FILTER('Base Stats'!$C$2:$C1000, LOWER('Base Stats'!$B$2:$B1000) = LOWER($A160)), """")"),"0.05333333333")</f>
        <v>0.05333333333</v>
      </c>
      <c r="M160" s="0" t="str">
        <f aca="false">IFERROR(__xludf.dummyfunction("1.15 + 0.02 * FILTER('Base Stats'!$C$2:$C1000, LOWER('Base Stats'!$B$2:$B1000) = LOWER($A160))"),"1.75")</f>
        <v>1.75</v>
      </c>
      <c r="N160" s="0" t="e">
        <f aca="false">IFERROR(IF(AND(NOT(K160 = ""), G160 &gt;= 15),K160/M160, ""))</f>
        <v>#VALUE!</v>
      </c>
    </row>
    <row r="161" customFormat="false" ht="15.75" hidden="false" customHeight="false" outlineLevel="0" collapsed="false">
      <c r="A161" s="8" t="s">
        <v>506</v>
      </c>
      <c r="B161" s="8" t="n">
        <v>95</v>
      </c>
      <c r="C161" s="8" t="n">
        <v>21</v>
      </c>
      <c r="D161" s="8" t="n">
        <v>2.69</v>
      </c>
      <c r="E161" s="8" t="n">
        <v>0.25</v>
      </c>
      <c r="F161" s="8" t="n">
        <v>800</v>
      </c>
      <c r="G161" s="0" t="str">
        <f aca="false">IFERROR(__xludf.dummyfunction("ROUND(B161/ FILTER('Pokemon CP/HP'!$M$2:$M1000, LOWER('Pokemon CP/HP'!$B$2:$B1000)=LOWER(A161)))"),"13")</f>
        <v>13</v>
      </c>
      <c r="H161" s="0" t="str">
        <f aca="false">IFERROR(__xludf.dummyfunction("FILTER('Leveling Info'!$B$2:$B1000, 'Leveling Info'!$A$2:$A1000 =G161)"),"800")</f>
        <v>800</v>
      </c>
      <c r="I161" s="14" t="n">
        <f aca="false">SQRT(G161)</f>
        <v>3.60555127546399</v>
      </c>
      <c r="J161" s="14" t="str">
        <f aca="false">IFERROR(__xludf.dummyfunction("IF(F161 = H161,C161/FILTER('Base Stats'!$C$2:$C1000, LOWER('Base Stats'!$B$2:$B1000) = LOWER($A161)), """")"),"0.7")</f>
        <v>0.7</v>
      </c>
      <c r="K161" s="0" t="str">
        <f aca="false">IF(F161 = H161, C161/G161, "")</f>
        <v/>
      </c>
      <c r="L161" s="0" t="str">
        <f aca="false">IFERROR(__xludf.dummyfunction("IF(AND(NOT(K161 = """"), G161 &gt;= 15),K161/FILTER('Base Stats'!$C$2:$C1000, LOWER('Base Stats'!$B$2:$B1000) = LOWER($A161)), """")"),"")</f>
        <v/>
      </c>
      <c r="M161" s="0" t="str">
        <f aca="false">IFERROR(__xludf.dummyfunction("1.15 + 0.02 * FILTER('Base Stats'!$C$2:$C1000, LOWER('Base Stats'!$B$2:$B1000) = LOWER($A161))"),"1.75")</f>
        <v>1.75</v>
      </c>
      <c r="N161" s="0" t="e">
        <f aca="false">IFERROR(IF(AND(NOT(K161 = ""), G161 &gt;= 15),K161/M161, ""))</f>
        <v>#VALUE!</v>
      </c>
    </row>
    <row r="162" customFormat="false" ht="15.75" hidden="false" customHeight="false" outlineLevel="0" collapsed="false">
      <c r="A162" s="8" t="s">
        <v>506</v>
      </c>
      <c r="B162" s="8" t="n">
        <v>92</v>
      </c>
      <c r="C162" s="8" t="n">
        <v>21</v>
      </c>
      <c r="D162" s="8" t="n">
        <v>3.86</v>
      </c>
      <c r="E162" s="8" t="n">
        <v>0.3</v>
      </c>
      <c r="F162" s="8" t="n">
        <v>800</v>
      </c>
      <c r="G162" s="0" t="str">
        <f aca="false">IFERROR(__xludf.dummyfunction("ROUND(B162/ FILTER('Pokemon CP/HP'!$M$2:$M1000, LOWER('Pokemon CP/HP'!$B$2:$B1000)=LOWER(A162)))"),"12")</f>
        <v>12</v>
      </c>
      <c r="H162" s="0" t="str">
        <f aca="false">IFERROR(__xludf.dummyfunction("FILTER('Leveling Info'!$B$2:$B1000, 'Leveling Info'!$A$2:$A1000 =G162)"),"600")</f>
        <v>600</v>
      </c>
      <c r="I162" s="14" t="n">
        <f aca="false">SQRT(G162)</f>
        <v>3.46410161513775</v>
      </c>
      <c r="J162" s="14" t="str">
        <f aca="false">IFERROR(__xludf.dummyfunction("IF(F162 = H162,C162/FILTER('Base Stats'!$C$2:$C1000, LOWER('Base Stats'!$B$2:$B1000) = LOWER($A162)), """")"),"")</f>
        <v/>
      </c>
      <c r="K162" s="0" t="str">
        <f aca="false">IF(F162 = H162, C162/G162, "")</f>
        <v/>
      </c>
      <c r="L162" s="0" t="str">
        <f aca="false">IFERROR(__xludf.dummyfunction("IF(AND(NOT(K162 = """"), G162 &gt;= 15),K162/FILTER('Base Stats'!$C$2:$C1000, LOWER('Base Stats'!$B$2:$B1000) = LOWER($A162)), """")"),"")</f>
        <v/>
      </c>
      <c r="M162" s="0" t="str">
        <f aca="false">IFERROR(__xludf.dummyfunction("1.15 + 0.02 * FILTER('Base Stats'!$C$2:$C1000, LOWER('Base Stats'!$B$2:$B1000) = LOWER($A162))"),"1.75")</f>
        <v>1.75</v>
      </c>
      <c r="N162" s="0" t="e">
        <f aca="false">IFERROR(IF(AND(NOT(K162 = ""), G162 &gt;= 15),K162/M162, ""))</f>
        <v>#VALUE!</v>
      </c>
    </row>
    <row r="163" customFormat="false" ht="15.75" hidden="false" customHeight="false" outlineLevel="0" collapsed="false">
      <c r="A163" s="8" t="s">
        <v>506</v>
      </c>
      <c r="B163" s="8" t="n">
        <v>90</v>
      </c>
      <c r="C163" s="8" t="n">
        <v>23</v>
      </c>
      <c r="D163" s="8" t="n">
        <v>4.83</v>
      </c>
      <c r="E163" s="8" t="n">
        <v>0.34</v>
      </c>
      <c r="F163" s="8" t="n">
        <v>600</v>
      </c>
      <c r="G163" s="0" t="str">
        <f aca="false">IFERROR(__xludf.dummyfunction("ROUND(B163/ FILTER('Pokemon CP/HP'!$M$2:$M1000, LOWER('Pokemon CP/HP'!$B$2:$B1000)=LOWER(A163)))"),"12")</f>
        <v>12</v>
      </c>
      <c r="H163" s="0" t="str">
        <f aca="false">IFERROR(__xludf.dummyfunction("FILTER('Leveling Info'!$B$2:$B1000, 'Leveling Info'!$A$2:$A1000 =G163)"),"600")</f>
        <v>600</v>
      </c>
      <c r="I163" s="14" t="n">
        <f aca="false">SQRT(G163)</f>
        <v>3.46410161513775</v>
      </c>
      <c r="J163" s="14" t="str">
        <f aca="false">IFERROR(__xludf.dummyfunction("IF(F163 = H163,C163/FILTER('Base Stats'!$C$2:$C1000, LOWER('Base Stats'!$B$2:$B1000) = LOWER($A163)), """")"),"0.7666666667")</f>
        <v>0.7666666667</v>
      </c>
      <c r="K163" s="0" t="str">
        <f aca="false">IF(F163 = H163, C163/G163, "")</f>
        <v/>
      </c>
      <c r="L163" s="0" t="str">
        <f aca="false">IFERROR(__xludf.dummyfunction("IF(AND(NOT(K163 = """"), G163 &gt;= 15),K163/FILTER('Base Stats'!$C$2:$C1000, LOWER('Base Stats'!$B$2:$B1000) = LOWER($A163)), """")"),"")</f>
        <v/>
      </c>
      <c r="M163" s="0" t="str">
        <f aca="false">IFERROR(__xludf.dummyfunction("1.15 + 0.02 * FILTER('Base Stats'!$C$2:$C1000, LOWER('Base Stats'!$B$2:$B1000) = LOWER($A163))"),"1.75")</f>
        <v>1.75</v>
      </c>
      <c r="N163" s="0" t="e">
        <f aca="false">IFERROR(IF(AND(NOT(K163 = ""), G163 &gt;= 15),K163/M163, ""))</f>
        <v>#VALUE!</v>
      </c>
    </row>
    <row r="164" customFormat="false" ht="15.75" hidden="false" customHeight="false" outlineLevel="0" collapsed="false">
      <c r="A164" s="8" t="s">
        <v>506</v>
      </c>
      <c r="B164" s="8" t="n">
        <v>85</v>
      </c>
      <c r="C164" s="8" t="n">
        <v>23</v>
      </c>
      <c r="D164" s="8" t="n">
        <v>4.73</v>
      </c>
      <c r="E164" s="8" t="n">
        <v>0.33</v>
      </c>
      <c r="F164" s="8" t="n">
        <v>600</v>
      </c>
      <c r="G164" s="0" t="str">
        <f aca="false">IFERROR(__xludf.dummyfunction("ROUND(B164/ FILTER('Pokemon CP/HP'!$M$2:$M1000, LOWER('Pokemon CP/HP'!$B$2:$B1000)=LOWER(A164)))"),"11")</f>
        <v>11</v>
      </c>
      <c r="H164" s="0" t="str">
        <f aca="false">IFERROR(__xludf.dummyfunction("FILTER('Leveling Info'!$B$2:$B1000, 'Leveling Info'!$A$2:$A1000 =G164)"),"600")</f>
        <v>600</v>
      </c>
      <c r="I164" s="14" t="n">
        <f aca="false">SQRT(G164)</f>
        <v>3.3166247903554</v>
      </c>
      <c r="J164" s="14" t="str">
        <f aca="false">IFERROR(__xludf.dummyfunction("IF(F164 = H164,C164/FILTER('Base Stats'!$C$2:$C1000, LOWER('Base Stats'!$B$2:$B1000) = LOWER($A164)), """")"),"0.7666666667")</f>
        <v>0.7666666667</v>
      </c>
      <c r="K164" s="0" t="str">
        <f aca="false">IF(F164 = H164, C164/G164, "")</f>
        <v/>
      </c>
      <c r="L164" s="0" t="str">
        <f aca="false">IFERROR(__xludf.dummyfunction("IF(AND(NOT(K164 = """"), G164 &gt;= 15),K164/FILTER('Base Stats'!$C$2:$C1000, LOWER('Base Stats'!$B$2:$B1000) = LOWER($A164)), """")"),"")</f>
        <v/>
      </c>
      <c r="M164" s="0" t="str">
        <f aca="false">IFERROR(__xludf.dummyfunction("1.15 + 0.02 * FILTER('Base Stats'!$C$2:$C1000, LOWER('Base Stats'!$B$2:$B1000) = LOWER($A164))"),"1.75")</f>
        <v>1.75</v>
      </c>
      <c r="N164" s="0" t="e">
        <f aca="false">IFERROR(IF(AND(NOT(K164 = ""), G164 &gt;= 15),K164/M164, ""))</f>
        <v>#VALUE!</v>
      </c>
    </row>
    <row r="165" customFormat="false" ht="15.75" hidden="false" customHeight="false" outlineLevel="0" collapsed="false">
      <c r="A165" s="8" t="s">
        <v>506</v>
      </c>
      <c r="B165" s="8" t="n">
        <v>79</v>
      </c>
      <c r="C165" s="8" t="n">
        <v>21</v>
      </c>
      <c r="D165" s="8" t="n">
        <v>5.64</v>
      </c>
      <c r="E165" s="8" t="n">
        <v>0.37</v>
      </c>
      <c r="F165" s="8" t="n">
        <v>600</v>
      </c>
      <c r="G165" s="0" t="str">
        <f aca="false">IFERROR(__xludf.dummyfunction("ROUND(B165/ FILTER('Pokemon CP/HP'!$M$2:$M1000, LOWER('Pokemon CP/HP'!$B$2:$B1000)=LOWER(A165)))"),"11")</f>
        <v>11</v>
      </c>
      <c r="H165" s="0" t="str">
        <f aca="false">IFERROR(__xludf.dummyfunction("FILTER('Leveling Info'!$B$2:$B1000, 'Leveling Info'!$A$2:$A1000 =G165)"),"600")</f>
        <v>600</v>
      </c>
      <c r="I165" s="14" t="n">
        <f aca="false">SQRT(G165)</f>
        <v>3.3166247903554</v>
      </c>
      <c r="J165" s="14" t="str">
        <f aca="false">IFERROR(__xludf.dummyfunction("IF(F165 = H165,C165/FILTER('Base Stats'!$C$2:$C1000, LOWER('Base Stats'!$B$2:$B1000) = LOWER($A165)), """")"),"0.7")</f>
        <v>0.7</v>
      </c>
      <c r="K165" s="0" t="str">
        <f aca="false">IF(F165 = H165, C165/G165, "")</f>
        <v/>
      </c>
      <c r="L165" s="0" t="str">
        <f aca="false">IFERROR(__xludf.dummyfunction("IF(AND(NOT(K165 = """"), G165 &gt;= 15),K165/FILTER('Base Stats'!$C$2:$C1000, LOWER('Base Stats'!$B$2:$B1000) = LOWER($A165)), """")"),"")</f>
        <v/>
      </c>
      <c r="M165" s="0" t="str">
        <f aca="false">IFERROR(__xludf.dummyfunction("1.15 + 0.02 * FILTER('Base Stats'!$C$2:$C1000, LOWER('Base Stats'!$B$2:$B1000) = LOWER($A165))"),"1.75")</f>
        <v>1.75</v>
      </c>
      <c r="N165" s="0" t="e">
        <f aca="false">IFERROR(IF(AND(NOT(K165 = ""), G165 &gt;= 15),K165/M165, ""))</f>
        <v>#VALUE!</v>
      </c>
    </row>
    <row r="166" customFormat="false" ht="15.75" hidden="false" customHeight="false" outlineLevel="0" collapsed="false">
      <c r="A166" s="8" t="s">
        <v>506</v>
      </c>
      <c r="B166" s="8" t="n">
        <v>78</v>
      </c>
      <c r="C166" s="8" t="n">
        <v>19</v>
      </c>
      <c r="D166" s="8" t="n">
        <v>4.47</v>
      </c>
      <c r="E166" s="8" t="n">
        <v>0.33</v>
      </c>
      <c r="F166" s="8" t="n">
        <v>600</v>
      </c>
      <c r="G166" s="0" t="str">
        <f aca="false">IFERROR(__xludf.dummyfunction("ROUND(B166/ FILTER('Pokemon CP/HP'!$M$2:$M1000, LOWER('Pokemon CP/HP'!$B$2:$B1000)=LOWER(A166)))"),"10")</f>
        <v>10</v>
      </c>
      <c r="H166" s="0" t="str">
        <f aca="false">IFERROR(__xludf.dummyfunction("FILTER('Leveling Info'!$B$2:$B1000, 'Leveling Info'!$A$2:$A1000 =G166)"),"600")</f>
        <v>600</v>
      </c>
      <c r="I166" s="14" t="n">
        <f aca="false">SQRT(G166)</f>
        <v>3.16227766016838</v>
      </c>
      <c r="J166" s="14" t="str">
        <f aca="false">IFERROR(__xludf.dummyfunction("IF(F166 = H166,C166/FILTER('Base Stats'!$C$2:$C1000, LOWER('Base Stats'!$B$2:$B1000) = LOWER($A166)), """")"),"0.6333333333")</f>
        <v>0.6333333333</v>
      </c>
      <c r="K166" s="0" t="str">
        <f aca="false">IF(F166 = H166, C166/G166, "")</f>
        <v/>
      </c>
      <c r="L166" s="0" t="str">
        <f aca="false">IFERROR(__xludf.dummyfunction("IF(AND(NOT(K166 = """"), G166 &gt;= 15),K166/FILTER('Base Stats'!$C$2:$C1000, LOWER('Base Stats'!$B$2:$B1000) = LOWER($A166)), """")"),"")</f>
        <v/>
      </c>
      <c r="M166" s="0" t="str">
        <f aca="false">IFERROR(__xludf.dummyfunction("1.15 + 0.02 * FILTER('Base Stats'!$C$2:$C1000, LOWER('Base Stats'!$B$2:$B1000) = LOWER($A166))"),"1.75")</f>
        <v>1.75</v>
      </c>
      <c r="N166" s="0" t="e">
        <f aca="false">IFERROR(IF(AND(NOT(K166 = ""), G166 &gt;= 15),K166/M166, ""))</f>
        <v>#VALUE!</v>
      </c>
    </row>
    <row r="167" customFormat="false" ht="15.75" hidden="false" customHeight="false" outlineLevel="0" collapsed="false">
      <c r="A167" s="8" t="s">
        <v>506</v>
      </c>
      <c r="B167" s="8" t="n">
        <v>76</v>
      </c>
      <c r="C167" s="8" t="n">
        <v>19</v>
      </c>
      <c r="D167" s="8" t="n">
        <v>3.3</v>
      </c>
      <c r="E167" s="8" t="n">
        <v>0.29</v>
      </c>
      <c r="F167" s="8" t="n">
        <v>600</v>
      </c>
      <c r="G167" s="0" t="str">
        <f aca="false">IFERROR(__xludf.dummyfunction("ROUND(B167/ FILTER('Pokemon CP/HP'!$M$2:$M1000, LOWER('Pokemon CP/HP'!$B$2:$B1000)=LOWER(A167)))"),"10")</f>
        <v>10</v>
      </c>
      <c r="H167" s="0" t="str">
        <f aca="false">IFERROR(__xludf.dummyfunction("FILTER('Leveling Info'!$B$2:$B1000, 'Leveling Info'!$A$2:$A1000 =G167)"),"600")</f>
        <v>600</v>
      </c>
      <c r="I167" s="14" t="n">
        <f aca="false">SQRT(G167)</f>
        <v>3.16227766016838</v>
      </c>
      <c r="J167" s="14" t="str">
        <f aca="false">IFERROR(__xludf.dummyfunction("IF(F167 = H167,C167/FILTER('Base Stats'!$C$2:$C1000, LOWER('Base Stats'!$B$2:$B1000) = LOWER($A167)), """")"),"0.6333333333")</f>
        <v>0.6333333333</v>
      </c>
      <c r="K167" s="0" t="str">
        <f aca="false">IF(F167 = H167, C167/G167, "")</f>
        <v/>
      </c>
      <c r="L167" s="0" t="str">
        <f aca="false">IFERROR(__xludf.dummyfunction("IF(AND(NOT(K167 = """"), G167 &gt;= 15),K167/FILTER('Base Stats'!$C$2:$C1000, LOWER('Base Stats'!$B$2:$B1000) = LOWER($A167)), """")"),"")</f>
        <v/>
      </c>
      <c r="M167" s="0" t="str">
        <f aca="false">IFERROR(__xludf.dummyfunction("1.15 + 0.02 * FILTER('Base Stats'!$C$2:$C1000, LOWER('Base Stats'!$B$2:$B1000) = LOWER($A167))"),"1.75")</f>
        <v>1.75</v>
      </c>
      <c r="N167" s="0" t="e">
        <f aca="false">IFERROR(IF(AND(NOT(K167 = ""), G167 &gt;= 15),K167/M167, ""))</f>
        <v>#VALUE!</v>
      </c>
    </row>
    <row r="168" customFormat="false" ht="15.75" hidden="false" customHeight="false" outlineLevel="0" collapsed="false">
      <c r="A168" s="8" t="s">
        <v>506</v>
      </c>
      <c r="B168" s="8" t="n">
        <v>55</v>
      </c>
      <c r="C168" s="8" t="n">
        <v>18</v>
      </c>
      <c r="D168" s="8" t="n">
        <v>2.68</v>
      </c>
      <c r="E168" s="8" t="n">
        <v>0.28</v>
      </c>
      <c r="F168" s="8" t="n">
        <v>400</v>
      </c>
      <c r="G168" s="0" t="str">
        <f aca="false">IFERROR(__xludf.dummyfunction("ROUND(B168/ FILTER('Pokemon CP/HP'!$M$2:$M1000, LOWER('Pokemon CP/HP'!$B$2:$B1000)=LOWER(A168)))"),"7")</f>
        <v>7</v>
      </c>
      <c r="H168" s="0" t="str">
        <f aca="false">IFERROR(__xludf.dummyfunction("FILTER('Leveling Info'!$B$2:$B1000, 'Leveling Info'!$A$2:$A1000 =G168)"),"400")</f>
        <v>400</v>
      </c>
      <c r="I168" s="14" t="n">
        <f aca="false">SQRT(G168)</f>
        <v>2.64575131106459</v>
      </c>
      <c r="J168" s="14" t="str">
        <f aca="false">IFERROR(__xludf.dummyfunction("IF(F168 = H168,C168/FILTER('Base Stats'!$C$2:$C1000, LOWER('Base Stats'!$B$2:$B1000) = LOWER($A168)), """")"),"0.6")</f>
        <v>0.6</v>
      </c>
      <c r="K168" s="0" t="str">
        <f aca="false">IF(F168 = H168, C168/G168, "")</f>
        <v/>
      </c>
      <c r="L168" s="0" t="str">
        <f aca="false">IFERROR(__xludf.dummyfunction("IF(AND(NOT(K168 = """"), G168 &gt;= 15),K168/FILTER('Base Stats'!$C$2:$C1000, LOWER('Base Stats'!$B$2:$B1000) = LOWER($A168)), """")"),"")</f>
        <v/>
      </c>
      <c r="M168" s="0" t="str">
        <f aca="false">IFERROR(__xludf.dummyfunction("1.15 + 0.02 * FILTER('Base Stats'!$C$2:$C1000, LOWER('Base Stats'!$B$2:$B1000) = LOWER($A168))"),"1.75")</f>
        <v>1.75</v>
      </c>
      <c r="N168" s="0" t="e">
        <f aca="false">IFERROR(IF(AND(NOT(K168 = ""), G168 &gt;= 15),K168/M168, ""))</f>
        <v>#VALUE!</v>
      </c>
    </row>
    <row r="169" customFormat="false" ht="15.75" hidden="false" customHeight="false" outlineLevel="0" collapsed="false">
      <c r="A169" s="8" t="s">
        <v>506</v>
      </c>
      <c r="B169" s="8" t="n">
        <v>53</v>
      </c>
      <c r="C169" s="8" t="n">
        <v>16</v>
      </c>
      <c r="D169" s="8" t="n">
        <v>3.31</v>
      </c>
      <c r="E169" s="8" t="n">
        <v>0.3</v>
      </c>
      <c r="F169" s="8" t="n">
        <v>400</v>
      </c>
      <c r="G169" s="0" t="str">
        <f aca="false">IFERROR(__xludf.dummyfunction("ROUND(B169/ FILTER('Pokemon CP/HP'!$M$2:$M1000, LOWER('Pokemon CP/HP'!$B$2:$B1000)=LOWER(A169)))"),"7")</f>
        <v>7</v>
      </c>
      <c r="H169" s="0" t="str">
        <f aca="false">IFERROR(__xludf.dummyfunction("FILTER('Leveling Info'!$B$2:$B1000, 'Leveling Info'!$A$2:$A1000 =G169)"),"400")</f>
        <v>400</v>
      </c>
      <c r="I169" s="14" t="n">
        <f aca="false">SQRT(G169)</f>
        <v>2.64575131106459</v>
      </c>
      <c r="J169" s="14" t="str">
        <f aca="false">IFERROR(__xludf.dummyfunction("IF(F169 = H169,C169/FILTER('Base Stats'!$C$2:$C1000, LOWER('Base Stats'!$B$2:$B1000) = LOWER($A169)), """")"),"0.5333333333")</f>
        <v>0.5333333333</v>
      </c>
      <c r="K169" s="0" t="str">
        <f aca="false">IF(F169 = H169, C169/G169, "")</f>
        <v/>
      </c>
      <c r="L169" s="0" t="str">
        <f aca="false">IFERROR(__xludf.dummyfunction("IF(AND(NOT(K169 = """"), G169 &gt;= 15),K169/FILTER('Base Stats'!$C$2:$C1000, LOWER('Base Stats'!$B$2:$B1000) = LOWER($A169)), """")"),"")</f>
        <v/>
      </c>
      <c r="M169" s="0" t="str">
        <f aca="false">IFERROR(__xludf.dummyfunction("1.15 + 0.02 * FILTER('Base Stats'!$C$2:$C1000, LOWER('Base Stats'!$B$2:$B1000) = LOWER($A169))"),"1.75")</f>
        <v>1.75</v>
      </c>
      <c r="N169" s="0" t="e">
        <f aca="false">IFERROR(IF(AND(NOT(K169 = ""), G169 &gt;= 15),K169/M169, ""))</f>
        <v>#VALUE!</v>
      </c>
    </row>
    <row r="170" customFormat="false" ht="15.75" hidden="false" customHeight="false" outlineLevel="0" collapsed="false">
      <c r="A170" s="8" t="s">
        <v>506</v>
      </c>
      <c r="B170" s="8" t="n">
        <v>51</v>
      </c>
      <c r="C170" s="8" t="n">
        <v>16</v>
      </c>
      <c r="D170" s="8" t="n">
        <v>3.91</v>
      </c>
      <c r="E170" s="8" t="n">
        <v>0.33</v>
      </c>
      <c r="F170" s="8" t="n">
        <v>400</v>
      </c>
      <c r="G170" s="0" t="str">
        <f aca="false">IFERROR(__xludf.dummyfunction("ROUND(B170/ FILTER('Pokemon CP/HP'!$M$2:$M1000, LOWER('Pokemon CP/HP'!$B$2:$B1000)=LOWER(A170)))"),"7")</f>
        <v>7</v>
      </c>
      <c r="H170" s="0" t="str">
        <f aca="false">IFERROR(__xludf.dummyfunction("FILTER('Leveling Info'!$B$2:$B1000, 'Leveling Info'!$A$2:$A1000 =G170)"),"400")</f>
        <v>400</v>
      </c>
      <c r="I170" s="14" t="n">
        <f aca="false">SQRT(G170)</f>
        <v>2.64575131106459</v>
      </c>
      <c r="J170" s="14" t="str">
        <f aca="false">IFERROR(__xludf.dummyfunction("IF(F170 = H170,C170/FILTER('Base Stats'!$C$2:$C1000, LOWER('Base Stats'!$B$2:$B1000) = LOWER($A170)), """")"),"0.5333333333")</f>
        <v>0.5333333333</v>
      </c>
      <c r="K170" s="0" t="str">
        <f aca="false">IF(F170 = H170, C170/G170, "")</f>
        <v/>
      </c>
      <c r="L170" s="0" t="str">
        <f aca="false">IFERROR(__xludf.dummyfunction("IF(AND(NOT(K170 = """"), G170 &gt;= 15),K170/FILTER('Base Stats'!$C$2:$C1000, LOWER('Base Stats'!$B$2:$B1000) = LOWER($A170)), """")"),"")</f>
        <v/>
      </c>
      <c r="M170" s="0" t="str">
        <f aca="false">IFERROR(__xludf.dummyfunction("1.15 + 0.02 * FILTER('Base Stats'!$C$2:$C1000, LOWER('Base Stats'!$B$2:$B1000) = LOWER($A170))"),"1.75")</f>
        <v>1.75</v>
      </c>
      <c r="N170" s="0" t="e">
        <f aca="false">IFERROR(IF(AND(NOT(K170 = ""), G170 &gt;= 15),K170/M170, ""))</f>
        <v>#VALUE!</v>
      </c>
    </row>
    <row r="171" customFormat="false" ht="15.75" hidden="false" customHeight="false" outlineLevel="0" collapsed="false">
      <c r="A171" s="8" t="s">
        <v>506</v>
      </c>
      <c r="B171" s="8" t="n">
        <v>37</v>
      </c>
      <c r="C171" s="8" t="n">
        <v>14</v>
      </c>
      <c r="D171" s="8" t="n">
        <v>3.17</v>
      </c>
      <c r="E171" s="8" t="n">
        <v>0.28</v>
      </c>
      <c r="F171" s="8" t="n">
        <v>400</v>
      </c>
      <c r="G171" s="0" t="str">
        <f aca="false">IFERROR(__xludf.dummyfunction("ROUND(B171/ FILTER('Pokemon CP/HP'!$M$2:$M1000, LOWER('Pokemon CP/HP'!$B$2:$B1000)=LOWER(A171)))"),"5")</f>
        <v>5</v>
      </c>
      <c r="H171" s="0" t="str">
        <f aca="false">IFERROR(__xludf.dummyfunction("FILTER('Leveling Info'!$B$2:$B1000, 'Leveling Info'!$A$2:$A1000 =G171)"),"400")</f>
        <v>400</v>
      </c>
      <c r="I171" s="14" t="n">
        <f aca="false">SQRT(G171)</f>
        <v>2.23606797749979</v>
      </c>
      <c r="J171" s="14" t="str">
        <f aca="false">IFERROR(__xludf.dummyfunction("IF(F171 = H171,C171/FILTER('Base Stats'!$C$2:$C1000, LOWER('Base Stats'!$B$2:$B1000) = LOWER($A171)), """")"),"0.4666666667")</f>
        <v>0.4666666667</v>
      </c>
      <c r="K171" s="0" t="str">
        <f aca="false">IF(F171 = H171, C171/G171, "")</f>
        <v/>
      </c>
      <c r="L171" s="0" t="str">
        <f aca="false">IFERROR(__xludf.dummyfunction("IF(AND(NOT(K171 = """"), G171 &gt;= 15),K171/FILTER('Base Stats'!$C$2:$C1000, LOWER('Base Stats'!$B$2:$B1000) = LOWER($A171)), """")"),"")</f>
        <v/>
      </c>
      <c r="M171" s="0" t="str">
        <f aca="false">IFERROR(__xludf.dummyfunction("1.15 + 0.02 * FILTER('Base Stats'!$C$2:$C1000, LOWER('Base Stats'!$B$2:$B1000) = LOWER($A171))"),"1.75")</f>
        <v>1.75</v>
      </c>
      <c r="N171" s="0" t="e">
        <f aca="false">IFERROR(IF(AND(NOT(K171 = ""), G171 &gt;= 15),K171/M171, ""))</f>
        <v>#VALUE!</v>
      </c>
    </row>
    <row r="172" customFormat="false" ht="15.75" hidden="false" customHeight="false" outlineLevel="0" collapsed="false">
      <c r="A172" s="8" t="s">
        <v>506</v>
      </c>
      <c r="B172" s="8" t="n">
        <v>33</v>
      </c>
      <c r="C172" s="8" t="n">
        <v>13</v>
      </c>
      <c r="D172" s="8" t="n">
        <v>2.89</v>
      </c>
      <c r="E172" s="8" t="n">
        <v>0.27</v>
      </c>
      <c r="F172" s="8" t="n">
        <v>400</v>
      </c>
      <c r="G172" s="0" t="str">
        <f aca="false">IFERROR(__xludf.dummyfunction("ROUND(B172/ FILTER('Pokemon CP/HP'!$M$2:$M1000, LOWER('Pokemon CP/HP'!$B$2:$B1000)=LOWER(A172)))"),"4")</f>
        <v>4</v>
      </c>
      <c r="H172" s="0" t="str">
        <f aca="false">IFERROR(__xludf.dummyfunction("FILTER('Leveling Info'!$B$2:$B1000, 'Leveling Info'!$A$2:$A1000 =G172)"),"200")</f>
        <v>200</v>
      </c>
      <c r="I172" s="14" t="n">
        <f aca="false">SQRT(G172)</f>
        <v>2</v>
      </c>
      <c r="J172" s="14" t="str">
        <f aca="false">IFERROR(__xludf.dummyfunction("IF(F172 = H172,C172/FILTER('Base Stats'!$C$2:$C1000, LOWER('Base Stats'!$B$2:$B1000) = LOWER($A172)), """")"),"")</f>
        <v/>
      </c>
      <c r="K172" s="0" t="str">
        <f aca="false">IF(F172 = H172, C172/G172, "")</f>
        <v/>
      </c>
      <c r="L172" s="0" t="str">
        <f aca="false">IFERROR(__xludf.dummyfunction("IF(AND(NOT(K172 = """"), G172 &gt;= 15),K172/FILTER('Base Stats'!$C$2:$C1000, LOWER('Base Stats'!$B$2:$B1000) = LOWER($A172)), """")"),"")</f>
        <v/>
      </c>
      <c r="M172" s="0" t="str">
        <f aca="false">IFERROR(__xludf.dummyfunction("1.15 + 0.02 * FILTER('Base Stats'!$C$2:$C1000, LOWER('Base Stats'!$B$2:$B1000) = LOWER($A172))"),"1.75")</f>
        <v>1.75</v>
      </c>
      <c r="N172" s="0" t="e">
        <f aca="false">IFERROR(IF(AND(NOT(K172 = ""), G172 &gt;= 15),K172/M172, ""))</f>
        <v>#VALUE!</v>
      </c>
    </row>
    <row r="173" customFormat="false" ht="15.75" hidden="false" customHeight="false" outlineLevel="0" collapsed="false">
      <c r="A173" s="8" t="s">
        <v>506</v>
      </c>
      <c r="B173" s="8" t="n">
        <v>23</v>
      </c>
      <c r="C173" s="8" t="n">
        <v>12</v>
      </c>
      <c r="D173" s="8" t="n">
        <v>2.2</v>
      </c>
      <c r="E173" s="8" t="n">
        <v>0.26</v>
      </c>
      <c r="F173" s="8" t="n">
        <v>200</v>
      </c>
      <c r="G173" s="0" t="str">
        <f aca="false">IFERROR(__xludf.dummyfunction("ROUND(B173/ FILTER('Pokemon CP/HP'!$M$2:$M1000, LOWER('Pokemon CP/HP'!$B$2:$B1000)=LOWER(A173)))"),"3")</f>
        <v>3</v>
      </c>
      <c r="H173" s="0" t="str">
        <f aca="false">IFERROR(__xludf.dummyfunction("FILTER('Leveling Info'!$B$2:$B1000, 'Leveling Info'!$A$2:$A1000 =G173)"),"200")</f>
        <v>200</v>
      </c>
      <c r="I173" s="14" t="n">
        <f aca="false">SQRT(G173)</f>
        <v>1.73205080756888</v>
      </c>
      <c r="J173" s="14" t="str">
        <f aca="false">IFERROR(__xludf.dummyfunction("IF(F173 = H173,C173/FILTER('Base Stats'!$C$2:$C1000, LOWER('Base Stats'!$B$2:$B1000) = LOWER($A173)), """")"),"0.4")</f>
        <v>0.4</v>
      </c>
      <c r="K173" s="0" t="str">
        <f aca="false">IF(F173 = H173, C173/G173, "")</f>
        <v/>
      </c>
      <c r="L173" s="0" t="str">
        <f aca="false">IFERROR(__xludf.dummyfunction("IF(AND(NOT(K173 = """"), G173 &gt;= 15),K173/FILTER('Base Stats'!$C$2:$C1000, LOWER('Base Stats'!$B$2:$B1000) = LOWER($A173)), """")"),"")</f>
        <v/>
      </c>
      <c r="M173" s="0" t="str">
        <f aca="false">IFERROR(__xludf.dummyfunction("1.15 + 0.02 * FILTER('Base Stats'!$C$2:$C1000, LOWER('Base Stats'!$B$2:$B1000) = LOWER($A173))"),"1.75")</f>
        <v>1.75</v>
      </c>
      <c r="N173" s="0" t="e">
        <f aca="false">IFERROR(IF(AND(NOT(K173 = ""), G173 &gt;= 15),K173/M173, ""))</f>
        <v>#VALUE!</v>
      </c>
    </row>
    <row r="174" customFormat="false" ht="15.75" hidden="false" customHeight="false" outlineLevel="0" collapsed="false">
      <c r="A174" s="8" t="s">
        <v>506</v>
      </c>
      <c r="B174" s="8" t="n">
        <v>23</v>
      </c>
      <c r="C174" s="8" t="n">
        <v>12</v>
      </c>
      <c r="D174" s="8" t="n">
        <v>3.71</v>
      </c>
      <c r="E174" s="8" t="n">
        <v>0.29</v>
      </c>
      <c r="F174" s="8" t="n">
        <v>200</v>
      </c>
      <c r="G174" s="0" t="str">
        <f aca="false">IFERROR(__xludf.dummyfunction("ROUND(B174/ FILTER('Pokemon CP/HP'!$M$2:$M1000, LOWER('Pokemon CP/HP'!$B$2:$B1000)=LOWER(A174)))"),"3")</f>
        <v>3</v>
      </c>
      <c r="H174" s="0" t="str">
        <f aca="false">IFERROR(__xludf.dummyfunction("FILTER('Leveling Info'!$B$2:$B1000, 'Leveling Info'!$A$2:$A1000 =G174)"),"200")</f>
        <v>200</v>
      </c>
      <c r="I174" s="14" t="n">
        <f aca="false">SQRT(G174)</f>
        <v>1.73205080756888</v>
      </c>
      <c r="J174" s="14" t="str">
        <f aca="false">IFERROR(__xludf.dummyfunction("IF(F174 = H174,C174/FILTER('Base Stats'!$C$2:$C1000, LOWER('Base Stats'!$B$2:$B1000) = LOWER($A174)), """")"),"0.4")</f>
        <v>0.4</v>
      </c>
      <c r="K174" s="0" t="str">
        <f aca="false">IF(F174 = H174, C174/G174, "")</f>
        <v/>
      </c>
      <c r="L174" s="0" t="str">
        <f aca="false">IFERROR(__xludf.dummyfunction("IF(AND(NOT(K174 = """"), G174 &gt;= 15),K174/FILTER('Base Stats'!$C$2:$C1000, LOWER('Base Stats'!$B$2:$B1000) = LOWER($A174)), """")"),"")</f>
        <v/>
      </c>
      <c r="M174" s="0" t="str">
        <f aca="false">IFERROR(__xludf.dummyfunction("1.15 + 0.02 * FILTER('Base Stats'!$C$2:$C1000, LOWER('Base Stats'!$B$2:$B1000) = LOWER($A174))"),"1.75")</f>
        <v>1.75</v>
      </c>
      <c r="N174" s="0" t="e">
        <f aca="false">IFERROR(IF(AND(NOT(K174 = ""), G174 &gt;= 15),K174/M174, ""))</f>
        <v>#VALUE!</v>
      </c>
    </row>
    <row r="175" customFormat="false" ht="15.75" hidden="false" customHeight="false" outlineLevel="0" collapsed="false">
      <c r="A175" s="8" t="s">
        <v>506</v>
      </c>
      <c r="B175" s="8" t="n">
        <v>22</v>
      </c>
      <c r="C175" s="8" t="n">
        <v>11</v>
      </c>
      <c r="D175" s="8" t="n">
        <v>3.79</v>
      </c>
      <c r="E175" s="8" t="n">
        <v>0.29</v>
      </c>
      <c r="F175" s="8" t="n">
        <v>200</v>
      </c>
      <c r="G175" s="0" t="str">
        <f aca="false">IFERROR(__xludf.dummyfunction("ROUND(B175/ FILTER('Pokemon CP/HP'!$M$2:$M1000, LOWER('Pokemon CP/HP'!$B$2:$B1000)=LOWER(A175)))"),"3")</f>
        <v>3</v>
      </c>
      <c r="H175" s="0" t="str">
        <f aca="false">IFERROR(__xludf.dummyfunction("FILTER('Leveling Info'!$B$2:$B1000, 'Leveling Info'!$A$2:$A1000 =G175)"),"200")</f>
        <v>200</v>
      </c>
      <c r="I175" s="14" t="n">
        <f aca="false">SQRT(G175)</f>
        <v>1.73205080756888</v>
      </c>
      <c r="J175" s="14" t="str">
        <f aca="false">IFERROR(__xludf.dummyfunction("IF(F175 = H175,C175/FILTER('Base Stats'!$C$2:$C1000, LOWER('Base Stats'!$B$2:$B1000) = LOWER($A175)), """")"),"0.3666666667")</f>
        <v>0.3666666667</v>
      </c>
      <c r="K175" s="0" t="str">
        <f aca="false">IF(F175 = H175, C175/G175, "")</f>
        <v/>
      </c>
      <c r="L175" s="0" t="str">
        <f aca="false">IFERROR(__xludf.dummyfunction("IF(AND(NOT(K175 = """"), G175 &gt;= 15),K175/FILTER('Base Stats'!$C$2:$C1000, LOWER('Base Stats'!$B$2:$B1000) = LOWER($A175)), """")"),"")</f>
        <v/>
      </c>
      <c r="M175" s="0" t="str">
        <f aca="false">IFERROR(__xludf.dummyfunction("1.15 + 0.02 * FILTER('Base Stats'!$C$2:$C1000, LOWER('Base Stats'!$B$2:$B1000) = LOWER($A175))"),"1.75")</f>
        <v>1.75</v>
      </c>
      <c r="N175" s="0" t="e">
        <f aca="false">IFERROR(IF(AND(NOT(K175 = ""), G175 &gt;= 15),K175/M175, ""))</f>
        <v>#VALUE!</v>
      </c>
    </row>
    <row r="176" customFormat="false" ht="15.75" hidden="false" customHeight="false" outlineLevel="0" collapsed="false">
      <c r="A176" s="8" t="s">
        <v>506</v>
      </c>
      <c r="B176" s="8" t="n">
        <v>10</v>
      </c>
      <c r="C176" s="8" t="n">
        <v>10</v>
      </c>
      <c r="D176" s="8" t="n">
        <v>3.8</v>
      </c>
      <c r="E176" s="8" t="n">
        <v>0.29</v>
      </c>
      <c r="F176" s="8" t="n">
        <v>200</v>
      </c>
      <c r="G176" s="0" t="str">
        <f aca="false">IFERROR(__xludf.dummyfunction("ROUND(B176/ FILTER('Pokemon CP/HP'!$M$2:$M1000, LOWER('Pokemon CP/HP'!$B$2:$B1000)=LOWER(A176)))"),"1")</f>
        <v>1</v>
      </c>
      <c r="H176" s="0" t="str">
        <f aca="false">IFERROR(__xludf.dummyfunction("FILTER('Leveling Info'!$B$2:$B1000, 'Leveling Info'!$A$2:$A1000 =G176)"),"200")</f>
        <v>200</v>
      </c>
      <c r="I176" s="14" t="n">
        <f aca="false">SQRT(G176)</f>
        <v>1</v>
      </c>
      <c r="J176" s="14" t="str">
        <f aca="false">IFERROR(__xludf.dummyfunction("IF(F176 = H176,C176/FILTER('Base Stats'!$C$2:$C1000, LOWER('Base Stats'!$B$2:$B1000) = LOWER($A176)), """")"),"0.3333333333")</f>
        <v>0.3333333333</v>
      </c>
      <c r="K176" s="0" t="str">
        <f aca="false">IF(F176 = H176, C176/G176, "")</f>
        <v/>
      </c>
      <c r="L176" s="0" t="str">
        <f aca="false">IFERROR(__xludf.dummyfunction("IF(AND(NOT(K176 = """"), G176 &gt;= 15),K176/FILTER('Base Stats'!$C$2:$C1000, LOWER('Base Stats'!$B$2:$B1000) = LOWER($A176)), """")"),"")</f>
        <v/>
      </c>
      <c r="M176" s="0" t="str">
        <f aca="false">IFERROR(__xludf.dummyfunction("1.15 + 0.02 * FILTER('Base Stats'!$C$2:$C1000, LOWER('Base Stats'!$B$2:$B1000) = LOWER($A176))"),"1.75")</f>
        <v>1.75</v>
      </c>
      <c r="N176" s="0" t="e">
        <f aca="false">IFERROR(IF(AND(NOT(K176 = ""), G176 &gt;= 15),K176/M176, ""))</f>
        <v>#VALUE!</v>
      </c>
    </row>
    <row r="177" customFormat="false" ht="15.75" hidden="false" customHeight="false" outlineLevel="0" collapsed="false">
      <c r="A177" s="8" t="s">
        <v>506</v>
      </c>
      <c r="B177" s="8" t="n">
        <v>10</v>
      </c>
      <c r="C177" s="8" t="n">
        <v>10</v>
      </c>
      <c r="D177" s="8" t="n">
        <v>3.93</v>
      </c>
      <c r="E177" s="8" t="n">
        <v>0.3</v>
      </c>
      <c r="F177" s="8" t="n">
        <v>200</v>
      </c>
      <c r="G177" s="0" t="str">
        <f aca="false">IFERROR(__xludf.dummyfunction("ROUND(B177/ FILTER('Pokemon CP/HP'!$M$2:$M1000, LOWER('Pokemon CP/HP'!$B$2:$B1000)=LOWER(A177)))"),"1")</f>
        <v>1</v>
      </c>
      <c r="H177" s="0" t="str">
        <f aca="false">IFERROR(__xludf.dummyfunction("FILTER('Leveling Info'!$B$2:$B1000, 'Leveling Info'!$A$2:$A1000 =G177)"),"200")</f>
        <v>200</v>
      </c>
      <c r="I177" s="14" t="n">
        <f aca="false">SQRT(G177)</f>
        <v>1</v>
      </c>
      <c r="J177" s="14" t="str">
        <f aca="false">IFERROR(__xludf.dummyfunction("IF(F177 = H177,C177/FILTER('Base Stats'!$C$2:$C1000, LOWER('Base Stats'!$B$2:$B1000) = LOWER($A177)), """")"),"0.3333333333")</f>
        <v>0.3333333333</v>
      </c>
      <c r="K177" s="0" t="str">
        <f aca="false">IF(F177 = H177, C177/G177, "")</f>
        <v/>
      </c>
      <c r="L177" s="0" t="str">
        <f aca="false">IFERROR(__xludf.dummyfunction("IF(AND(NOT(K177 = """"), G177 &gt;= 15),K177/FILTER('Base Stats'!$C$2:$C1000, LOWER('Base Stats'!$B$2:$B1000) = LOWER($A177)), """")"),"")</f>
        <v/>
      </c>
      <c r="M177" s="0" t="str">
        <f aca="false">IFERROR(__xludf.dummyfunction("1.15 + 0.02 * FILTER('Base Stats'!$C$2:$C1000, LOWER('Base Stats'!$B$2:$B1000) = LOWER($A177))"),"1.75")</f>
        <v>1.75</v>
      </c>
      <c r="N177" s="0" t="e">
        <f aca="false">IFERROR(IF(AND(NOT(K177 = ""), G177 &gt;= 15),K177/M177, ""))</f>
        <v>#VALUE!</v>
      </c>
    </row>
    <row r="178" customFormat="false" ht="15.75" hidden="false" customHeight="false" outlineLevel="0" collapsed="false">
      <c r="A178" s="8" t="s">
        <v>507</v>
      </c>
      <c r="B178" s="8" t="n">
        <v>533</v>
      </c>
      <c r="C178" s="8" t="n">
        <v>56</v>
      </c>
      <c r="D178" s="8" t="n">
        <v>18.5</v>
      </c>
      <c r="E178" s="8" t="n">
        <v>0.77</v>
      </c>
      <c r="F178" s="8" t="n">
        <v>1900</v>
      </c>
      <c r="G178" s="0" t="str">
        <f aca="false">IFERROR(__xludf.dummyfunction("ROUND(B178/ FILTER('Pokemon CP/HP'!$M$2:$M1000, LOWER('Pokemon CP/HP'!$B$2:$B1000)=LOWER(A178)))"),"27")</f>
        <v>27</v>
      </c>
      <c r="H178" s="0" t="str">
        <f aca="false">IFERROR(__xludf.dummyfunction("FILTER('Leveling Info'!$B$2:$B1000, 'Leveling Info'!$A$2:$A1000 =G178)"),"1600")</f>
        <v>1600</v>
      </c>
      <c r="I178" s="14" t="n">
        <f aca="false">SQRT(G178)</f>
        <v>5.19615242270663</v>
      </c>
      <c r="J178" s="14" t="str">
        <f aca="false">IFERROR(__xludf.dummyfunction("IF(F178 = H178,C178/FILTER('Base Stats'!$C$2:$C1000, LOWER('Base Stats'!$B$2:$B1000) = LOWER($A178)), """")"),"")</f>
        <v/>
      </c>
      <c r="K178" s="0" t="str">
        <f aca="false">IF(F178 = H178, C178/G178, "")</f>
        <v/>
      </c>
      <c r="L178" s="0" t="str">
        <f aca="false">IFERROR(__xludf.dummyfunction("IF(AND(NOT(K178 = """"), G178 &gt;= 15),K178/FILTER('Base Stats'!$C$2:$C1000, LOWER('Base Stats'!$B$2:$B1000) = LOWER($A178)), """")"),"")</f>
        <v/>
      </c>
      <c r="M178" s="0" t="str">
        <f aca="false">IFERROR(__xludf.dummyfunction("1.15 + 0.02 * FILTER('Base Stats'!$C$2:$C1000, LOWER('Base Stats'!$B$2:$B1000) = LOWER($A178))"),"2.25")</f>
        <v>2.25</v>
      </c>
      <c r="N178" s="0" t="e">
        <f aca="false">IFERROR(IF(AND(NOT(K178 = ""), G178 &gt;= 15),K178/M178, ""))</f>
        <v>#VALUE!</v>
      </c>
    </row>
    <row r="179" customFormat="false" ht="15.75" hidden="false" customHeight="false" outlineLevel="0" collapsed="false">
      <c r="A179" s="8" t="s">
        <v>507</v>
      </c>
      <c r="B179" s="8" t="n">
        <v>496</v>
      </c>
      <c r="C179" s="8" t="n">
        <v>58</v>
      </c>
      <c r="D179" s="8" t="n">
        <v>1.33</v>
      </c>
      <c r="E179" s="8" t="n">
        <v>0.53</v>
      </c>
      <c r="F179" s="8" t="n">
        <v>1600</v>
      </c>
      <c r="G179" s="0" t="str">
        <f aca="false">IFERROR(__xludf.dummyfunction("ROUND(B179/ FILTER('Pokemon CP/HP'!$M$2:$M1000, LOWER('Pokemon CP/HP'!$B$2:$B1000)=LOWER(A179)))"),"25")</f>
        <v>25</v>
      </c>
      <c r="H179" s="0" t="str">
        <f aca="false">IFERROR(__xludf.dummyfunction("FILTER('Leveling Info'!$B$2:$B1000, 'Leveling Info'!$A$2:$A1000 =G179)"),"1600")</f>
        <v>1600</v>
      </c>
      <c r="I179" s="14" t="n">
        <f aca="false">SQRT(G179)</f>
        <v>5</v>
      </c>
      <c r="J179" s="14" t="str">
        <f aca="false">IFERROR(__xludf.dummyfunction("IF(F179 = H179,C179/FILTER('Base Stats'!$C$2:$C1000, LOWER('Base Stats'!$B$2:$B1000) = LOWER($A179)), """")"),"1.054545455")</f>
        <v>1.054545455</v>
      </c>
      <c r="K179" s="0" t="str">
        <f aca="false">IF(F179 = H179, C179/G179, "")</f>
        <v/>
      </c>
      <c r="L179" s="0" t="str">
        <f aca="false">IFERROR(__xludf.dummyfunction("IF(AND(NOT(K179 = """"), G179 &gt;= 15),K179/FILTER('Base Stats'!$C$2:$C1000, LOWER('Base Stats'!$B$2:$B1000) = LOWER($A179)), """")"),"0.04218181818")</f>
        <v>0.04218181818</v>
      </c>
      <c r="M179" s="0" t="str">
        <f aca="false">IFERROR(__xludf.dummyfunction("1.15 + 0.02 * FILTER('Base Stats'!$C$2:$C1000, LOWER('Base Stats'!$B$2:$B1000) = LOWER($A179))"),"2.25")</f>
        <v>2.25</v>
      </c>
      <c r="N179" s="0" t="e">
        <f aca="false">IFERROR(IF(AND(NOT(K179 = ""), G179 &gt;= 15),K179/M179, ""))</f>
        <v>#VALUE!</v>
      </c>
    </row>
    <row r="180" customFormat="false" ht="15.75" hidden="false" customHeight="false" outlineLevel="0" collapsed="false">
      <c r="A180" s="8" t="s">
        <v>507</v>
      </c>
      <c r="B180" s="8" t="n">
        <v>462</v>
      </c>
      <c r="C180" s="8" t="n">
        <v>57</v>
      </c>
      <c r="D180" s="8" t="n">
        <v>3.4</v>
      </c>
      <c r="E180" s="8" t="n">
        <v>0.7</v>
      </c>
      <c r="F180" s="8" t="n">
        <v>1300</v>
      </c>
      <c r="G180" s="0" t="str">
        <f aca="false">IFERROR(__xludf.dummyfunction("ROUND(B180/ FILTER('Pokemon CP/HP'!$M$2:$M1000, LOWER('Pokemon CP/HP'!$B$2:$B1000)=LOWER(A180)))"),"23")</f>
        <v>23</v>
      </c>
      <c r="H180" s="0" t="str">
        <f aca="false">IFERROR(__xludf.dummyfunction("FILTER('Leveling Info'!$B$2:$B1000, 'Leveling Info'!$A$2:$A1000 =G180)"),"1300")</f>
        <v>1300</v>
      </c>
      <c r="I180" s="14" t="n">
        <f aca="false">SQRT(G180)</f>
        <v>4.79583152331272</v>
      </c>
      <c r="J180" s="14" t="str">
        <f aca="false">IFERROR(__xludf.dummyfunction("IF(F180 = H180,C180/FILTER('Base Stats'!$C$2:$C1000, LOWER('Base Stats'!$B$2:$B1000) = LOWER($A180)), """")"),"1.036363636")</f>
        <v>1.036363636</v>
      </c>
      <c r="K180" s="0" t="str">
        <f aca="false">IF(F180 = H180, C180/G180, "")</f>
        <v/>
      </c>
      <c r="L180" s="0" t="str">
        <f aca="false">IFERROR(__xludf.dummyfunction("IF(AND(NOT(K180 = """"), G180 &gt;= 15),K180/FILTER('Base Stats'!$C$2:$C1000, LOWER('Base Stats'!$B$2:$B1000) = LOWER($A180)), """")"),"0.04505928854")</f>
        <v>0.04505928854</v>
      </c>
      <c r="M180" s="0" t="str">
        <f aca="false">IFERROR(__xludf.dummyfunction("1.15 + 0.02 * FILTER('Base Stats'!$C$2:$C1000, LOWER('Base Stats'!$B$2:$B1000) = LOWER($A180))"),"2.25")</f>
        <v>2.25</v>
      </c>
      <c r="N180" s="0" t="e">
        <f aca="false">IFERROR(IF(AND(NOT(K180 = ""), G180 &gt;= 15),K180/M180, ""))</f>
        <v>#VALUE!</v>
      </c>
    </row>
    <row r="181" customFormat="false" ht="15.75" hidden="false" customHeight="false" outlineLevel="0" collapsed="false">
      <c r="A181" s="8" t="s">
        <v>507</v>
      </c>
      <c r="B181" s="8" t="n">
        <v>440</v>
      </c>
      <c r="C181" s="8" t="n">
        <v>51</v>
      </c>
      <c r="D181" s="8" t="n">
        <v>18.5</v>
      </c>
      <c r="E181" s="8" t="n">
        <v>0.46</v>
      </c>
      <c r="F181" s="8" t="n">
        <v>1300</v>
      </c>
      <c r="G181" s="0" t="str">
        <f aca="false">IFERROR(__xludf.dummyfunction("ROUND(B181/ FILTER('Pokemon CP/HP'!$M$2:$M1000, LOWER('Pokemon CP/HP'!$B$2:$B1000)=LOWER(A181)))"),"22")</f>
        <v>22</v>
      </c>
      <c r="H181" s="0" t="str">
        <f aca="false">IFERROR(__xludf.dummyfunction("FILTER('Leveling Info'!$B$2:$B1000, 'Leveling Info'!$A$2:$A1000 =G181)"),"1300")</f>
        <v>1300</v>
      </c>
      <c r="I181" s="14" t="n">
        <f aca="false">SQRT(G181)</f>
        <v>4.69041575982343</v>
      </c>
      <c r="J181" s="14" t="str">
        <f aca="false">IFERROR(__xludf.dummyfunction("IF(F181 = H181,C181/FILTER('Base Stats'!$C$2:$C1000, LOWER('Base Stats'!$B$2:$B1000) = LOWER($A181)), """")"),"0.9272727273")</f>
        <v>0.9272727273</v>
      </c>
      <c r="K181" s="0" t="str">
        <f aca="false">IF(F181 = H181, C181/G181, "")</f>
        <v/>
      </c>
      <c r="L181" s="0" t="str">
        <f aca="false">IFERROR(__xludf.dummyfunction("IF(AND(NOT(K181 = """"), G181 &gt;= 15),K181/FILTER('Base Stats'!$C$2:$C1000, LOWER('Base Stats'!$B$2:$B1000) = LOWER($A181)), """")"),"0.04214876033")</f>
        <v>0.04214876033</v>
      </c>
      <c r="M181" s="0" t="str">
        <f aca="false">IFERROR(__xludf.dummyfunction("1.15 + 0.02 * FILTER('Base Stats'!$C$2:$C1000, LOWER('Base Stats'!$B$2:$B1000) = LOWER($A181))"),"2.25")</f>
        <v>2.25</v>
      </c>
      <c r="N181" s="0" t="e">
        <f aca="false">IFERROR(IF(AND(NOT(K181 = ""), G181 &gt;= 15),K181/M181, ""))</f>
        <v>#VALUE!</v>
      </c>
    </row>
    <row r="182" customFormat="false" ht="15.75" hidden="false" customHeight="false" outlineLevel="0" collapsed="false">
      <c r="A182" s="8" t="s">
        <v>507</v>
      </c>
      <c r="B182" s="8" t="n">
        <v>338</v>
      </c>
      <c r="C182" s="8" t="n">
        <v>45</v>
      </c>
      <c r="D182" s="8" t="n">
        <v>7.05</v>
      </c>
      <c r="E182" s="8" t="n">
        <v>0.71</v>
      </c>
      <c r="F182" s="8" t="n">
        <v>1000</v>
      </c>
      <c r="G182" s="0" t="str">
        <f aca="false">IFERROR(__xludf.dummyfunction("ROUND(B182/ FILTER('Pokemon CP/HP'!$M$2:$M1000, LOWER('Pokemon CP/HP'!$B$2:$B1000)=LOWER(A182)))"),"17")</f>
        <v>17</v>
      </c>
      <c r="H182" s="0" t="str">
        <f aca="false">IFERROR(__xludf.dummyfunction("FILTER('Leveling Info'!$B$2:$B1000, 'Leveling Info'!$A$2:$A1000 =G182)"),"1000")</f>
        <v>1000</v>
      </c>
      <c r="I182" s="14" t="n">
        <f aca="false">SQRT(G182)</f>
        <v>4.12310562561766</v>
      </c>
      <c r="J182" s="14" t="str">
        <f aca="false">IFERROR(__xludf.dummyfunction("IF(F182 = H182,C182/FILTER('Base Stats'!$C$2:$C1000, LOWER('Base Stats'!$B$2:$B1000) = LOWER($A182)), """")"),"0.8181818182")</f>
        <v>0.8181818182</v>
      </c>
      <c r="K182" s="0" t="str">
        <f aca="false">IF(F182 = H182, C182/G182, "")</f>
        <v/>
      </c>
      <c r="L182" s="0" t="str">
        <f aca="false">IFERROR(__xludf.dummyfunction("IF(AND(NOT(K182 = """"), G182 &gt;= 15),K182/FILTER('Base Stats'!$C$2:$C1000, LOWER('Base Stats'!$B$2:$B1000) = LOWER($A182)), """")"),"0.04812834225")</f>
        <v>0.04812834225</v>
      </c>
      <c r="M182" s="0" t="str">
        <f aca="false">IFERROR(__xludf.dummyfunction("1.15 + 0.02 * FILTER('Base Stats'!$C$2:$C1000, LOWER('Base Stats'!$B$2:$B1000) = LOWER($A182))"),"2.25")</f>
        <v>2.25</v>
      </c>
      <c r="N182" s="0" t="e">
        <f aca="false">IFERROR(IF(AND(NOT(K182 = ""), G182 &gt;= 15),K182/M182, ""))</f>
        <v>#VALUE!</v>
      </c>
    </row>
    <row r="183" customFormat="false" ht="15.75" hidden="false" customHeight="false" outlineLevel="0" collapsed="false">
      <c r="A183" s="8" t="s">
        <v>507</v>
      </c>
      <c r="B183" s="8" t="n">
        <v>297</v>
      </c>
      <c r="C183" s="8" t="n">
        <v>46</v>
      </c>
      <c r="D183" s="8" t="n">
        <v>0.98</v>
      </c>
      <c r="E183" s="8" t="n">
        <v>0.68</v>
      </c>
      <c r="F183" s="8" t="n">
        <v>800</v>
      </c>
      <c r="G183" s="0" t="str">
        <f aca="false">IFERROR(__xludf.dummyfunction("ROUND(B183/ FILTER('Pokemon CP/HP'!$M$2:$M1000, LOWER('Pokemon CP/HP'!$B$2:$B1000)=LOWER(A183)))"),"15")</f>
        <v>15</v>
      </c>
      <c r="H183" s="0" t="str">
        <f aca="false">IFERROR(__xludf.dummyfunction("FILTER('Leveling Info'!$B$2:$B1000, 'Leveling Info'!$A$2:$A1000 =G183)"),"800")</f>
        <v>800</v>
      </c>
      <c r="I183" s="14" t="n">
        <f aca="false">SQRT(G183)</f>
        <v>3.87298334620742</v>
      </c>
      <c r="J183" s="14" t="str">
        <f aca="false">IFERROR(__xludf.dummyfunction("IF(F183 = H183,C183/FILTER('Base Stats'!$C$2:$C1000, LOWER('Base Stats'!$B$2:$B1000) = LOWER($A183)), """")"),"0.8363636364")</f>
        <v>0.8363636364</v>
      </c>
      <c r="K183" s="0" t="str">
        <f aca="false">IF(F183 = H183, C183/G183, "")</f>
        <v/>
      </c>
      <c r="L183" s="0" t="str">
        <f aca="false">IFERROR(__xludf.dummyfunction("IF(AND(NOT(K183 = """"), G183 &gt;= 15),K183/FILTER('Base Stats'!$C$2:$C1000, LOWER('Base Stats'!$B$2:$B1000) = LOWER($A183)), """")"),"0.05575757576")</f>
        <v>0.05575757576</v>
      </c>
      <c r="M183" s="0" t="str">
        <f aca="false">IFERROR(__xludf.dummyfunction("1.15 + 0.02 * FILTER('Base Stats'!$C$2:$C1000, LOWER('Base Stats'!$B$2:$B1000) = LOWER($A183))"),"2.25")</f>
        <v>2.25</v>
      </c>
      <c r="N183" s="0" t="e">
        <f aca="false">IFERROR(IF(AND(NOT(K183 = ""), G183 &gt;= 15),K183/M183, ""))</f>
        <v>#VALUE!</v>
      </c>
    </row>
    <row r="184" customFormat="false" ht="15.75" hidden="false" customHeight="false" outlineLevel="0" collapsed="false">
      <c r="A184" s="8" t="s">
        <v>508</v>
      </c>
      <c r="B184" s="8" t="n">
        <v>276</v>
      </c>
      <c r="C184" s="8" t="n">
        <v>48</v>
      </c>
      <c r="D184" s="8" t="n">
        <v>2.13</v>
      </c>
      <c r="E184" s="8" t="n">
        <v>0.31</v>
      </c>
      <c r="F184" s="8" t="n">
        <v>1900</v>
      </c>
      <c r="G184" s="0" t="str">
        <f aca="false">IFERROR(__xludf.dummyfunction("ROUND(B184/ FILTER('Pokemon CP/HP'!$M$2:$M1000, LOWER('Pokemon CP/HP'!$B$2:$B1000)=LOWER(A184)))"),"32")</f>
        <v>32</v>
      </c>
      <c r="H184" s="0" t="str">
        <f aca="false">IFERROR(__xludf.dummyfunction("FILTER('Leveling Info'!$B$2:$B1000, 'Leveling Info'!$A$2:$A1000 =G184)"),"1900")</f>
        <v>1900</v>
      </c>
      <c r="I184" s="14" t="n">
        <f aca="false">SQRT(G184)</f>
        <v>5.65685424949238</v>
      </c>
      <c r="J184" s="14" t="str">
        <f aca="false">IFERROR(__xludf.dummyfunction("IF(F184 = H184,C184/FILTER('Base Stats'!$C$2:$C1000, LOWER('Base Stats'!$B$2:$B1000) = LOWER($A184)), """")"),"1.2")</f>
        <v>1.2</v>
      </c>
      <c r="K184" s="0" t="str">
        <f aca="false">IF(F184 = H184, C184/G184, "")</f>
        <v/>
      </c>
      <c r="L184" s="0" t="str">
        <f aca="false">IFERROR(__xludf.dummyfunction("IF(AND(NOT(K184 = """"), G184 &gt;= 15),K184/FILTER('Base Stats'!$C$2:$C1000, LOWER('Base Stats'!$B$2:$B1000) = LOWER($A184)), """")"),"0.0375")</f>
        <v>0.0375</v>
      </c>
      <c r="M184" s="0" t="str">
        <f aca="false">IFERROR(__xludf.dummyfunction("1.15 + 0.02 * FILTER('Base Stats'!$C$2:$C1000, LOWER('Base Stats'!$B$2:$B1000) = LOWER($A184))"),"1.95")</f>
        <v>1.95</v>
      </c>
      <c r="N184" s="0" t="e">
        <f aca="false">IFERROR(IF(AND(NOT(K184 = ""), G184 &gt;= 15),K184/M184, ""))</f>
        <v>#VALUE!</v>
      </c>
    </row>
    <row r="185" customFormat="false" ht="15.75" hidden="false" customHeight="false" outlineLevel="0" collapsed="false">
      <c r="A185" s="8" t="s">
        <v>508</v>
      </c>
      <c r="B185" s="8" t="n">
        <v>231</v>
      </c>
      <c r="C185" s="8" t="n">
        <v>42</v>
      </c>
      <c r="D185" s="8" t="n">
        <v>2.66</v>
      </c>
      <c r="E185" s="8" t="n">
        <v>0.35</v>
      </c>
      <c r="F185" s="8" t="n">
        <v>1600</v>
      </c>
      <c r="G185" s="0" t="str">
        <f aca="false">IFERROR(__xludf.dummyfunction("ROUND(B185/ FILTER('Pokemon CP/HP'!$M$2:$M1000, LOWER('Pokemon CP/HP'!$B$2:$B1000)=LOWER(A185)))"),"27")</f>
        <v>27</v>
      </c>
      <c r="H185" s="0" t="str">
        <f aca="false">IFERROR(__xludf.dummyfunction("FILTER('Leveling Info'!$B$2:$B1000, 'Leveling Info'!$A$2:$A1000 =G185)"),"1600")</f>
        <v>1600</v>
      </c>
      <c r="I185" s="14" t="n">
        <f aca="false">SQRT(G185)</f>
        <v>5.19615242270663</v>
      </c>
      <c r="J185" s="14" t="str">
        <f aca="false">IFERROR(__xludf.dummyfunction("IF(F185 = H185,C185/FILTER('Base Stats'!$C$2:$C1000, LOWER('Base Stats'!$B$2:$B1000) = LOWER($A185)), """")"),"1.05")</f>
        <v>1.05</v>
      </c>
      <c r="K185" s="0" t="str">
        <f aca="false">IF(F185 = H185, C185/G185, "")</f>
        <v/>
      </c>
      <c r="L185" s="0" t="str">
        <f aca="false">IFERROR(__xludf.dummyfunction("IF(AND(NOT(K185 = """"), G185 &gt;= 15),K185/FILTER('Base Stats'!$C$2:$C1000, LOWER('Base Stats'!$B$2:$B1000) = LOWER($A185)), """")"),"0.03888888889")</f>
        <v>0.03888888889</v>
      </c>
      <c r="M185" s="0" t="str">
        <f aca="false">IFERROR(__xludf.dummyfunction("1.15 + 0.02 * FILTER('Base Stats'!$C$2:$C1000, LOWER('Base Stats'!$B$2:$B1000) = LOWER($A185))"),"1.95")</f>
        <v>1.95</v>
      </c>
      <c r="N185" s="0" t="e">
        <f aca="false">IFERROR(IF(AND(NOT(K185 = ""), G185 &gt;= 15),K185/M185, ""))</f>
        <v>#VALUE!</v>
      </c>
    </row>
    <row r="186" customFormat="false" ht="15.75" hidden="false" customHeight="false" outlineLevel="0" collapsed="false">
      <c r="A186" s="8" t="s">
        <v>508</v>
      </c>
      <c r="B186" s="8" t="n">
        <v>208</v>
      </c>
      <c r="C186" s="8" t="n">
        <v>42</v>
      </c>
      <c r="D186" s="8" t="n">
        <v>2.6</v>
      </c>
      <c r="E186" s="8" t="n">
        <v>0.36</v>
      </c>
      <c r="F186" s="8" t="n">
        <v>1300</v>
      </c>
      <c r="G186" s="0" t="str">
        <f aca="false">IFERROR(__xludf.dummyfunction("ROUND(B186/ FILTER('Pokemon CP/HP'!$M$2:$M1000, LOWER('Pokemon CP/HP'!$B$2:$B1000)=LOWER(A186)))"),"24")</f>
        <v>24</v>
      </c>
      <c r="H186" s="0" t="str">
        <f aca="false">IFERROR(__xludf.dummyfunction("FILTER('Leveling Info'!$B$2:$B1000, 'Leveling Info'!$A$2:$A1000 =G186)"),"1300")</f>
        <v>1300</v>
      </c>
      <c r="I186" s="14" t="n">
        <f aca="false">SQRT(G186)</f>
        <v>4.89897948556636</v>
      </c>
      <c r="J186" s="14" t="str">
        <f aca="false">IFERROR(__xludf.dummyfunction("IF(F186 = H186,C186/FILTER('Base Stats'!$C$2:$C1000, LOWER('Base Stats'!$B$2:$B1000) = LOWER($A186)), """")"),"1.05")</f>
        <v>1.05</v>
      </c>
      <c r="K186" s="0" t="str">
        <f aca="false">IF(F186 = H186, C186/G186, "")</f>
        <v/>
      </c>
      <c r="L186" s="0" t="str">
        <f aca="false">IFERROR(__xludf.dummyfunction("IF(AND(NOT(K186 = """"), G186 &gt;= 15),K186/FILTER('Base Stats'!$C$2:$C1000, LOWER('Base Stats'!$B$2:$B1000) = LOWER($A186)), """")"),"0.04375")</f>
        <v>0.04375</v>
      </c>
      <c r="M186" s="0" t="str">
        <f aca="false">IFERROR(__xludf.dummyfunction("1.15 + 0.02 * FILTER('Base Stats'!$C$2:$C1000, LOWER('Base Stats'!$B$2:$B1000) = LOWER($A186))"),"1.95")</f>
        <v>1.95</v>
      </c>
      <c r="N186" s="0" t="e">
        <f aca="false">IFERROR(IF(AND(NOT(K186 = ""), G186 &gt;= 15),K186/M186, ""))</f>
        <v>#VALUE!</v>
      </c>
    </row>
    <row r="187" customFormat="false" ht="15.75" hidden="false" customHeight="false" outlineLevel="0" collapsed="false">
      <c r="A187" s="8" t="s">
        <v>508</v>
      </c>
      <c r="B187" s="8" t="n">
        <v>178</v>
      </c>
      <c r="C187" s="8" t="n">
        <v>38</v>
      </c>
      <c r="D187" s="8" t="n">
        <v>1.9</v>
      </c>
      <c r="E187" s="8" t="n">
        <v>0.29</v>
      </c>
      <c r="F187" s="8" t="n">
        <v>1000</v>
      </c>
      <c r="G187" s="0" t="str">
        <f aca="false">IFERROR(__xludf.dummyfunction("ROUND(B187/ FILTER('Pokemon CP/HP'!$M$2:$M1000, LOWER('Pokemon CP/HP'!$B$2:$B1000)=LOWER(A187)))"),"20")</f>
        <v>20</v>
      </c>
      <c r="H187" s="0" t="str">
        <f aca="false">IFERROR(__xludf.dummyfunction("FILTER('Leveling Info'!$B$2:$B1000, 'Leveling Info'!$A$2:$A1000 =G187)"),"1000")</f>
        <v>1000</v>
      </c>
      <c r="I187" s="14" t="n">
        <f aca="false">SQRT(G187)</f>
        <v>4.47213595499958</v>
      </c>
      <c r="J187" s="14" t="str">
        <f aca="false">IFERROR(__xludf.dummyfunction("IF(F187 = H187,C187/FILTER('Base Stats'!$C$2:$C1000, LOWER('Base Stats'!$B$2:$B1000) = LOWER($A187)), """")"),"0.95")</f>
        <v>0.95</v>
      </c>
      <c r="K187" s="0" t="str">
        <f aca="false">IF(F187 = H187, C187/G187, "")</f>
        <v/>
      </c>
      <c r="L187" s="0" t="str">
        <f aca="false">IFERROR(__xludf.dummyfunction("IF(AND(NOT(K187 = """"), G187 &gt;= 15),K187/FILTER('Base Stats'!$C$2:$C1000, LOWER('Base Stats'!$B$2:$B1000) = LOWER($A187)), """")"),"0.0475")</f>
        <v>0.0475</v>
      </c>
      <c r="M187" s="0" t="str">
        <f aca="false">IFERROR(__xludf.dummyfunction("1.15 + 0.02 * FILTER('Base Stats'!$C$2:$C1000, LOWER('Base Stats'!$B$2:$B1000) = LOWER($A187))"),"1.95")</f>
        <v>1.95</v>
      </c>
      <c r="N187" s="0" t="e">
        <f aca="false">IFERROR(IF(AND(NOT(K187 = ""), G187 &gt;= 15),K187/M187, ""))</f>
        <v>#VALUE!</v>
      </c>
    </row>
    <row r="188" customFormat="false" ht="15.75" hidden="false" customHeight="false" outlineLevel="0" collapsed="false">
      <c r="A188" s="8" t="s">
        <v>508</v>
      </c>
      <c r="B188" s="8" t="n">
        <v>79</v>
      </c>
      <c r="C188" s="8" t="n">
        <v>24</v>
      </c>
      <c r="D188" s="8" t="n">
        <v>2.13</v>
      </c>
      <c r="E188" s="8" t="n">
        <v>0.31</v>
      </c>
      <c r="F188" s="8" t="n">
        <v>600</v>
      </c>
      <c r="G188" s="0" t="str">
        <f aca="false">IFERROR(__xludf.dummyfunction("ROUND(B188/ FILTER('Pokemon CP/HP'!$M$2:$M1000, LOWER('Pokemon CP/HP'!$B$2:$B1000)=LOWER(A188)))"),"9")</f>
        <v>9</v>
      </c>
      <c r="H188" s="0" t="str">
        <f aca="false">IFERROR(__xludf.dummyfunction("FILTER('Leveling Info'!$B$2:$B1000, 'Leveling Info'!$A$2:$A1000 =G188)"),"600")</f>
        <v>600</v>
      </c>
      <c r="I188" s="14" t="n">
        <f aca="false">SQRT(G188)</f>
        <v>3</v>
      </c>
      <c r="J188" s="14" t="str">
        <f aca="false">IFERROR(__xludf.dummyfunction("IF(F188 = H188,C188/FILTER('Base Stats'!$C$2:$C1000, LOWER('Base Stats'!$B$2:$B1000) = LOWER($A188)), """")"),"0.6")</f>
        <v>0.6</v>
      </c>
      <c r="K188" s="0" t="str">
        <f aca="false">IF(F188 = H188, C188/G188, "")</f>
        <v/>
      </c>
      <c r="L188" s="0" t="str">
        <f aca="false">IFERROR(__xludf.dummyfunction("IF(AND(NOT(K188 = """"), G188 &gt;= 15),K188/FILTER('Base Stats'!$C$2:$C1000, LOWER('Base Stats'!$B$2:$B1000) = LOWER($A188)), """")"),"")</f>
        <v/>
      </c>
      <c r="M188" s="0" t="str">
        <f aca="false">IFERROR(__xludf.dummyfunction("1.15 + 0.02 * FILTER('Base Stats'!$C$2:$C1000, LOWER('Base Stats'!$B$2:$B1000) = LOWER($A188))"),"1.95")</f>
        <v>1.95</v>
      </c>
      <c r="N188" s="0" t="e">
        <f aca="false">IFERROR(IF(AND(NOT(K188 = ""), G188 &gt;= 15),K188/M188, ""))</f>
        <v>#VALUE!</v>
      </c>
    </row>
    <row r="189" customFormat="false" ht="15.75" hidden="false" customHeight="false" outlineLevel="0" collapsed="false">
      <c r="A189" s="8" t="s">
        <v>508</v>
      </c>
      <c r="B189" s="8" t="n">
        <v>25</v>
      </c>
      <c r="C189" s="8" t="n">
        <v>14</v>
      </c>
      <c r="D189" s="8" t="n">
        <v>2.17</v>
      </c>
      <c r="E189" s="8" t="n">
        <v>0.33</v>
      </c>
      <c r="F189" s="8" t="n">
        <v>200</v>
      </c>
      <c r="G189" s="0" t="str">
        <f aca="false">IFERROR(__xludf.dummyfunction("ROUND(B189/ FILTER('Pokemon CP/HP'!$M$2:$M1000, LOWER('Pokemon CP/HP'!$B$2:$B1000)=LOWER(A189)))"),"3")</f>
        <v>3</v>
      </c>
      <c r="H189" s="0" t="str">
        <f aca="false">IFERROR(__xludf.dummyfunction("FILTER('Leveling Info'!$B$2:$B1000, 'Leveling Info'!$A$2:$A1000 =G189)"),"200")</f>
        <v>200</v>
      </c>
      <c r="I189" s="14" t="n">
        <f aca="false">SQRT(G189)</f>
        <v>1.73205080756888</v>
      </c>
      <c r="J189" s="14" t="str">
        <f aca="false">IFERROR(__xludf.dummyfunction("IF(F189 = H189,C189/FILTER('Base Stats'!$C$2:$C1000, LOWER('Base Stats'!$B$2:$B1000) = LOWER($A189)), """")"),"0.35")</f>
        <v>0.35</v>
      </c>
      <c r="K189" s="0" t="str">
        <f aca="false">IF(F189 = H189, C189/G189, "")</f>
        <v/>
      </c>
      <c r="L189" s="0" t="str">
        <f aca="false">IFERROR(__xludf.dummyfunction("IF(AND(NOT(K189 = """"), G189 &gt;= 15),K189/FILTER('Base Stats'!$C$2:$C1000, LOWER('Base Stats'!$B$2:$B1000) = LOWER($A189)), """")"),"")</f>
        <v/>
      </c>
      <c r="M189" s="0" t="str">
        <f aca="false">IFERROR(__xludf.dummyfunction("1.15 + 0.02 * FILTER('Base Stats'!$C$2:$C1000, LOWER('Base Stats'!$B$2:$B1000) = LOWER($A189))"),"1.95")</f>
        <v>1.95</v>
      </c>
      <c r="N189" s="0" t="e">
        <f aca="false">IFERROR(IF(AND(NOT(K189 = ""), G189 &gt;= 15),K189/M189, ""))</f>
        <v>#VALUE!</v>
      </c>
    </row>
    <row r="190" customFormat="false" ht="15.75" hidden="false" customHeight="false" outlineLevel="0" collapsed="false">
      <c r="A190" s="8" t="s">
        <v>509</v>
      </c>
      <c r="B190" s="8" t="n">
        <v>707</v>
      </c>
      <c r="C190" s="8" t="n">
        <v>72</v>
      </c>
      <c r="D190" s="8" t="n">
        <v>4.1</v>
      </c>
      <c r="E190" s="8" t="n">
        <v>1.2</v>
      </c>
      <c r="F190" s="8" t="n">
        <v>1900</v>
      </c>
      <c r="G190" s="0" t="str">
        <f aca="false">IFERROR(__xludf.dummyfunction("ROUND(B190/ FILTER('Pokemon CP/HP'!$M$2:$M1000, LOWER('Pokemon CP/HP'!$B$2:$B1000)=LOWER(A190)))"),"29")</f>
        <v>29</v>
      </c>
      <c r="H190" s="0" t="str">
        <f aca="false">IFERROR(__xludf.dummyfunction("FILTER('Leveling Info'!$B$2:$B1000, 'Leveling Info'!$A$2:$A1000 =G190)"),"1900")</f>
        <v>1900</v>
      </c>
      <c r="I190" s="14" t="n">
        <f aca="false">SQRT(G190)</f>
        <v>5.3851648071345</v>
      </c>
      <c r="J190" s="14" t="str">
        <f aca="false">IFERROR(__xludf.dummyfunction("IF(F190 = H190,C190/FILTER('Base Stats'!$C$2:$C1000, LOWER('Base Stats'!$B$2:$B1000) = LOWER($A190)), """")"),"1.107692308")</f>
        <v>1.107692308</v>
      </c>
      <c r="K190" s="0" t="str">
        <f aca="false">IF(F190 = H190, C190/G190, "")</f>
        <v/>
      </c>
      <c r="L190" s="0" t="str">
        <f aca="false">IFERROR(__xludf.dummyfunction("IF(AND(NOT(K190 = """"), G190 &gt;= 15),K190/FILTER('Base Stats'!$C$2:$C1000, LOWER('Base Stats'!$B$2:$B1000) = LOWER($A190)), """")"),"0.03819628647")</f>
        <v>0.03819628647</v>
      </c>
      <c r="M190" s="0" t="str">
        <f aca="false">IFERROR(__xludf.dummyfunction("1.15 + 0.02 * FILTER('Base Stats'!$C$2:$C1000, LOWER('Base Stats'!$B$2:$B1000) = LOWER($A190))"),"2.45")</f>
        <v>2.45</v>
      </c>
      <c r="N190" s="0" t="e">
        <f aca="false">IFERROR(IF(AND(NOT(K190 = ""), G190 &gt;= 15),K190/M190, ""))</f>
        <v>#VALUE!</v>
      </c>
    </row>
    <row r="191" customFormat="false" ht="15.75" hidden="false" customHeight="false" outlineLevel="0" collapsed="false">
      <c r="A191" s="8" t="s">
        <v>509</v>
      </c>
      <c r="B191" s="8" t="n">
        <v>457</v>
      </c>
      <c r="C191" s="8" t="n">
        <v>56</v>
      </c>
      <c r="D191" s="8" t="n">
        <v>19.03</v>
      </c>
      <c r="E191" s="8" t="n">
        <v>0.94</v>
      </c>
      <c r="F191" s="8" t="n">
        <v>1000</v>
      </c>
      <c r="G191" s="0" t="str">
        <f aca="false">IFERROR(__xludf.dummyfunction("ROUND(B191/ FILTER('Pokemon CP/HP'!$M$2:$M1000, LOWER('Pokemon CP/HP'!$B$2:$B1000)=LOWER(A191)))"),"19")</f>
        <v>19</v>
      </c>
      <c r="H191" s="0" t="str">
        <f aca="false">IFERROR(__xludf.dummyfunction("FILTER('Leveling Info'!$B$2:$B1000, 'Leveling Info'!$A$2:$A1000 =G191)"),"1000")</f>
        <v>1000</v>
      </c>
      <c r="I191" s="14" t="n">
        <f aca="false">SQRT(G191)</f>
        <v>4.35889894354067</v>
      </c>
      <c r="J191" s="14" t="str">
        <f aca="false">IFERROR(__xludf.dummyfunction("IF(F191 = H191,C191/FILTER('Base Stats'!$C$2:$C1000, LOWER('Base Stats'!$B$2:$B1000) = LOWER($A191)), """")"),"0.8615384615")</f>
        <v>0.8615384615</v>
      </c>
      <c r="K191" s="0" t="str">
        <f aca="false">IF(F191 = H191, C191/G191, "")</f>
        <v/>
      </c>
      <c r="L191" s="0" t="str">
        <f aca="false">IFERROR(__xludf.dummyfunction("IF(AND(NOT(K191 = """"), G191 &gt;= 15),K191/FILTER('Base Stats'!$C$2:$C1000, LOWER('Base Stats'!$B$2:$B1000) = LOWER($A191)), """")"),"0.04534412955")</f>
        <v>0.04534412955</v>
      </c>
      <c r="M191" s="0" t="str">
        <f aca="false">IFERROR(__xludf.dummyfunction("1.15 + 0.02 * FILTER('Base Stats'!$C$2:$C1000, LOWER('Base Stats'!$B$2:$B1000) = LOWER($A191))"),"2.45")</f>
        <v>2.45</v>
      </c>
      <c r="N191" s="0" t="e">
        <f aca="false">IFERROR(IF(AND(NOT(K191 = ""), G191 &gt;= 15),K191/M191, ""))</f>
        <v>#VALUE!</v>
      </c>
    </row>
    <row r="192" customFormat="false" ht="15.75" hidden="false" customHeight="false" outlineLevel="0" collapsed="false">
      <c r="A192" s="8" t="s">
        <v>510</v>
      </c>
      <c r="B192" s="8" t="n">
        <v>136</v>
      </c>
      <c r="C192" s="8" t="n">
        <v>25</v>
      </c>
      <c r="D192" s="8" t="n">
        <v>3.54</v>
      </c>
      <c r="E192" s="8" t="n">
        <v>0.31</v>
      </c>
      <c r="F192" s="8" t="n">
        <v>600</v>
      </c>
      <c r="G192" s="0" t="str">
        <f aca="false">IFERROR(__xludf.dummyfunction("ROUND(B192/ FILTER('Pokemon CP/HP'!$M$2:$M1000, LOWER('Pokemon CP/HP'!$B$2:$B1000)=LOWER(A192)))"),"12")</f>
        <v>12</v>
      </c>
      <c r="H192" s="0" t="str">
        <f aca="false">IFERROR(__xludf.dummyfunction("FILTER('Leveling Info'!$B$2:$B1000, 'Leveling Info'!$A$2:$A1000 =G192)"),"600")</f>
        <v>600</v>
      </c>
      <c r="I192" s="14" t="n">
        <f aca="false">SQRT(G192)</f>
        <v>3.46410161513775</v>
      </c>
      <c r="J192" s="14" t="str">
        <f aca="false">IFERROR(__xludf.dummyfunction("IF(F192 = H192,C192/FILTER('Base Stats'!$C$2:$C1000, LOWER('Base Stats'!$B$2:$B1000) = LOWER($A192)), """")"),"0.7142857143")</f>
        <v>0.7142857143</v>
      </c>
      <c r="K192" s="0" t="str">
        <f aca="false">IF(F192 = H192, C192/G192, "")</f>
        <v/>
      </c>
      <c r="L192" s="0" t="str">
        <f aca="false">IFERROR(__xludf.dummyfunction("IF(AND(NOT(K192 = """"), G192 &gt;= 15),K192/FILTER('Base Stats'!$C$2:$C1000, LOWER('Base Stats'!$B$2:$B1000) = LOWER($A192)), """")"),"")</f>
        <v/>
      </c>
      <c r="M192" s="0" t="str">
        <f aca="false">IFERROR(__xludf.dummyfunction("1.15 + 0.02 * FILTER('Base Stats'!$C$2:$C1000, LOWER('Base Stats'!$B$2:$B1000) = LOWER($A192))"),"1.85")</f>
        <v>1.85</v>
      </c>
      <c r="N192" s="0" t="e">
        <f aca="false">IFERROR(IF(AND(NOT(K192 = ""), G192 &gt;= 15),K192/M192, ""))</f>
        <v>#VALUE!</v>
      </c>
    </row>
    <row r="193" customFormat="false" ht="15.75" hidden="false" customHeight="false" outlineLevel="0" collapsed="false">
      <c r="A193" s="8" t="s">
        <v>511</v>
      </c>
      <c r="B193" s="8" t="n">
        <v>73</v>
      </c>
      <c r="C193" s="8" t="n">
        <v>26</v>
      </c>
      <c r="D193" s="8" t="n">
        <v>10.09</v>
      </c>
      <c r="E193" s="8" t="n">
        <v>0.57</v>
      </c>
      <c r="F193" s="8" t="n">
        <v>400</v>
      </c>
      <c r="G193" s="0" t="str">
        <f aca="false">IFERROR(__xludf.dummyfunction("ROUND(B193/ FILTER('Pokemon CP/HP'!$M$2:$M1000, LOWER('Pokemon CP/HP'!$B$2:$B1000)=LOWER(A193)))"),"7")</f>
        <v>7</v>
      </c>
      <c r="H193" s="0" t="str">
        <f aca="false">IFERROR(__xludf.dummyfunction("FILTER('Leveling Info'!$B$2:$B1000, 'Leveling Info'!$A$2:$A1000 =G193)"),"400")</f>
        <v>400</v>
      </c>
      <c r="I193" s="14" t="n">
        <f aca="false">SQRT(G193)</f>
        <v>2.64575131106459</v>
      </c>
      <c r="J193" s="14" t="str">
        <f aca="false">IFERROR(__xludf.dummyfunction("IF(F193 = H193,C193/FILTER('Base Stats'!$C$2:$C1000, LOWER('Base Stats'!$B$2:$B1000) = LOWER($A193)), """")"),"0.52")</f>
        <v>0.52</v>
      </c>
      <c r="K193" s="0" t="str">
        <f aca="false">IF(F193 = H193, C193/G193, "")</f>
        <v/>
      </c>
      <c r="L193" s="0" t="str">
        <f aca="false">IFERROR(__xludf.dummyfunction("IF(AND(NOT(K193 = """"), G193 &gt;= 15),K193/FILTER('Base Stats'!$C$2:$C1000, LOWER('Base Stats'!$B$2:$B1000) = LOWER($A193)), """")"),"")</f>
        <v/>
      </c>
      <c r="M193" s="0" t="str">
        <f aca="false">IFERROR(__xludf.dummyfunction("1.15 + 0.02 * FILTER('Base Stats'!$C$2:$C1000, LOWER('Base Stats'!$B$2:$B1000) = LOWER($A193))"),"2.15")</f>
        <v>2.15</v>
      </c>
      <c r="N193" s="0" t="e">
        <f aca="false">IFERROR(IF(AND(NOT(K193 = ""), G193 &gt;= 15),K193/M193, ""))</f>
        <v>#VALUE!</v>
      </c>
    </row>
    <row r="194" customFormat="false" ht="15.75" hidden="false" customHeight="false" outlineLevel="0" collapsed="false">
      <c r="A194" s="36" t="s">
        <v>48</v>
      </c>
      <c r="B194" s="8" t="n">
        <v>312</v>
      </c>
      <c r="C194" s="8" t="n">
        <v>61</v>
      </c>
      <c r="D194" s="8" t="n">
        <v>5.77</v>
      </c>
      <c r="E194" s="8" t="n">
        <v>0.34</v>
      </c>
      <c r="F194" s="8" t="n">
        <v>1600</v>
      </c>
      <c r="G194" s="0" t="str">
        <f aca="false">IFERROR(__xludf.dummyfunction("ROUND(B194/ FILTER('Pokemon CP/HP'!$M$2:$M1000, LOWER('Pokemon CP/HP'!$B$2:$B1000)=LOWER(A194)))"),"28")</f>
        <v>28</v>
      </c>
      <c r="H194" s="0" t="str">
        <f aca="false">IFERROR(__xludf.dummyfunction("FILTER('Leveling Info'!$B$2:$B1000, 'Leveling Info'!$A$2:$A1000 =G194)"),"1600")</f>
        <v>1600</v>
      </c>
      <c r="I194" s="14" t="n">
        <f aca="false">SQRT(G194)</f>
        <v>5.29150262212918</v>
      </c>
      <c r="J194" s="14" t="str">
        <f aca="false">IFERROR(__xludf.dummyfunction("IF(F194 = H194,C194/FILTER('Base Stats'!$C$2:$C1000, LOWER('Base Stats'!$B$2:$B1000) = LOWER($A194)), """")"),"1.109090909")</f>
        <v>1.109090909</v>
      </c>
      <c r="K194" s="0" t="str">
        <f aca="false">IF(F194 = H194, C194/G194, "")</f>
        <v/>
      </c>
      <c r="L194" s="0" t="str">
        <f aca="false">IFERROR(__xludf.dummyfunction("IF(AND(NOT(K194 = """"), G194 &gt;= 15),K194/FILTER('Base Stats'!$C$2:$C1000, LOWER('Base Stats'!$B$2:$B1000) = LOWER($A194)), """")"),"0.03961038961")</f>
        <v>0.03961038961</v>
      </c>
      <c r="M194" s="0" t="str">
        <f aca="false">IFERROR(__xludf.dummyfunction("1.15 + 0.02 * FILTER('Base Stats'!$C$2:$C1000, LOWER('Base Stats'!$B$2:$B1000) = LOWER($A194))"),"2.25")</f>
        <v>2.25</v>
      </c>
      <c r="N194" s="0" t="e">
        <f aca="false">IFERROR(IF(AND(NOT(K194 = ""), G194 &gt;= 15),K194/M194, ""))</f>
        <v>#VALUE!</v>
      </c>
    </row>
    <row r="195" customFormat="false" ht="15.75" hidden="false" customHeight="false" outlineLevel="0" collapsed="false">
      <c r="A195" s="36" t="s">
        <v>48</v>
      </c>
      <c r="B195" s="8" t="n">
        <v>290</v>
      </c>
      <c r="C195" s="8" t="n">
        <v>54</v>
      </c>
      <c r="D195" s="8" t="n">
        <v>9.46</v>
      </c>
      <c r="E195" s="8" t="n">
        <v>0.47</v>
      </c>
      <c r="F195" s="8" t="n">
        <v>1600</v>
      </c>
      <c r="G195" s="0" t="str">
        <f aca="false">IFERROR(__xludf.dummyfunction("ROUND(B195/ FILTER('Pokemon CP/HP'!$M$2:$M1000, LOWER('Pokemon CP/HP'!$B$2:$B1000)=LOWER(A195)))"),"26")</f>
        <v>26</v>
      </c>
      <c r="H195" s="0" t="str">
        <f aca="false">IFERROR(__xludf.dummyfunction("FILTER('Leveling Info'!$B$2:$B1000, 'Leveling Info'!$A$2:$A1000 =G195)"),"1600")</f>
        <v>1600</v>
      </c>
      <c r="I195" s="14" t="n">
        <f aca="false">SQRT(G195)</f>
        <v>5.09901951359278</v>
      </c>
      <c r="J195" s="14" t="str">
        <f aca="false">IFERROR(__xludf.dummyfunction("IF(F195 = H195,C195/FILTER('Base Stats'!$C$2:$C1000, LOWER('Base Stats'!$B$2:$B1000) = LOWER($A195)), """")"),"0.9818181818")</f>
        <v>0.9818181818</v>
      </c>
      <c r="K195" s="0" t="str">
        <f aca="false">IF(F195 = H195, C195/G195, "")</f>
        <v/>
      </c>
      <c r="L195" s="0" t="str">
        <f aca="false">IFERROR(__xludf.dummyfunction("IF(AND(NOT(K195 = """"), G195 &gt;= 15),K195/FILTER('Base Stats'!$C$2:$C1000, LOWER('Base Stats'!$B$2:$B1000) = LOWER($A195)), """")"),"0.03776223776")</f>
        <v>0.03776223776</v>
      </c>
      <c r="M195" s="0" t="str">
        <f aca="false">IFERROR(__xludf.dummyfunction("1.15 + 0.02 * FILTER('Base Stats'!$C$2:$C1000, LOWER('Base Stats'!$B$2:$B1000) = LOWER($A195))"),"2.25")</f>
        <v>2.25</v>
      </c>
      <c r="N195" s="0" t="e">
        <f aca="false">IFERROR(IF(AND(NOT(K195 = ""), G195 &gt;= 15),K195/M195, ""))</f>
        <v>#VALUE!</v>
      </c>
    </row>
    <row r="196" customFormat="false" ht="15.75" hidden="false" customHeight="false" outlineLevel="0" collapsed="false">
      <c r="A196" s="36" t="s">
        <v>48</v>
      </c>
      <c r="B196" s="8" t="n">
        <v>200</v>
      </c>
      <c r="C196" s="8" t="n">
        <v>46</v>
      </c>
      <c r="D196" s="8" t="n">
        <v>7.53</v>
      </c>
      <c r="E196" s="8" t="n">
        <v>0.38</v>
      </c>
      <c r="F196" s="8" t="n">
        <v>1000</v>
      </c>
      <c r="G196" s="0" t="str">
        <f aca="false">IFERROR(__xludf.dummyfunction("ROUND(B196/ FILTER('Pokemon CP/HP'!$M$2:$M1000, LOWER('Pokemon CP/HP'!$B$2:$B1000)=LOWER(A196)))"),"18")</f>
        <v>18</v>
      </c>
      <c r="H196" s="0" t="str">
        <f aca="false">IFERROR(__xludf.dummyfunction("FILTER('Leveling Info'!$B$2:$B1000, 'Leveling Info'!$A$2:$A1000 =G196)"),"1000")</f>
        <v>1000</v>
      </c>
      <c r="I196" s="14" t="n">
        <f aca="false">SQRT(G196)</f>
        <v>4.24264068711929</v>
      </c>
      <c r="J196" s="14" t="str">
        <f aca="false">IFERROR(__xludf.dummyfunction("IF(F196 = H196,C196/FILTER('Base Stats'!$C$2:$C1000, LOWER('Base Stats'!$B$2:$B1000) = LOWER($A196)), """")"),"0.8363636364")</f>
        <v>0.8363636364</v>
      </c>
      <c r="K196" s="0" t="str">
        <f aca="false">IF(F196 = H196, C196/G196, "")</f>
        <v/>
      </c>
      <c r="L196" s="0" t="str">
        <f aca="false">IFERROR(__xludf.dummyfunction("IF(AND(NOT(K196 = """"), G196 &gt;= 15),K196/FILTER('Base Stats'!$C$2:$C1000, LOWER('Base Stats'!$B$2:$B1000) = LOWER($A196)), """")"),"0.04646464646")</f>
        <v>0.04646464646</v>
      </c>
      <c r="M196" s="0" t="str">
        <f aca="false">IFERROR(__xludf.dummyfunction("1.15 + 0.02 * FILTER('Base Stats'!$C$2:$C1000, LOWER('Base Stats'!$B$2:$B1000) = LOWER($A196))"),"2.25")</f>
        <v>2.25</v>
      </c>
      <c r="N196" s="0" t="e">
        <f aca="false">IFERROR(IF(AND(NOT(K196 = ""), G196 &gt;= 15),K196/M196, ""))</f>
        <v>#VALUE!</v>
      </c>
    </row>
    <row r="197" customFormat="false" ht="15.75" hidden="false" customHeight="false" outlineLevel="0" collapsed="false">
      <c r="A197" s="36" t="s">
        <v>48</v>
      </c>
      <c r="B197" s="8" t="n">
        <v>192</v>
      </c>
      <c r="C197" s="8" t="n">
        <v>43</v>
      </c>
      <c r="D197" s="8" t="n">
        <v>9.31</v>
      </c>
      <c r="E197" s="8" t="n">
        <v>0.45</v>
      </c>
      <c r="F197" s="8" t="n">
        <v>1000</v>
      </c>
      <c r="G197" s="0" t="str">
        <f aca="false">IFERROR(__xludf.dummyfunction("ROUND(B197/ FILTER('Pokemon CP/HP'!$M$2:$M1000, LOWER('Pokemon CP/HP'!$B$2:$B1000)=LOWER(A197)))"),"17")</f>
        <v>17</v>
      </c>
      <c r="H197" s="0" t="str">
        <f aca="false">IFERROR(__xludf.dummyfunction("FILTER('Leveling Info'!$B$2:$B1000, 'Leveling Info'!$A$2:$A1000 =G197)"),"1000")</f>
        <v>1000</v>
      </c>
      <c r="I197" s="14" t="n">
        <f aca="false">SQRT(G197)</f>
        <v>4.12310562561766</v>
      </c>
      <c r="J197" s="14" t="str">
        <f aca="false">IFERROR(__xludf.dummyfunction("IF(F197 = H197,C197/FILTER('Base Stats'!$C$2:$C1000, LOWER('Base Stats'!$B$2:$B1000) = LOWER($A197)), """")"),"0.7818181818")</f>
        <v>0.7818181818</v>
      </c>
      <c r="K197" s="0" t="str">
        <f aca="false">IF(F197 = H197, C197/G197, "")</f>
        <v/>
      </c>
      <c r="L197" s="0" t="str">
        <f aca="false">IFERROR(__xludf.dummyfunction("IF(AND(NOT(K197 = """"), G197 &gt;= 15),K197/FILTER('Base Stats'!$C$2:$C1000, LOWER('Base Stats'!$B$2:$B1000) = LOWER($A197)), """")"),"0.04598930481")</f>
        <v>0.04598930481</v>
      </c>
      <c r="M197" s="0" t="str">
        <f aca="false">IFERROR(__xludf.dummyfunction("1.15 + 0.02 * FILTER('Base Stats'!$C$2:$C1000, LOWER('Base Stats'!$B$2:$B1000) = LOWER($A197))"),"2.25")</f>
        <v>2.25</v>
      </c>
      <c r="N197" s="0" t="e">
        <f aca="false">IFERROR(IF(AND(NOT(K197 = ""), G197 &gt;= 15),K197/M197, ""))</f>
        <v>#VALUE!</v>
      </c>
    </row>
    <row r="198" customFormat="false" ht="15.75" hidden="false" customHeight="false" outlineLevel="0" collapsed="false">
      <c r="A198" s="36" t="s">
        <v>48</v>
      </c>
      <c r="B198" s="8" t="n">
        <v>186</v>
      </c>
      <c r="C198" s="8" t="n">
        <v>44</v>
      </c>
      <c r="D198" s="8" t="n">
        <v>9.18</v>
      </c>
      <c r="E198" s="8" t="n">
        <v>0.45</v>
      </c>
      <c r="F198" s="8" t="n">
        <v>1000</v>
      </c>
      <c r="G198" s="0" t="str">
        <f aca="false">IFERROR(__xludf.dummyfunction("ROUND(B198/ FILTER('Pokemon CP/HP'!$M$2:$M1000, LOWER('Pokemon CP/HP'!$B$2:$B1000)=LOWER(A198)))"),"17")</f>
        <v>17</v>
      </c>
      <c r="H198" s="0" t="str">
        <f aca="false">IFERROR(__xludf.dummyfunction("FILTER('Leveling Info'!$B$2:$B1000, 'Leveling Info'!$A$2:$A1000 =G198)"),"1000")</f>
        <v>1000</v>
      </c>
      <c r="I198" s="14" t="n">
        <f aca="false">SQRT(G198)</f>
        <v>4.12310562561766</v>
      </c>
      <c r="J198" s="14" t="str">
        <f aca="false">IFERROR(__xludf.dummyfunction("IF(F198 = H198,C198/FILTER('Base Stats'!$C$2:$C1000, LOWER('Base Stats'!$B$2:$B1000) = LOWER($A198)), """")"),"0.8")</f>
        <v>0.8</v>
      </c>
      <c r="K198" s="0" t="str">
        <f aca="false">IF(F198 = H198, C198/G198, "")</f>
        <v/>
      </c>
      <c r="L198" s="0" t="str">
        <f aca="false">IFERROR(__xludf.dummyfunction("IF(AND(NOT(K198 = """"), G198 &gt;= 15),K198/FILTER('Base Stats'!$C$2:$C1000, LOWER('Base Stats'!$B$2:$B1000) = LOWER($A198)), """")"),"0.04705882353")</f>
        <v>0.04705882353</v>
      </c>
      <c r="M198" s="0" t="str">
        <f aca="false">IFERROR(__xludf.dummyfunction("1.15 + 0.02 * FILTER('Base Stats'!$C$2:$C1000, LOWER('Base Stats'!$B$2:$B1000) = LOWER($A198))"),"2.25")</f>
        <v>2.25</v>
      </c>
      <c r="N198" s="0" t="e">
        <f aca="false">IFERROR(IF(AND(NOT(K198 = ""), G198 &gt;= 15),K198/M198, ""))</f>
        <v>#VALUE!</v>
      </c>
    </row>
    <row r="199" customFormat="false" ht="15.75" hidden="false" customHeight="false" outlineLevel="0" collapsed="false">
      <c r="A199" s="36" t="s">
        <v>48</v>
      </c>
      <c r="B199" s="8" t="n">
        <v>169</v>
      </c>
      <c r="C199" s="8" t="n">
        <v>45</v>
      </c>
      <c r="D199" s="8" t="n">
        <v>7.16</v>
      </c>
      <c r="E199" s="8" t="n">
        <v>0.39</v>
      </c>
      <c r="F199" s="8" t="n">
        <v>800</v>
      </c>
      <c r="G199" s="0" t="str">
        <f aca="false">IFERROR(__xludf.dummyfunction("ROUND(B199/ FILTER('Pokemon CP/HP'!$M$2:$M1000, LOWER('Pokemon CP/HP'!$B$2:$B1000)=LOWER(A199)))"),"15")</f>
        <v>15</v>
      </c>
      <c r="H199" s="0" t="str">
        <f aca="false">IFERROR(__xludf.dummyfunction("FILTER('Leveling Info'!$B$2:$B1000, 'Leveling Info'!$A$2:$A1000 =G199)"),"800")</f>
        <v>800</v>
      </c>
      <c r="I199" s="14" t="n">
        <f aca="false">SQRT(G199)</f>
        <v>3.87298334620742</v>
      </c>
      <c r="J199" s="14" t="str">
        <f aca="false">IFERROR(__xludf.dummyfunction("IF(F199 = H199,C199/FILTER('Base Stats'!$C$2:$C1000, LOWER('Base Stats'!$B$2:$B1000) = LOWER($A199)), """")"),"0.8181818182")</f>
        <v>0.8181818182</v>
      </c>
      <c r="K199" s="0" t="str">
        <f aca="false">IF(F199 = H199, C199/G199, "")</f>
        <v/>
      </c>
      <c r="L199" s="0" t="str">
        <f aca="false">IFERROR(__xludf.dummyfunction("IF(AND(NOT(K199 = """"), G199 &gt;= 15),K199/FILTER('Base Stats'!$C$2:$C1000, LOWER('Base Stats'!$B$2:$B1000) = LOWER($A199)), """")"),"0.05454545455")</f>
        <v>0.05454545455</v>
      </c>
      <c r="M199" s="0" t="str">
        <f aca="false">IFERROR(__xludf.dummyfunction("1.15 + 0.02 * FILTER('Base Stats'!$C$2:$C1000, LOWER('Base Stats'!$B$2:$B1000) = LOWER($A199))"),"2.25")</f>
        <v>2.25</v>
      </c>
      <c r="N199" s="0" t="e">
        <f aca="false">IFERROR(IF(AND(NOT(K199 = ""), G199 &gt;= 15),K199/M199, ""))</f>
        <v>#VALUE!</v>
      </c>
    </row>
    <row r="200" customFormat="false" ht="15.75" hidden="false" customHeight="false" outlineLevel="0" collapsed="false">
      <c r="A200" s="8" t="s">
        <v>512</v>
      </c>
      <c r="B200" s="8" t="n">
        <v>329</v>
      </c>
      <c r="C200" s="8" t="n">
        <v>61</v>
      </c>
      <c r="D200" s="8" t="n">
        <v>6.71</v>
      </c>
      <c r="E200" s="8" t="n">
        <v>0.86</v>
      </c>
      <c r="F200" s="8" t="n">
        <v>1000</v>
      </c>
      <c r="G200" s="0" t="str">
        <f aca="false">IFERROR(__xludf.dummyfunction("ROUND(B200/ FILTER('Pokemon CP/HP'!$M$2:$M1000, LOWER('Pokemon CP/HP'!$B$2:$B1000)=LOWER(A200)))"),"17")</f>
        <v>17</v>
      </c>
      <c r="H200" s="0" t="str">
        <f aca="false">IFERROR(__xludf.dummyfunction("FILTER('Leveling Info'!$B$2:$B1000, 'Leveling Info'!$A$2:$A1000 =G200)"),"1000")</f>
        <v>1000</v>
      </c>
      <c r="I200" s="14" t="n">
        <f aca="false">SQRT(G200)</f>
        <v>4.12310562561766</v>
      </c>
      <c r="J200" s="14" t="str">
        <f aca="false">IFERROR(__xludf.dummyfunction("IF(F200 = H200,C200/FILTER('Base Stats'!$C$2:$C1000, LOWER('Base Stats'!$B$2:$B1000) = LOWER($A200)), """")"),"0.8714285714")</f>
        <v>0.8714285714</v>
      </c>
      <c r="K200" s="0" t="str">
        <f aca="false">IF(F200 = H200, C200/G200, "")</f>
        <v/>
      </c>
      <c r="L200" s="0" t="str">
        <f aca="false">IFERROR(__xludf.dummyfunction("IF(AND(NOT(K200 = """"), G200 &gt;= 15),K200/FILTER('Base Stats'!$C$2:$C1000, LOWER('Base Stats'!$B$2:$B1000) = LOWER($A200)), """")"),"0.0512605042")</f>
        <v>0.0512605042</v>
      </c>
      <c r="M200" s="0" t="str">
        <f aca="false">IFERROR(__xludf.dummyfunction("1.15 + 0.02 * FILTER('Base Stats'!$C$2:$C1000, LOWER('Base Stats'!$B$2:$B1000) = LOWER($A200))"),"2.55")</f>
        <v>2.55</v>
      </c>
      <c r="N200" s="0" t="e">
        <f aca="false">IFERROR(IF(AND(NOT(K200 = ""), G200 &gt;= 15),K200/M200, ""))</f>
        <v>#VALUE!</v>
      </c>
    </row>
    <row r="201" customFormat="false" ht="15.75" hidden="false" customHeight="false" outlineLevel="0" collapsed="false">
      <c r="A201" s="36" t="s">
        <v>51</v>
      </c>
      <c r="B201" s="8" t="n">
        <v>257</v>
      </c>
      <c r="C201" s="8" t="n">
        <v>46</v>
      </c>
      <c r="D201" s="8" t="n">
        <v>10.4</v>
      </c>
      <c r="E201" s="8" t="n">
        <v>0.56</v>
      </c>
      <c r="F201" s="8" t="n">
        <v>1300</v>
      </c>
      <c r="G201" s="0" t="str">
        <f aca="false">IFERROR(__xludf.dummyfunction("ROUND(B201/ FILTER('Pokemon CP/HP'!$M$2:$M1000, LOWER('Pokemon CP/HP'!$B$2:$B1000)=LOWER(A201)))"),"21")</f>
        <v>21</v>
      </c>
      <c r="H201" s="0" t="str">
        <f aca="false">IFERROR(__xludf.dummyfunction("FILTER('Leveling Info'!$B$2:$B1000, 'Leveling Info'!$A$2:$A1000 =G201)"),"1300")</f>
        <v>1300</v>
      </c>
      <c r="I201" s="14" t="n">
        <f aca="false">SQRT(G201)</f>
        <v>4.58257569495584</v>
      </c>
      <c r="J201" s="14" t="str">
        <f aca="false">IFERROR(__xludf.dummyfunction("IF(F201 = H201,C201/FILTER('Base Stats'!$C$2:$C1000, LOWER('Base Stats'!$B$2:$B1000) = LOWER($A201)), """")"),"1")</f>
        <v>1</v>
      </c>
      <c r="K201" s="0" t="str">
        <f aca="false">IF(F201 = H201, C201/G201, "")</f>
        <v/>
      </c>
      <c r="L201" s="0" t="str">
        <f aca="false">IFERROR(__xludf.dummyfunction("IF(AND(NOT(K201 = """"), G201 &gt;= 15),K201/FILTER('Base Stats'!$C$2:$C1000, LOWER('Base Stats'!$B$2:$B1000) = LOWER($A201)), """")"),"0.04761904762")</f>
        <v>0.04761904762</v>
      </c>
      <c r="M201" s="0" t="str">
        <f aca="false">IFERROR(__xludf.dummyfunction("1.15 + 0.02 * FILTER('Base Stats'!$C$2:$C1000, LOWER('Base Stats'!$B$2:$B1000) = LOWER($A201))"),"2.07")</f>
        <v>2.07</v>
      </c>
      <c r="N201" s="0" t="e">
        <f aca="false">IFERROR(IF(AND(NOT(K201 = ""), G201 &gt;= 15),K201/M201, ""))</f>
        <v>#VALUE!</v>
      </c>
    </row>
    <row r="202" customFormat="false" ht="15.75" hidden="false" customHeight="false" outlineLevel="0" collapsed="false">
      <c r="A202" s="36" t="s">
        <v>51</v>
      </c>
      <c r="B202" s="8" t="n">
        <v>214</v>
      </c>
      <c r="C202" s="8" t="n">
        <v>40</v>
      </c>
      <c r="D202" s="8" t="n">
        <v>11.13</v>
      </c>
      <c r="E202" s="8" t="n">
        <v>0.56</v>
      </c>
      <c r="F202" s="8" t="n">
        <v>1300</v>
      </c>
      <c r="G202" s="0" t="str">
        <f aca="false">IFERROR(__xludf.dummyfunction("ROUND(B202/ FILTER('Pokemon CP/HP'!$M$2:$M1000, LOWER('Pokemon CP/HP'!$B$2:$B1000)=LOWER(A202)))"),"18")</f>
        <v>18</v>
      </c>
      <c r="H202" s="0" t="str">
        <f aca="false">IFERROR(__xludf.dummyfunction("FILTER('Leveling Info'!$B$2:$B1000, 'Leveling Info'!$A$2:$A1000 =G202)"),"1000")</f>
        <v>1000</v>
      </c>
      <c r="I202" s="14" t="n">
        <f aca="false">SQRT(G202)</f>
        <v>4.24264068711929</v>
      </c>
      <c r="J202" s="14" t="str">
        <f aca="false">IFERROR(__xludf.dummyfunction("IF(F202 = H202,C202/FILTER('Base Stats'!$C$2:$C1000, LOWER('Base Stats'!$B$2:$B1000) = LOWER($A202)), """")"),"")</f>
        <v/>
      </c>
      <c r="K202" s="0" t="str">
        <f aca="false">IF(F202 = H202, C202/G202, "")</f>
        <v/>
      </c>
      <c r="L202" s="0" t="str">
        <f aca="false">IFERROR(__xludf.dummyfunction("IF(AND(NOT(K202 = """"), G202 &gt;= 15),K202/FILTER('Base Stats'!$C$2:$C1000, LOWER('Base Stats'!$B$2:$B1000) = LOWER($A202)), """")"),"")</f>
        <v/>
      </c>
      <c r="M202" s="0" t="str">
        <f aca="false">IFERROR(__xludf.dummyfunction("1.15 + 0.02 * FILTER('Base Stats'!$C$2:$C1000, LOWER('Base Stats'!$B$2:$B1000) = LOWER($A202))"),"2.07")</f>
        <v>2.07</v>
      </c>
      <c r="N202" s="0" t="e">
        <f aca="false">IFERROR(IF(AND(NOT(K202 = ""), G202 &gt;= 15),K202/M202, ""))</f>
        <v>#VALUE!</v>
      </c>
    </row>
    <row r="203" customFormat="false" ht="15.75" hidden="false" customHeight="false" outlineLevel="0" collapsed="false">
      <c r="A203" s="36" t="s">
        <v>51</v>
      </c>
      <c r="B203" s="8" t="n">
        <v>210</v>
      </c>
      <c r="C203" s="8" t="n">
        <v>42</v>
      </c>
      <c r="D203" s="8" t="n">
        <v>7.65</v>
      </c>
      <c r="E203" s="8" t="n">
        <v>0.47</v>
      </c>
      <c r="F203" s="8" t="n">
        <v>1000</v>
      </c>
      <c r="G203" s="0" t="str">
        <f aca="false">IFERROR(__xludf.dummyfunction("ROUND(B203/ FILTER('Pokemon CP/HP'!$M$2:$M1000, LOWER('Pokemon CP/HP'!$B$2:$B1000)=LOWER(A203)))"),"18")</f>
        <v>18</v>
      </c>
      <c r="H203" s="0" t="str">
        <f aca="false">IFERROR(__xludf.dummyfunction("FILTER('Leveling Info'!$B$2:$B1000, 'Leveling Info'!$A$2:$A1000 =G203)"),"1000")</f>
        <v>1000</v>
      </c>
      <c r="I203" s="14" t="n">
        <f aca="false">SQRT(G203)</f>
        <v>4.24264068711929</v>
      </c>
      <c r="J203" s="14" t="str">
        <f aca="false">IFERROR(__xludf.dummyfunction("IF(F203 = H203,C203/FILTER('Base Stats'!$C$2:$C1000, LOWER('Base Stats'!$B$2:$B1000) = LOWER($A203)), """")"),"0.9130434783")</f>
        <v>0.9130434783</v>
      </c>
      <c r="K203" s="0" t="str">
        <f aca="false">IF(F203 = H203, C203/G203, "")</f>
        <v/>
      </c>
      <c r="L203" s="0" t="str">
        <f aca="false">IFERROR(__xludf.dummyfunction("IF(AND(NOT(K203 = """"), G203 &gt;= 15),K203/FILTER('Base Stats'!$C$2:$C1000, LOWER('Base Stats'!$B$2:$B1000) = LOWER($A203)), """")"),"0.05072463768")</f>
        <v>0.05072463768</v>
      </c>
      <c r="M203" s="0" t="str">
        <f aca="false">IFERROR(__xludf.dummyfunction("1.15 + 0.02 * FILTER('Base Stats'!$C$2:$C1000, LOWER('Base Stats'!$B$2:$B1000) = LOWER($A203))"),"2.07")</f>
        <v>2.07</v>
      </c>
      <c r="N203" s="0" t="e">
        <f aca="false">IFERROR(IF(AND(NOT(K203 = ""), G203 &gt;= 15),K203/M203, ""))</f>
        <v>#VALUE!</v>
      </c>
    </row>
    <row r="204" customFormat="false" ht="15.75" hidden="false" customHeight="false" outlineLevel="0" collapsed="false">
      <c r="A204" s="36" t="s">
        <v>51</v>
      </c>
      <c r="B204" s="8" t="n">
        <v>162</v>
      </c>
      <c r="C204" s="8" t="n">
        <v>39</v>
      </c>
      <c r="D204" s="8" t="n">
        <v>9.76</v>
      </c>
      <c r="E204" s="8" t="n">
        <v>0.45</v>
      </c>
      <c r="F204" s="8" t="n">
        <v>800</v>
      </c>
      <c r="G204" s="0" t="str">
        <f aca="false">IFERROR(__xludf.dummyfunction("ROUND(B204/ FILTER('Pokemon CP/HP'!$M$2:$M1000, LOWER('Pokemon CP/HP'!$B$2:$B1000)=LOWER(A204)))"),"14")</f>
        <v>14</v>
      </c>
      <c r="H204" s="0" t="str">
        <f aca="false">IFERROR(__xludf.dummyfunction("FILTER('Leveling Info'!$B$2:$B1000, 'Leveling Info'!$A$2:$A1000 =G204)"),"800")</f>
        <v>800</v>
      </c>
      <c r="I204" s="14" t="n">
        <f aca="false">SQRT(G204)</f>
        <v>3.74165738677394</v>
      </c>
      <c r="J204" s="14" t="str">
        <f aca="false">IFERROR(__xludf.dummyfunction("IF(F204 = H204,C204/FILTER('Base Stats'!$C$2:$C1000, LOWER('Base Stats'!$B$2:$B1000) = LOWER($A204)), """")"),"0.847826087")</f>
        <v>0.847826087</v>
      </c>
      <c r="K204" s="0" t="str">
        <f aca="false">IF(F204 = H204, C204/G204, "")</f>
        <v/>
      </c>
      <c r="L204" s="0" t="str">
        <f aca="false">IFERROR(__xludf.dummyfunction("IF(AND(NOT(K204 = """"), G204 &gt;= 15),K204/FILTER('Base Stats'!$C$2:$C1000, LOWER('Base Stats'!$B$2:$B1000) = LOWER($A204)), """")"),"")</f>
        <v/>
      </c>
      <c r="M204" s="0" t="str">
        <f aca="false">IFERROR(__xludf.dummyfunction("1.15 + 0.02 * FILTER('Base Stats'!$C$2:$C1000, LOWER('Base Stats'!$B$2:$B1000) = LOWER($A204))"),"2.07")</f>
        <v>2.07</v>
      </c>
      <c r="N204" s="0" t="e">
        <f aca="false">IFERROR(IF(AND(NOT(K204 = ""), G204 &gt;= 15),K204/M204, ""))</f>
        <v>#VALUE!</v>
      </c>
    </row>
    <row r="205" customFormat="false" ht="15.75" hidden="false" customHeight="false" outlineLevel="0" collapsed="false">
      <c r="A205" s="36" t="s">
        <v>51</v>
      </c>
      <c r="B205" s="8" t="n">
        <v>123</v>
      </c>
      <c r="C205" s="8" t="n">
        <v>33</v>
      </c>
      <c r="D205" s="8" t="n">
        <v>9.95</v>
      </c>
      <c r="E205" s="8" t="n">
        <v>0.53</v>
      </c>
      <c r="F205" s="8" t="n">
        <v>600</v>
      </c>
      <c r="G205" s="0" t="str">
        <f aca="false">IFERROR(__xludf.dummyfunction("ROUND(B205/ FILTER('Pokemon CP/HP'!$M$2:$M1000, LOWER('Pokemon CP/HP'!$B$2:$B1000)=LOWER(A205)))"),"10")</f>
        <v>10</v>
      </c>
      <c r="H205" s="0" t="str">
        <f aca="false">IFERROR(__xludf.dummyfunction("FILTER('Leveling Info'!$B$2:$B1000, 'Leveling Info'!$A$2:$A1000 =G205)"),"600")</f>
        <v>600</v>
      </c>
      <c r="I205" s="14" t="n">
        <f aca="false">SQRT(G205)</f>
        <v>3.16227766016838</v>
      </c>
      <c r="J205" s="14" t="str">
        <f aca="false">IFERROR(__xludf.dummyfunction("IF(F205 = H205,C205/FILTER('Base Stats'!$C$2:$C1000, LOWER('Base Stats'!$B$2:$B1000) = LOWER($A205)), """")"),"0.7173913043")</f>
        <v>0.7173913043</v>
      </c>
      <c r="K205" s="0" t="str">
        <f aca="false">IF(F205 = H205, C205/G205, "")</f>
        <v/>
      </c>
      <c r="L205" s="0" t="str">
        <f aca="false">IFERROR(__xludf.dummyfunction("IF(AND(NOT(K205 = """"), G205 &gt;= 15),K205/FILTER('Base Stats'!$C$2:$C1000, LOWER('Base Stats'!$B$2:$B1000) = LOWER($A205)), """")"),"")</f>
        <v/>
      </c>
      <c r="M205" s="0" t="str">
        <f aca="false">IFERROR(__xludf.dummyfunction("1.15 + 0.02 * FILTER('Base Stats'!$C$2:$C1000, LOWER('Base Stats'!$B$2:$B1000) = LOWER($A205))"),"2.07")</f>
        <v>2.07</v>
      </c>
      <c r="N205" s="0" t="e">
        <f aca="false">IFERROR(IF(AND(NOT(K205 = ""), G205 &gt;= 15),K205/M205, ""))</f>
        <v>#VALUE!</v>
      </c>
    </row>
    <row r="206" customFormat="false" ht="15.75" hidden="false" customHeight="false" outlineLevel="0" collapsed="false">
      <c r="A206" s="36" t="s">
        <v>51</v>
      </c>
      <c r="B206" s="8" t="n">
        <v>10</v>
      </c>
      <c r="C206" s="8" t="n">
        <v>10</v>
      </c>
      <c r="D206" s="8" t="n">
        <v>9.15</v>
      </c>
      <c r="E206" s="8" t="n">
        <v>0.5</v>
      </c>
      <c r="F206" s="8" t="n">
        <v>200</v>
      </c>
      <c r="G206" s="0" t="str">
        <f aca="false">IFERROR(__xludf.dummyfunction("ROUND(B206/ FILTER('Pokemon CP/HP'!$M$2:$M1000, LOWER('Pokemon CP/HP'!$B$2:$B1000)=LOWER(A206)))"),"1")</f>
        <v>1</v>
      </c>
      <c r="H206" s="0" t="str">
        <f aca="false">IFERROR(__xludf.dummyfunction("FILTER('Leveling Info'!$B$2:$B1000, 'Leveling Info'!$A$2:$A1000 =G206)"),"200")</f>
        <v>200</v>
      </c>
      <c r="I206" s="14" t="n">
        <f aca="false">SQRT(G206)</f>
        <v>1</v>
      </c>
      <c r="J206" s="14" t="str">
        <f aca="false">IFERROR(__xludf.dummyfunction("IF(F206 = H206,C206/FILTER('Base Stats'!$C$2:$C1000, LOWER('Base Stats'!$B$2:$B1000) = LOWER($A206)), """")"),"0.2173913043")</f>
        <v>0.2173913043</v>
      </c>
      <c r="K206" s="0" t="str">
        <f aca="false">IF(F206 = H206, C206/G206, "")</f>
        <v/>
      </c>
      <c r="L206" s="0" t="str">
        <f aca="false">IFERROR(__xludf.dummyfunction("IF(AND(NOT(K206 = """"), G206 &gt;= 15),K206/FILTER('Base Stats'!$C$2:$C1000, LOWER('Base Stats'!$B$2:$B1000) = LOWER($A206)), """")"),"")</f>
        <v/>
      </c>
      <c r="M206" s="0" t="str">
        <f aca="false">IFERROR(__xludf.dummyfunction("1.15 + 0.02 * FILTER('Base Stats'!$C$2:$C1000, LOWER('Base Stats'!$B$2:$B1000) = LOWER($A206))"),"2.07")</f>
        <v>2.07</v>
      </c>
      <c r="N206" s="0" t="e">
        <f aca="false">IFERROR(IF(AND(NOT(K206 = ""), G206 &gt;= 15),K206/M206, ""))</f>
        <v>#VALUE!</v>
      </c>
    </row>
    <row r="207" customFormat="false" ht="15.75" hidden="false" customHeight="false" outlineLevel="0" collapsed="false">
      <c r="A207" s="8" t="s">
        <v>513</v>
      </c>
      <c r="B207" s="8" t="n">
        <v>417</v>
      </c>
      <c r="C207" s="8" t="n">
        <v>57</v>
      </c>
      <c r="D207" s="8" t="n">
        <v>16.97</v>
      </c>
      <c r="E207" s="8" t="n">
        <v>0.83</v>
      </c>
      <c r="F207" s="8" t="n">
        <v>1300</v>
      </c>
      <c r="G207" s="0" t="str">
        <f aca="false">IFERROR(__xludf.dummyfunction("ROUND(B207/ FILTER('Pokemon CP/HP'!$M$2:$M1000, LOWER('Pokemon CP/HP'!$B$2:$B1000)=LOWER(A207)))"),"21")</f>
        <v>21</v>
      </c>
      <c r="H207" s="0" t="str">
        <f aca="false">IFERROR(__xludf.dummyfunction("FILTER('Leveling Info'!$B$2:$B1000, 'Leveling Info'!$A$2:$A1000 =G207)"),"1300")</f>
        <v>1300</v>
      </c>
      <c r="I207" s="14" t="n">
        <f aca="false">SQRT(G207)</f>
        <v>4.58257569495584</v>
      </c>
      <c r="J207" s="14" t="str">
        <f aca="false">IFERROR(__xludf.dummyfunction("IF(F207 = H207,C207/FILTER('Base Stats'!$C$2:$C1000, LOWER('Base Stats'!$B$2:$B1000) = LOWER($A207)), """")"),"0.9344262295")</f>
        <v>0.9344262295</v>
      </c>
      <c r="K207" s="0" t="str">
        <f aca="false">IF(F207 = H207, C207/G207, "")</f>
        <v/>
      </c>
      <c r="L207" s="0" t="str">
        <f aca="false">IFERROR(__xludf.dummyfunction("IF(AND(NOT(K207 = """"), G207 &gt;= 15),K207/FILTER('Base Stats'!$C$2:$C1000, LOWER('Base Stats'!$B$2:$B1000) = LOWER($A207)), """")"),"0.04449648712")</f>
        <v>0.04449648712</v>
      </c>
      <c r="M207" s="0" t="str">
        <f aca="false">IFERROR(__xludf.dummyfunction("1.15 + 0.02 * FILTER('Base Stats'!$C$2:$C1000, LOWER('Base Stats'!$B$2:$B1000) = LOWER($A207))"),"2.37")</f>
        <v>2.37</v>
      </c>
      <c r="N207" s="0" t="e">
        <f aca="false">IFERROR(IF(AND(NOT(K207 = ""), G207 &gt;= 15),K207/M207, ""))</f>
        <v>#VALUE!</v>
      </c>
    </row>
    <row r="208" customFormat="false" ht="15.75" hidden="false" customHeight="false" outlineLevel="0" collapsed="false">
      <c r="A208" s="8" t="s">
        <v>513</v>
      </c>
      <c r="B208" s="8" t="n">
        <v>301</v>
      </c>
      <c r="C208" s="8" t="n">
        <v>49</v>
      </c>
      <c r="D208" s="8" t="n">
        <v>6.51</v>
      </c>
      <c r="E208" s="8" t="n">
        <v>0.84</v>
      </c>
      <c r="F208" s="8" t="n">
        <v>800</v>
      </c>
      <c r="G208" s="0" t="str">
        <f aca="false">IFERROR(__xludf.dummyfunction("ROUND(B208/ FILTER('Pokemon CP/HP'!$M$2:$M1000, LOWER('Pokemon CP/HP'!$B$2:$B1000)=LOWER(A208)))"),"15")</f>
        <v>15</v>
      </c>
      <c r="H208" s="0" t="str">
        <f aca="false">IFERROR(__xludf.dummyfunction("FILTER('Leveling Info'!$B$2:$B1000, 'Leveling Info'!$A$2:$A1000 =G208)"),"800")</f>
        <v>800</v>
      </c>
      <c r="I208" s="14" t="n">
        <f aca="false">SQRT(G208)</f>
        <v>3.87298334620742</v>
      </c>
      <c r="J208" s="14" t="str">
        <f aca="false">IFERROR(__xludf.dummyfunction("IF(F208 = H208,C208/FILTER('Base Stats'!$C$2:$C1000, LOWER('Base Stats'!$B$2:$B1000) = LOWER($A208)), """")"),"0.8032786885")</f>
        <v>0.8032786885</v>
      </c>
      <c r="K208" s="0" t="str">
        <f aca="false">IF(F208 = H208, C208/G208, "")</f>
        <v/>
      </c>
      <c r="L208" s="0" t="str">
        <f aca="false">IFERROR(__xludf.dummyfunction("IF(AND(NOT(K208 = """"), G208 &gt;= 15),K208/FILTER('Base Stats'!$C$2:$C1000, LOWER('Base Stats'!$B$2:$B1000) = LOWER($A208)), """")"),"0.05355191257")</f>
        <v>0.05355191257</v>
      </c>
      <c r="M208" s="0" t="str">
        <f aca="false">IFERROR(__xludf.dummyfunction("1.15 + 0.02 * FILTER('Base Stats'!$C$2:$C1000, LOWER('Base Stats'!$B$2:$B1000) = LOWER($A208))"),"2.37")</f>
        <v>2.37</v>
      </c>
      <c r="N208" s="0" t="e">
        <f aca="false">IFERROR(IF(AND(NOT(K208 = ""), G208 &gt;= 15),K208/M208, ""))</f>
        <v>#VALUE!</v>
      </c>
    </row>
    <row r="209" customFormat="false" ht="15.75" hidden="false" customHeight="false" outlineLevel="0" collapsed="false">
      <c r="A209" s="8" t="s">
        <v>514</v>
      </c>
      <c r="B209" s="8" t="n">
        <v>653</v>
      </c>
      <c r="C209" s="8" t="n">
        <v>69</v>
      </c>
      <c r="D209" s="8" t="n">
        <v>56.18</v>
      </c>
      <c r="E209" s="8" t="n">
        <v>1.49</v>
      </c>
      <c r="F209" s="8" t="n">
        <v>1000</v>
      </c>
      <c r="G209" s="0" t="str">
        <f aca="false">IFERROR(__xludf.dummyfunction("ROUND(B209/ FILTER('Pokemon CP/HP'!$M$2:$M1000, LOWER('Pokemon CP/HP'!$B$2:$B1000)=LOWER(A209)))"),"19")</f>
        <v>19</v>
      </c>
      <c r="H209" s="0" t="str">
        <f aca="false">IFERROR(__xludf.dummyfunction("FILTER('Leveling Info'!$B$2:$B1000, 'Leveling Info'!$A$2:$A1000 =G209)"),"1000")</f>
        <v>1000</v>
      </c>
      <c r="I209" s="14" t="n">
        <f aca="false">SQRT(G209)</f>
        <v>4.35889894354067</v>
      </c>
      <c r="J209" s="14" t="str">
        <f aca="false">IFERROR(__xludf.dummyfunction("IF(F209 = H209,C209/FILTER('Base Stats'!$C$2:$C1000, LOWER('Base Stats'!$B$2:$B1000) = LOWER($A209)), """")"),"0.8518518519")</f>
        <v>0.8518518519</v>
      </c>
      <c r="K209" s="0" t="str">
        <f aca="false">IF(F209 = H209, C209/G209, "")</f>
        <v/>
      </c>
      <c r="L209" s="0" t="str">
        <f aca="false">IFERROR(__xludf.dummyfunction("IF(AND(NOT(K209 = """"), G209 &gt;= 15),K209/FILTER('Base Stats'!$C$2:$C1000, LOWER('Base Stats'!$B$2:$B1000) = LOWER($A209)), """")"),"0.04483430799")</f>
        <v>0.04483430799</v>
      </c>
      <c r="M209" s="0" t="str">
        <f aca="false">IFERROR(__xludf.dummyfunction("1.15 + 0.02 * FILTER('Base Stats'!$C$2:$C1000, LOWER('Base Stats'!$B$2:$B1000) = LOWER($A209))"),"2.77")</f>
        <v>2.77</v>
      </c>
      <c r="N209" s="0" t="e">
        <f aca="false">IFERROR(IF(AND(NOT(K209 = ""), G209 &gt;= 15),K209/M209, ""))</f>
        <v>#VALUE!</v>
      </c>
    </row>
    <row r="210" customFormat="false" ht="15.75" hidden="false" customHeight="false" outlineLevel="0" collapsed="false">
      <c r="A210" s="8" t="s">
        <v>515</v>
      </c>
      <c r="B210" s="8" t="n">
        <v>420</v>
      </c>
      <c r="C210" s="8" t="n">
        <v>71</v>
      </c>
      <c r="D210" s="8" t="n">
        <v>7.59</v>
      </c>
      <c r="E210" s="8" t="n">
        <v>0.6</v>
      </c>
      <c r="F210" s="8" t="n">
        <v>1600</v>
      </c>
      <c r="G210" s="0" t="str">
        <f aca="false">IFERROR(__xludf.dummyfunction("ROUND(B210/ FILTER('Pokemon CP/HP'!$M$2:$M1000, LOWER('Pokemon CP/HP'!$B$2:$B1000)=LOWER(A210)))"),"26")</f>
        <v>26</v>
      </c>
      <c r="H210" s="0" t="str">
        <f aca="false">IFERROR(__xludf.dummyfunction("FILTER('Leveling Info'!$B$2:$B1000, 'Leveling Info'!$A$2:$A1000 =G210)"),"1600")</f>
        <v>1600</v>
      </c>
      <c r="I210" s="14" t="n">
        <f aca="false">SQRT(G210)</f>
        <v>5.09901951359278</v>
      </c>
      <c r="J210" s="14" t="str">
        <f aca="false">IFERROR(__xludf.dummyfunction("IF(F210 = H210,C210/FILTER('Base Stats'!$C$2:$C1000, LOWER('Base Stats'!$B$2:$B1000) = LOWER($A210)), """")"),"1.014285714")</f>
        <v>1.014285714</v>
      </c>
      <c r="K210" s="0" t="str">
        <f aca="false">IF(F210 = H210, C210/G210, "")</f>
        <v/>
      </c>
      <c r="L210" s="0" t="str">
        <f aca="false">IFERROR(__xludf.dummyfunction("IF(AND(NOT(K210 = """"), G210 &gt;= 15),K210/FILTER('Base Stats'!$C$2:$C1000, LOWER('Base Stats'!$B$2:$B1000) = LOWER($A210)), """")"),"0.03901098901")</f>
        <v>0.03901098901</v>
      </c>
      <c r="M210" s="0" t="str">
        <f aca="false">IFERROR(__xludf.dummyfunction("1.15 + 0.02 * FILTER('Base Stats'!$C$2:$C1000, LOWER('Base Stats'!$B$2:$B1000) = LOWER($A210))"),"2.55")</f>
        <v>2.55</v>
      </c>
      <c r="N210" s="0" t="e">
        <f aca="false">IFERROR(IF(AND(NOT(K210 = ""), G210 &gt;= 15),K210/M210, ""))</f>
        <v>#VALUE!</v>
      </c>
    </row>
    <row r="211" customFormat="false" ht="15.75" hidden="false" customHeight="false" outlineLevel="0" collapsed="false">
      <c r="A211" s="8" t="s">
        <v>515</v>
      </c>
      <c r="B211" s="8" t="n">
        <v>404</v>
      </c>
      <c r="C211" s="8" t="n">
        <v>71</v>
      </c>
      <c r="D211" s="8" t="n">
        <v>6.52</v>
      </c>
      <c r="E211" s="8" t="n">
        <v>0.61</v>
      </c>
      <c r="F211" s="8" t="n">
        <v>1300</v>
      </c>
      <c r="G211" s="0" t="str">
        <f aca="false">IFERROR(__xludf.dummyfunction("ROUND(B211/ FILTER('Pokemon CP/HP'!$M$2:$M1000, LOWER('Pokemon CP/HP'!$B$2:$B1000)=LOWER(A211)))"),"25")</f>
        <v>25</v>
      </c>
      <c r="H211" s="0" t="str">
        <f aca="false">IFERROR(__xludf.dummyfunction("FILTER('Leveling Info'!$B$2:$B1000, 'Leveling Info'!$A$2:$A1000 =G211)"),"1600")</f>
        <v>1600</v>
      </c>
      <c r="I211" s="14" t="n">
        <f aca="false">SQRT(G211)</f>
        <v>5</v>
      </c>
      <c r="J211" s="14" t="str">
        <f aca="false">IFERROR(__xludf.dummyfunction("IF(F211 = H211,C211/FILTER('Base Stats'!$C$2:$C1000, LOWER('Base Stats'!$B$2:$B1000) = LOWER($A211)), """")"),"")</f>
        <v/>
      </c>
      <c r="K211" s="0" t="str">
        <f aca="false">IF(F211 = H211, C211/G211, "")</f>
        <v/>
      </c>
      <c r="L211" s="0" t="str">
        <f aca="false">IFERROR(__xludf.dummyfunction("IF(AND(NOT(K211 = """"), G211 &gt;= 15),K211/FILTER('Base Stats'!$C$2:$C1000, LOWER('Base Stats'!$B$2:$B1000) = LOWER($A211)), """")"),"")</f>
        <v/>
      </c>
      <c r="M211" s="0" t="str">
        <f aca="false">IFERROR(__xludf.dummyfunction("1.15 + 0.02 * FILTER('Base Stats'!$C$2:$C1000, LOWER('Base Stats'!$B$2:$B1000) = LOWER($A211))"),"2.55")</f>
        <v>2.55</v>
      </c>
      <c r="N211" s="0" t="e">
        <f aca="false">IFERROR(IF(AND(NOT(K211 = ""), G211 &gt;= 15),K211/M211, ""))</f>
        <v>#VALUE!</v>
      </c>
    </row>
    <row r="212" customFormat="false" ht="15.75" hidden="false" customHeight="false" outlineLevel="0" collapsed="false">
      <c r="A212" s="8" t="s">
        <v>515</v>
      </c>
      <c r="B212" s="8" t="n">
        <v>388</v>
      </c>
      <c r="C212" s="8" t="n">
        <v>68</v>
      </c>
      <c r="D212" s="8" t="n">
        <v>9.91</v>
      </c>
      <c r="E212" s="8" t="n">
        <v>0.66</v>
      </c>
      <c r="F212" s="8" t="n">
        <v>1600</v>
      </c>
      <c r="G212" s="0" t="str">
        <f aca="false">IFERROR(__xludf.dummyfunction("ROUND(B212/ FILTER('Pokemon CP/HP'!$M$2:$M1000, LOWER('Pokemon CP/HP'!$B$2:$B1000)=LOWER(A212)))"),"24")</f>
        <v>24</v>
      </c>
      <c r="H212" s="0" t="str">
        <f aca="false">IFERROR(__xludf.dummyfunction("FILTER('Leveling Info'!$B$2:$B1000, 'Leveling Info'!$A$2:$A1000 =G212)"),"1300")</f>
        <v>1300</v>
      </c>
      <c r="I212" s="14" t="n">
        <f aca="false">SQRT(G212)</f>
        <v>4.89897948556636</v>
      </c>
      <c r="J212" s="14" t="str">
        <f aca="false">IFERROR(__xludf.dummyfunction("IF(F212 = H212,C212/FILTER('Base Stats'!$C$2:$C1000, LOWER('Base Stats'!$B$2:$B1000) = LOWER($A212)), """")"),"")</f>
        <v/>
      </c>
      <c r="K212" s="0" t="str">
        <f aca="false">IF(F212 = H212, C212/G212, "")</f>
        <v/>
      </c>
      <c r="L212" s="0" t="str">
        <f aca="false">IFERROR(__xludf.dummyfunction("IF(AND(NOT(K212 = """"), G212 &gt;= 15),K212/FILTER('Base Stats'!$C$2:$C1000, LOWER('Base Stats'!$B$2:$B1000) = LOWER($A212)), """")"),"")</f>
        <v/>
      </c>
      <c r="M212" s="0" t="str">
        <f aca="false">IFERROR(__xludf.dummyfunction("1.15 + 0.02 * FILTER('Base Stats'!$C$2:$C1000, LOWER('Base Stats'!$B$2:$B1000) = LOWER($A212))"),"2.55")</f>
        <v>2.55</v>
      </c>
      <c r="N212" s="0" t="e">
        <f aca="false">IFERROR(IF(AND(NOT(K212 = ""), G212 &gt;= 15),K212/M212, ""))</f>
        <v>#VALUE!</v>
      </c>
    </row>
    <row r="213" customFormat="false" ht="15.75" hidden="false" customHeight="false" outlineLevel="0" collapsed="false">
      <c r="A213" s="8" t="s">
        <v>515</v>
      </c>
      <c r="B213" s="8" t="n">
        <v>387</v>
      </c>
      <c r="C213" s="8" t="n">
        <v>69</v>
      </c>
      <c r="D213" s="8" t="n">
        <v>9.17</v>
      </c>
      <c r="E213" s="8" t="n">
        <v>0.6</v>
      </c>
      <c r="F213" s="8" t="n">
        <v>1600</v>
      </c>
      <c r="G213" s="0" t="str">
        <f aca="false">IFERROR(__xludf.dummyfunction("ROUND(B213/ FILTER('Pokemon CP/HP'!$M$2:$M1000, LOWER('Pokemon CP/HP'!$B$2:$B1000)=LOWER(A213)))"),"24")</f>
        <v>24</v>
      </c>
      <c r="H213" s="0" t="str">
        <f aca="false">IFERROR(__xludf.dummyfunction("FILTER('Leveling Info'!$B$2:$B1000, 'Leveling Info'!$A$2:$A1000 =G213)"),"1300")</f>
        <v>1300</v>
      </c>
      <c r="I213" s="14" t="n">
        <f aca="false">SQRT(G213)</f>
        <v>4.89897948556636</v>
      </c>
      <c r="J213" s="14" t="str">
        <f aca="false">IFERROR(__xludf.dummyfunction("IF(F213 = H213,C213/FILTER('Base Stats'!$C$2:$C1000, LOWER('Base Stats'!$B$2:$B1000) = LOWER($A213)), """")"),"")</f>
        <v/>
      </c>
      <c r="K213" s="0" t="str">
        <f aca="false">IF(F213 = H213, C213/G213, "")</f>
        <v/>
      </c>
      <c r="L213" s="0" t="str">
        <f aca="false">IFERROR(__xludf.dummyfunction("IF(AND(NOT(K213 = """"), G213 &gt;= 15),K213/FILTER('Base Stats'!$C$2:$C1000, LOWER('Base Stats'!$B$2:$B1000) = LOWER($A213)), """")"),"")</f>
        <v/>
      </c>
      <c r="M213" s="0" t="str">
        <f aca="false">IFERROR(__xludf.dummyfunction("1.15 + 0.02 * FILTER('Base Stats'!$C$2:$C1000, LOWER('Base Stats'!$B$2:$B1000) = LOWER($A213))"),"2.55")</f>
        <v>2.55</v>
      </c>
      <c r="N213" s="0" t="e">
        <f aca="false">IFERROR(IF(AND(NOT(K213 = ""), G213 &gt;= 15),K213/M213, ""))</f>
        <v>#VALUE!</v>
      </c>
    </row>
    <row r="214" customFormat="false" ht="15.75" hidden="false" customHeight="false" outlineLevel="0" collapsed="false">
      <c r="A214" s="8" t="s">
        <v>515</v>
      </c>
      <c r="B214" s="8" t="n">
        <v>353</v>
      </c>
      <c r="C214" s="8" t="n">
        <v>66</v>
      </c>
      <c r="D214" s="8" t="n">
        <v>6.07</v>
      </c>
      <c r="E214" s="8" t="n">
        <v>0.55</v>
      </c>
      <c r="F214" s="8" t="n">
        <v>1300</v>
      </c>
      <c r="G214" s="0" t="str">
        <f aca="false">IFERROR(__xludf.dummyfunction("ROUND(B214/ FILTER('Pokemon CP/HP'!$M$2:$M1000, LOWER('Pokemon CP/HP'!$B$2:$B1000)=LOWER(A214)))"),"22")</f>
        <v>22</v>
      </c>
      <c r="H214" s="0" t="str">
        <f aca="false">IFERROR(__xludf.dummyfunction("FILTER('Leveling Info'!$B$2:$B1000, 'Leveling Info'!$A$2:$A1000 =G214)"),"1300")</f>
        <v>1300</v>
      </c>
      <c r="I214" s="14" t="n">
        <f aca="false">SQRT(G214)</f>
        <v>4.69041575982343</v>
      </c>
      <c r="J214" s="14" t="str">
        <f aca="false">IFERROR(__xludf.dummyfunction("IF(F214 = H214,C214/FILTER('Base Stats'!$C$2:$C1000, LOWER('Base Stats'!$B$2:$B1000) = LOWER($A214)), """")"),"0.9428571429")</f>
        <v>0.9428571429</v>
      </c>
      <c r="K214" s="0" t="str">
        <f aca="false">IF(F214 = H214, C214/G214, "")</f>
        <v/>
      </c>
      <c r="L214" s="0" t="str">
        <f aca="false">IFERROR(__xludf.dummyfunction("IF(AND(NOT(K214 = """"), G214 &gt;= 15),K214/FILTER('Base Stats'!$C$2:$C1000, LOWER('Base Stats'!$B$2:$B1000) = LOWER($A214)), """")"),"0.04285714286")</f>
        <v>0.04285714286</v>
      </c>
      <c r="M214" s="0" t="str">
        <f aca="false">IFERROR(__xludf.dummyfunction("1.15 + 0.02 * FILTER('Base Stats'!$C$2:$C1000, LOWER('Base Stats'!$B$2:$B1000) = LOWER($A214))"),"2.55")</f>
        <v>2.55</v>
      </c>
      <c r="N214" s="0" t="e">
        <f aca="false">IFERROR(IF(AND(NOT(K214 = ""), G214 &gt;= 15),K214/M214, ""))</f>
        <v>#VALUE!</v>
      </c>
    </row>
    <row r="215" customFormat="false" ht="15.75" hidden="false" customHeight="false" outlineLevel="0" collapsed="false">
      <c r="A215" s="8" t="s">
        <v>515</v>
      </c>
      <c r="B215" s="8" t="n">
        <v>335</v>
      </c>
      <c r="C215" s="8" t="n">
        <v>65</v>
      </c>
      <c r="D215" s="8" t="n">
        <v>7.09</v>
      </c>
      <c r="E215" s="8" t="n">
        <v>0.58</v>
      </c>
      <c r="F215" s="8" t="n">
        <v>1300</v>
      </c>
      <c r="G215" s="0" t="str">
        <f aca="false">IFERROR(__xludf.dummyfunction("ROUND(B215/ FILTER('Pokemon CP/HP'!$M$2:$M1000, LOWER('Pokemon CP/HP'!$B$2:$B1000)=LOWER(A215)))"),"21")</f>
        <v>21</v>
      </c>
      <c r="H215" s="0" t="str">
        <f aca="false">IFERROR(__xludf.dummyfunction("FILTER('Leveling Info'!$B$2:$B1000, 'Leveling Info'!$A$2:$A1000 =G215)"),"1300")</f>
        <v>1300</v>
      </c>
      <c r="I215" s="14" t="n">
        <f aca="false">SQRT(G215)</f>
        <v>4.58257569495584</v>
      </c>
      <c r="J215" s="14" t="str">
        <f aca="false">IFERROR(__xludf.dummyfunction("IF(F215 = H215,C215/FILTER('Base Stats'!$C$2:$C1000, LOWER('Base Stats'!$B$2:$B1000) = LOWER($A215)), """")"),"0.9285714286")</f>
        <v>0.9285714286</v>
      </c>
      <c r="K215" s="0" t="str">
        <f aca="false">IF(F215 = H215, C215/G215, "")</f>
        <v/>
      </c>
      <c r="L215" s="0" t="str">
        <f aca="false">IFERROR(__xludf.dummyfunction("IF(AND(NOT(K215 = """"), G215 &gt;= 15),K215/FILTER('Base Stats'!$C$2:$C1000, LOWER('Base Stats'!$B$2:$B1000) = LOWER($A215)), """")"),"0.04421768707")</f>
        <v>0.04421768707</v>
      </c>
      <c r="M215" s="0" t="str">
        <f aca="false">IFERROR(__xludf.dummyfunction("1.15 + 0.02 * FILTER('Base Stats'!$C$2:$C1000, LOWER('Base Stats'!$B$2:$B1000) = LOWER($A215))"),"2.55")</f>
        <v>2.55</v>
      </c>
      <c r="N215" s="0" t="e">
        <f aca="false">IFERROR(IF(AND(NOT(K215 = ""), G215 &gt;= 15),K215/M215, ""))</f>
        <v>#VALUE!</v>
      </c>
    </row>
    <row r="216" customFormat="false" ht="15.75" hidden="false" customHeight="false" outlineLevel="0" collapsed="false">
      <c r="A216" s="8" t="s">
        <v>515</v>
      </c>
      <c r="B216" s="8" t="n">
        <v>306</v>
      </c>
      <c r="C216" s="8" t="n">
        <v>61</v>
      </c>
      <c r="D216" s="8" t="n">
        <v>5.85</v>
      </c>
      <c r="E216" s="8" t="n">
        <v>0.52</v>
      </c>
      <c r="F216" s="8" t="n">
        <v>1000</v>
      </c>
      <c r="G216" s="0" t="str">
        <f aca="false">IFERROR(__xludf.dummyfunction("ROUND(B216/ FILTER('Pokemon CP/HP'!$M$2:$M1000, LOWER('Pokemon CP/HP'!$B$2:$B1000)=LOWER(A216)))"),"19")</f>
        <v>19</v>
      </c>
      <c r="H216" s="0" t="str">
        <f aca="false">IFERROR(__xludf.dummyfunction("FILTER('Leveling Info'!$B$2:$B1000, 'Leveling Info'!$A$2:$A1000 =G216)"),"1000")</f>
        <v>1000</v>
      </c>
      <c r="I216" s="14" t="n">
        <f aca="false">SQRT(G216)</f>
        <v>4.35889894354067</v>
      </c>
      <c r="J216" s="14" t="str">
        <f aca="false">IFERROR(__xludf.dummyfunction("IF(F216 = H216,C216/FILTER('Base Stats'!$C$2:$C1000, LOWER('Base Stats'!$B$2:$B1000) = LOWER($A216)), """")"),"0.8714285714")</f>
        <v>0.8714285714</v>
      </c>
      <c r="K216" s="0" t="str">
        <f aca="false">IF(F216 = H216, C216/G216, "")</f>
        <v/>
      </c>
      <c r="L216" s="0" t="str">
        <f aca="false">IFERROR(__xludf.dummyfunction("IF(AND(NOT(K216 = """"), G216 &gt;= 15),K216/FILTER('Base Stats'!$C$2:$C1000, LOWER('Base Stats'!$B$2:$B1000) = LOWER($A216)), """")"),"0.04586466165")</f>
        <v>0.04586466165</v>
      </c>
      <c r="M216" s="0" t="str">
        <f aca="false">IFERROR(__xludf.dummyfunction("1.15 + 0.02 * FILTER('Base Stats'!$C$2:$C1000, LOWER('Base Stats'!$B$2:$B1000) = LOWER($A216))"),"2.55")</f>
        <v>2.55</v>
      </c>
      <c r="N216" s="0" t="e">
        <f aca="false">IFERROR(IF(AND(NOT(K216 = ""), G216 &gt;= 15),K216/M216, ""))</f>
        <v>#VALUE!</v>
      </c>
    </row>
    <row r="217" customFormat="false" ht="15.75" hidden="false" customHeight="false" outlineLevel="0" collapsed="false">
      <c r="A217" s="8" t="s">
        <v>515</v>
      </c>
      <c r="B217" s="8" t="n">
        <v>107</v>
      </c>
      <c r="C217" s="8" t="n">
        <v>35</v>
      </c>
      <c r="D217" s="8" t="n">
        <v>6.46</v>
      </c>
      <c r="E217" s="8" t="n">
        <v>0.57</v>
      </c>
      <c r="F217" s="8" t="n">
        <v>400</v>
      </c>
      <c r="G217" s="0" t="str">
        <f aca="false">IFERROR(__xludf.dummyfunction("ROUND(B217/ FILTER('Pokemon CP/HP'!$M$2:$M1000, LOWER('Pokemon CP/HP'!$B$2:$B1000)=LOWER(A217)))"),"7")</f>
        <v>7</v>
      </c>
      <c r="H217" s="0" t="str">
        <f aca="false">IFERROR(__xludf.dummyfunction("FILTER('Leveling Info'!$B$2:$B1000, 'Leveling Info'!$A$2:$A1000 =G217)"),"400")</f>
        <v>400</v>
      </c>
      <c r="I217" s="14" t="n">
        <f aca="false">SQRT(G217)</f>
        <v>2.64575131106459</v>
      </c>
      <c r="J217" s="14" t="str">
        <f aca="false">IFERROR(__xludf.dummyfunction("IF(F217 = H217,C217/FILTER('Base Stats'!$C$2:$C1000, LOWER('Base Stats'!$B$2:$B1000) = LOWER($A217)), """")"),"0.5")</f>
        <v>0.5</v>
      </c>
      <c r="K217" s="0" t="str">
        <f aca="false">IF(F217 = H217, C217/G217, "")</f>
        <v/>
      </c>
      <c r="L217" s="0" t="str">
        <f aca="false">IFERROR(__xludf.dummyfunction("IF(AND(NOT(K217 = """"), G217 &gt;= 15),K217/FILTER('Base Stats'!$C$2:$C1000, LOWER('Base Stats'!$B$2:$B1000) = LOWER($A217)), """")"),"")</f>
        <v/>
      </c>
      <c r="M217" s="0" t="str">
        <f aca="false">IFERROR(__xludf.dummyfunction("1.15 + 0.02 * FILTER('Base Stats'!$C$2:$C1000, LOWER('Base Stats'!$B$2:$B1000) = LOWER($A217))"),"2.55")</f>
        <v>2.55</v>
      </c>
      <c r="N217" s="0" t="e">
        <f aca="false">IFERROR(IF(AND(NOT(K217 = ""), G217 &gt;= 15),K217/M217, ""))</f>
        <v>#VALUE!</v>
      </c>
    </row>
    <row r="218" customFormat="false" ht="15.75" hidden="false" customHeight="false" outlineLevel="0" collapsed="false">
      <c r="A218" s="8" t="s">
        <v>516</v>
      </c>
      <c r="B218" s="8" t="n">
        <v>984</v>
      </c>
      <c r="C218" s="8" t="n">
        <v>103</v>
      </c>
      <c r="D218" s="8" t="n">
        <v>38.22</v>
      </c>
      <c r="E218" s="8" t="n">
        <v>1.15</v>
      </c>
      <c r="F218" s="8" t="n">
        <v>1900</v>
      </c>
      <c r="G218" s="0" t="str">
        <f aca="false">IFERROR(__xludf.dummyfunction("ROUND(B218/ FILTER('Pokemon CP/HP'!$M$2:$M1000, LOWER('Pokemon CP/HP'!$B$2:$B1000)=LOWER(A218)))"),"31")</f>
        <v>31</v>
      </c>
      <c r="H218" s="0" t="str">
        <f aca="false">IFERROR(__xludf.dummyfunction("FILTER('Leveling Info'!$B$2:$B1000, 'Leveling Info'!$A$2:$A1000 =G218)"),"1900")</f>
        <v>1900</v>
      </c>
      <c r="I218" s="14" t="n">
        <f aca="false">SQRT(G218)</f>
        <v>5.56776436283002</v>
      </c>
      <c r="J218" s="14" t="str">
        <f aca="false">IFERROR(__xludf.dummyfunction("IF(F218 = H218,C218/FILTER('Base Stats'!$C$2:$C1000, LOWER('Base Stats'!$B$2:$B1000) = LOWER($A218)), """")"),"1.084210526")</f>
        <v>1.084210526</v>
      </c>
      <c r="K218" s="0" t="str">
        <f aca="false">IF(F218 = H218, C218/G218, "")</f>
        <v/>
      </c>
      <c r="L218" s="0" t="str">
        <f aca="false">IFERROR(__xludf.dummyfunction("IF(AND(NOT(K218 = """"), G218 &gt;= 15),K218/FILTER('Base Stats'!$C$2:$C1000, LOWER('Base Stats'!$B$2:$B1000) = LOWER($A218)), """")"),"0.03497453311")</f>
        <v>0.03497453311</v>
      </c>
      <c r="M218" s="0" t="str">
        <f aca="false">IFERROR(__xludf.dummyfunction("1.15 + 0.02 * FILTER('Base Stats'!$C$2:$C1000, LOWER('Base Stats'!$B$2:$B1000) = LOWER($A218))"),"3.05")</f>
        <v>3.05</v>
      </c>
      <c r="N218" s="0" t="e">
        <f aca="false">IFERROR(IF(AND(NOT(K218 = ""), G218 &gt;= 15),K218/M218, ""))</f>
        <v>#VALUE!</v>
      </c>
    </row>
    <row r="219" customFormat="false" ht="15.75" hidden="false" customHeight="false" outlineLevel="0" collapsed="false">
      <c r="A219" s="8" t="s">
        <v>517</v>
      </c>
      <c r="B219" s="8" t="n">
        <v>279</v>
      </c>
      <c r="C219" s="8" t="n">
        <v>39</v>
      </c>
      <c r="D219" s="8" t="n">
        <v>6.89</v>
      </c>
      <c r="E219" s="8" t="n">
        <v>0.56</v>
      </c>
      <c r="F219" s="8" t="n">
        <v>1600</v>
      </c>
      <c r="G219" s="0" t="str">
        <f aca="false">IFERROR(__xludf.dummyfunction("ROUND(B219/ FILTER('Pokemon CP/HP'!$M$2:$M1000, LOWER('Pokemon CP/HP'!$B$2:$B1000)=LOWER(A219)))"),"23")</f>
        <v>23</v>
      </c>
      <c r="H219" s="0" t="str">
        <f aca="false">IFERROR(__xludf.dummyfunction("FILTER('Leveling Info'!$B$2:$B1000, 'Leveling Info'!$A$2:$A1000 =G219)"),"1300")</f>
        <v>1300</v>
      </c>
      <c r="I219" s="14" t="n">
        <f aca="false">SQRT(G219)</f>
        <v>4.79583152331272</v>
      </c>
      <c r="J219" s="14" t="str">
        <f aca="false">IFERROR(__xludf.dummyfunction("IF(F219 = H219,C219/FILTER('Base Stats'!$C$2:$C1000, LOWER('Base Stats'!$B$2:$B1000) = LOWER($A219)), """")"),"")</f>
        <v/>
      </c>
      <c r="K219" s="0" t="str">
        <f aca="false">IF(F219 = H219, C219/G219, "")</f>
        <v/>
      </c>
      <c r="L219" s="0" t="str">
        <f aca="false">IFERROR(__xludf.dummyfunction("IF(AND(NOT(K219 = """"), G219 &gt;= 15),K219/FILTER('Base Stats'!$C$2:$C1000, LOWER('Base Stats'!$B$2:$B1000) = LOWER($A219)), """")"),"")</f>
        <v/>
      </c>
      <c r="M219" s="0" t="str">
        <f aca="false">IFERROR(__xludf.dummyfunction("1.15 + 0.02 * FILTER('Base Stats'!$C$2:$C1000, LOWER('Base Stats'!$B$2:$B1000) = LOWER($A219))"),"1.91")</f>
        <v>1.91</v>
      </c>
      <c r="N219" s="0" t="e">
        <f aca="false">IFERROR(IF(AND(NOT(K219 = ""), G219 &gt;= 15),K219/M219, ""))</f>
        <v>#VALUE!</v>
      </c>
    </row>
    <row r="220" customFormat="false" ht="15.75" hidden="false" customHeight="false" outlineLevel="0" collapsed="false">
      <c r="A220" s="8" t="s">
        <v>517</v>
      </c>
      <c r="B220" s="8" t="n">
        <v>56</v>
      </c>
      <c r="C220" s="8" t="n">
        <v>18</v>
      </c>
      <c r="D220" s="8" t="n">
        <v>8.59</v>
      </c>
      <c r="E220" s="8" t="n">
        <v>0.55</v>
      </c>
      <c r="F220" s="8" t="n">
        <v>400</v>
      </c>
      <c r="G220" s="0" t="str">
        <f aca="false">IFERROR(__xludf.dummyfunction("ROUND(B220/ FILTER('Pokemon CP/HP'!$M$2:$M1000, LOWER('Pokemon CP/HP'!$B$2:$B1000)=LOWER(A220)))"),"5")</f>
        <v>5</v>
      </c>
      <c r="H220" s="0" t="str">
        <f aca="false">IFERROR(__xludf.dummyfunction("FILTER('Leveling Info'!$B$2:$B1000, 'Leveling Info'!$A$2:$A1000 =G220)"),"400")</f>
        <v>400</v>
      </c>
      <c r="I220" s="14" t="n">
        <f aca="false">SQRT(G220)</f>
        <v>2.23606797749979</v>
      </c>
      <c r="J220" s="14" t="str">
        <f aca="false">IFERROR(__xludf.dummyfunction("IF(F220 = H220,C220/FILTER('Base Stats'!$C$2:$C1000, LOWER('Base Stats'!$B$2:$B1000) = LOWER($A220)), """")"),"0.4736842105")</f>
        <v>0.4736842105</v>
      </c>
      <c r="K220" s="0" t="str">
        <f aca="false">IF(F220 = H220, C220/G220, "")</f>
        <v/>
      </c>
      <c r="L220" s="0" t="str">
        <f aca="false">IFERROR(__xludf.dummyfunction("IF(AND(NOT(K220 = """"), G220 &gt;= 15),K220/FILTER('Base Stats'!$C$2:$C1000, LOWER('Base Stats'!$B$2:$B1000) = LOWER($A220)), """")"),"")</f>
        <v/>
      </c>
      <c r="M220" s="0" t="str">
        <f aca="false">IFERROR(__xludf.dummyfunction("1.15 + 0.02 * FILTER('Base Stats'!$C$2:$C1000, LOWER('Base Stats'!$B$2:$B1000) = LOWER($A220))"),"1.91")</f>
        <v>1.91</v>
      </c>
      <c r="N220" s="0" t="e">
        <f aca="false">IFERROR(IF(AND(NOT(K220 = ""), G220 &gt;= 15),K220/M220, ""))</f>
        <v>#VALUE!</v>
      </c>
    </row>
    <row r="221" customFormat="false" ht="15.75" hidden="false" customHeight="false" outlineLevel="0" collapsed="false">
      <c r="A221" s="8" t="s">
        <v>518</v>
      </c>
      <c r="B221" s="8" t="n">
        <v>288</v>
      </c>
      <c r="C221" s="8" t="n">
        <v>113</v>
      </c>
      <c r="D221" s="8" t="n">
        <v>2.75</v>
      </c>
      <c r="E221" s="8" t="n">
        <v>0.31</v>
      </c>
      <c r="F221" s="8" t="n">
        <v>1300</v>
      </c>
      <c r="G221" s="0" t="str">
        <f aca="false">IFERROR(__xludf.dummyfunction("ROUND(B221/ FILTER('Pokemon CP/HP'!$M$2:$M1000, LOWER('Pokemon CP/HP'!$B$2:$B1000)=LOWER(A221)))"),"26")</f>
        <v>26</v>
      </c>
      <c r="H221" s="0" t="str">
        <f aca="false">IFERROR(__xludf.dummyfunction("FILTER('Leveling Info'!$B$2:$B1000, 'Leveling Info'!$A$2:$A1000 =G221)"),"1600")</f>
        <v>1600</v>
      </c>
      <c r="I221" s="14" t="n">
        <f aca="false">SQRT(G221)</f>
        <v>5.09901951359278</v>
      </c>
      <c r="J221" s="14" t="str">
        <f aca="false">IFERROR(__xludf.dummyfunction("IF(F221 = H221,C221/FILTER('Base Stats'!$C$2:$C1000, LOWER('Base Stats'!$B$2:$B1000) = LOWER($A221)), """")"),"")</f>
        <v/>
      </c>
      <c r="K221" s="0" t="str">
        <f aca="false">IF(F221 = H221, C221/G221, "")</f>
        <v/>
      </c>
      <c r="L221" s="0" t="str">
        <f aca="false">IFERROR(__xludf.dummyfunction("IF(AND(NOT(K221 = """"), G221 &gt;= 15),K221/FILTER('Base Stats'!$C$2:$C1000, LOWER('Base Stats'!$B$2:$B1000) = LOWER($A221)), """")"),"")</f>
        <v/>
      </c>
      <c r="M221" s="0" t="str">
        <f aca="false">IFERROR(__xludf.dummyfunction("1.15 + 0.02 * FILTER('Base Stats'!$C$2:$C1000, LOWER('Base Stats'!$B$2:$B1000) = LOWER($A221))"),"3.45")</f>
        <v>3.45</v>
      </c>
      <c r="N221" s="0" t="e">
        <f aca="false">IFERROR(IF(AND(NOT(K221 = ""), G221 &gt;= 15),K221/M221, ""))</f>
        <v>#VALUE!</v>
      </c>
    </row>
    <row r="222" customFormat="false" ht="15.75" hidden="false" customHeight="false" outlineLevel="0" collapsed="false">
      <c r="A222" s="8" t="s">
        <v>518</v>
      </c>
      <c r="B222" s="8" t="n">
        <v>195</v>
      </c>
      <c r="C222" s="8" t="n">
        <v>95</v>
      </c>
      <c r="D222" s="8" t="n">
        <v>5.95</v>
      </c>
      <c r="E222" s="8" t="n">
        <v>0.49</v>
      </c>
      <c r="F222" s="8" t="n">
        <v>1000</v>
      </c>
      <c r="G222" s="0" t="str">
        <f aca="false">IFERROR(__xludf.dummyfunction("ROUND(B222/ FILTER('Pokemon CP/HP'!$M$2:$M1000, LOWER('Pokemon CP/HP'!$B$2:$B1000)=LOWER(A222)))"),"18")</f>
        <v>18</v>
      </c>
      <c r="H222" s="0" t="str">
        <f aca="false">IFERROR(__xludf.dummyfunction("FILTER('Leveling Info'!$B$2:$B1000, 'Leveling Info'!$A$2:$A1000 =G222)"),"1000")</f>
        <v>1000</v>
      </c>
      <c r="I222" s="14" t="n">
        <f aca="false">SQRT(G222)</f>
        <v>4.24264068711929</v>
      </c>
      <c r="J222" s="14" t="str">
        <f aca="false">IFERROR(__xludf.dummyfunction("IF(F222 = H222,C222/FILTER('Base Stats'!$C$2:$C1000, LOWER('Base Stats'!$B$2:$B1000) = LOWER($A222)), """")"),"0.8260869565")</f>
        <v>0.8260869565</v>
      </c>
      <c r="K222" s="0" t="str">
        <f aca="false">IF(F222 = H222, C222/G222, "")</f>
        <v/>
      </c>
      <c r="L222" s="0" t="str">
        <f aca="false">IFERROR(__xludf.dummyfunction("IF(AND(NOT(K222 = """"), G222 &gt;= 15),K222/FILTER('Base Stats'!$C$2:$C1000, LOWER('Base Stats'!$B$2:$B1000) = LOWER($A222)), """")"),"0.04589371981")</f>
        <v>0.04589371981</v>
      </c>
      <c r="M222" s="0" t="str">
        <f aca="false">IFERROR(__xludf.dummyfunction("1.15 + 0.02 * FILTER('Base Stats'!$C$2:$C1000, LOWER('Base Stats'!$B$2:$B1000) = LOWER($A222))"),"3.45")</f>
        <v>3.45</v>
      </c>
      <c r="N222" s="0" t="e">
        <f aca="false">IFERROR(IF(AND(NOT(K222 = ""), G222 &gt;= 15),K222/M222, ""))</f>
        <v>#VALUE!</v>
      </c>
    </row>
    <row r="223" customFormat="false" ht="15.75" hidden="false" customHeight="false" outlineLevel="0" collapsed="false">
      <c r="A223" s="8" t="s">
        <v>518</v>
      </c>
      <c r="B223" s="8" t="n">
        <v>147</v>
      </c>
      <c r="C223" s="8" t="n">
        <v>83</v>
      </c>
      <c r="D223" s="8" t="n">
        <v>6.72</v>
      </c>
      <c r="E223" s="8" t="n">
        <v>0.56</v>
      </c>
      <c r="F223" s="8" t="n">
        <v>800</v>
      </c>
      <c r="G223" s="0" t="str">
        <f aca="false">IFERROR(__xludf.dummyfunction("ROUND(B223/ FILTER('Pokemon CP/HP'!$M$2:$M1000, LOWER('Pokemon CP/HP'!$B$2:$B1000)=LOWER(A223)))"),"13")</f>
        <v>13</v>
      </c>
      <c r="H223" s="0" t="str">
        <f aca="false">IFERROR(__xludf.dummyfunction("FILTER('Leveling Info'!$B$2:$B1000, 'Leveling Info'!$A$2:$A1000 =G223)"),"800")</f>
        <v>800</v>
      </c>
      <c r="I223" s="14" t="n">
        <f aca="false">SQRT(G223)</f>
        <v>3.60555127546399</v>
      </c>
      <c r="J223" s="14" t="str">
        <f aca="false">IFERROR(__xludf.dummyfunction("IF(F223 = H223,C223/FILTER('Base Stats'!$C$2:$C1000, LOWER('Base Stats'!$B$2:$B1000) = LOWER($A223)), """")"),"0.7217391304")</f>
        <v>0.7217391304</v>
      </c>
      <c r="K223" s="0" t="str">
        <f aca="false">IF(F223 = H223, C223/G223, "")</f>
        <v/>
      </c>
      <c r="L223" s="0" t="str">
        <f aca="false">IFERROR(__xludf.dummyfunction("IF(AND(NOT(K223 = """"), G223 &gt;= 15),K223/FILTER('Base Stats'!$C$2:$C1000, LOWER('Base Stats'!$B$2:$B1000) = LOWER($A223)), """")"),"")</f>
        <v/>
      </c>
      <c r="M223" s="0" t="str">
        <f aca="false">IFERROR(__xludf.dummyfunction("1.15 + 0.02 * FILTER('Base Stats'!$C$2:$C1000, LOWER('Base Stats'!$B$2:$B1000) = LOWER($A223))"),"3.45")</f>
        <v>3.45</v>
      </c>
      <c r="N223" s="0" t="e">
        <f aca="false">IFERROR(IF(AND(NOT(K223 = ""), G223 &gt;= 15),K223/M223, ""))</f>
        <v>#VALUE!</v>
      </c>
    </row>
    <row r="224" customFormat="false" ht="15.75" hidden="false" customHeight="false" outlineLevel="0" collapsed="false">
      <c r="A224" s="8" t="s">
        <v>518</v>
      </c>
      <c r="B224" s="8" t="n">
        <v>103</v>
      </c>
      <c r="C224" s="8" t="n">
        <v>69</v>
      </c>
      <c r="D224" s="8" t="n">
        <v>3.36</v>
      </c>
      <c r="E224" s="8" t="n">
        <v>0.41</v>
      </c>
      <c r="F224" s="8" t="n">
        <v>600</v>
      </c>
      <c r="G224" s="0" t="str">
        <f aca="false">IFERROR(__xludf.dummyfunction("ROUND(B224/ FILTER('Pokemon CP/HP'!$M$2:$M1000, LOWER('Pokemon CP/HP'!$B$2:$B1000)=LOWER(A224)))"),"9")</f>
        <v>9</v>
      </c>
      <c r="H224" s="0" t="str">
        <f aca="false">IFERROR(__xludf.dummyfunction("FILTER('Leveling Info'!$B$2:$B1000, 'Leveling Info'!$A$2:$A1000 =G224)"),"600")</f>
        <v>600</v>
      </c>
      <c r="I224" s="14" t="n">
        <f aca="false">SQRT(G224)</f>
        <v>3</v>
      </c>
      <c r="J224" s="14" t="str">
        <f aca="false">IFERROR(__xludf.dummyfunction("IF(F224 = H224,C224/FILTER('Base Stats'!$C$2:$C1000, LOWER('Base Stats'!$B$2:$B1000) = LOWER($A224)), """")"),"0.6")</f>
        <v>0.6</v>
      </c>
      <c r="K224" s="0" t="str">
        <f aca="false">IF(F224 = H224, C224/G224, "")</f>
        <v/>
      </c>
      <c r="L224" s="0" t="str">
        <f aca="false">IFERROR(__xludf.dummyfunction("IF(AND(NOT(K224 = """"), G224 &gt;= 15),K224/FILTER('Base Stats'!$C$2:$C1000, LOWER('Base Stats'!$B$2:$B1000) = LOWER($A224)), """")"),"")</f>
        <v/>
      </c>
      <c r="M224" s="0" t="str">
        <f aca="false">IFERROR(__xludf.dummyfunction("1.15 + 0.02 * FILTER('Base Stats'!$C$2:$C1000, LOWER('Base Stats'!$B$2:$B1000) = LOWER($A224))"),"3.45")</f>
        <v>3.45</v>
      </c>
      <c r="N224" s="0" t="e">
        <f aca="false">IFERROR(IF(AND(NOT(K224 = ""), G224 &gt;= 15),K224/M224, ""))</f>
        <v>#VALUE!</v>
      </c>
    </row>
    <row r="225" customFormat="false" ht="15.75" hidden="false" customHeight="false" outlineLevel="0" collapsed="false">
      <c r="A225" s="8" t="s">
        <v>518</v>
      </c>
      <c r="B225" s="8" t="n">
        <v>79</v>
      </c>
      <c r="C225" s="8" t="n">
        <v>58</v>
      </c>
      <c r="D225" s="8" t="n">
        <v>6.83</v>
      </c>
      <c r="E225" s="8" t="n">
        <v>0.55</v>
      </c>
      <c r="F225" s="8" t="n">
        <v>400</v>
      </c>
      <c r="G225" s="0" t="str">
        <f aca="false">IFERROR(__xludf.dummyfunction("ROUND(B225/ FILTER('Pokemon CP/HP'!$M$2:$M1000, LOWER('Pokemon CP/HP'!$B$2:$B1000)=LOWER(A225)))"),"7")</f>
        <v>7</v>
      </c>
      <c r="H225" s="0" t="str">
        <f aca="false">IFERROR(__xludf.dummyfunction("FILTER('Leveling Info'!$B$2:$B1000, 'Leveling Info'!$A$2:$A1000 =G225)"),"400")</f>
        <v>400</v>
      </c>
      <c r="I225" s="14" t="n">
        <f aca="false">SQRT(G225)</f>
        <v>2.64575131106459</v>
      </c>
      <c r="J225" s="14" t="str">
        <f aca="false">IFERROR(__xludf.dummyfunction("IF(F225 = H225,C225/FILTER('Base Stats'!$C$2:$C1000, LOWER('Base Stats'!$B$2:$B1000) = LOWER($A225)), """")"),"0.5043478261")</f>
        <v>0.5043478261</v>
      </c>
      <c r="K225" s="0" t="str">
        <f aca="false">IF(F225 = H225, C225/G225, "")</f>
        <v/>
      </c>
      <c r="L225" s="0" t="str">
        <f aca="false">IFERROR(__xludf.dummyfunction("IF(AND(NOT(K225 = """"), G225 &gt;= 15),K225/FILTER('Base Stats'!$C$2:$C1000, LOWER('Base Stats'!$B$2:$B1000) = LOWER($A225)), """")"),"")</f>
        <v/>
      </c>
      <c r="M225" s="0" t="str">
        <f aca="false">IFERROR(__xludf.dummyfunction("1.15 + 0.02 * FILTER('Base Stats'!$C$2:$C1000, LOWER('Base Stats'!$B$2:$B1000) = LOWER($A225))"),"3.45")</f>
        <v>3.45</v>
      </c>
      <c r="N225" s="0" t="e">
        <f aca="false">IFERROR(IF(AND(NOT(K225 = ""), G225 &gt;= 15),K225/M225, ""))</f>
        <v>#VALUE!</v>
      </c>
    </row>
    <row r="226" customFormat="false" ht="15.75" hidden="false" customHeight="false" outlineLevel="0" collapsed="false">
      <c r="A226" s="8" t="s">
        <v>519</v>
      </c>
      <c r="B226" s="8" t="n">
        <v>235</v>
      </c>
      <c r="C226" s="8" t="n">
        <v>45</v>
      </c>
      <c r="D226" s="8" t="n">
        <v>5.76</v>
      </c>
      <c r="E226" s="8" t="n">
        <v>0.75</v>
      </c>
      <c r="F226" s="8" t="n">
        <v>1600</v>
      </c>
      <c r="G226" s="0" t="str">
        <f aca="false">IFERROR(__xludf.dummyfunction("ROUND(B226/ FILTER('Pokemon CP/HP'!$M$2:$M1000, LOWER('Pokemon CP/HP'!$B$2:$B1000)=LOWER(A226)))"),"28")</f>
        <v>28</v>
      </c>
      <c r="H226" s="0" t="str">
        <f aca="false">IFERROR(__xludf.dummyfunction("FILTER('Leveling Info'!$B$2:$B1000, 'Leveling Info'!$A$2:$A1000 =G226)"),"1600")</f>
        <v>1600</v>
      </c>
      <c r="I226" s="14" t="n">
        <f aca="false">SQRT(G226)</f>
        <v>5.29150262212918</v>
      </c>
      <c r="J226" s="14" t="str">
        <f aca="false">IFERROR(__xludf.dummyfunction("IF(F226 = H226,C226/FILTER('Base Stats'!$C$2:$C1000, LOWER('Base Stats'!$B$2:$B1000) = LOWER($A226)), """")"),"1.125")</f>
        <v>1.125</v>
      </c>
      <c r="K226" s="0" t="str">
        <f aca="false">IF(F226 = H226, C226/G226, "")</f>
        <v/>
      </c>
      <c r="L226" s="0" t="str">
        <f aca="false">IFERROR(__xludf.dummyfunction("IF(AND(NOT(K226 = """"), G226 &gt;= 15),K226/FILTER('Base Stats'!$C$2:$C1000, LOWER('Base Stats'!$B$2:$B1000) = LOWER($A226)), """")"),"0.04017857143")</f>
        <v>0.04017857143</v>
      </c>
      <c r="M226" s="0" t="str">
        <f aca="false">IFERROR(__xludf.dummyfunction("1.15 + 0.02 * FILTER('Base Stats'!$C$2:$C1000, LOWER('Base Stats'!$B$2:$B1000) = LOWER($A226))"),"1.95")</f>
        <v>1.95</v>
      </c>
      <c r="N226" s="0" t="e">
        <f aca="false">IFERROR(IF(AND(NOT(K226 = ""), G226 &gt;= 15),K226/M226, ""))</f>
        <v>#VALUE!</v>
      </c>
    </row>
    <row r="227" customFormat="false" ht="15.75" hidden="false" customHeight="false" outlineLevel="0" collapsed="false">
      <c r="A227" s="8" t="s">
        <v>519</v>
      </c>
      <c r="B227" s="8" t="n">
        <v>170</v>
      </c>
      <c r="C227" s="8" t="n">
        <v>37</v>
      </c>
      <c r="D227" s="8" t="n">
        <v>7.15</v>
      </c>
      <c r="E227" s="8" t="n">
        <v>0.76</v>
      </c>
      <c r="F227" s="8" t="n">
        <v>1000</v>
      </c>
      <c r="G227" s="0" t="str">
        <f aca="false">IFERROR(__xludf.dummyfunction("ROUND(B227/ FILTER('Pokemon CP/HP'!$M$2:$M1000, LOWER('Pokemon CP/HP'!$B$2:$B1000)=LOWER(A227)))"),"20")</f>
        <v>20</v>
      </c>
      <c r="H227" s="0" t="str">
        <f aca="false">IFERROR(__xludf.dummyfunction("FILTER('Leveling Info'!$B$2:$B1000, 'Leveling Info'!$A$2:$A1000 =G227)"),"1000")</f>
        <v>1000</v>
      </c>
      <c r="I227" s="14" t="n">
        <f aca="false">SQRT(G227)</f>
        <v>4.47213595499958</v>
      </c>
      <c r="J227" s="14" t="str">
        <f aca="false">IFERROR(__xludf.dummyfunction("IF(F227 = H227,C227/FILTER('Base Stats'!$C$2:$C1000, LOWER('Base Stats'!$B$2:$B1000) = LOWER($A227)), """")"),"0.925")</f>
        <v>0.925</v>
      </c>
      <c r="K227" s="0" t="str">
        <f aca="false">IF(F227 = H227, C227/G227, "")</f>
        <v/>
      </c>
      <c r="L227" s="0" t="str">
        <f aca="false">IFERROR(__xludf.dummyfunction("IF(AND(NOT(K227 = """"), G227 &gt;= 15),K227/FILTER('Base Stats'!$C$2:$C1000, LOWER('Base Stats'!$B$2:$B1000) = LOWER($A227)), """")"),"0.04625")</f>
        <v>0.04625</v>
      </c>
      <c r="M227" s="0" t="str">
        <f aca="false">IFERROR(__xludf.dummyfunction("1.15 + 0.02 * FILTER('Base Stats'!$C$2:$C1000, LOWER('Base Stats'!$B$2:$B1000) = LOWER($A227))"),"1.95")</f>
        <v>1.95</v>
      </c>
      <c r="N227" s="0" t="e">
        <f aca="false">IFERROR(IF(AND(NOT(K227 = ""), G227 &gt;= 15),K227/M227, ""))</f>
        <v>#VALUE!</v>
      </c>
    </row>
    <row r="228" customFormat="false" ht="15.75" hidden="false" customHeight="false" outlineLevel="0" collapsed="false">
      <c r="A228" s="8" t="s">
        <v>519</v>
      </c>
      <c r="B228" s="8" t="n">
        <v>160</v>
      </c>
      <c r="C228" s="8" t="n">
        <v>38</v>
      </c>
      <c r="D228" s="8" t="n">
        <v>7.91</v>
      </c>
      <c r="E228" s="8" t="n">
        <v>0.77</v>
      </c>
      <c r="F228" s="8" t="n">
        <v>1000</v>
      </c>
      <c r="G228" s="0" t="str">
        <f aca="false">IFERROR(__xludf.dummyfunction("ROUND(B228/ FILTER('Pokemon CP/HP'!$M$2:$M1000, LOWER('Pokemon CP/HP'!$B$2:$B1000)=LOWER(A228)))"),"19")</f>
        <v>19</v>
      </c>
      <c r="H228" s="0" t="str">
        <f aca="false">IFERROR(__xludf.dummyfunction("FILTER('Leveling Info'!$B$2:$B1000, 'Leveling Info'!$A$2:$A1000 =G228)"),"1000")</f>
        <v>1000</v>
      </c>
      <c r="I228" s="14" t="n">
        <f aca="false">SQRT(G228)</f>
        <v>4.35889894354067</v>
      </c>
      <c r="J228" s="14" t="str">
        <f aca="false">IFERROR(__xludf.dummyfunction("IF(F228 = H228,C228/FILTER('Base Stats'!$C$2:$C1000, LOWER('Base Stats'!$B$2:$B1000) = LOWER($A228)), """")"),"0.95")</f>
        <v>0.95</v>
      </c>
      <c r="K228" s="0" t="str">
        <f aca="false">IF(F228 = H228, C228/G228, "")</f>
        <v/>
      </c>
      <c r="L228" s="0" t="str">
        <f aca="false">IFERROR(__xludf.dummyfunction("IF(AND(NOT(K228 = """"), G228 &gt;= 15),K228/FILTER('Base Stats'!$C$2:$C1000, LOWER('Base Stats'!$B$2:$B1000) = LOWER($A228)), """")"),"0.05")</f>
        <v>0.05</v>
      </c>
      <c r="M228" s="0" t="str">
        <f aca="false">IFERROR(__xludf.dummyfunction("1.15 + 0.02 * FILTER('Base Stats'!$C$2:$C1000, LOWER('Base Stats'!$B$2:$B1000) = LOWER($A228))"),"1.95")</f>
        <v>1.95</v>
      </c>
      <c r="N228" s="0" t="e">
        <f aca="false">IFERROR(IF(AND(NOT(K228 = ""), G228 &gt;= 15),K228/M228, ""))</f>
        <v>#VALUE!</v>
      </c>
    </row>
    <row r="229" customFormat="false" ht="15.75" hidden="false" customHeight="false" outlineLevel="0" collapsed="false">
      <c r="A229" s="8" t="s">
        <v>519</v>
      </c>
      <c r="B229" s="8" t="n">
        <v>158</v>
      </c>
      <c r="C229" s="8" t="n">
        <v>37</v>
      </c>
      <c r="D229" s="8" t="n">
        <v>12.67</v>
      </c>
      <c r="E229" s="8" t="n">
        <v>1.05</v>
      </c>
      <c r="F229" s="8" t="n">
        <v>1000</v>
      </c>
      <c r="G229" s="0" t="str">
        <f aca="false">IFERROR(__xludf.dummyfunction("ROUND(B229/ FILTER('Pokemon CP/HP'!$M$2:$M1000, LOWER('Pokemon CP/HP'!$B$2:$B1000)=LOWER(A229)))"),"19")</f>
        <v>19</v>
      </c>
      <c r="H229" s="0" t="str">
        <f aca="false">IFERROR(__xludf.dummyfunction("FILTER('Leveling Info'!$B$2:$B1000, 'Leveling Info'!$A$2:$A1000 =G229)"),"1000")</f>
        <v>1000</v>
      </c>
      <c r="I229" s="14" t="n">
        <f aca="false">SQRT(G229)</f>
        <v>4.35889894354067</v>
      </c>
      <c r="J229" s="14" t="str">
        <f aca="false">IFERROR(__xludf.dummyfunction("IF(F229 = H229,C229/FILTER('Base Stats'!$C$2:$C1000, LOWER('Base Stats'!$B$2:$B1000) = LOWER($A229)), """")"),"0.925")</f>
        <v>0.925</v>
      </c>
      <c r="K229" s="0" t="str">
        <f aca="false">IF(F229 = H229, C229/G229, "")</f>
        <v/>
      </c>
      <c r="L229" s="0" t="str">
        <f aca="false">IFERROR(__xludf.dummyfunction("IF(AND(NOT(K229 = """"), G229 &gt;= 15),K229/FILTER('Base Stats'!$C$2:$C1000, LOWER('Base Stats'!$B$2:$B1000) = LOWER($A229)), """")"),"0.04868421053")</f>
        <v>0.04868421053</v>
      </c>
      <c r="M229" s="0" t="str">
        <f aca="false">IFERROR(__xludf.dummyfunction("1.15 + 0.02 * FILTER('Base Stats'!$C$2:$C1000, LOWER('Base Stats'!$B$2:$B1000) = LOWER($A229))"),"1.95")</f>
        <v>1.95</v>
      </c>
      <c r="N229" s="0" t="e">
        <f aca="false">IFERROR(IF(AND(NOT(K229 = ""), G229 &gt;= 15),K229/M229, ""))</f>
        <v>#VALUE!</v>
      </c>
    </row>
    <row r="230" customFormat="false" ht="15.75" hidden="false" customHeight="false" outlineLevel="0" collapsed="false">
      <c r="A230" s="8" t="s">
        <v>519</v>
      </c>
      <c r="B230" s="8" t="n">
        <v>129</v>
      </c>
      <c r="C230" s="8" t="n">
        <v>34</v>
      </c>
      <c r="D230" s="8" t="n">
        <v>4.96</v>
      </c>
      <c r="E230" s="8" t="n">
        <v>0.63</v>
      </c>
      <c r="F230" s="8" t="n">
        <v>800</v>
      </c>
      <c r="G230" s="0" t="str">
        <f aca="false">IFERROR(__xludf.dummyfunction("ROUND(B230/ FILTER('Pokemon CP/HP'!$M$2:$M1000, LOWER('Pokemon CP/HP'!$B$2:$B1000)=LOWER(A230)))"),"15")</f>
        <v>15</v>
      </c>
      <c r="H230" s="0" t="str">
        <f aca="false">IFERROR(__xludf.dummyfunction("FILTER('Leveling Info'!$B$2:$B1000, 'Leveling Info'!$A$2:$A1000 =G230)"),"800")</f>
        <v>800</v>
      </c>
      <c r="I230" s="14" t="n">
        <f aca="false">SQRT(G230)</f>
        <v>3.87298334620742</v>
      </c>
      <c r="J230" s="14" t="str">
        <f aca="false">IFERROR(__xludf.dummyfunction("IF(F230 = H230,C230/FILTER('Base Stats'!$C$2:$C1000, LOWER('Base Stats'!$B$2:$B1000) = LOWER($A230)), """")"),"0.85")</f>
        <v>0.85</v>
      </c>
      <c r="K230" s="0" t="str">
        <f aca="false">IF(F230 = H230, C230/G230, "")</f>
        <v/>
      </c>
      <c r="L230" s="0" t="str">
        <f aca="false">IFERROR(__xludf.dummyfunction("IF(AND(NOT(K230 = """"), G230 &gt;= 15),K230/FILTER('Base Stats'!$C$2:$C1000, LOWER('Base Stats'!$B$2:$B1000) = LOWER($A230)), """")"),"0.05666666667")</f>
        <v>0.05666666667</v>
      </c>
      <c r="M230" s="0" t="str">
        <f aca="false">IFERROR(__xludf.dummyfunction("1.15 + 0.02 * FILTER('Base Stats'!$C$2:$C1000, LOWER('Base Stats'!$B$2:$B1000) = LOWER($A230))"),"1.95")</f>
        <v>1.95</v>
      </c>
      <c r="N230" s="0" t="e">
        <f aca="false">IFERROR(IF(AND(NOT(K230 = ""), G230 &gt;= 15),K230/M230, ""))</f>
        <v>#VALUE!</v>
      </c>
    </row>
    <row r="231" customFormat="false" ht="15.75" hidden="false" customHeight="false" outlineLevel="0" collapsed="false">
      <c r="A231" s="8" t="s">
        <v>519</v>
      </c>
      <c r="B231" s="8" t="n">
        <v>103</v>
      </c>
      <c r="C231" s="8" t="n">
        <v>29</v>
      </c>
      <c r="D231" s="8" t="n">
        <v>6.56</v>
      </c>
      <c r="E231" s="8" t="n">
        <v>0.69</v>
      </c>
      <c r="F231" s="8" t="n">
        <v>800</v>
      </c>
      <c r="G231" s="0" t="str">
        <f aca="false">IFERROR(__xludf.dummyfunction("ROUND(B231/ FILTER('Pokemon CP/HP'!$M$2:$M1000, LOWER('Pokemon CP/HP'!$B$2:$B1000)=LOWER(A231)))"),"12")</f>
        <v>12</v>
      </c>
      <c r="H231" s="0" t="str">
        <f aca="false">IFERROR(__xludf.dummyfunction("FILTER('Leveling Info'!$B$2:$B1000, 'Leveling Info'!$A$2:$A1000 =G231)"),"600")</f>
        <v>600</v>
      </c>
      <c r="I231" s="14" t="n">
        <f aca="false">SQRT(G231)</f>
        <v>3.46410161513775</v>
      </c>
      <c r="J231" s="14" t="str">
        <f aca="false">IFERROR(__xludf.dummyfunction("IF(F231 = H231,C231/FILTER('Base Stats'!$C$2:$C1000, LOWER('Base Stats'!$B$2:$B1000) = LOWER($A231)), """")"),"")</f>
        <v/>
      </c>
      <c r="K231" s="0" t="str">
        <f aca="false">IF(F231 = H231, C231/G231, "")</f>
        <v/>
      </c>
      <c r="L231" s="0" t="str">
        <f aca="false">IFERROR(__xludf.dummyfunction("IF(AND(NOT(K231 = """"), G231 &gt;= 15),K231/FILTER('Base Stats'!$C$2:$C1000, LOWER('Base Stats'!$B$2:$B1000) = LOWER($A231)), """")"),"")</f>
        <v/>
      </c>
      <c r="M231" s="0" t="str">
        <f aca="false">IFERROR(__xludf.dummyfunction("1.15 + 0.02 * FILTER('Base Stats'!$C$2:$C1000, LOWER('Base Stats'!$B$2:$B1000) = LOWER($A231))"),"1.95")</f>
        <v>1.95</v>
      </c>
      <c r="N231" s="0" t="e">
        <f aca="false">IFERROR(IF(AND(NOT(K231 = ""), G231 &gt;= 15),K231/M231, ""))</f>
        <v>#VALUE!</v>
      </c>
    </row>
    <row r="232" customFormat="false" ht="15.75" hidden="false" customHeight="false" outlineLevel="0" collapsed="false">
      <c r="A232" s="8" t="s">
        <v>519</v>
      </c>
      <c r="B232" s="8" t="n">
        <v>96</v>
      </c>
      <c r="C232" s="8" t="n">
        <v>28</v>
      </c>
      <c r="D232" s="8" t="n">
        <v>5</v>
      </c>
      <c r="E232" s="8" t="n">
        <v>0.7</v>
      </c>
      <c r="F232" s="8" t="n">
        <v>600</v>
      </c>
      <c r="G232" s="0" t="str">
        <f aca="false">IFERROR(__xludf.dummyfunction("ROUND(B232/ FILTER('Pokemon CP/HP'!$M$2:$M1000, LOWER('Pokemon CP/HP'!$B$2:$B1000)=LOWER(A232)))"),"11")</f>
        <v>11</v>
      </c>
      <c r="H232" s="0" t="str">
        <f aca="false">IFERROR(__xludf.dummyfunction("FILTER('Leveling Info'!$B$2:$B1000, 'Leveling Info'!$A$2:$A1000 =G232)"),"600")</f>
        <v>600</v>
      </c>
      <c r="I232" s="14" t="n">
        <f aca="false">SQRT(G232)</f>
        <v>3.3166247903554</v>
      </c>
      <c r="J232" s="14" t="str">
        <f aca="false">IFERROR(__xludf.dummyfunction("IF(F232 = H232,C232/FILTER('Base Stats'!$C$2:$C1000, LOWER('Base Stats'!$B$2:$B1000) = LOWER($A232)), """")"),"0.7")</f>
        <v>0.7</v>
      </c>
      <c r="K232" s="0" t="str">
        <f aca="false">IF(F232 = H232, C232/G232, "")</f>
        <v/>
      </c>
      <c r="L232" s="0" t="str">
        <f aca="false">IFERROR(__xludf.dummyfunction("IF(AND(NOT(K232 = """"), G232 &gt;= 15),K232/FILTER('Base Stats'!$C$2:$C1000, LOWER('Base Stats'!$B$2:$B1000) = LOWER($A232)), """")"),"")</f>
        <v/>
      </c>
      <c r="M232" s="0" t="str">
        <f aca="false">IFERROR(__xludf.dummyfunction("1.15 + 0.02 * FILTER('Base Stats'!$C$2:$C1000, LOWER('Base Stats'!$B$2:$B1000) = LOWER($A232))"),"1.95")</f>
        <v>1.95</v>
      </c>
      <c r="N232" s="0" t="e">
        <f aca="false">IFERROR(IF(AND(NOT(K232 = ""), G232 &gt;= 15),K232/M232, ""))</f>
        <v>#VALUE!</v>
      </c>
    </row>
    <row r="233" customFormat="false" ht="15.75" hidden="false" customHeight="false" outlineLevel="0" collapsed="false">
      <c r="A233" s="8" t="s">
        <v>519</v>
      </c>
      <c r="B233" s="8" t="n">
        <v>10</v>
      </c>
      <c r="C233" s="8" t="n">
        <v>10</v>
      </c>
      <c r="D233" s="8" t="n">
        <v>11.78</v>
      </c>
      <c r="E233" s="8" t="n">
        <v>0.93</v>
      </c>
      <c r="F233" s="8" t="n">
        <v>200</v>
      </c>
      <c r="G233" s="0" t="str">
        <f aca="false">IFERROR(__xludf.dummyfunction("ROUND(B233/ FILTER('Pokemon CP/HP'!$M$2:$M1000, LOWER('Pokemon CP/HP'!$B$2:$B1000)=LOWER(A233)))"),"1")</f>
        <v>1</v>
      </c>
      <c r="H233" s="0" t="str">
        <f aca="false">IFERROR(__xludf.dummyfunction("FILTER('Leveling Info'!$B$2:$B1000, 'Leveling Info'!$A$2:$A1000 =G233)"),"200")</f>
        <v>200</v>
      </c>
      <c r="I233" s="14" t="n">
        <f aca="false">SQRT(G233)</f>
        <v>1</v>
      </c>
      <c r="J233" s="14" t="str">
        <f aca="false">IFERROR(__xludf.dummyfunction("IF(F233 = H233,C233/FILTER('Base Stats'!$C$2:$C1000, LOWER('Base Stats'!$B$2:$B1000) = LOWER($A233)), """")"),"0.25")</f>
        <v>0.25</v>
      </c>
      <c r="K233" s="0" t="str">
        <f aca="false">IF(F233 = H233, C233/G233, "")</f>
        <v/>
      </c>
      <c r="L233" s="0" t="str">
        <f aca="false">IFERROR(__xludf.dummyfunction("IF(AND(NOT(K233 = """"), G233 &gt;= 15),K233/FILTER('Base Stats'!$C$2:$C1000, LOWER('Base Stats'!$B$2:$B1000) = LOWER($A233)), """")"),"")</f>
        <v/>
      </c>
      <c r="M233" s="0" t="str">
        <f aca="false">IFERROR(__xludf.dummyfunction("1.15 + 0.02 * FILTER('Base Stats'!$C$2:$C1000, LOWER('Base Stats'!$B$2:$B1000) = LOWER($A233))"),"1.95")</f>
        <v>1.95</v>
      </c>
      <c r="N233" s="0" t="e">
        <f aca="false">IFERROR(IF(AND(NOT(K233 = ""), G233 &gt;= 15),K233/M233, ""))</f>
        <v>#VALUE!</v>
      </c>
    </row>
    <row r="234" customFormat="false" ht="15.75" hidden="false" customHeight="false" outlineLevel="0" collapsed="false">
      <c r="A234" s="8" t="s">
        <v>520</v>
      </c>
      <c r="B234" s="8" t="n">
        <v>425</v>
      </c>
      <c r="C234" s="8" t="n">
        <v>58</v>
      </c>
      <c r="D234" s="8" t="n">
        <v>13.01</v>
      </c>
      <c r="E234" s="8" t="n">
        <v>1.92</v>
      </c>
      <c r="F234" s="8" t="n">
        <v>800</v>
      </c>
      <c r="G234" s="0" t="str">
        <f aca="false">IFERROR(__xludf.dummyfunction("ROUND(B234/ FILTER('Pokemon CP/HP'!$M$2:$M1000, LOWER('Pokemon CP/HP'!$B$2:$B1000)=LOWER(A234)))"),"16")</f>
        <v>16</v>
      </c>
      <c r="H234" s="0" t="str">
        <f aca="false">IFERROR(__xludf.dummyfunction("FILTER('Leveling Info'!$B$2:$B1000, 'Leveling Info'!$A$2:$A1000 =G234)"),"800")</f>
        <v>800</v>
      </c>
      <c r="I234" s="14" t="n">
        <f aca="false">SQRT(G234)</f>
        <v>4</v>
      </c>
      <c r="J234" s="14" t="str">
        <f aca="false">IFERROR(__xludf.dummyfunction("IF(F234 = H234,C234/FILTER('Base Stats'!$C$2:$C1000, LOWER('Base Stats'!$B$2:$B1000) = LOWER($A234)), """")"),"0.7733333333")</f>
        <v>0.7733333333</v>
      </c>
      <c r="K234" s="0" t="str">
        <f aca="false">IF(F234 = H234, C234/G234, "")</f>
        <v/>
      </c>
      <c r="L234" s="0" t="str">
        <f aca="false">IFERROR(__xludf.dummyfunction("IF(AND(NOT(K234 = """"), G234 &gt;= 15),K234/FILTER('Base Stats'!$C$2:$C1000, LOWER('Base Stats'!$B$2:$B1000) = LOWER($A234)), """")"),"0.04833333333")</f>
        <v>0.04833333333</v>
      </c>
      <c r="M234" s="0" t="str">
        <f aca="false">IFERROR(__xludf.dummyfunction("1.15 + 0.02 * FILTER('Base Stats'!$C$2:$C1000, LOWER('Base Stats'!$B$2:$B1000) = LOWER($A234))"),"2.65")</f>
        <v>2.65</v>
      </c>
      <c r="N234" s="0" t="e">
        <f aca="false">IFERROR(IF(AND(NOT(K234 = ""), G234 &gt;= 15),K234/M234, ""))</f>
        <v>#VALUE!</v>
      </c>
    </row>
    <row r="235" customFormat="false" ht="15.75" hidden="false" customHeight="false" outlineLevel="0" collapsed="false">
      <c r="A235" s="8" t="s">
        <v>520</v>
      </c>
      <c r="B235" s="8" t="n">
        <v>350</v>
      </c>
      <c r="C235" s="8" t="n">
        <v>55</v>
      </c>
      <c r="D235" s="8" t="n">
        <v>8.08</v>
      </c>
      <c r="E235" s="8" t="n">
        <v>1.58</v>
      </c>
      <c r="F235" s="8" t="n">
        <v>800</v>
      </c>
      <c r="G235" s="0" t="str">
        <f aca="false">IFERROR(__xludf.dummyfunction("ROUND(B235/ FILTER('Pokemon CP/HP'!$M$2:$M1000, LOWER('Pokemon CP/HP'!$B$2:$B1000)=LOWER(A235)))"),"13")</f>
        <v>13</v>
      </c>
      <c r="H235" s="0" t="str">
        <f aca="false">IFERROR(__xludf.dummyfunction("FILTER('Leveling Info'!$B$2:$B1000, 'Leveling Info'!$A$2:$A1000 =G235)"),"800")</f>
        <v>800</v>
      </c>
      <c r="I235" s="14" t="n">
        <f aca="false">SQRT(G235)</f>
        <v>3.60555127546399</v>
      </c>
      <c r="J235" s="14" t="str">
        <f aca="false">IFERROR(__xludf.dummyfunction("IF(F235 = H235,C235/FILTER('Base Stats'!$C$2:$C1000, LOWER('Base Stats'!$B$2:$B1000) = LOWER($A235)), """")"),"0.7333333333")</f>
        <v>0.7333333333</v>
      </c>
      <c r="K235" s="0" t="str">
        <f aca="false">IF(F235 = H235, C235/G235, "")</f>
        <v/>
      </c>
      <c r="L235" s="0" t="str">
        <f aca="false">IFERROR(__xludf.dummyfunction("IF(AND(NOT(K235 = """"), G235 &gt;= 15),K235/FILTER('Base Stats'!$C$2:$C1000, LOWER('Base Stats'!$B$2:$B1000) = LOWER($A235)), """")"),"")</f>
        <v/>
      </c>
      <c r="M235" s="0" t="str">
        <f aca="false">IFERROR(__xludf.dummyfunction("1.15 + 0.02 * FILTER('Base Stats'!$C$2:$C1000, LOWER('Base Stats'!$B$2:$B1000) = LOWER($A235))"),"2.65")</f>
        <v>2.65</v>
      </c>
      <c r="N235" s="0" t="e">
        <f aca="false">IFERROR(IF(AND(NOT(K235 = ""), G235 &gt;= 15),K235/M235, ""))</f>
        <v>#VALUE!</v>
      </c>
    </row>
    <row r="236" customFormat="false" ht="15.75" hidden="false" customHeight="false" outlineLevel="0" collapsed="false">
      <c r="A236" s="8" t="s">
        <v>521</v>
      </c>
      <c r="B236" s="8" t="n">
        <v>509</v>
      </c>
      <c r="C236" s="8" t="n">
        <v>57</v>
      </c>
      <c r="D236" s="8" t="n">
        <v>4.4</v>
      </c>
      <c r="E236" s="8" t="n">
        <v>0.42</v>
      </c>
      <c r="F236" s="8" t="n">
        <v>2200</v>
      </c>
      <c r="G236" s="0" t="str">
        <f aca="false">IFERROR(__xludf.dummyfunction("ROUND(B236/ FILTER('Pokemon CP/HP'!$M$2:$M1000, LOWER('Pokemon CP/HP'!$B$2:$B1000)=LOWER(A236)))"),"34")</f>
        <v>34</v>
      </c>
      <c r="H236" s="0" t="str">
        <f aca="false">IFERROR(__xludf.dummyfunction("FILTER('Leveling Info'!$B$2:$B1000, 'Leveling Info'!$A$2:$A1000 =G236)"),"2200")</f>
        <v>2200</v>
      </c>
      <c r="I236" s="14" t="n">
        <f aca="false">SQRT(G236)</f>
        <v>5.8309518948453</v>
      </c>
      <c r="J236" s="14" t="str">
        <f aca="false">IFERROR(__xludf.dummyfunction("IF(F236 = H236,C236/FILTER('Base Stats'!$C$2:$C1000, LOWER('Base Stats'!$B$2:$B1000) = LOWER($A236)), """")"),"1.266666667")</f>
        <v>1.266666667</v>
      </c>
      <c r="K236" s="0" t="str">
        <f aca="false">IF(F236 = H236, C236/G236, "")</f>
        <v/>
      </c>
      <c r="L236" s="0" t="str">
        <f aca="false">IFERROR(__xludf.dummyfunction("IF(AND(NOT(K236 = """"), G236 &gt;= 15),K236/FILTER('Base Stats'!$C$2:$C1000, LOWER('Base Stats'!$B$2:$B1000) = LOWER($A236)), """")"),"0.03725490196")</f>
        <v>0.03725490196</v>
      </c>
      <c r="M236" s="0" t="str">
        <f aca="false">IFERROR(__xludf.dummyfunction("1.15 + 0.02 * FILTER('Base Stats'!$C$2:$C1000, LOWER('Base Stats'!$B$2:$B1000) = LOWER($A236))"),"2.05")</f>
        <v>2.05</v>
      </c>
      <c r="N236" s="0" t="e">
        <f aca="false">IFERROR(IF(AND(NOT(K236 = ""), G236 &gt;= 15),K236/M236, ""))</f>
        <v>#VALUE!</v>
      </c>
    </row>
    <row r="237" customFormat="false" ht="15.75" hidden="false" customHeight="false" outlineLevel="0" collapsed="false">
      <c r="A237" s="8" t="s">
        <v>521</v>
      </c>
      <c r="B237" s="8" t="n">
        <v>312</v>
      </c>
      <c r="C237" s="8" t="n">
        <v>43</v>
      </c>
      <c r="D237" s="8" t="n">
        <v>5.78</v>
      </c>
      <c r="E237" s="8" t="n">
        <v>0.55</v>
      </c>
      <c r="F237" s="8" t="n">
        <v>1000</v>
      </c>
      <c r="G237" s="0" t="str">
        <f aca="false">IFERROR(__xludf.dummyfunction("ROUND(B237/ FILTER('Pokemon CP/HP'!$M$2:$M1000, LOWER('Pokemon CP/HP'!$B$2:$B1000)=LOWER(A237)))"),"21")</f>
        <v>21</v>
      </c>
      <c r="H237" s="0" t="str">
        <f aca="false">IFERROR(__xludf.dummyfunction("FILTER('Leveling Info'!$B$2:$B1000, 'Leveling Info'!$A$2:$A1000 =G237)"),"1300")</f>
        <v>1300</v>
      </c>
      <c r="I237" s="14" t="n">
        <f aca="false">SQRT(G237)</f>
        <v>4.58257569495584</v>
      </c>
      <c r="J237" s="14" t="str">
        <f aca="false">IFERROR(__xludf.dummyfunction("IF(F237 = H237,C237/FILTER('Base Stats'!$C$2:$C1000, LOWER('Base Stats'!$B$2:$B1000) = LOWER($A237)), """")"),"")</f>
        <v/>
      </c>
      <c r="K237" s="0" t="str">
        <f aca="false">IF(F237 = H237, C237/G237, "")</f>
        <v/>
      </c>
      <c r="L237" s="0" t="str">
        <f aca="false">IFERROR(__xludf.dummyfunction("IF(AND(NOT(K237 = """"), G237 &gt;= 15),K237/FILTER('Base Stats'!$C$2:$C1000, LOWER('Base Stats'!$B$2:$B1000) = LOWER($A237)), """")"),"")</f>
        <v/>
      </c>
      <c r="M237" s="0" t="str">
        <f aca="false">IFERROR(__xludf.dummyfunction("1.15 + 0.02 * FILTER('Base Stats'!$C$2:$C1000, LOWER('Base Stats'!$B$2:$B1000) = LOWER($A237))"),"2.05")</f>
        <v>2.05</v>
      </c>
      <c r="N237" s="0" t="e">
        <f aca="false">IFERROR(IF(AND(NOT(K237 = ""), G237 &gt;= 15),K237/M237, ""))</f>
        <v>#VALUE!</v>
      </c>
    </row>
    <row r="238" customFormat="false" ht="15.75" hidden="false" customHeight="false" outlineLevel="0" collapsed="false">
      <c r="A238" s="8" t="s">
        <v>521</v>
      </c>
      <c r="B238" s="8" t="n">
        <v>304</v>
      </c>
      <c r="C238" s="8" t="n">
        <v>42</v>
      </c>
      <c r="D238" s="8" t="n">
        <v>3.1</v>
      </c>
      <c r="E238" s="8" t="n">
        <v>0.42</v>
      </c>
      <c r="F238" s="8" t="n">
        <v>1000</v>
      </c>
      <c r="G238" s="0" t="str">
        <f aca="false">IFERROR(__xludf.dummyfunction("ROUND(B238/ FILTER('Pokemon CP/HP'!$M$2:$M1000, LOWER('Pokemon CP/HP'!$B$2:$B1000)=LOWER(A238)))"),"20")</f>
        <v>20</v>
      </c>
      <c r="H238" s="0" t="str">
        <f aca="false">IFERROR(__xludf.dummyfunction("FILTER('Leveling Info'!$B$2:$B1000, 'Leveling Info'!$A$2:$A1000 =G238)"),"1000")</f>
        <v>1000</v>
      </c>
      <c r="I238" s="14" t="n">
        <f aca="false">SQRT(G238)</f>
        <v>4.47213595499958</v>
      </c>
      <c r="J238" s="14" t="str">
        <f aca="false">IFERROR(__xludf.dummyfunction("IF(F238 = H238,C238/FILTER('Base Stats'!$C$2:$C1000, LOWER('Base Stats'!$B$2:$B1000) = LOWER($A238)), """")"),"0.9333333333")</f>
        <v>0.9333333333</v>
      </c>
      <c r="K238" s="0" t="str">
        <f aca="false">IF(F238 = H238, C238/G238, "")</f>
        <v/>
      </c>
      <c r="L238" s="0" t="str">
        <f aca="false">IFERROR(__xludf.dummyfunction("IF(AND(NOT(K238 = """"), G238 &gt;= 15),K238/FILTER('Base Stats'!$C$2:$C1000, LOWER('Base Stats'!$B$2:$B1000) = LOWER($A238)), """")"),"0.04666666667")</f>
        <v>0.04666666667</v>
      </c>
      <c r="M238" s="0" t="str">
        <f aca="false">IFERROR(__xludf.dummyfunction("1.15 + 0.02 * FILTER('Base Stats'!$C$2:$C1000, LOWER('Base Stats'!$B$2:$B1000) = LOWER($A238))"),"2.05")</f>
        <v>2.05</v>
      </c>
      <c r="N238" s="0" t="e">
        <f aca="false">IFERROR(IF(AND(NOT(K238 = ""), G238 &gt;= 15),K238/M238, ""))</f>
        <v>#VALUE!</v>
      </c>
    </row>
    <row r="239" customFormat="false" ht="15.75" hidden="false" customHeight="false" outlineLevel="0" collapsed="false">
      <c r="A239" s="8" t="s">
        <v>521</v>
      </c>
      <c r="B239" s="8" t="n">
        <v>297</v>
      </c>
      <c r="C239" s="8" t="n">
        <v>39</v>
      </c>
      <c r="D239" s="8" t="n">
        <v>4.39</v>
      </c>
      <c r="E239" s="8" t="n">
        <v>0.42</v>
      </c>
      <c r="F239" s="8" t="n">
        <v>1000</v>
      </c>
      <c r="G239" s="0" t="str">
        <f aca="false">IFERROR(__xludf.dummyfunction("ROUND(B239/ FILTER('Pokemon CP/HP'!$M$2:$M1000, LOWER('Pokemon CP/HP'!$B$2:$B1000)=LOWER(A239)))"),"20")</f>
        <v>20</v>
      </c>
      <c r="H239" s="0" t="str">
        <f aca="false">IFERROR(__xludf.dummyfunction("FILTER('Leveling Info'!$B$2:$B1000, 'Leveling Info'!$A$2:$A1000 =G239)"),"1000")</f>
        <v>1000</v>
      </c>
      <c r="I239" s="14" t="n">
        <f aca="false">SQRT(G239)</f>
        <v>4.47213595499958</v>
      </c>
      <c r="J239" s="14" t="str">
        <f aca="false">IFERROR(__xludf.dummyfunction("IF(F239 = H239,C239/FILTER('Base Stats'!$C$2:$C1000, LOWER('Base Stats'!$B$2:$B1000) = LOWER($A239)), """")"),"0.8666666667")</f>
        <v>0.8666666667</v>
      </c>
      <c r="K239" s="0" t="str">
        <f aca="false">IF(F239 = H239, C239/G239, "")</f>
        <v/>
      </c>
      <c r="L239" s="0" t="str">
        <f aca="false">IFERROR(__xludf.dummyfunction("IF(AND(NOT(K239 = """"), G239 &gt;= 15),K239/FILTER('Base Stats'!$C$2:$C1000, LOWER('Base Stats'!$B$2:$B1000) = LOWER($A239)), """")"),"0.04333333333")</f>
        <v>0.04333333333</v>
      </c>
      <c r="M239" s="0" t="str">
        <f aca="false">IFERROR(__xludf.dummyfunction("1.15 + 0.02 * FILTER('Base Stats'!$C$2:$C1000, LOWER('Base Stats'!$B$2:$B1000) = LOWER($A239))"),"2.05")</f>
        <v>2.05</v>
      </c>
      <c r="N239" s="0" t="e">
        <f aca="false">IFERROR(IF(AND(NOT(K239 = ""), G239 &gt;= 15),K239/M239, ""))</f>
        <v>#VALUE!</v>
      </c>
    </row>
    <row r="240" customFormat="false" ht="15.75" hidden="false" customHeight="false" outlineLevel="0" collapsed="false">
      <c r="A240" s="8" t="s">
        <v>521</v>
      </c>
      <c r="B240" s="8" t="n">
        <v>243</v>
      </c>
      <c r="C240" s="8" t="n">
        <v>39</v>
      </c>
      <c r="D240" s="8" t="n">
        <v>3.99</v>
      </c>
      <c r="E240" s="8" t="n">
        <v>0.48</v>
      </c>
      <c r="F240" s="8" t="n">
        <v>800</v>
      </c>
      <c r="G240" s="0" t="str">
        <f aca="false">IFERROR(__xludf.dummyfunction("ROUND(B240/ FILTER('Pokemon CP/HP'!$M$2:$M1000, LOWER('Pokemon CP/HP'!$B$2:$B1000)=LOWER(A240)))"),"16")</f>
        <v>16</v>
      </c>
      <c r="H240" s="0" t="str">
        <f aca="false">IFERROR(__xludf.dummyfunction("FILTER('Leveling Info'!$B$2:$B1000, 'Leveling Info'!$A$2:$A1000 =G240)"),"800")</f>
        <v>800</v>
      </c>
      <c r="I240" s="14" t="n">
        <f aca="false">SQRT(G240)</f>
        <v>4</v>
      </c>
      <c r="J240" s="14" t="str">
        <f aca="false">IFERROR(__xludf.dummyfunction("IF(F240 = H240,C240/FILTER('Base Stats'!$C$2:$C1000, LOWER('Base Stats'!$B$2:$B1000) = LOWER($A240)), """")"),"0.8666666667")</f>
        <v>0.8666666667</v>
      </c>
      <c r="K240" s="0" t="str">
        <f aca="false">IF(F240 = H240, C240/G240, "")</f>
        <v/>
      </c>
      <c r="L240" s="0" t="str">
        <f aca="false">IFERROR(__xludf.dummyfunction("IF(AND(NOT(K240 = """"), G240 &gt;= 15),K240/FILTER('Base Stats'!$C$2:$C1000, LOWER('Base Stats'!$B$2:$B1000) = LOWER($A240)), """")"),"0.05416666667")</f>
        <v>0.05416666667</v>
      </c>
      <c r="M240" s="0" t="str">
        <f aca="false">IFERROR(__xludf.dummyfunction("1.15 + 0.02 * FILTER('Base Stats'!$C$2:$C1000, LOWER('Base Stats'!$B$2:$B1000) = LOWER($A240))"),"2.05")</f>
        <v>2.05</v>
      </c>
      <c r="N240" s="0" t="e">
        <f aca="false">IFERROR(IF(AND(NOT(K240 = ""), G240 &gt;= 15),K240/M240, ""))</f>
        <v>#VALUE!</v>
      </c>
    </row>
    <row r="241" customFormat="false" ht="15.75" hidden="false" customHeight="false" outlineLevel="0" collapsed="false">
      <c r="A241" s="8" t="s">
        <v>521</v>
      </c>
      <c r="B241" s="8" t="n">
        <v>200</v>
      </c>
      <c r="C241" s="8" t="n">
        <v>35</v>
      </c>
      <c r="D241" s="8" t="n">
        <v>4.19</v>
      </c>
      <c r="E241" s="8" t="n">
        <v>0.44</v>
      </c>
      <c r="F241" s="8" t="n">
        <v>800</v>
      </c>
      <c r="G241" s="0" t="str">
        <f aca="false">IFERROR(__xludf.dummyfunction("ROUND(B241/ FILTER('Pokemon CP/HP'!$M$2:$M1000, LOWER('Pokemon CP/HP'!$B$2:$B1000)=LOWER(A241)))"),"13")</f>
        <v>13</v>
      </c>
      <c r="H241" s="0" t="str">
        <f aca="false">IFERROR(__xludf.dummyfunction("FILTER('Leveling Info'!$B$2:$B1000, 'Leveling Info'!$A$2:$A1000 =G241)"),"800")</f>
        <v>800</v>
      </c>
      <c r="I241" s="14" t="n">
        <f aca="false">SQRT(G241)</f>
        <v>3.60555127546399</v>
      </c>
      <c r="J241" s="14" t="str">
        <f aca="false">IFERROR(__xludf.dummyfunction("IF(F241 = H241,C241/FILTER('Base Stats'!$C$2:$C1000, LOWER('Base Stats'!$B$2:$B1000) = LOWER($A241)), """")"),"0.7777777778")</f>
        <v>0.7777777778</v>
      </c>
      <c r="K241" s="0" t="str">
        <f aca="false">IF(F241 = H241, C241/G241, "")</f>
        <v/>
      </c>
      <c r="L241" s="0" t="str">
        <f aca="false">IFERROR(__xludf.dummyfunction("IF(AND(NOT(K241 = """"), G241 &gt;= 15),K241/FILTER('Base Stats'!$C$2:$C1000, LOWER('Base Stats'!$B$2:$B1000) = LOWER($A241)), """")"),"")</f>
        <v/>
      </c>
      <c r="M241" s="0" t="str">
        <f aca="false">IFERROR(__xludf.dummyfunction("1.15 + 0.02 * FILTER('Base Stats'!$C$2:$C1000, LOWER('Base Stats'!$B$2:$B1000) = LOWER($A241))"),"2.05")</f>
        <v>2.05</v>
      </c>
      <c r="N241" s="0" t="e">
        <f aca="false">IFERROR(IF(AND(NOT(K241 = ""), G241 &gt;= 15),K241/M241, ""))</f>
        <v>#VALUE!</v>
      </c>
    </row>
    <row r="242" customFormat="false" ht="15.75" hidden="false" customHeight="false" outlineLevel="0" collapsed="false">
      <c r="A242" s="8" t="s">
        <v>521</v>
      </c>
      <c r="B242" s="8" t="n">
        <v>149</v>
      </c>
      <c r="C242" s="8" t="n">
        <v>30</v>
      </c>
      <c r="D242" s="8" t="n">
        <v>5.94</v>
      </c>
      <c r="E242" s="8" t="n">
        <v>0.54</v>
      </c>
      <c r="F242" s="8" t="n">
        <v>600</v>
      </c>
      <c r="G242" s="0" t="str">
        <f aca="false">IFERROR(__xludf.dummyfunction("ROUND(B242/ FILTER('Pokemon CP/HP'!$M$2:$M1000, LOWER('Pokemon CP/HP'!$B$2:$B1000)=LOWER(A242)))"),"10")</f>
        <v>10</v>
      </c>
      <c r="H242" s="0" t="str">
        <f aca="false">IFERROR(__xludf.dummyfunction("FILTER('Leveling Info'!$B$2:$B1000, 'Leveling Info'!$A$2:$A1000 =G242)"),"600")</f>
        <v>600</v>
      </c>
      <c r="I242" s="14" t="n">
        <f aca="false">SQRT(G242)</f>
        <v>3.16227766016838</v>
      </c>
      <c r="J242" s="14" t="str">
        <f aca="false">IFERROR(__xludf.dummyfunction("IF(F242 = H242,C242/FILTER('Base Stats'!$C$2:$C1000, LOWER('Base Stats'!$B$2:$B1000) = LOWER($A242)), """")"),"0.6666666667")</f>
        <v>0.6666666667</v>
      </c>
      <c r="K242" s="0" t="str">
        <f aca="false">IF(F242 = H242, C242/G242, "")</f>
        <v/>
      </c>
      <c r="L242" s="0" t="str">
        <f aca="false">IFERROR(__xludf.dummyfunction("IF(AND(NOT(K242 = """"), G242 &gt;= 15),K242/FILTER('Base Stats'!$C$2:$C1000, LOWER('Base Stats'!$B$2:$B1000) = LOWER($A242)), """")"),"")</f>
        <v/>
      </c>
      <c r="M242" s="0" t="str">
        <f aca="false">IFERROR(__xludf.dummyfunction("1.15 + 0.02 * FILTER('Base Stats'!$C$2:$C1000, LOWER('Base Stats'!$B$2:$B1000) = LOWER($A242))"),"2.05")</f>
        <v>2.05</v>
      </c>
      <c r="N242" s="0" t="e">
        <f aca="false">IFERROR(IF(AND(NOT(K242 = ""), G242 &gt;= 15),K242/M242, ""))</f>
        <v>#VALUE!</v>
      </c>
    </row>
    <row r="243" customFormat="false" ht="15.75" hidden="false" customHeight="false" outlineLevel="0" collapsed="false">
      <c r="A243" s="8" t="s">
        <v>521</v>
      </c>
      <c r="B243" s="8" t="n">
        <v>145</v>
      </c>
      <c r="C243" s="8" t="n">
        <v>29</v>
      </c>
      <c r="D243" s="8" t="n">
        <v>3.59</v>
      </c>
      <c r="E243" s="8" t="n">
        <v>0.41</v>
      </c>
      <c r="F243" s="8" t="n">
        <v>600</v>
      </c>
      <c r="G243" s="0" t="str">
        <f aca="false">IFERROR(__xludf.dummyfunction("ROUND(B243/ FILTER('Pokemon CP/HP'!$M$2:$M1000, LOWER('Pokemon CP/HP'!$B$2:$B1000)=LOWER(A243)))"),"10")</f>
        <v>10</v>
      </c>
      <c r="H243" s="0" t="str">
        <f aca="false">IFERROR(__xludf.dummyfunction("FILTER('Leveling Info'!$B$2:$B1000, 'Leveling Info'!$A$2:$A1000 =G243)"),"600")</f>
        <v>600</v>
      </c>
      <c r="I243" s="14" t="n">
        <f aca="false">SQRT(G243)</f>
        <v>3.16227766016838</v>
      </c>
      <c r="J243" s="14" t="str">
        <f aca="false">IFERROR(__xludf.dummyfunction("IF(F243 = H243,C243/FILTER('Base Stats'!$C$2:$C1000, LOWER('Base Stats'!$B$2:$B1000) = LOWER($A243)), """")"),"0.6444444444")</f>
        <v>0.6444444444</v>
      </c>
      <c r="K243" s="0" t="str">
        <f aca="false">IF(F243 = H243, C243/G243, "")</f>
        <v/>
      </c>
      <c r="L243" s="0" t="str">
        <f aca="false">IFERROR(__xludf.dummyfunction("IF(AND(NOT(K243 = """"), G243 &gt;= 15),K243/FILTER('Base Stats'!$C$2:$C1000, LOWER('Base Stats'!$B$2:$B1000) = LOWER($A243)), """")"),"")</f>
        <v/>
      </c>
      <c r="M243" s="0" t="str">
        <f aca="false">IFERROR(__xludf.dummyfunction("1.15 + 0.02 * FILTER('Base Stats'!$C$2:$C1000, LOWER('Base Stats'!$B$2:$B1000) = LOWER($A243))"),"2.05")</f>
        <v>2.05</v>
      </c>
      <c r="N243" s="0" t="e">
        <f aca="false">IFERROR(IF(AND(NOT(K243 = ""), G243 &gt;= 15),K243/M243, ""))</f>
        <v>#VALUE!</v>
      </c>
    </row>
    <row r="244" customFormat="false" ht="15.75" hidden="false" customHeight="false" outlineLevel="0" collapsed="false">
      <c r="A244" s="8" t="s">
        <v>522</v>
      </c>
      <c r="B244" s="8" t="n">
        <v>487</v>
      </c>
      <c r="C244" s="8" t="n">
        <v>57</v>
      </c>
      <c r="D244" s="8" t="n">
        <v>8.49</v>
      </c>
      <c r="E244" s="8" t="n">
        <v>0.75</v>
      </c>
      <c r="F244" s="8" t="n">
        <v>1300</v>
      </c>
      <c r="G244" s="0" t="str">
        <f aca="false">IFERROR(__xludf.dummyfunction("ROUND(B244/ FILTER('Pokemon CP/HP'!$M$2:$M1000, LOWER('Pokemon CP/HP'!$B$2:$B1000)=LOWER(A244)))"),"23")</f>
        <v>23</v>
      </c>
      <c r="H244" s="0" t="str">
        <f aca="false">IFERROR(__xludf.dummyfunction("FILTER('Leveling Info'!$B$2:$B1000, 'Leveling Info'!$A$2:$A1000 =G244)"),"1300")</f>
        <v>1300</v>
      </c>
      <c r="I244" s="14" t="n">
        <f aca="false">SQRT(G244)</f>
        <v>4.79583152331272</v>
      </c>
      <c r="J244" s="14" t="str">
        <f aca="false">IFERROR(__xludf.dummyfunction("IF(F244 = H244,C244/FILTER('Base Stats'!$C$2:$C1000, LOWER('Base Stats'!$B$2:$B1000) = LOWER($A244)), """")"),"0.95")</f>
        <v>0.95</v>
      </c>
      <c r="K244" s="0" t="str">
        <f aca="false">IF(F244 = H244, C244/G244, "")</f>
        <v/>
      </c>
      <c r="L244" s="0" t="str">
        <f aca="false">IFERROR(__xludf.dummyfunction("IF(AND(NOT(K244 = """"), G244 &gt;= 15),K244/FILTER('Base Stats'!$C$2:$C1000, LOWER('Base Stats'!$B$2:$B1000) = LOWER($A244)), """")"),"0.04130434783")</f>
        <v>0.04130434783</v>
      </c>
      <c r="M244" s="0" t="str">
        <f aca="false">IFERROR(__xludf.dummyfunction("1.15 + 0.02 * FILTER('Base Stats'!$C$2:$C1000, LOWER('Base Stats'!$B$2:$B1000) = LOWER($A244))"),"2.35")</f>
        <v>2.35</v>
      </c>
      <c r="N244" s="0" t="e">
        <f aca="false">IFERROR(IF(AND(NOT(K244 = ""), G244 &gt;= 15),K244/M244, ""))</f>
        <v>#VALUE!</v>
      </c>
    </row>
    <row r="245" customFormat="false" ht="15.75" hidden="false" customHeight="false" outlineLevel="0" collapsed="false">
      <c r="A245" s="8" t="s">
        <v>522</v>
      </c>
      <c r="B245" s="8" t="n">
        <v>315</v>
      </c>
      <c r="C245" s="8" t="n">
        <v>45</v>
      </c>
      <c r="D245" s="8" t="n">
        <v>7.4</v>
      </c>
      <c r="E245" s="8" t="n">
        <v>0.83</v>
      </c>
      <c r="F245" s="8" t="n">
        <v>800</v>
      </c>
      <c r="G245" s="0" t="str">
        <f aca="false">IFERROR(__xludf.dummyfunction("ROUND(B245/ FILTER('Pokemon CP/HP'!$M$2:$M1000, LOWER('Pokemon CP/HP'!$B$2:$B1000)=LOWER(A245)))"),"15")</f>
        <v>15</v>
      </c>
      <c r="H245" s="0" t="str">
        <f aca="false">IFERROR(__xludf.dummyfunction("FILTER('Leveling Info'!$B$2:$B1000, 'Leveling Info'!$A$2:$A1000 =G245)"),"800")</f>
        <v>800</v>
      </c>
      <c r="I245" s="14" t="n">
        <f aca="false">SQRT(G245)</f>
        <v>3.87298334620742</v>
      </c>
      <c r="J245" s="14" t="str">
        <f aca="false">IFERROR(__xludf.dummyfunction("IF(F245 = H245,C245/FILTER('Base Stats'!$C$2:$C1000, LOWER('Base Stats'!$B$2:$B1000) = LOWER($A245)), """")"),"0.75")</f>
        <v>0.75</v>
      </c>
      <c r="K245" s="0" t="str">
        <f aca="false">IF(F245 = H245, C245/G245, "")</f>
        <v/>
      </c>
      <c r="L245" s="0" t="str">
        <f aca="false">IFERROR(__xludf.dummyfunction("IF(AND(NOT(K245 = """"), G245 &gt;= 15),K245/FILTER('Base Stats'!$C$2:$C1000, LOWER('Base Stats'!$B$2:$B1000) = LOWER($A245)), """")"),"0.05")</f>
        <v>0.05</v>
      </c>
      <c r="M245" s="0" t="str">
        <f aca="false">IFERROR(__xludf.dummyfunction("1.15 + 0.02 * FILTER('Base Stats'!$C$2:$C1000, LOWER('Base Stats'!$B$2:$B1000) = LOWER($A245))"),"2.35")</f>
        <v>2.35</v>
      </c>
      <c r="N245" s="0" t="e">
        <f aca="false">IFERROR(IF(AND(NOT(K245 = ""), G245 &gt;= 15),K245/M245, ""))</f>
        <v>#VALUE!</v>
      </c>
    </row>
    <row r="246" customFormat="false" ht="15.75" hidden="false" customHeight="false" outlineLevel="0" collapsed="false">
      <c r="A246" s="8" t="s">
        <v>523</v>
      </c>
      <c r="B246" s="8" t="n">
        <v>358</v>
      </c>
      <c r="C246" s="8" t="n">
        <v>49</v>
      </c>
      <c r="D246" s="8" t="n">
        <v>27.07</v>
      </c>
      <c r="E246" s="8" t="n">
        <v>1.43</v>
      </c>
      <c r="F246" s="8" t="n">
        <v>600</v>
      </c>
      <c r="G246" s="0" t="str">
        <f aca="false">IFERROR(__xludf.dummyfunction("ROUND(B246/ FILTER('Pokemon CP/HP'!$M$2:$M1000, LOWER('Pokemon CP/HP'!$B$2:$B1000)=LOWER(A246)))"),"11")</f>
        <v>11</v>
      </c>
      <c r="H246" s="0" t="str">
        <f aca="false">IFERROR(__xludf.dummyfunction("FILTER('Leveling Info'!$B$2:$B1000, 'Leveling Info'!$A$2:$A1000 =G246)"),"600")</f>
        <v>600</v>
      </c>
      <c r="I246" s="14" t="n">
        <f aca="false">SQRT(G246)</f>
        <v>3.3166247903554</v>
      </c>
      <c r="J246" s="14" t="str">
        <f aca="false">IFERROR(__xludf.dummyfunction("IF(F246 = H246,C246/FILTER('Base Stats'!$C$2:$C1000, LOWER('Base Stats'!$B$2:$B1000) = LOWER($A246)), """")"),"0.6533333333")</f>
        <v>0.6533333333</v>
      </c>
      <c r="K246" s="0" t="str">
        <f aca="false">IF(F246 = H246, C246/G246, "")</f>
        <v/>
      </c>
      <c r="L246" s="0" t="str">
        <f aca="false">IFERROR(__xludf.dummyfunction("IF(AND(NOT(K246 = """"), G246 &gt;= 15),K246/FILTER('Base Stats'!$C$2:$C1000, LOWER('Base Stats'!$B$2:$B1000) = LOWER($A246)), """")"),"")</f>
        <v/>
      </c>
      <c r="M246" s="0" t="str">
        <f aca="false">IFERROR(__xludf.dummyfunction("1.15 + 0.02 * FILTER('Base Stats'!$C$2:$C1000, LOWER('Base Stats'!$B$2:$B1000) = LOWER($A246))"),"2.65")</f>
        <v>2.65</v>
      </c>
      <c r="N246" s="0" t="e">
        <f aca="false">IFERROR(IF(AND(NOT(K246 = ""), G246 &gt;= 15),K246/M246, ""))</f>
        <v>#VALUE!</v>
      </c>
    </row>
    <row r="247" customFormat="false" ht="15.75" hidden="false" customHeight="false" outlineLevel="0" collapsed="false">
      <c r="A247" s="8" t="s">
        <v>524</v>
      </c>
      <c r="B247" s="8" t="n">
        <v>314</v>
      </c>
      <c r="C247" s="8" t="n">
        <v>39</v>
      </c>
      <c r="D247" s="8" t="n">
        <v>2.8</v>
      </c>
      <c r="E247" s="8" t="n">
        <v>0.25</v>
      </c>
      <c r="F247" s="8" t="n">
        <v>1600</v>
      </c>
      <c r="G247" s="0" t="str">
        <f aca="false">IFERROR(__xludf.dummyfunction("ROUND(B247/ FILTER('Pokemon CP/HP'!$M$2:$M1000, LOWER('Pokemon CP/HP'!$B$2:$B1000)=LOWER(A247)))"),"26")</f>
        <v>26</v>
      </c>
      <c r="H247" s="0" t="str">
        <f aca="false">IFERROR(__xludf.dummyfunction("FILTER('Leveling Info'!$B$2:$B1000, 'Leveling Info'!$A$2:$A1000 =G247)"),"1600")</f>
        <v>1600</v>
      </c>
      <c r="I247" s="14" t="n">
        <f aca="false">SQRT(G247)</f>
        <v>5.09901951359278</v>
      </c>
      <c r="J247" s="14" t="str">
        <f aca="false">IFERROR(__xludf.dummyfunction("IF(F247 = H247,C247/FILTER('Base Stats'!$C$2:$C1000, LOWER('Base Stats'!$B$2:$B1000) = LOWER($A247)), """")"),"1.114285714")</f>
        <v>1.114285714</v>
      </c>
      <c r="K247" s="0" t="str">
        <f aca="false">IF(F247 = H247, C247/G247, "")</f>
        <v/>
      </c>
      <c r="L247" s="0" t="str">
        <f aca="false">IFERROR(__xludf.dummyfunction("IF(AND(NOT(K247 = """"), G247 &gt;= 15),K247/FILTER('Base Stats'!$C$2:$C1000, LOWER('Base Stats'!$B$2:$B1000) = LOWER($A247)), """")"),"0.04285714286")</f>
        <v>0.04285714286</v>
      </c>
      <c r="M247" s="0" t="str">
        <f aca="false">IFERROR(__xludf.dummyfunction("1.15 + 0.02 * FILTER('Base Stats'!$C$2:$C1000, LOWER('Base Stats'!$B$2:$B1000) = LOWER($A247))"),"1.85")</f>
        <v>1.85</v>
      </c>
      <c r="N247" s="0" t="e">
        <f aca="false">IFERROR(IF(AND(NOT(K247 = ""), G247 &gt;= 15),K247/M247, ""))</f>
        <v>#VALUE!</v>
      </c>
    </row>
    <row r="248" customFormat="false" ht="15.75" hidden="false" customHeight="false" outlineLevel="0" collapsed="false">
      <c r="A248" s="8" t="s">
        <v>524</v>
      </c>
      <c r="B248" s="8" t="n">
        <v>254</v>
      </c>
      <c r="C248" s="8" t="n">
        <v>31</v>
      </c>
      <c r="D248" s="8" t="n">
        <v>5.79</v>
      </c>
      <c r="E248" s="8" t="n">
        <v>0.27</v>
      </c>
      <c r="F248" s="8" t="n">
        <v>1300</v>
      </c>
      <c r="G248" s="0" t="str">
        <f aca="false">IFERROR(__xludf.dummyfunction("ROUND(B248/ FILTER('Pokemon CP/HP'!$M$2:$M1000, LOWER('Pokemon CP/HP'!$B$2:$B1000)=LOWER(A248)))"),"21")</f>
        <v>21</v>
      </c>
      <c r="H248" s="0" t="str">
        <f aca="false">IFERROR(__xludf.dummyfunction("FILTER('Leveling Info'!$B$2:$B1000, 'Leveling Info'!$A$2:$A1000 =G248)"),"1300")</f>
        <v>1300</v>
      </c>
      <c r="I248" s="14" t="n">
        <f aca="false">SQRT(G248)</f>
        <v>4.58257569495584</v>
      </c>
      <c r="J248" s="14" t="str">
        <f aca="false">IFERROR(__xludf.dummyfunction("IF(F248 = H248,C248/FILTER('Base Stats'!$C$2:$C1000, LOWER('Base Stats'!$B$2:$B1000) = LOWER($A248)), """")"),"0.8857142857")</f>
        <v>0.8857142857</v>
      </c>
      <c r="K248" s="0" t="str">
        <f aca="false">IF(F248 = H248, C248/G248, "")</f>
        <v/>
      </c>
      <c r="L248" s="0" t="str">
        <f aca="false">IFERROR(__xludf.dummyfunction("IF(AND(NOT(K248 = """"), G248 &gt;= 15),K248/FILTER('Base Stats'!$C$2:$C1000, LOWER('Base Stats'!$B$2:$B1000) = LOWER($A248)), """")"),"0.04217687075")</f>
        <v>0.04217687075</v>
      </c>
      <c r="M248" s="0" t="str">
        <f aca="false">IFERROR(__xludf.dummyfunction("1.15 + 0.02 * FILTER('Base Stats'!$C$2:$C1000, LOWER('Base Stats'!$B$2:$B1000) = LOWER($A248))"),"1.85")</f>
        <v>1.85</v>
      </c>
      <c r="N248" s="0" t="e">
        <f aca="false">IFERROR(IF(AND(NOT(K248 = ""), G248 &gt;= 15),K248/M248, ""))</f>
        <v>#VALUE!</v>
      </c>
    </row>
    <row r="249" customFormat="false" ht="15.75" hidden="false" customHeight="false" outlineLevel="0" collapsed="false">
      <c r="A249" s="8" t="s">
        <v>524</v>
      </c>
      <c r="B249" s="8" t="n">
        <v>241</v>
      </c>
      <c r="C249" s="8" t="n">
        <v>32</v>
      </c>
      <c r="D249" s="8" t="n">
        <v>6.83</v>
      </c>
      <c r="E249" s="8" t="n">
        <v>0.31</v>
      </c>
      <c r="F249" s="8" t="n">
        <v>1000</v>
      </c>
      <c r="G249" s="0" t="str">
        <f aca="false">IFERROR(__xludf.dummyfunction("ROUND(B249/ FILTER('Pokemon CP/HP'!$M$2:$M1000, LOWER('Pokemon CP/HP'!$B$2:$B1000)=LOWER(A249)))"),"20")</f>
        <v>20</v>
      </c>
      <c r="H249" s="0" t="str">
        <f aca="false">IFERROR(__xludf.dummyfunction("FILTER('Leveling Info'!$B$2:$B1000, 'Leveling Info'!$A$2:$A1000 =G249)"),"1000")</f>
        <v>1000</v>
      </c>
      <c r="I249" s="14" t="n">
        <f aca="false">SQRT(G249)</f>
        <v>4.47213595499958</v>
      </c>
      <c r="J249" s="14" t="str">
        <f aca="false">IFERROR(__xludf.dummyfunction("IF(F249 = H249,C249/FILTER('Base Stats'!$C$2:$C1000, LOWER('Base Stats'!$B$2:$B1000) = LOWER($A249)), """")"),"0.9142857143")</f>
        <v>0.9142857143</v>
      </c>
      <c r="K249" s="0" t="str">
        <f aca="false">IF(F249 = H249, C249/G249, "")</f>
        <v/>
      </c>
      <c r="L249" s="0" t="str">
        <f aca="false">IFERROR(__xludf.dummyfunction("IF(AND(NOT(K249 = """"), G249 &gt;= 15),K249/FILTER('Base Stats'!$C$2:$C1000, LOWER('Base Stats'!$B$2:$B1000) = LOWER($A249)), """")"),"0.04571428571")</f>
        <v>0.04571428571</v>
      </c>
      <c r="M249" s="0" t="str">
        <f aca="false">IFERROR(__xludf.dummyfunction("1.15 + 0.02 * FILTER('Base Stats'!$C$2:$C1000, LOWER('Base Stats'!$B$2:$B1000) = LOWER($A249))"),"1.85")</f>
        <v>1.85</v>
      </c>
      <c r="N249" s="0" t="e">
        <f aca="false">IFERROR(IF(AND(NOT(K249 = ""), G249 &gt;= 15),K249/M249, ""))</f>
        <v>#VALUE!</v>
      </c>
    </row>
    <row r="250" customFormat="false" ht="15.75" hidden="false" customHeight="false" outlineLevel="0" collapsed="false">
      <c r="A250" s="8" t="s">
        <v>525</v>
      </c>
      <c r="B250" s="8" t="n">
        <v>427</v>
      </c>
      <c r="C250" s="8" t="n">
        <v>66</v>
      </c>
      <c r="D250" s="8" t="n">
        <v>36.87</v>
      </c>
      <c r="E250" s="8" t="n">
        <v>1.09</v>
      </c>
      <c r="F250" s="8" t="n">
        <v>1900</v>
      </c>
      <c r="G250" s="0" t="str">
        <f aca="false">IFERROR(__xludf.dummyfunction("ROUND(B250/ FILTER('Pokemon CP/HP'!$M$2:$M1000, LOWER('Pokemon CP/HP'!$B$2:$B1000)=LOWER(A250)))"),"31")</f>
        <v>31</v>
      </c>
      <c r="H250" s="0" t="str">
        <f aca="false">IFERROR(__xludf.dummyfunction("FILTER('Leveling Info'!$B$2:$B1000, 'Leveling Info'!$A$2:$A1000 =G250)"),"1900")</f>
        <v>1900</v>
      </c>
      <c r="I250" s="14" t="n">
        <f aca="false">SQRT(G250)</f>
        <v>5.56776436283002</v>
      </c>
      <c r="J250" s="14" t="str">
        <f aca="false">IFERROR(__xludf.dummyfunction("IF(F250 = H250,C250/FILTER('Base Stats'!$C$2:$C1000, LOWER('Base Stats'!$B$2:$B1000) = LOWER($A250)), """")"),"1.1")</f>
        <v>1.1</v>
      </c>
      <c r="K250" s="0" t="str">
        <f aca="false">IF(F250 = H250, C250/G250, "")</f>
        <v/>
      </c>
      <c r="L250" s="0" t="str">
        <f aca="false">IFERROR(__xludf.dummyfunction("IF(AND(NOT(K250 = """"), G250 &gt;= 15),K250/FILTER('Base Stats'!$C$2:$C1000, LOWER('Base Stats'!$B$2:$B1000) = LOWER($A250)), """")"),"0.03548387097")</f>
        <v>0.03548387097</v>
      </c>
      <c r="M250" s="0" t="str">
        <f aca="false">IFERROR(__xludf.dummyfunction("1.15 + 0.02 * FILTER('Base Stats'!$C$2:$C1000, LOWER('Base Stats'!$B$2:$B1000) = LOWER($A250))"),"2.35")</f>
        <v>2.35</v>
      </c>
      <c r="N250" s="0" t="e">
        <f aca="false">IFERROR(IF(AND(NOT(K250 = ""), G250 &gt;= 15),K250/M250, ""))</f>
        <v>#VALUE!</v>
      </c>
    </row>
    <row r="251" customFormat="false" ht="15.75" hidden="false" customHeight="false" outlineLevel="0" collapsed="false">
      <c r="A251" s="8" t="s">
        <v>525</v>
      </c>
      <c r="B251" s="8" t="n">
        <v>426</v>
      </c>
      <c r="C251" s="8" t="n">
        <v>67</v>
      </c>
      <c r="D251" s="8" t="n">
        <v>26.19</v>
      </c>
      <c r="E251" s="8" t="n">
        <v>0.98</v>
      </c>
      <c r="F251" s="8" t="n">
        <v>1900</v>
      </c>
      <c r="G251" s="0" t="str">
        <f aca="false">IFERROR(__xludf.dummyfunction("ROUND(B251/ FILTER('Pokemon CP/HP'!$M$2:$M1000, LOWER('Pokemon CP/HP'!$B$2:$B1000)=LOWER(A251)))"),"30")</f>
        <v>30</v>
      </c>
      <c r="H251" s="0" t="str">
        <f aca="false">IFERROR(__xludf.dummyfunction("FILTER('Leveling Info'!$B$2:$B1000, 'Leveling Info'!$A$2:$A1000 =G251)"),"1900")</f>
        <v>1900</v>
      </c>
      <c r="I251" s="14" t="n">
        <f aca="false">SQRT(G251)</f>
        <v>5.47722557505166</v>
      </c>
      <c r="J251" s="14" t="str">
        <f aca="false">IFERROR(__xludf.dummyfunction("IF(F251 = H251,C251/FILTER('Base Stats'!$C$2:$C1000, LOWER('Base Stats'!$B$2:$B1000) = LOWER($A251)), """")"),"1.116666667")</f>
        <v>1.116666667</v>
      </c>
      <c r="K251" s="0" t="str">
        <f aca="false">IF(F251 = H251, C251/G251, "")</f>
        <v/>
      </c>
      <c r="L251" s="0" t="str">
        <f aca="false">IFERROR(__xludf.dummyfunction("IF(AND(NOT(K251 = """"), G251 &gt;= 15),K251/FILTER('Base Stats'!$C$2:$C1000, LOWER('Base Stats'!$B$2:$B1000) = LOWER($A251)), """")"),"0.03722222222")</f>
        <v>0.03722222222</v>
      </c>
      <c r="M251" s="0" t="str">
        <f aca="false">IFERROR(__xludf.dummyfunction("1.15 + 0.02 * FILTER('Base Stats'!$C$2:$C1000, LOWER('Base Stats'!$B$2:$B1000) = LOWER($A251))"),"2.35")</f>
        <v>2.35</v>
      </c>
      <c r="N251" s="0" t="e">
        <f aca="false">IFERROR(IF(AND(NOT(K251 = ""), G251 &gt;= 15),K251/M251, ""))</f>
        <v>#VALUE!</v>
      </c>
    </row>
    <row r="252" customFormat="false" ht="15.75" hidden="false" customHeight="false" outlineLevel="0" collapsed="false">
      <c r="A252" s="8" t="s">
        <v>525</v>
      </c>
      <c r="B252" s="8" t="n">
        <v>365</v>
      </c>
      <c r="C252" s="8" t="n">
        <v>62</v>
      </c>
      <c r="D252" s="8" t="n">
        <v>47.35</v>
      </c>
      <c r="E252" s="8" t="n">
        <v>1.21</v>
      </c>
      <c r="F252" s="8" t="n">
        <v>1600</v>
      </c>
      <c r="G252" s="0" t="str">
        <f aca="false">IFERROR(__xludf.dummyfunction("ROUND(B252/ FILTER('Pokemon CP/HP'!$M$2:$M1000, LOWER('Pokemon CP/HP'!$B$2:$B1000)=LOWER(A252)))"),"26")</f>
        <v>26</v>
      </c>
      <c r="H252" s="0" t="str">
        <f aca="false">IFERROR(__xludf.dummyfunction("FILTER('Leveling Info'!$B$2:$B1000, 'Leveling Info'!$A$2:$A1000 =G252)"),"1600")</f>
        <v>1600</v>
      </c>
      <c r="I252" s="14" t="n">
        <f aca="false">SQRT(G252)</f>
        <v>5.09901951359278</v>
      </c>
      <c r="J252" s="14" t="str">
        <f aca="false">IFERROR(__xludf.dummyfunction("IF(F252 = H252,C252/FILTER('Base Stats'!$C$2:$C1000, LOWER('Base Stats'!$B$2:$B1000) = LOWER($A252)), """")"),"1.033333333")</f>
        <v>1.033333333</v>
      </c>
      <c r="K252" s="0" t="str">
        <f aca="false">IF(F252 = H252, C252/G252, "")</f>
        <v/>
      </c>
      <c r="L252" s="0" t="str">
        <f aca="false">IFERROR(__xludf.dummyfunction("IF(AND(NOT(K252 = """"), G252 &gt;= 15),K252/FILTER('Base Stats'!$C$2:$C1000, LOWER('Base Stats'!$B$2:$B1000) = LOWER($A252)), """")"),"0.03974358974")</f>
        <v>0.03974358974</v>
      </c>
      <c r="M252" s="0" t="str">
        <f aca="false">IFERROR(__xludf.dummyfunction("1.15 + 0.02 * FILTER('Base Stats'!$C$2:$C1000, LOWER('Base Stats'!$B$2:$B1000) = LOWER($A252))"),"2.35")</f>
        <v>2.35</v>
      </c>
      <c r="N252" s="0" t="e">
        <f aca="false">IFERROR(IF(AND(NOT(K252 = ""), G252 &gt;= 15),K252/M252, ""))</f>
        <v>#VALUE!</v>
      </c>
    </row>
    <row r="253" customFormat="false" ht="15.75" hidden="false" customHeight="false" outlineLevel="0" collapsed="false">
      <c r="A253" s="8" t="s">
        <v>525</v>
      </c>
      <c r="B253" s="8" t="n">
        <v>244</v>
      </c>
      <c r="C253" s="8" t="n">
        <v>48</v>
      </c>
      <c r="D253" s="8" t="n">
        <v>17.69</v>
      </c>
      <c r="E253" s="8" t="n">
        <v>0.79</v>
      </c>
      <c r="F253" s="8" t="n">
        <v>1000</v>
      </c>
      <c r="G253" s="0" t="str">
        <f aca="false">IFERROR(__xludf.dummyfunction("ROUND(B253/ FILTER('Pokemon CP/HP'!$M$2:$M1000, LOWER('Pokemon CP/HP'!$B$2:$B1000)=LOWER(A253)))"),"17")</f>
        <v>17</v>
      </c>
      <c r="H253" s="0" t="str">
        <f aca="false">IFERROR(__xludf.dummyfunction("FILTER('Leveling Info'!$B$2:$B1000, 'Leveling Info'!$A$2:$A1000 =G253)"),"1000")</f>
        <v>1000</v>
      </c>
      <c r="I253" s="14" t="n">
        <f aca="false">SQRT(G253)</f>
        <v>4.12310562561766</v>
      </c>
      <c r="J253" s="14" t="str">
        <f aca="false">IFERROR(__xludf.dummyfunction("IF(F253 = H253,C253/FILTER('Base Stats'!$C$2:$C1000, LOWER('Base Stats'!$B$2:$B1000) = LOWER($A253)), """")"),"0.8")</f>
        <v>0.8</v>
      </c>
      <c r="K253" s="0" t="str">
        <f aca="false">IF(F253 = H253, C253/G253, "")</f>
        <v/>
      </c>
      <c r="L253" s="0" t="str">
        <f aca="false">IFERROR(__xludf.dummyfunction("IF(AND(NOT(K253 = """"), G253 &gt;= 15),K253/FILTER('Base Stats'!$C$2:$C1000, LOWER('Base Stats'!$B$2:$B1000) = LOWER($A253)), """")"),"0.04705882353")</f>
        <v>0.04705882353</v>
      </c>
      <c r="M253" s="0" t="str">
        <f aca="false">IFERROR(__xludf.dummyfunction("1.15 + 0.02 * FILTER('Base Stats'!$C$2:$C1000, LOWER('Base Stats'!$B$2:$B1000) = LOWER($A253))"),"2.35")</f>
        <v>2.35</v>
      </c>
      <c r="N253" s="0" t="e">
        <f aca="false">IFERROR(IF(AND(NOT(K253 = ""), G253 &gt;= 15),K253/M253, ""))</f>
        <v>#VALUE!</v>
      </c>
    </row>
    <row r="254" customFormat="false" ht="15.75" hidden="false" customHeight="false" outlineLevel="0" collapsed="false">
      <c r="A254" s="8" t="s">
        <v>525</v>
      </c>
      <c r="B254" s="8" t="n">
        <v>192</v>
      </c>
      <c r="C254" s="8" t="n">
        <v>46</v>
      </c>
      <c r="D254" s="8" t="n">
        <v>31.13</v>
      </c>
      <c r="E254" s="8" t="n">
        <v>0.99</v>
      </c>
      <c r="F254" s="8" t="n">
        <v>800</v>
      </c>
      <c r="G254" s="0" t="str">
        <f aca="false">IFERROR(__xludf.dummyfunction("ROUND(B254/ FILTER('Pokemon CP/HP'!$M$2:$M1000, LOWER('Pokemon CP/HP'!$B$2:$B1000)=LOWER(A254)))"),"14")</f>
        <v>14</v>
      </c>
      <c r="H254" s="0" t="str">
        <f aca="false">IFERROR(__xludf.dummyfunction("FILTER('Leveling Info'!$B$2:$B1000, 'Leveling Info'!$A$2:$A1000 =G254)"),"800")</f>
        <v>800</v>
      </c>
      <c r="I254" s="14" t="n">
        <f aca="false">SQRT(G254)</f>
        <v>3.74165738677394</v>
      </c>
      <c r="J254" s="14" t="str">
        <f aca="false">IFERROR(__xludf.dummyfunction("IF(F254 = H254,C254/FILTER('Base Stats'!$C$2:$C1000, LOWER('Base Stats'!$B$2:$B1000) = LOWER($A254)), """")"),"0.7666666667")</f>
        <v>0.7666666667</v>
      </c>
      <c r="K254" s="0" t="str">
        <f aca="false">IF(F254 = H254, C254/G254, "")</f>
        <v/>
      </c>
      <c r="L254" s="0" t="str">
        <f aca="false">IFERROR(__xludf.dummyfunction("IF(AND(NOT(K254 = """"), G254 &gt;= 15),K254/FILTER('Base Stats'!$C$2:$C1000, LOWER('Base Stats'!$B$2:$B1000) = LOWER($A254)), """")"),"")</f>
        <v/>
      </c>
      <c r="M254" s="0" t="str">
        <f aca="false">IFERROR(__xludf.dummyfunction("1.15 + 0.02 * FILTER('Base Stats'!$C$2:$C1000, LOWER('Base Stats'!$B$2:$B1000) = LOWER($A254))"),"2.35")</f>
        <v>2.35</v>
      </c>
      <c r="N254" s="0" t="e">
        <f aca="false">IFERROR(IF(AND(NOT(K254 = ""), G254 &gt;= 15),K254/M254, ""))</f>
        <v>#VALUE!</v>
      </c>
    </row>
    <row r="255" customFormat="false" ht="15.75" hidden="false" customHeight="false" outlineLevel="0" collapsed="false">
      <c r="A255" s="8" t="s">
        <v>525</v>
      </c>
      <c r="B255" s="8" t="n">
        <v>187</v>
      </c>
      <c r="C255" s="8" t="n">
        <v>46</v>
      </c>
      <c r="D255" s="8" t="n">
        <v>26.64</v>
      </c>
      <c r="E255" s="8" t="n">
        <v>1.02</v>
      </c>
      <c r="F255" s="8" t="n">
        <v>800</v>
      </c>
      <c r="G255" s="0" t="str">
        <f aca="false">IFERROR(__xludf.dummyfunction("ROUND(B255/ FILTER('Pokemon CP/HP'!$M$2:$M1000, LOWER('Pokemon CP/HP'!$B$2:$B1000)=LOWER(A255)))"),"13")</f>
        <v>13</v>
      </c>
      <c r="H255" s="0" t="str">
        <f aca="false">IFERROR(__xludf.dummyfunction("FILTER('Leveling Info'!$B$2:$B1000, 'Leveling Info'!$A$2:$A1000 =G255)"),"800")</f>
        <v>800</v>
      </c>
      <c r="I255" s="14" t="n">
        <f aca="false">SQRT(G255)</f>
        <v>3.60555127546399</v>
      </c>
      <c r="J255" s="14" t="str">
        <f aca="false">IFERROR(__xludf.dummyfunction("IF(F255 = H255,C255/FILTER('Base Stats'!$C$2:$C1000, LOWER('Base Stats'!$B$2:$B1000) = LOWER($A255)), """")"),"0.7666666667")</f>
        <v>0.7666666667</v>
      </c>
      <c r="K255" s="0" t="str">
        <f aca="false">IF(F255 = H255, C255/G255, "")</f>
        <v/>
      </c>
      <c r="L255" s="0" t="str">
        <f aca="false">IFERROR(__xludf.dummyfunction("IF(AND(NOT(K255 = """"), G255 &gt;= 15),K255/FILTER('Base Stats'!$C$2:$C1000, LOWER('Base Stats'!$B$2:$B1000) = LOWER($A255)), """")"),"")</f>
        <v/>
      </c>
      <c r="M255" s="0" t="str">
        <f aca="false">IFERROR(__xludf.dummyfunction("1.15 + 0.02 * FILTER('Base Stats'!$C$2:$C1000, LOWER('Base Stats'!$B$2:$B1000) = LOWER($A255))"),"2.35")</f>
        <v>2.35</v>
      </c>
      <c r="N255" s="0" t="e">
        <f aca="false">IFERROR(IF(AND(NOT(K255 = ""), G255 &gt;= 15),K255/M255, ""))</f>
        <v>#VALUE!</v>
      </c>
    </row>
    <row r="256" customFormat="false" ht="15.75" hidden="false" customHeight="false" outlineLevel="0" collapsed="false">
      <c r="A256" s="8" t="s">
        <v>525</v>
      </c>
      <c r="B256" s="8" t="n">
        <v>176</v>
      </c>
      <c r="C256" s="8" t="n">
        <v>41</v>
      </c>
      <c r="D256" s="8" t="n">
        <v>32.75</v>
      </c>
      <c r="E256" s="8" t="n">
        <v>0.97</v>
      </c>
      <c r="F256" s="8" t="n">
        <v>800</v>
      </c>
      <c r="G256" s="0" t="str">
        <f aca="false">IFERROR(__xludf.dummyfunction("ROUND(B256/ FILTER('Pokemon CP/HP'!$M$2:$M1000, LOWER('Pokemon CP/HP'!$B$2:$B1000)=LOWER(A256)))"),"13")</f>
        <v>13</v>
      </c>
      <c r="H256" s="0" t="str">
        <f aca="false">IFERROR(__xludf.dummyfunction("FILTER('Leveling Info'!$B$2:$B1000, 'Leveling Info'!$A$2:$A1000 =G256)"),"800")</f>
        <v>800</v>
      </c>
      <c r="I256" s="14" t="n">
        <f aca="false">SQRT(G256)</f>
        <v>3.60555127546399</v>
      </c>
      <c r="J256" s="14" t="str">
        <f aca="false">IFERROR(__xludf.dummyfunction("IF(F256 = H256,C256/FILTER('Base Stats'!$C$2:$C1000, LOWER('Base Stats'!$B$2:$B1000) = LOWER($A256)), """")"),"0.6833333333")</f>
        <v>0.6833333333</v>
      </c>
      <c r="K256" s="0" t="str">
        <f aca="false">IF(F256 = H256, C256/G256, "")</f>
        <v/>
      </c>
      <c r="L256" s="0" t="str">
        <f aca="false">IFERROR(__xludf.dummyfunction("IF(AND(NOT(K256 = """"), G256 &gt;= 15),K256/FILTER('Base Stats'!$C$2:$C1000, LOWER('Base Stats'!$B$2:$B1000) = LOWER($A256)), """")"),"")</f>
        <v/>
      </c>
      <c r="M256" s="0" t="str">
        <f aca="false">IFERROR(__xludf.dummyfunction("1.15 + 0.02 * FILTER('Base Stats'!$C$2:$C1000, LOWER('Base Stats'!$B$2:$B1000) = LOWER($A256))"),"2.35")</f>
        <v>2.35</v>
      </c>
      <c r="N256" s="0" t="e">
        <f aca="false">IFERROR(IF(AND(NOT(K256 = ""), G256 &gt;= 15),K256/M256, ""))</f>
        <v>#VALUE!</v>
      </c>
    </row>
    <row r="257" customFormat="false" ht="15.75" hidden="false" customHeight="false" outlineLevel="0" collapsed="false">
      <c r="A257" s="8" t="s">
        <v>525</v>
      </c>
      <c r="B257" s="8" t="n">
        <v>154</v>
      </c>
      <c r="C257" s="8" t="n">
        <v>38</v>
      </c>
      <c r="D257" s="8" t="n">
        <v>46.45</v>
      </c>
      <c r="E257" s="8" t="n">
        <v>1.21</v>
      </c>
      <c r="F257" s="8" t="n">
        <v>600</v>
      </c>
      <c r="G257" s="0" t="str">
        <f aca="false">IFERROR(__xludf.dummyfunction("ROUND(B257/ FILTER('Pokemon CP/HP'!$M$2:$M1000, LOWER('Pokemon CP/HP'!$B$2:$B1000)=LOWER(A257)))"),"11")</f>
        <v>11</v>
      </c>
      <c r="H257" s="0" t="str">
        <f aca="false">IFERROR(__xludf.dummyfunction("FILTER('Leveling Info'!$B$2:$B1000, 'Leveling Info'!$A$2:$A1000 =G257)"),"600")</f>
        <v>600</v>
      </c>
      <c r="I257" s="14" t="n">
        <f aca="false">SQRT(G257)</f>
        <v>3.3166247903554</v>
      </c>
      <c r="J257" s="14" t="str">
        <f aca="false">IFERROR(__xludf.dummyfunction("IF(F257 = H257,C257/FILTER('Base Stats'!$C$2:$C1000, LOWER('Base Stats'!$B$2:$B1000) = LOWER($A257)), """")"),"0.6333333333")</f>
        <v>0.6333333333</v>
      </c>
      <c r="K257" s="0" t="str">
        <f aca="false">IF(F257 = H257, C257/G257, "")</f>
        <v/>
      </c>
      <c r="L257" s="0" t="str">
        <f aca="false">IFERROR(__xludf.dummyfunction("IF(AND(NOT(K257 = """"), G257 &gt;= 15),K257/FILTER('Base Stats'!$C$2:$C1000, LOWER('Base Stats'!$B$2:$B1000) = LOWER($A257)), """")"),"")</f>
        <v/>
      </c>
      <c r="M257" s="0" t="str">
        <f aca="false">IFERROR(__xludf.dummyfunction("1.15 + 0.02 * FILTER('Base Stats'!$C$2:$C1000, LOWER('Base Stats'!$B$2:$B1000) = LOWER($A257))"),"2.35")</f>
        <v>2.35</v>
      </c>
      <c r="N257" s="0" t="e">
        <f aca="false">IFERROR(IF(AND(NOT(K257 = ""), G257 &gt;= 15),K257/M257, ""))</f>
        <v>#VALUE!</v>
      </c>
    </row>
    <row r="258" customFormat="false" ht="15.75" hidden="false" customHeight="false" outlineLevel="0" collapsed="false">
      <c r="A258" s="8" t="s">
        <v>526</v>
      </c>
      <c r="B258" s="8" t="n">
        <v>463</v>
      </c>
      <c r="C258" s="8" t="n">
        <v>58</v>
      </c>
      <c r="D258" s="8" t="n">
        <v>23.4</v>
      </c>
      <c r="E258" s="8" t="n">
        <v>1.23</v>
      </c>
      <c r="F258" s="8" t="n">
        <v>1000</v>
      </c>
      <c r="G258" s="0" t="str">
        <f aca="false">IFERROR(__xludf.dummyfunction("ROUND(B258/ FILTER('Pokemon CP/HP'!$M$2:$M1000, LOWER('Pokemon CP/HP'!$B$2:$B1000)=LOWER(A258)))"),"17")</f>
        <v>17</v>
      </c>
      <c r="H258" s="0" t="str">
        <f aca="false">IFERROR(__xludf.dummyfunction("FILTER('Leveling Info'!$B$2:$B1000, 'Leveling Info'!$A$2:$A1000 =G258)"),"1000")</f>
        <v>1000</v>
      </c>
      <c r="I258" s="14" t="n">
        <f aca="false">SQRT(G258)</f>
        <v>4.12310562561766</v>
      </c>
      <c r="J258" s="14" t="str">
        <f aca="false">IFERROR(__xludf.dummyfunction("IF(F258 = H258,C258/FILTER('Base Stats'!$C$2:$C1000, LOWER('Base Stats'!$B$2:$B1000) = LOWER($A258)), """")"),"0.8285714286")</f>
        <v>0.8285714286</v>
      </c>
      <c r="K258" s="0" t="str">
        <f aca="false">IF(F258 = H258, C258/G258, "")</f>
        <v/>
      </c>
      <c r="L258" s="0" t="str">
        <f aca="false">IFERROR(__xludf.dummyfunction("IF(AND(NOT(K258 = """"), G258 &gt;= 15),K258/FILTER('Base Stats'!$C$2:$C1000, LOWER('Base Stats'!$B$2:$B1000) = LOWER($A258)), """")"),"0.0487394958")</f>
        <v>0.0487394958</v>
      </c>
      <c r="M258" s="0" t="str">
        <f aca="false">IFERROR(__xludf.dummyfunction("1.15 + 0.02 * FILTER('Base Stats'!$C$2:$C1000, LOWER('Base Stats'!$B$2:$B1000) = LOWER($A258))"),"2.55")</f>
        <v>2.55</v>
      </c>
      <c r="N258" s="0" t="e">
        <f aca="false">IFERROR(IF(AND(NOT(K258 = ""), G258 &gt;= 15),K258/M258, ""))</f>
        <v>#VALUE!</v>
      </c>
    </row>
    <row r="259" customFormat="false" ht="15.75" hidden="false" customHeight="false" outlineLevel="0" collapsed="false">
      <c r="A259" s="8" t="s">
        <v>527</v>
      </c>
      <c r="B259" s="8" t="n">
        <v>216</v>
      </c>
      <c r="C259" s="8" t="n">
        <v>40</v>
      </c>
      <c r="D259" s="8" t="n">
        <v>3.76</v>
      </c>
      <c r="E259" s="8" t="n">
        <v>0.4</v>
      </c>
      <c r="F259" s="8" t="n">
        <v>1300</v>
      </c>
      <c r="G259" s="0" t="str">
        <f aca="false">IFERROR(__xludf.dummyfunction("ROUND(B259/ FILTER('Pokemon CP/HP'!$M$2:$M1000, LOWER('Pokemon CP/HP'!$B$2:$B1000)=LOWER(A259)))"),"21")</f>
        <v>21</v>
      </c>
      <c r="H259" s="0" t="str">
        <f aca="false">IFERROR(__xludf.dummyfunction("FILTER('Leveling Info'!$B$2:$B1000, 'Leveling Info'!$A$2:$A1000 =G259)"),"1300")</f>
        <v>1300</v>
      </c>
      <c r="I259" s="14" t="n">
        <f aca="false">SQRT(G259)</f>
        <v>4.58257569495584</v>
      </c>
      <c r="J259" s="14" t="str">
        <f aca="false">IFERROR(__xludf.dummyfunction("IF(F259 = H259,C259/FILTER('Base Stats'!$C$2:$C1000, LOWER('Base Stats'!$B$2:$B1000) = LOWER($A259)), """")"),"1")</f>
        <v>1</v>
      </c>
      <c r="K259" s="0" t="str">
        <f aca="false">IF(F259 = H259, C259/G259, "")</f>
        <v/>
      </c>
      <c r="L259" s="0" t="str">
        <f aca="false">IFERROR(__xludf.dummyfunction("IF(AND(NOT(K259 = """"), G259 &gt;= 15),K259/FILTER('Base Stats'!$C$2:$C1000, LOWER('Base Stats'!$B$2:$B1000) = LOWER($A259)), """")"),"0.04761904762")</f>
        <v>0.04761904762</v>
      </c>
      <c r="M259" s="0" t="str">
        <f aca="false">IFERROR(__xludf.dummyfunction("1.15 + 0.02 * FILTER('Base Stats'!$C$2:$C1000, LOWER('Base Stats'!$B$2:$B1000) = LOWER($A259))"),"1.95")</f>
        <v>1.95</v>
      </c>
      <c r="N259" s="0" t="e">
        <f aca="false">IFERROR(IF(AND(NOT(K259 = ""), G259 &gt;= 15),K259/M259, ""))</f>
        <v>#VALUE!</v>
      </c>
    </row>
    <row r="260" customFormat="false" ht="15.75" hidden="false" customHeight="false" outlineLevel="0" collapsed="false">
      <c r="A260" s="8" t="s">
        <v>527</v>
      </c>
      <c r="B260" s="8" t="n">
        <v>92</v>
      </c>
      <c r="C260" s="8" t="n">
        <v>24</v>
      </c>
      <c r="D260" s="8" t="n">
        <v>3.65</v>
      </c>
      <c r="E260" s="8" t="n">
        <v>0.37</v>
      </c>
      <c r="F260" s="8" t="n">
        <v>600</v>
      </c>
      <c r="G260" s="0" t="str">
        <f aca="false">IFERROR(__xludf.dummyfunction("ROUND(B260/ FILTER('Pokemon CP/HP'!$M$2:$M1000, LOWER('Pokemon CP/HP'!$B$2:$B1000)=LOWER(A260)))"),"9")</f>
        <v>9</v>
      </c>
      <c r="H260" s="0" t="str">
        <f aca="false">IFERROR(__xludf.dummyfunction("FILTER('Leveling Info'!$B$2:$B1000, 'Leveling Info'!$A$2:$A1000 =G260)"),"600")</f>
        <v>600</v>
      </c>
      <c r="I260" s="14" t="n">
        <f aca="false">SQRT(G260)</f>
        <v>3</v>
      </c>
      <c r="J260" s="14" t="str">
        <f aca="false">IFERROR(__xludf.dummyfunction("IF(F260 = H260,C260/FILTER('Base Stats'!$C$2:$C1000, LOWER('Base Stats'!$B$2:$B1000) = LOWER($A260)), """")"),"0.6")</f>
        <v>0.6</v>
      </c>
      <c r="K260" s="0" t="str">
        <f aca="false">IF(F260 = H260, C260/G260, "")</f>
        <v/>
      </c>
      <c r="L260" s="0" t="str">
        <f aca="false">IFERROR(__xludf.dummyfunction("IF(AND(NOT(K260 = """"), G260 &gt;= 15),K260/FILTER('Base Stats'!$C$2:$C1000, LOWER('Base Stats'!$B$2:$B1000) = LOWER($A260)), """")"),"")</f>
        <v/>
      </c>
      <c r="M260" s="0" t="str">
        <f aca="false">IFERROR(__xludf.dummyfunction("1.15 + 0.02 * FILTER('Base Stats'!$C$2:$C1000, LOWER('Base Stats'!$B$2:$B1000) = LOWER($A260))"),"1.95")</f>
        <v>1.95</v>
      </c>
      <c r="N260" s="0" t="e">
        <f aca="false">IFERROR(IF(AND(NOT(K260 = ""), G260 &gt;= 15),K260/M260, ""))</f>
        <v>#VALUE!</v>
      </c>
    </row>
    <row r="261" customFormat="false" ht="15.75" hidden="false" customHeight="false" outlineLevel="0" collapsed="false">
      <c r="A261" s="8" t="s">
        <v>528</v>
      </c>
      <c r="B261" s="8" t="n">
        <v>202</v>
      </c>
      <c r="C261" s="8" t="n">
        <v>40</v>
      </c>
      <c r="D261" s="8" t="n">
        <v>26.98</v>
      </c>
      <c r="E261" s="8" t="n">
        <v>0.94</v>
      </c>
      <c r="F261" s="8" t="n">
        <v>600</v>
      </c>
      <c r="G261" s="0" t="str">
        <f aca="false">IFERROR(__xludf.dummyfunction("ROUND(B261/ FILTER('Pokemon CP/HP'!$M$2:$M1000, LOWER('Pokemon CP/HP'!$B$2:$B1000)=LOWER(A261)))"),"9")</f>
        <v>9</v>
      </c>
      <c r="H261" s="0" t="str">
        <f aca="false">IFERROR(__xludf.dummyfunction("FILTER('Leveling Info'!$B$2:$B1000, 'Leveling Info'!$A$2:$A1000 =G261)"),"600")</f>
        <v>600</v>
      </c>
      <c r="I261" s="14" t="n">
        <f aca="false">SQRT(G261)</f>
        <v>3</v>
      </c>
      <c r="J261" s="14" t="str">
        <f aca="false">IFERROR(__xludf.dummyfunction("IF(F261 = H261,C261/FILTER('Base Stats'!$C$2:$C1000, LOWER('Base Stats'!$B$2:$B1000) = LOWER($A261)), """")"),"0.6153846154")</f>
        <v>0.6153846154</v>
      </c>
      <c r="K261" s="0" t="str">
        <f aca="false">IF(F261 = H261, C261/G261, "")</f>
        <v/>
      </c>
      <c r="L261" s="0" t="str">
        <f aca="false">IFERROR(__xludf.dummyfunction("IF(AND(NOT(K261 = """"), G261 &gt;= 15),K261/FILTER('Base Stats'!$C$2:$C1000, LOWER('Base Stats'!$B$2:$B1000) = LOWER($A261)), """")"),"")</f>
        <v/>
      </c>
      <c r="M261" s="0" t="str">
        <f aca="false">IFERROR(__xludf.dummyfunction("1.15 + 0.02 * FILTER('Base Stats'!$C$2:$C1000, LOWER('Base Stats'!$B$2:$B1000) = LOWER($A261))"),"2.45")</f>
        <v>2.45</v>
      </c>
      <c r="N261" s="0" t="e">
        <f aca="false">IFERROR(IF(AND(NOT(K261 = ""), G261 &gt;= 15),K261/M261, ""))</f>
        <v>#VALUE!</v>
      </c>
    </row>
    <row r="262" customFormat="false" ht="15.75" hidden="false" customHeight="false" outlineLevel="0" collapsed="false">
      <c r="A262" s="8" t="s">
        <v>529</v>
      </c>
      <c r="B262" s="8" t="n">
        <v>425</v>
      </c>
      <c r="C262" s="8" t="n">
        <v>52</v>
      </c>
      <c r="D262" s="8" t="n">
        <v>7.47</v>
      </c>
      <c r="E262" s="8" t="n">
        <v>0.55</v>
      </c>
      <c r="F262" s="8" t="n">
        <v>1900</v>
      </c>
      <c r="G262" s="0" t="str">
        <f aca="false">IFERROR(__xludf.dummyfunction("ROUND(B262/ FILTER('Pokemon CP/HP'!$M$2:$M1000, LOWER('Pokemon CP/HP'!$B$2:$B1000)=LOWER(A262)))"),"30")</f>
        <v>30</v>
      </c>
      <c r="H262" s="0" t="str">
        <f aca="false">IFERROR(__xludf.dummyfunction("FILTER('Leveling Info'!$B$2:$B1000, 'Leveling Info'!$A$2:$A1000 =G262)"),"1900")</f>
        <v>1900</v>
      </c>
      <c r="I262" s="14" t="n">
        <f aca="false">SQRT(G262)</f>
        <v>5.47722557505166</v>
      </c>
      <c r="J262" s="14" t="str">
        <f aca="false">IFERROR(__xludf.dummyfunction("IF(F262 = H262,C262/FILTER('Base Stats'!$C$2:$C1000, LOWER('Base Stats'!$B$2:$B1000) = LOWER($A262)), """")"),"1.04")</f>
        <v>1.04</v>
      </c>
      <c r="K262" s="0" t="str">
        <f aca="false">IF(F262 = H262, C262/G262, "")</f>
        <v/>
      </c>
      <c r="L262" s="0" t="str">
        <f aca="false">IFERROR(__xludf.dummyfunction("IF(AND(NOT(K262 = """"), G262 &gt;= 15),K262/FILTER('Base Stats'!$C$2:$C1000, LOWER('Base Stats'!$B$2:$B1000) = LOWER($A262)), """")"),"0.03466666667")</f>
        <v>0.03466666667</v>
      </c>
      <c r="M262" s="0" t="str">
        <f aca="false">IFERROR(__xludf.dummyfunction("1.15 + 0.02 * FILTER('Base Stats'!$C$2:$C1000, LOWER('Base Stats'!$B$2:$B1000) = LOWER($A262))"),"2.15")</f>
        <v>2.15</v>
      </c>
      <c r="N262" s="0" t="e">
        <f aca="false">IFERROR(IF(AND(NOT(K262 = ""), G262 &gt;= 15),K262/M262, ""))</f>
        <v>#VALUE!</v>
      </c>
    </row>
    <row r="263" customFormat="false" ht="15.75" hidden="false" customHeight="false" outlineLevel="0" collapsed="false">
      <c r="A263" s="8" t="s">
        <v>529</v>
      </c>
      <c r="B263" s="8" t="n">
        <v>281</v>
      </c>
      <c r="C263" s="8" t="n">
        <v>44</v>
      </c>
      <c r="D263" s="8" t="n">
        <v>14.1</v>
      </c>
      <c r="E263" s="8" t="n">
        <v>0.7</v>
      </c>
      <c r="F263" s="8" t="n">
        <v>1300</v>
      </c>
      <c r="G263" s="0" t="str">
        <f aca="false">IFERROR(__xludf.dummyfunction("ROUND(B263/ FILTER('Pokemon CP/HP'!$M$2:$M1000, LOWER('Pokemon CP/HP'!$B$2:$B1000)=LOWER(A263)))"),"20")</f>
        <v>20</v>
      </c>
      <c r="H263" s="0" t="str">
        <f aca="false">IFERROR(__xludf.dummyfunction("FILTER('Leveling Info'!$B$2:$B1000, 'Leveling Info'!$A$2:$A1000 =G263)"),"1000")</f>
        <v>1000</v>
      </c>
      <c r="I263" s="14" t="n">
        <f aca="false">SQRT(G263)</f>
        <v>4.47213595499958</v>
      </c>
      <c r="J263" s="14" t="str">
        <f aca="false">IFERROR(__xludf.dummyfunction("IF(F263 = H263,C263/FILTER('Base Stats'!$C$2:$C1000, LOWER('Base Stats'!$B$2:$B1000) = LOWER($A263)), """")"),"")</f>
        <v/>
      </c>
      <c r="K263" s="0" t="str">
        <f aca="false">IF(F263 = H263, C263/G263, "")</f>
        <v/>
      </c>
      <c r="L263" s="0" t="str">
        <f aca="false">IFERROR(__xludf.dummyfunction("IF(AND(NOT(K263 = """"), G263 &gt;= 15),K263/FILTER('Base Stats'!$C$2:$C1000, LOWER('Base Stats'!$B$2:$B1000) = LOWER($A263)), """")"),"")</f>
        <v/>
      </c>
      <c r="M263" s="0" t="str">
        <f aca="false">IFERROR(__xludf.dummyfunction("1.15 + 0.02 * FILTER('Base Stats'!$C$2:$C1000, LOWER('Base Stats'!$B$2:$B1000) = LOWER($A263))"),"2.15")</f>
        <v>2.15</v>
      </c>
      <c r="N263" s="0" t="e">
        <f aca="false">IFERROR(IF(AND(NOT(K263 = ""), G263 &gt;= 15),K263/M263, ""))</f>
        <v>#VALUE!</v>
      </c>
    </row>
    <row r="264" customFormat="false" ht="15.75" hidden="false" customHeight="false" outlineLevel="0" collapsed="false">
      <c r="A264" s="8" t="s">
        <v>529</v>
      </c>
      <c r="B264" s="8" t="n">
        <v>273</v>
      </c>
      <c r="C264" s="8" t="n">
        <v>47</v>
      </c>
      <c r="D264" s="8" t="n">
        <v>18.29</v>
      </c>
      <c r="E264" s="8" t="n">
        <v>0.76</v>
      </c>
      <c r="F264" s="8" t="n">
        <v>1000</v>
      </c>
      <c r="G264" s="0" t="str">
        <f aca="false">IFERROR(__xludf.dummyfunction("ROUND(B264/ FILTER('Pokemon CP/HP'!$M$2:$M1000, LOWER('Pokemon CP/HP'!$B$2:$B1000)=LOWER(A264)))"),"20")</f>
        <v>20</v>
      </c>
      <c r="H264" s="0" t="str">
        <f aca="false">IFERROR(__xludf.dummyfunction("FILTER('Leveling Info'!$B$2:$B1000, 'Leveling Info'!$A$2:$A1000 =G264)"),"1000")</f>
        <v>1000</v>
      </c>
      <c r="I264" s="14" t="n">
        <f aca="false">SQRT(G264)</f>
        <v>4.47213595499958</v>
      </c>
      <c r="J264" s="14" t="str">
        <f aca="false">IFERROR(__xludf.dummyfunction("IF(F264 = H264,C264/FILTER('Base Stats'!$C$2:$C1000, LOWER('Base Stats'!$B$2:$B1000) = LOWER($A264)), """")"),"0.94")</f>
        <v>0.94</v>
      </c>
      <c r="K264" s="0" t="str">
        <f aca="false">IF(F264 = H264, C264/G264, "")</f>
        <v/>
      </c>
      <c r="L264" s="0" t="str">
        <f aca="false">IFERROR(__xludf.dummyfunction("IF(AND(NOT(K264 = """"), G264 &gt;= 15),K264/FILTER('Base Stats'!$C$2:$C1000, LOWER('Base Stats'!$B$2:$B1000) = LOWER($A264)), """")"),"0.047")</f>
        <v>0.047</v>
      </c>
      <c r="M264" s="0" t="str">
        <f aca="false">IFERROR(__xludf.dummyfunction("1.15 + 0.02 * FILTER('Base Stats'!$C$2:$C1000, LOWER('Base Stats'!$B$2:$B1000) = LOWER($A264))"),"2.15")</f>
        <v>2.15</v>
      </c>
      <c r="N264" s="0" t="e">
        <f aca="false">IFERROR(IF(AND(NOT(K264 = ""), G264 &gt;= 15),K264/M264, ""))</f>
        <v>#VALUE!</v>
      </c>
    </row>
    <row r="265" customFormat="false" ht="15.75" hidden="false" customHeight="false" outlineLevel="0" collapsed="false">
      <c r="A265" s="8" t="s">
        <v>529</v>
      </c>
      <c r="B265" s="8" t="n">
        <v>13</v>
      </c>
      <c r="C265" s="8" t="n">
        <v>10</v>
      </c>
      <c r="D265" s="8" t="n">
        <v>27.1</v>
      </c>
      <c r="E265" s="8" t="n">
        <v>0.92</v>
      </c>
      <c r="F265" s="8" t="n">
        <v>200</v>
      </c>
      <c r="G265" s="0" t="str">
        <f aca="false">IFERROR(__xludf.dummyfunction("ROUND(B265/ FILTER('Pokemon CP/HP'!$M$2:$M1000, LOWER('Pokemon CP/HP'!$B$2:$B1000)=LOWER(A265)))"),"1")</f>
        <v>1</v>
      </c>
      <c r="H265" s="0" t="str">
        <f aca="false">IFERROR(__xludf.dummyfunction("FILTER('Leveling Info'!$B$2:$B1000, 'Leveling Info'!$A$2:$A1000 =G265)"),"200")</f>
        <v>200</v>
      </c>
      <c r="I265" s="14" t="n">
        <f aca="false">SQRT(G265)</f>
        <v>1</v>
      </c>
      <c r="J265" s="14" t="str">
        <f aca="false">IFERROR(__xludf.dummyfunction("IF(F265 = H265,C265/FILTER('Base Stats'!$C$2:$C1000, LOWER('Base Stats'!$B$2:$B1000) = LOWER($A265)), """")"),"0.2")</f>
        <v>0.2</v>
      </c>
      <c r="K265" s="0" t="str">
        <f aca="false">IF(F265 = H265, C265/G265, "")</f>
        <v/>
      </c>
      <c r="L265" s="0" t="str">
        <f aca="false">IFERROR(__xludf.dummyfunction("IF(AND(NOT(K265 = """"), G265 &gt;= 15),K265/FILTER('Base Stats'!$C$2:$C1000, LOWER('Base Stats'!$B$2:$B1000) = LOWER($A265)), """")"),"")</f>
        <v/>
      </c>
      <c r="M265" s="0" t="str">
        <f aca="false">IFERROR(__xludf.dummyfunction("1.15 + 0.02 * FILTER('Base Stats'!$C$2:$C1000, LOWER('Base Stats'!$B$2:$B1000) = LOWER($A265))"),"2.15")</f>
        <v>2.15</v>
      </c>
      <c r="N265" s="0" t="e">
        <f aca="false">IFERROR(IF(AND(NOT(K265 = ""), G265 &gt;= 15),K265/M265, ""))</f>
        <v>#VALUE!</v>
      </c>
    </row>
    <row r="266" customFormat="false" ht="15.75" hidden="false" customHeight="false" outlineLevel="0" collapsed="false">
      <c r="A266" s="8" t="s">
        <v>530</v>
      </c>
      <c r="B266" s="8" t="n">
        <v>244</v>
      </c>
      <c r="C266" s="8" t="n">
        <v>41</v>
      </c>
      <c r="D266" s="8" t="n">
        <v>16.81</v>
      </c>
      <c r="E266" s="8" t="n">
        <v>0.72</v>
      </c>
      <c r="F266" s="8" t="n">
        <v>800</v>
      </c>
      <c r="G266" s="0" t="str">
        <f aca="false">IFERROR(__xludf.dummyfunction("ROUND(B266/ FILTER('Pokemon CP/HP'!$M$2:$M1000, LOWER('Pokemon CP/HP'!$B$2:$B1000)=LOWER(A266)))"),"13")</f>
        <v>13</v>
      </c>
      <c r="H266" s="0" t="str">
        <f aca="false">IFERROR(__xludf.dummyfunction("FILTER('Leveling Info'!$B$2:$B1000, 'Leveling Info'!$A$2:$A1000 =G266)"),"800")</f>
        <v>800</v>
      </c>
      <c r="I266" s="14" t="n">
        <f aca="false">SQRT(G266)</f>
        <v>3.60555127546399</v>
      </c>
      <c r="J266" s="14" t="str">
        <f aca="false">IFERROR(__xludf.dummyfunction("IF(F266 = H266,C266/FILTER('Base Stats'!$C$2:$C1000, LOWER('Base Stats'!$B$2:$B1000) = LOWER($A266)), """")"),"0.7454545455")</f>
        <v>0.7454545455</v>
      </c>
      <c r="K266" s="0" t="str">
        <f aca="false">IF(F266 = H266, C266/G266, "")</f>
        <v/>
      </c>
      <c r="L266" s="0" t="str">
        <f aca="false">IFERROR(__xludf.dummyfunction("IF(AND(NOT(K266 = """"), G266 &gt;= 15),K266/FILTER('Base Stats'!$C$2:$C1000, LOWER('Base Stats'!$B$2:$B1000) = LOWER($A266)), """")"),"")</f>
        <v/>
      </c>
      <c r="M266" s="0" t="str">
        <f aca="false">IFERROR(__xludf.dummyfunction("1.15 + 0.02 * FILTER('Base Stats'!$C$2:$C1000, LOWER('Base Stats'!$B$2:$B1000) = LOWER($A266))"),"2.25")</f>
        <v>2.25</v>
      </c>
      <c r="N266" s="0" t="e">
        <f aca="false">IFERROR(IF(AND(NOT(K266 = ""), G266 &gt;= 15),K266/M266, ""))</f>
        <v>#VALUE!</v>
      </c>
    </row>
    <row r="267" customFormat="false" ht="15.75" hidden="false" customHeight="false" outlineLevel="0" collapsed="false">
      <c r="A267" s="8" t="s">
        <v>530</v>
      </c>
      <c r="B267" s="8" t="n">
        <v>89</v>
      </c>
      <c r="C267" s="8" t="n">
        <v>25</v>
      </c>
      <c r="D267" s="8" t="n">
        <v>24.81</v>
      </c>
      <c r="E267" s="8" t="n">
        <v>0.82</v>
      </c>
      <c r="F267" s="8" t="n">
        <v>400</v>
      </c>
      <c r="G267" s="0" t="str">
        <f aca="false">IFERROR(__xludf.dummyfunction("ROUND(B267/ FILTER('Pokemon CP/HP'!$M$2:$M1000, LOWER('Pokemon CP/HP'!$B$2:$B1000)=LOWER(A267)))"),"5")</f>
        <v>5</v>
      </c>
      <c r="H267" s="0" t="str">
        <f aca="false">IFERROR(__xludf.dummyfunction("FILTER('Leveling Info'!$B$2:$B1000, 'Leveling Info'!$A$2:$A1000 =G267)"),"400")</f>
        <v>400</v>
      </c>
      <c r="I267" s="14" t="n">
        <f aca="false">SQRT(G267)</f>
        <v>2.23606797749979</v>
      </c>
      <c r="J267" s="14" t="str">
        <f aca="false">IFERROR(__xludf.dummyfunction("IF(F267 = H267,C267/FILTER('Base Stats'!$C$2:$C1000, LOWER('Base Stats'!$B$2:$B1000) = LOWER($A267)), """")"),"0.4545454545")</f>
        <v>0.4545454545</v>
      </c>
      <c r="K267" s="0" t="str">
        <f aca="false">IF(F267 = H267, C267/G267, "")</f>
        <v/>
      </c>
      <c r="L267" s="0" t="str">
        <f aca="false">IFERROR(__xludf.dummyfunction("IF(AND(NOT(K267 = """"), G267 &gt;= 15),K267/FILTER('Base Stats'!$C$2:$C1000, LOWER('Base Stats'!$B$2:$B1000) = LOWER($A267)), """")"),"")</f>
        <v/>
      </c>
      <c r="M267" s="0" t="str">
        <f aca="false">IFERROR(__xludf.dummyfunction("1.15 + 0.02 * FILTER('Base Stats'!$C$2:$C1000, LOWER('Base Stats'!$B$2:$B1000) = LOWER($A267))"),"2.25")</f>
        <v>2.25</v>
      </c>
      <c r="N267" s="0" t="e">
        <f aca="false">IFERROR(IF(AND(NOT(K267 = ""), G267 &gt;= 15),K267/M267, ""))</f>
        <v>#VALUE!</v>
      </c>
    </row>
    <row r="268" customFormat="false" ht="15.75" hidden="false" customHeight="false" outlineLevel="0" collapsed="false">
      <c r="A268" s="8" t="s">
        <v>531</v>
      </c>
      <c r="B268" s="8" t="n">
        <v>47</v>
      </c>
      <c r="C268" s="8" t="n">
        <v>17</v>
      </c>
      <c r="D268" s="8" t="n">
        <v>7.83</v>
      </c>
      <c r="E268" s="8" t="n">
        <v>0.52</v>
      </c>
      <c r="F268" s="8" t="n">
        <v>400</v>
      </c>
      <c r="G268" s="0" t="str">
        <f aca="false">IFERROR(__xludf.dummyfunction("ROUND(B268/ FILTER('Pokemon CP/HP'!$M$2:$M1000, LOWER('Pokemon CP/HP'!$B$2:$B1000)=LOWER(A268)))"),"5")</f>
        <v>5</v>
      </c>
      <c r="H268" s="0" t="str">
        <f aca="false">IFERROR(__xludf.dummyfunction("FILTER('Leveling Info'!$B$2:$B1000, 'Leveling Info'!$A$2:$A1000 =G268)"),"400")</f>
        <v>400</v>
      </c>
      <c r="I268" s="14" t="n">
        <f aca="false">SQRT(G268)</f>
        <v>2.23606797749979</v>
      </c>
      <c r="J268" s="14" t="str">
        <f aca="false">IFERROR(__xludf.dummyfunction("IF(F268 = H268,C268/FILTER('Base Stats'!$C$2:$C1000, LOWER('Base Stats'!$B$2:$B1000) = LOWER($A268)), """")"),"0.425")</f>
        <v>0.425</v>
      </c>
      <c r="K268" s="0" t="str">
        <f aca="false">IF(F268 = H268, C268/G268, "")</f>
        <v/>
      </c>
      <c r="L268" s="0" t="str">
        <f aca="false">IFERROR(__xludf.dummyfunction("IF(AND(NOT(K268 = """"), G268 &gt;= 15),K268/FILTER('Base Stats'!$C$2:$C1000, LOWER('Base Stats'!$B$2:$B1000) = LOWER($A268)), """")"),"")</f>
        <v/>
      </c>
      <c r="M268" s="0" t="str">
        <f aca="false">IFERROR(__xludf.dummyfunction("1.15 + 0.02 * FILTER('Base Stats'!$C$2:$C1000, LOWER('Base Stats'!$B$2:$B1000) = LOWER($A268))"),"1.95")</f>
        <v>1.95</v>
      </c>
      <c r="N268" s="0" t="e">
        <f aca="false">IFERROR(IF(AND(NOT(K268 = ""), G268 &gt;= 15),K268/M268, ""))</f>
        <v>#VALUE!</v>
      </c>
    </row>
    <row r="269" customFormat="false" ht="15.75" hidden="false" customHeight="false" outlineLevel="0" collapsed="false">
      <c r="A269" s="8" t="s">
        <v>532</v>
      </c>
      <c r="B269" s="8" t="n">
        <v>332</v>
      </c>
      <c r="C269" s="8" t="n">
        <v>57</v>
      </c>
      <c r="D269" s="8" t="n">
        <v>13.98</v>
      </c>
      <c r="E269" s="8" t="n">
        <v>0.82</v>
      </c>
      <c r="F269" s="8" t="n">
        <v>1000</v>
      </c>
      <c r="G269" s="0" t="str">
        <f aca="false">IFERROR(__xludf.dummyfunction("ROUND(B269/ FILTER('Pokemon CP/HP'!$M$2:$M1000, LOWER('Pokemon CP/HP'!$B$2:$B1000)=LOWER(A269)))"),"21")</f>
        <v>21</v>
      </c>
      <c r="H269" s="0" t="str">
        <f aca="false">IFERROR(__xludf.dummyfunction("FILTER('Leveling Info'!$B$2:$B1000, 'Leveling Info'!$A$2:$A1000 =G269)"),"1300")</f>
        <v>1300</v>
      </c>
      <c r="I269" s="14" t="n">
        <f aca="false">SQRT(G269)</f>
        <v>4.58257569495584</v>
      </c>
      <c r="J269" s="14" t="str">
        <f aca="false">IFERROR(__xludf.dummyfunction("IF(F269 = H269,C269/FILTER('Base Stats'!$C$2:$C1000, LOWER('Base Stats'!$B$2:$B1000) = LOWER($A269)), """")"),"")</f>
        <v/>
      </c>
      <c r="K269" s="0" t="str">
        <f aca="false">IF(F269 = H269, C269/G269, "")</f>
        <v/>
      </c>
      <c r="L269" s="0" t="str">
        <f aca="false">IFERROR(__xludf.dummyfunction("IF(AND(NOT(K269 = """"), G269 &gt;= 15),K269/FILTER('Base Stats'!$C$2:$C1000, LOWER('Base Stats'!$B$2:$B1000) = LOWER($A269)), """")"),"")</f>
        <v/>
      </c>
      <c r="M269" s="0" t="str">
        <f aca="false">IFERROR(__xludf.dummyfunction("1.15 + 0.02 * FILTER('Base Stats'!$C$2:$C1000, LOWER('Base Stats'!$B$2:$B1000) = LOWER($A269))"),"2.45")</f>
        <v>2.45</v>
      </c>
      <c r="N269" s="0" t="e">
        <f aca="false">IFERROR(IF(AND(NOT(K269 = ""), G269 &gt;= 15),K269/M269, ""))</f>
        <v>#VALUE!</v>
      </c>
    </row>
    <row r="270" customFormat="false" ht="15.75" hidden="false" customHeight="false" outlineLevel="0" collapsed="false">
      <c r="A270" s="8" t="s">
        <v>533</v>
      </c>
      <c r="B270" s="8" t="n">
        <v>220</v>
      </c>
      <c r="C270" s="8" t="n">
        <v>25</v>
      </c>
      <c r="D270" s="8" t="n">
        <v>16.36</v>
      </c>
      <c r="E270" s="8" t="n">
        <v>0.68</v>
      </c>
      <c r="F270" s="8" t="n">
        <v>1900</v>
      </c>
      <c r="G270" s="0" t="str">
        <f aca="false">IFERROR(__xludf.dummyfunction("ROUND(B270/ FILTER('Pokemon CP/HP'!$M$2:$M1000, LOWER('Pokemon CP/HP'!$B$2:$B1000)=LOWER(A270)))"),"32")</f>
        <v>32</v>
      </c>
      <c r="H270" s="0" t="str">
        <f aca="false">IFERROR(__xludf.dummyfunction("FILTER('Leveling Info'!$B$2:$B1000, 'Leveling Info'!$A$2:$A1000 =G270)"),"1900")</f>
        <v>1900</v>
      </c>
      <c r="I270" s="14" t="n">
        <f aca="false">SQRT(G270)</f>
        <v>5.65685424949238</v>
      </c>
      <c r="J270" s="14" t="str">
        <f aca="false">IFERROR(__xludf.dummyfunction("IF(F270 = H270,C270/FILTER('Base Stats'!$C$2:$C1000, LOWER('Base Stats'!$B$2:$B1000) = LOWER($A270)), """")"),"1")</f>
        <v>1</v>
      </c>
      <c r="K270" s="0" t="str">
        <f aca="false">IF(F270 = H270, C270/G270, "")</f>
        <v/>
      </c>
      <c r="L270" s="0" t="str">
        <f aca="false">IFERROR(__xludf.dummyfunction("IF(AND(NOT(K270 = """"), G270 &gt;= 15),K270/FILTER('Base Stats'!$C$2:$C1000, LOWER('Base Stats'!$B$2:$B1000) = LOWER($A270)), """")"),"0.03125")</f>
        <v>0.03125</v>
      </c>
      <c r="M270" s="0" t="str">
        <f aca="false">IFERROR(__xludf.dummyfunction("1.15 + 0.02 * FILTER('Base Stats'!$C$2:$C1000, LOWER('Base Stats'!$B$2:$B1000) = LOWER($A270))"),"1.65")</f>
        <v>1.65</v>
      </c>
      <c r="N270" s="0" t="e">
        <f aca="false">IFERROR(IF(AND(NOT(K270 = ""), G270 &gt;= 15),K270/M270, ""))</f>
        <v>#VALUE!</v>
      </c>
    </row>
    <row r="271" customFormat="false" ht="15.75" hidden="false" customHeight="false" outlineLevel="0" collapsed="false">
      <c r="A271" s="8" t="s">
        <v>533</v>
      </c>
      <c r="B271" s="8" t="n">
        <v>131</v>
      </c>
      <c r="C271" s="8" t="n">
        <v>19</v>
      </c>
      <c r="D271" s="8" t="n">
        <v>16.36</v>
      </c>
      <c r="E271" s="8" t="n">
        <v>0.68</v>
      </c>
      <c r="F271" s="8" t="n">
        <v>1000</v>
      </c>
      <c r="G271" s="0" t="str">
        <f aca="false">IFERROR(__xludf.dummyfunction("ROUND(B271/ FILTER('Pokemon CP/HP'!$M$2:$M1000, LOWER('Pokemon CP/HP'!$B$2:$B1000)=LOWER(A271)))"),"19")</f>
        <v>19</v>
      </c>
      <c r="H271" s="0" t="str">
        <f aca="false">IFERROR(__xludf.dummyfunction("FILTER('Leveling Info'!$B$2:$B1000, 'Leveling Info'!$A$2:$A1000 =G271)"),"1000")</f>
        <v>1000</v>
      </c>
      <c r="I271" s="14" t="n">
        <f aca="false">SQRT(G271)</f>
        <v>4.35889894354067</v>
      </c>
      <c r="J271" s="14" t="str">
        <f aca="false">IFERROR(__xludf.dummyfunction("IF(F271 = H271,C271/FILTER('Base Stats'!$C$2:$C1000, LOWER('Base Stats'!$B$2:$B1000) = LOWER($A271)), """")"),"0.76")</f>
        <v>0.76</v>
      </c>
      <c r="K271" s="0" t="str">
        <f aca="false">IF(F271 = H271, C271/G271, "")</f>
        <v/>
      </c>
      <c r="L271" s="0" t="str">
        <f aca="false">IFERROR(__xludf.dummyfunction("IF(AND(NOT(K271 = """"), G271 &gt;= 15),K271/FILTER('Base Stats'!$C$2:$C1000, LOWER('Base Stats'!$B$2:$B1000) = LOWER($A271)), """")"),"0.04")</f>
        <v>0.04</v>
      </c>
      <c r="M271" s="0" t="str">
        <f aca="false">IFERROR(__xludf.dummyfunction("1.15 + 0.02 * FILTER('Base Stats'!$C$2:$C1000, LOWER('Base Stats'!$B$2:$B1000) = LOWER($A271))"),"1.65")</f>
        <v>1.65</v>
      </c>
      <c r="N271" s="0" t="e">
        <f aca="false">IFERROR(IF(AND(NOT(K271 = ""), G271 &gt;= 15),K271/M271, ""))</f>
        <v>#VALUE!</v>
      </c>
    </row>
    <row r="272" customFormat="false" ht="15.75" hidden="false" customHeight="false" outlineLevel="0" collapsed="false">
      <c r="A272" s="8" t="s">
        <v>533</v>
      </c>
      <c r="B272" s="8" t="n">
        <v>94</v>
      </c>
      <c r="C272" s="8" t="n">
        <v>20</v>
      </c>
      <c r="D272" s="8" t="n">
        <v>14.45</v>
      </c>
      <c r="E272" s="8" t="n">
        <v>0.77</v>
      </c>
      <c r="F272" s="8" t="n">
        <v>600</v>
      </c>
      <c r="G272" s="0" t="str">
        <f aca="false">IFERROR(__xludf.dummyfunction("ROUND(B272/ FILTER('Pokemon CP/HP'!$M$2:$M1000, LOWER('Pokemon CP/HP'!$B$2:$B1000)=LOWER(A272)))"),"14")</f>
        <v>14</v>
      </c>
      <c r="H272" s="0" t="str">
        <f aca="false">IFERROR(__xludf.dummyfunction("FILTER('Leveling Info'!$B$2:$B1000, 'Leveling Info'!$A$2:$A1000 =G272)"),"800")</f>
        <v>800</v>
      </c>
      <c r="I272" s="14" t="n">
        <f aca="false">SQRT(G272)</f>
        <v>3.74165738677394</v>
      </c>
      <c r="J272" s="14" t="str">
        <f aca="false">IFERROR(__xludf.dummyfunction("IF(F272 = H272,C272/FILTER('Base Stats'!$C$2:$C1000, LOWER('Base Stats'!$B$2:$B1000) = LOWER($A272)), """")"),"")</f>
        <v/>
      </c>
      <c r="K272" s="0" t="str">
        <f aca="false">IF(F272 = H272, C272/G272, "")</f>
        <v/>
      </c>
      <c r="L272" s="0" t="str">
        <f aca="false">IFERROR(__xludf.dummyfunction("IF(AND(NOT(K272 = """"), G272 &gt;= 15),K272/FILTER('Base Stats'!$C$2:$C1000, LOWER('Base Stats'!$B$2:$B1000) = LOWER($A272)), """")"),"")</f>
        <v/>
      </c>
      <c r="M272" s="0" t="str">
        <f aca="false">IFERROR(__xludf.dummyfunction("1.15 + 0.02 * FILTER('Base Stats'!$C$2:$C1000, LOWER('Base Stats'!$B$2:$B1000) = LOWER($A272))"),"1.65")</f>
        <v>1.65</v>
      </c>
      <c r="N272" s="0" t="e">
        <f aca="false">IFERROR(IF(AND(NOT(K272 = ""), G272 &gt;= 15),K272/M272, ""))</f>
        <v>#VALUE!</v>
      </c>
    </row>
    <row r="273" customFormat="false" ht="15.75" hidden="false" customHeight="false" outlineLevel="0" collapsed="false">
      <c r="A273" s="8" t="s">
        <v>534</v>
      </c>
      <c r="B273" s="8" t="n">
        <v>258</v>
      </c>
      <c r="C273" s="8" t="n">
        <v>59</v>
      </c>
      <c r="D273" s="8" t="n">
        <v>21.22</v>
      </c>
      <c r="E273" s="8" t="n">
        <v>0.83</v>
      </c>
      <c r="F273" s="8" t="n">
        <v>1000</v>
      </c>
      <c r="G273" s="0" t="str">
        <f aca="false">IFERROR(__xludf.dummyfunction("ROUND(B273/ FILTER('Pokemon CP/HP'!$M$2:$M1000, LOWER('Pokemon CP/HP'!$B$2:$B1000)=LOWER(A273)))"),"18")</f>
        <v>18</v>
      </c>
      <c r="H273" s="0" t="str">
        <f aca="false">IFERROR(__xludf.dummyfunction("FILTER('Leveling Info'!$B$2:$B1000, 'Leveling Info'!$A$2:$A1000 =G273)"),"1000")</f>
        <v>1000</v>
      </c>
      <c r="I273" s="14" t="n">
        <f aca="false">SQRT(G273)</f>
        <v>4.24264068711929</v>
      </c>
      <c r="J273" s="14" t="str">
        <f aca="false">IFERROR(__xludf.dummyfunction("IF(F273 = H273,C273/FILTER('Base Stats'!$C$2:$C1000, LOWER('Base Stats'!$B$2:$B1000) = LOWER($A273)), """")"),"0.8428571429")</f>
        <v>0.8428571429</v>
      </c>
      <c r="K273" s="0" t="str">
        <f aca="false">IF(F273 = H273, C273/G273, "")</f>
        <v/>
      </c>
      <c r="L273" s="0" t="str">
        <f aca="false">IFERROR(__xludf.dummyfunction("IF(AND(NOT(K273 = """"), G273 &gt;= 15),K273/FILTER('Base Stats'!$C$2:$C1000, LOWER('Base Stats'!$B$2:$B1000) = LOWER($A273)), """")"),"0.04682539683")</f>
        <v>0.04682539683</v>
      </c>
      <c r="M273" s="0" t="str">
        <f aca="false">IFERROR(__xludf.dummyfunction("1.15 + 0.02 * FILTER('Base Stats'!$C$2:$C1000, LOWER('Base Stats'!$B$2:$B1000) = LOWER($A273))"),"2.55")</f>
        <v>2.55</v>
      </c>
      <c r="N273" s="0" t="e">
        <f aca="false">IFERROR(IF(AND(NOT(K273 = ""), G273 &gt;= 15),K273/M273, ""))</f>
        <v>#VALUE!</v>
      </c>
    </row>
    <row r="274" customFormat="false" ht="15.75" hidden="false" customHeight="false" outlineLevel="0" collapsed="false">
      <c r="A274" s="8" t="s">
        <v>534</v>
      </c>
      <c r="B274" s="8" t="n">
        <v>219</v>
      </c>
      <c r="C274" s="8" t="n">
        <v>57</v>
      </c>
      <c r="D274" s="8" t="n">
        <v>18.97</v>
      </c>
      <c r="E274" s="8" t="n">
        <v>0.78</v>
      </c>
      <c r="F274" s="8" t="n">
        <v>800</v>
      </c>
      <c r="G274" s="0" t="str">
        <f aca="false">IFERROR(__xludf.dummyfunction("ROUND(B274/ FILTER('Pokemon CP/HP'!$M$2:$M1000, LOWER('Pokemon CP/HP'!$B$2:$B1000)=LOWER(A274)))"),"15")</f>
        <v>15</v>
      </c>
      <c r="H274" s="0" t="str">
        <f aca="false">IFERROR(__xludf.dummyfunction("FILTER('Leveling Info'!$B$2:$B1000, 'Leveling Info'!$A$2:$A1000 =G274)"),"800")</f>
        <v>800</v>
      </c>
      <c r="I274" s="14" t="n">
        <f aca="false">SQRT(G274)</f>
        <v>3.87298334620742</v>
      </c>
      <c r="J274" s="14" t="str">
        <f aca="false">IFERROR(__xludf.dummyfunction("IF(F274 = H274,C274/FILTER('Base Stats'!$C$2:$C1000, LOWER('Base Stats'!$B$2:$B1000) = LOWER($A274)), """")"),"0.8142857143")</f>
        <v>0.8142857143</v>
      </c>
      <c r="K274" s="0" t="str">
        <f aca="false">IF(F274 = H274, C274/G274, "")</f>
        <v/>
      </c>
      <c r="L274" s="0" t="str">
        <f aca="false">IFERROR(__xludf.dummyfunction("IF(AND(NOT(K274 = """"), G274 &gt;= 15),K274/FILTER('Base Stats'!$C$2:$C1000, LOWER('Base Stats'!$B$2:$B1000) = LOWER($A274)), """")"),"0.05428571429")</f>
        <v>0.05428571429</v>
      </c>
      <c r="M274" s="0" t="str">
        <f aca="false">IFERROR(__xludf.dummyfunction("1.15 + 0.02 * FILTER('Base Stats'!$C$2:$C1000, LOWER('Base Stats'!$B$2:$B1000) = LOWER($A274))"),"2.55")</f>
        <v>2.55</v>
      </c>
      <c r="N274" s="0" t="e">
        <f aca="false">IFERROR(IF(AND(NOT(K274 = ""), G274 &gt;= 15),K274/M274, ""))</f>
        <v>#VALUE!</v>
      </c>
    </row>
    <row r="275" customFormat="false" ht="15.75" hidden="false" customHeight="false" outlineLevel="0" collapsed="false">
      <c r="A275" s="8" t="s">
        <v>534</v>
      </c>
      <c r="B275" s="8" t="n">
        <v>139</v>
      </c>
      <c r="C275" s="8" t="n">
        <v>43</v>
      </c>
      <c r="D275" s="8" t="n">
        <v>24.16</v>
      </c>
      <c r="E275" s="8" t="n">
        <v>0.88</v>
      </c>
      <c r="F275" s="8" t="n">
        <v>600</v>
      </c>
      <c r="G275" s="0" t="str">
        <f aca="false">IFERROR(__xludf.dummyfunction("ROUND(B275/ FILTER('Pokemon CP/HP'!$M$2:$M1000, LOWER('Pokemon CP/HP'!$B$2:$B1000)=LOWER(A275)))"),"10")</f>
        <v>10</v>
      </c>
      <c r="H275" s="0" t="str">
        <f aca="false">IFERROR(__xludf.dummyfunction("FILTER('Leveling Info'!$B$2:$B1000, 'Leveling Info'!$A$2:$A1000 =G275)"),"600")</f>
        <v>600</v>
      </c>
      <c r="I275" s="14" t="n">
        <f aca="false">SQRT(G275)</f>
        <v>3.16227766016838</v>
      </c>
      <c r="J275" s="14" t="str">
        <f aca="false">IFERROR(__xludf.dummyfunction("IF(F275 = H275,C275/FILTER('Base Stats'!$C$2:$C1000, LOWER('Base Stats'!$B$2:$B1000) = LOWER($A275)), """")"),"0.6142857143")</f>
        <v>0.6142857143</v>
      </c>
      <c r="K275" s="0" t="str">
        <f aca="false">IF(F275 = H275, C275/G275, "")</f>
        <v/>
      </c>
      <c r="L275" s="0" t="str">
        <f aca="false">IFERROR(__xludf.dummyfunction("IF(AND(NOT(K275 = """"), G275 &gt;= 15),K275/FILTER('Base Stats'!$C$2:$C1000, LOWER('Base Stats'!$B$2:$B1000) = LOWER($A275)), """")"),"")</f>
        <v/>
      </c>
      <c r="M275" s="0" t="str">
        <f aca="false">IFERROR(__xludf.dummyfunction("1.15 + 0.02 * FILTER('Base Stats'!$C$2:$C1000, LOWER('Base Stats'!$B$2:$B1000) = LOWER($A275))"),"2.55")</f>
        <v>2.55</v>
      </c>
      <c r="N275" s="0" t="e">
        <f aca="false">IFERROR(IF(AND(NOT(K275 = ""), G275 &gt;= 15),K275/M275, ""))</f>
        <v>#VALUE!</v>
      </c>
    </row>
    <row r="276" customFormat="false" ht="15.75" hidden="false" customHeight="false" outlineLevel="0" collapsed="false">
      <c r="A276" s="8" t="s">
        <v>534</v>
      </c>
      <c r="B276" s="8" t="n">
        <v>42</v>
      </c>
      <c r="C276" s="8" t="n">
        <v>23</v>
      </c>
      <c r="D276" s="8" t="n">
        <v>17.11</v>
      </c>
      <c r="E276" s="8" t="n">
        <v>0.71</v>
      </c>
      <c r="F276" s="8" t="n">
        <v>200</v>
      </c>
      <c r="G276" s="0" t="str">
        <f aca="false">IFERROR(__xludf.dummyfunction("ROUND(B276/ FILTER('Pokemon CP/HP'!$M$2:$M1000, LOWER('Pokemon CP/HP'!$B$2:$B1000)=LOWER(A276)))"),"3")</f>
        <v>3</v>
      </c>
      <c r="H276" s="0" t="str">
        <f aca="false">IFERROR(__xludf.dummyfunction("FILTER('Leveling Info'!$B$2:$B1000, 'Leveling Info'!$A$2:$A1000 =G276)"),"200")</f>
        <v>200</v>
      </c>
      <c r="I276" s="14" t="n">
        <f aca="false">SQRT(G276)</f>
        <v>1.73205080756888</v>
      </c>
      <c r="J276" s="14" t="str">
        <f aca="false">IFERROR(__xludf.dummyfunction("IF(F276 = H276,C276/FILTER('Base Stats'!$C$2:$C1000, LOWER('Base Stats'!$B$2:$B1000) = LOWER($A276)), """")"),"0.3285714286")</f>
        <v>0.3285714286</v>
      </c>
      <c r="K276" s="0" t="str">
        <f aca="false">IF(F276 = H276, C276/G276, "")</f>
        <v/>
      </c>
      <c r="L276" s="0" t="str">
        <f aca="false">IFERROR(__xludf.dummyfunction("IF(AND(NOT(K276 = """"), G276 &gt;= 15),K276/FILTER('Base Stats'!$C$2:$C1000, LOWER('Base Stats'!$B$2:$B1000) = LOWER($A276)), """")"),"")</f>
        <v/>
      </c>
      <c r="M276" s="0" t="str">
        <f aca="false">IFERROR(__xludf.dummyfunction("1.15 + 0.02 * FILTER('Base Stats'!$C$2:$C1000, LOWER('Base Stats'!$B$2:$B1000) = LOWER($A276))"),"2.55")</f>
        <v>2.55</v>
      </c>
      <c r="N276" s="0" t="e">
        <f aca="false">IFERROR(IF(AND(NOT(K276 = ""), G276 &gt;= 15),K276/M276, ""))</f>
        <v>#VALUE!</v>
      </c>
    </row>
    <row r="277" customFormat="false" ht="15.75" hidden="false" customHeight="false" outlineLevel="0" collapsed="false">
      <c r="A277" s="8" t="s">
        <v>535</v>
      </c>
      <c r="B277" s="8" t="n">
        <v>629</v>
      </c>
      <c r="C277" s="8" t="n">
        <v>80</v>
      </c>
      <c r="D277" s="8" t="n">
        <v>20.03</v>
      </c>
      <c r="E277" s="8" t="n">
        <v>1.45</v>
      </c>
      <c r="F277" s="8" t="n">
        <v>1600</v>
      </c>
      <c r="G277" s="0" t="str">
        <f aca="false">IFERROR(__xludf.dummyfunction("ROUND(B277/ FILTER('Pokemon CP/HP'!$M$2:$M1000, LOWER('Pokemon CP/HP'!$B$2:$B1000)=LOWER(A277)))"),"26")</f>
        <v>26</v>
      </c>
      <c r="H277" s="0" t="str">
        <f aca="false">IFERROR(__xludf.dummyfunction("FILTER('Leveling Info'!$B$2:$B1000, 'Leveling Info'!$A$2:$A1000 =G277)"),"1600")</f>
        <v>1600</v>
      </c>
      <c r="I277" s="14" t="n">
        <f aca="false">SQRT(G277)</f>
        <v>5.09901951359278</v>
      </c>
      <c r="J277" s="14" t="str">
        <f aca="false">IFERROR(__xludf.dummyfunction("IF(F277 = H277,C277/FILTER('Base Stats'!$C$2:$C1000, LOWER('Base Stats'!$B$2:$B1000) = LOWER($A277)), """")"),"1")</f>
        <v>1</v>
      </c>
      <c r="K277" s="0" t="str">
        <f aca="false">IF(F277 = H277, C277/G277, "")</f>
        <v/>
      </c>
      <c r="L277" s="0" t="str">
        <f aca="false">IFERROR(__xludf.dummyfunction("IF(AND(NOT(K277 = """"), G277 &gt;= 15),K277/FILTER('Base Stats'!$C$2:$C1000, LOWER('Base Stats'!$B$2:$B1000) = LOWER($A277)), """")"),"0.03846153846")</f>
        <v>0.03846153846</v>
      </c>
      <c r="M277" s="0" t="str">
        <f aca="false">IFERROR(__xludf.dummyfunction("1.15 + 0.02 * FILTER('Base Stats'!$C$2:$C1000, LOWER('Base Stats'!$B$2:$B1000) = LOWER($A277))"),"2.75")</f>
        <v>2.75</v>
      </c>
      <c r="N277" s="0" t="e">
        <f aca="false">IFERROR(IF(AND(NOT(K277 = ""), G277 &gt;= 15),K277/M277, ""))</f>
        <v>#VALUE!</v>
      </c>
    </row>
    <row r="278" customFormat="false" ht="15.75" hidden="false" customHeight="false" outlineLevel="0" collapsed="false">
      <c r="A278" s="8" t="s">
        <v>536</v>
      </c>
      <c r="B278" s="8" t="n">
        <v>443</v>
      </c>
      <c r="C278" s="8" t="n">
        <v>52</v>
      </c>
      <c r="D278" s="8" t="n">
        <v>6.31</v>
      </c>
      <c r="E278" s="8" t="n">
        <v>0.89</v>
      </c>
      <c r="F278" s="8" t="n">
        <v>1900</v>
      </c>
      <c r="G278" s="0" t="str">
        <f aca="false">IFERROR(__xludf.dummyfunction("ROUND(B278/ FILTER('Pokemon CP/HP'!$M$2:$M1000, LOWER('Pokemon CP/HP'!$B$2:$B1000)=LOWER(A278)))"),"34")</f>
        <v>34</v>
      </c>
      <c r="H278" s="0" t="str">
        <f aca="false">IFERROR(__xludf.dummyfunction("FILTER('Leveling Info'!$B$2:$B1000, 'Leveling Info'!$A$2:$A1000 =G278)"),"2200")</f>
        <v>2200</v>
      </c>
      <c r="I278" s="14" t="n">
        <f aca="false">SQRT(G278)</f>
        <v>5.8309518948453</v>
      </c>
      <c r="J278" s="14" t="str">
        <f aca="false">IFERROR(__xludf.dummyfunction("IF(F278 = H278,C278/FILTER('Base Stats'!$C$2:$C1000, LOWER('Base Stats'!$B$2:$B1000) = LOWER($A278)), """")"),"")</f>
        <v/>
      </c>
      <c r="K278" s="0" t="str">
        <f aca="false">IF(F278 = H278, C278/G278, "")</f>
        <v/>
      </c>
      <c r="L278" s="0" t="str">
        <f aca="false">IFERROR(__xludf.dummyfunction("IF(AND(NOT(K278 = """"), G278 &gt;= 15),K278/FILTER('Base Stats'!$C$2:$C1000, LOWER('Base Stats'!$B$2:$B1000) = LOWER($A278)), """")"),"")</f>
        <v/>
      </c>
      <c r="M278" s="0" t="str">
        <f aca="false">IFERROR(__xludf.dummyfunction("1.15 + 0.02 * FILTER('Base Stats'!$C$2:$C1000, LOWER('Base Stats'!$B$2:$B1000) = LOWER($A278))"),"2.15")</f>
        <v>2.15</v>
      </c>
      <c r="N278" s="0" t="e">
        <f aca="false">IFERROR(IF(AND(NOT(K278 = ""), G278 &gt;= 15),K278/M278, ""))</f>
        <v>#VALUE!</v>
      </c>
    </row>
    <row r="279" customFormat="false" ht="15.75" hidden="false" customHeight="false" outlineLevel="0" collapsed="false">
      <c r="A279" s="8" t="s">
        <v>536</v>
      </c>
      <c r="B279" s="8" t="n">
        <v>236</v>
      </c>
      <c r="C279" s="8" t="n">
        <v>42</v>
      </c>
      <c r="D279" s="8" t="n">
        <v>3.72</v>
      </c>
      <c r="E279" s="8" t="n">
        <v>0.7</v>
      </c>
      <c r="F279" s="8" t="n">
        <v>800</v>
      </c>
      <c r="G279" s="0" t="str">
        <f aca="false">IFERROR(__xludf.dummyfunction("ROUND(B279/ FILTER('Pokemon CP/HP'!$M$2:$M1000, LOWER('Pokemon CP/HP'!$B$2:$B1000)=LOWER(A279)))"),"18")</f>
        <v>18</v>
      </c>
      <c r="H279" s="0" t="str">
        <f aca="false">IFERROR(__xludf.dummyfunction("FILTER('Leveling Info'!$B$2:$B1000, 'Leveling Info'!$A$2:$A1000 =G279)"),"1000")</f>
        <v>1000</v>
      </c>
      <c r="I279" s="14" t="n">
        <f aca="false">SQRT(G279)</f>
        <v>4.24264068711929</v>
      </c>
      <c r="J279" s="14" t="str">
        <f aca="false">IFERROR(__xludf.dummyfunction("IF(F279 = H279,C279/FILTER('Base Stats'!$C$2:$C1000, LOWER('Base Stats'!$B$2:$B1000) = LOWER($A279)), """")"),"")</f>
        <v/>
      </c>
      <c r="K279" s="0" t="str">
        <f aca="false">IF(F279 = H279, C279/G279, "")</f>
        <v/>
      </c>
      <c r="L279" s="0" t="str">
        <f aca="false">IFERROR(__xludf.dummyfunction("IF(AND(NOT(K279 = """"), G279 &gt;= 15),K279/FILTER('Base Stats'!$C$2:$C1000, LOWER('Base Stats'!$B$2:$B1000) = LOWER($A279)), """")"),"")</f>
        <v/>
      </c>
      <c r="M279" s="0" t="str">
        <f aca="false">IFERROR(__xludf.dummyfunction("1.15 + 0.02 * FILTER('Base Stats'!$C$2:$C1000, LOWER('Base Stats'!$B$2:$B1000) = LOWER($A279))"),"2.15")</f>
        <v>2.15</v>
      </c>
      <c r="N279" s="0" t="e">
        <f aca="false">IFERROR(IF(AND(NOT(K279 = ""), G279 &gt;= 15),K279/M279, ""))</f>
        <v>#VALUE!</v>
      </c>
    </row>
    <row r="280" customFormat="false" ht="15.75" hidden="false" customHeight="false" outlineLevel="0" collapsed="false">
      <c r="A280" s="8" t="s">
        <v>536</v>
      </c>
      <c r="B280" s="8" t="n">
        <v>235</v>
      </c>
      <c r="C280" s="8" t="n">
        <v>39</v>
      </c>
      <c r="D280" s="8" t="n">
        <v>5.16</v>
      </c>
      <c r="E280" s="8" t="n">
        <v>0.75</v>
      </c>
      <c r="F280" s="8" t="n">
        <v>800</v>
      </c>
      <c r="G280" s="0" t="str">
        <f aca="false">IFERROR(__xludf.dummyfunction("ROUND(B280/ FILTER('Pokemon CP/HP'!$M$2:$M1000, LOWER('Pokemon CP/HP'!$B$2:$B1000)=LOWER(A280)))"),"18")</f>
        <v>18</v>
      </c>
      <c r="H280" s="0" t="str">
        <f aca="false">IFERROR(__xludf.dummyfunction("FILTER('Leveling Info'!$B$2:$B1000, 'Leveling Info'!$A$2:$A1000 =G280)"),"1000")</f>
        <v>1000</v>
      </c>
      <c r="I280" s="14" t="n">
        <f aca="false">SQRT(G280)</f>
        <v>4.24264068711929</v>
      </c>
      <c r="J280" s="14" t="str">
        <f aca="false">IFERROR(__xludf.dummyfunction("IF(F280 = H280,C280/FILTER('Base Stats'!$C$2:$C1000, LOWER('Base Stats'!$B$2:$B1000) = LOWER($A280)), """")"),"")</f>
        <v/>
      </c>
      <c r="K280" s="0" t="str">
        <f aca="false">IF(F280 = H280, C280/G280, "")</f>
        <v/>
      </c>
      <c r="L280" s="0" t="str">
        <f aca="false">IFERROR(__xludf.dummyfunction("IF(AND(NOT(K280 = """"), G280 &gt;= 15),K280/FILTER('Base Stats'!$C$2:$C1000, LOWER('Base Stats'!$B$2:$B1000) = LOWER($A280)), """")"),"")</f>
        <v/>
      </c>
      <c r="M280" s="0" t="str">
        <f aca="false">IFERROR(__xludf.dummyfunction("1.15 + 0.02 * FILTER('Base Stats'!$C$2:$C1000, LOWER('Base Stats'!$B$2:$B1000) = LOWER($A280))"),"2.15")</f>
        <v>2.15</v>
      </c>
      <c r="N280" s="0" t="e">
        <f aca="false">IFERROR(IF(AND(NOT(K280 = ""), G280 &gt;= 15),K280/M280, ""))</f>
        <v>#VALUE!</v>
      </c>
    </row>
    <row r="281" customFormat="false" ht="15.75" hidden="false" customHeight="false" outlineLevel="0" collapsed="false">
      <c r="A281" s="8" t="s">
        <v>536</v>
      </c>
      <c r="B281" s="8" t="n">
        <v>198</v>
      </c>
      <c r="C281" s="8" t="n">
        <v>39</v>
      </c>
      <c r="D281" s="8" t="n">
        <v>3.47</v>
      </c>
      <c r="E281" s="8" t="n">
        <v>0.74</v>
      </c>
      <c r="F281" s="8" t="n">
        <v>800</v>
      </c>
      <c r="G281" s="0" t="str">
        <f aca="false">IFERROR(__xludf.dummyfunction("ROUND(B281/ FILTER('Pokemon CP/HP'!$M$2:$M1000, LOWER('Pokemon CP/HP'!$B$2:$B1000)=LOWER(A281)))"),"15")</f>
        <v>15</v>
      </c>
      <c r="H281" s="0" t="str">
        <f aca="false">IFERROR(__xludf.dummyfunction("FILTER('Leveling Info'!$B$2:$B1000, 'Leveling Info'!$A$2:$A1000 =G281)"),"800")</f>
        <v>800</v>
      </c>
      <c r="I281" s="14" t="n">
        <f aca="false">SQRT(G281)</f>
        <v>3.87298334620742</v>
      </c>
      <c r="J281" s="14" t="str">
        <f aca="false">IFERROR(__xludf.dummyfunction("IF(F281 = H281,C281/FILTER('Base Stats'!$C$2:$C1000, LOWER('Base Stats'!$B$2:$B1000) = LOWER($A281)), """")"),"0.78")</f>
        <v>0.78</v>
      </c>
      <c r="K281" s="0" t="str">
        <f aca="false">IF(F281 = H281, C281/G281, "")</f>
        <v/>
      </c>
      <c r="L281" s="0" t="str">
        <f aca="false">IFERROR(__xludf.dummyfunction("IF(AND(NOT(K281 = """"), G281 &gt;= 15),K281/FILTER('Base Stats'!$C$2:$C1000, LOWER('Base Stats'!$B$2:$B1000) = LOWER($A281)), """")"),"0.052")</f>
        <v>0.052</v>
      </c>
      <c r="M281" s="0" t="str">
        <f aca="false">IFERROR(__xludf.dummyfunction("1.15 + 0.02 * FILTER('Base Stats'!$C$2:$C1000, LOWER('Base Stats'!$B$2:$B1000) = LOWER($A281))"),"2.15")</f>
        <v>2.15</v>
      </c>
      <c r="N281" s="0" t="e">
        <f aca="false">IFERROR(IF(AND(NOT(K281 = ""), G281 &gt;= 15),K281/M281, ""))</f>
        <v>#VALUE!</v>
      </c>
    </row>
    <row r="282" customFormat="false" ht="15.75" hidden="false" customHeight="false" outlineLevel="0" collapsed="false">
      <c r="A282" s="8" t="s">
        <v>536</v>
      </c>
      <c r="B282" s="8" t="n">
        <v>138</v>
      </c>
      <c r="C282" s="8" t="n">
        <v>32</v>
      </c>
      <c r="D282" s="8" t="n">
        <v>2.3</v>
      </c>
      <c r="E282" s="8" t="n">
        <v>0.62</v>
      </c>
      <c r="F282" s="8" t="n">
        <v>600</v>
      </c>
      <c r="G282" s="0" t="str">
        <f aca="false">IFERROR(__xludf.dummyfunction("ROUND(B282/ FILTER('Pokemon CP/HP'!$M$2:$M1000, LOWER('Pokemon CP/HP'!$B$2:$B1000)=LOWER(A282)))"),"11")</f>
        <v>11</v>
      </c>
      <c r="H282" s="0" t="str">
        <f aca="false">IFERROR(__xludf.dummyfunction("FILTER('Leveling Info'!$B$2:$B1000, 'Leveling Info'!$A$2:$A1000 =G282)"),"600")</f>
        <v>600</v>
      </c>
      <c r="I282" s="14" t="n">
        <f aca="false">SQRT(G282)</f>
        <v>3.3166247903554</v>
      </c>
      <c r="J282" s="14" t="str">
        <f aca="false">IFERROR(__xludf.dummyfunction("IF(F282 = H282,C282/FILTER('Base Stats'!$C$2:$C1000, LOWER('Base Stats'!$B$2:$B1000) = LOWER($A282)), """")"),"0.64")</f>
        <v>0.64</v>
      </c>
      <c r="K282" s="0" t="str">
        <f aca="false">IF(F282 = H282, C282/G282, "")</f>
        <v/>
      </c>
      <c r="L282" s="0" t="str">
        <f aca="false">IFERROR(__xludf.dummyfunction("IF(AND(NOT(K282 = """"), G282 &gt;= 15),K282/FILTER('Base Stats'!$C$2:$C1000, LOWER('Base Stats'!$B$2:$B1000) = LOWER($A282)), """")"),"")</f>
        <v/>
      </c>
      <c r="M282" s="0" t="str">
        <f aca="false">IFERROR(__xludf.dummyfunction("1.15 + 0.02 * FILTER('Base Stats'!$C$2:$C1000, LOWER('Base Stats'!$B$2:$B1000) = LOWER($A282))"),"2.15")</f>
        <v>2.15</v>
      </c>
      <c r="N282" s="0" t="e">
        <f aca="false">IFERROR(IF(AND(NOT(K282 = ""), G282 &gt;= 15),K282/M282, ""))</f>
        <v>#VALUE!</v>
      </c>
    </row>
    <row r="283" customFormat="false" ht="15.75" hidden="false" customHeight="false" outlineLevel="0" collapsed="false">
      <c r="A283" s="8" t="s">
        <v>536</v>
      </c>
      <c r="B283" s="8" t="n">
        <v>137</v>
      </c>
      <c r="C283" s="8" t="n">
        <v>29</v>
      </c>
      <c r="D283" s="8" t="n">
        <v>2.95</v>
      </c>
      <c r="E283" s="8" t="n">
        <v>0.66</v>
      </c>
      <c r="F283" s="8" t="n">
        <v>600</v>
      </c>
      <c r="G283" s="0" t="str">
        <f aca="false">IFERROR(__xludf.dummyfunction("ROUND(B283/ FILTER('Pokemon CP/HP'!$M$2:$M1000, LOWER('Pokemon CP/HP'!$B$2:$B1000)=LOWER(A283)))"),"11")</f>
        <v>11</v>
      </c>
      <c r="H283" s="0" t="str">
        <f aca="false">IFERROR(__xludf.dummyfunction("FILTER('Leveling Info'!$B$2:$B1000, 'Leveling Info'!$A$2:$A1000 =G283)"),"600")</f>
        <v>600</v>
      </c>
      <c r="I283" s="14" t="n">
        <f aca="false">SQRT(G283)</f>
        <v>3.3166247903554</v>
      </c>
      <c r="J283" s="14" t="str">
        <f aca="false">IFERROR(__xludf.dummyfunction("IF(F283 = H283,C283/FILTER('Base Stats'!$C$2:$C1000, LOWER('Base Stats'!$B$2:$B1000) = LOWER($A283)), """")"),"0.58")</f>
        <v>0.58</v>
      </c>
      <c r="K283" s="0" t="str">
        <f aca="false">IF(F283 = H283, C283/G283, "")</f>
        <v/>
      </c>
      <c r="L283" s="0" t="str">
        <f aca="false">IFERROR(__xludf.dummyfunction("IF(AND(NOT(K283 = """"), G283 &gt;= 15),K283/FILTER('Base Stats'!$C$2:$C1000, LOWER('Base Stats'!$B$2:$B1000) = LOWER($A283)), """")"),"")</f>
        <v/>
      </c>
      <c r="M283" s="0" t="str">
        <f aca="false">IFERROR(__xludf.dummyfunction("1.15 + 0.02 * FILTER('Base Stats'!$C$2:$C1000, LOWER('Base Stats'!$B$2:$B1000) = LOWER($A283))"),"2.15")</f>
        <v>2.15</v>
      </c>
      <c r="N283" s="0" t="e">
        <f aca="false">IFERROR(IF(AND(NOT(K283 = ""), G283 &gt;= 15),K283/M283, ""))</f>
        <v>#VALUE!</v>
      </c>
    </row>
    <row r="284" customFormat="false" ht="15.75" hidden="false" customHeight="false" outlineLevel="0" collapsed="false">
      <c r="A284" s="8" t="s">
        <v>536</v>
      </c>
      <c r="B284" s="8" t="n">
        <v>109</v>
      </c>
      <c r="C284" s="8" t="n">
        <v>28</v>
      </c>
      <c r="D284" s="8" t="n">
        <v>3.29</v>
      </c>
      <c r="E284" s="8" t="n">
        <v>0.67</v>
      </c>
      <c r="F284" s="8" t="n">
        <v>400</v>
      </c>
      <c r="G284" s="0" t="str">
        <f aca="false">IFERROR(__xludf.dummyfunction("ROUND(B284/ FILTER('Pokemon CP/HP'!$M$2:$M1000, LOWER('Pokemon CP/HP'!$B$2:$B1000)=LOWER(A284)))"),"8")</f>
        <v>8</v>
      </c>
      <c r="H284" s="0" t="str">
        <f aca="false">IFERROR(__xludf.dummyfunction("FILTER('Leveling Info'!$B$2:$B1000, 'Leveling Info'!$A$2:$A1000 =G284)"),"400")</f>
        <v>400</v>
      </c>
      <c r="I284" s="14" t="n">
        <f aca="false">SQRT(G284)</f>
        <v>2.82842712474619</v>
      </c>
      <c r="J284" s="14" t="str">
        <f aca="false">IFERROR(__xludf.dummyfunction("IF(F284 = H284,C284/FILTER('Base Stats'!$C$2:$C1000, LOWER('Base Stats'!$B$2:$B1000) = LOWER($A284)), """")"),"0.56")</f>
        <v>0.56</v>
      </c>
      <c r="K284" s="0" t="str">
        <f aca="false">IF(F284 = H284, C284/G284, "")</f>
        <v/>
      </c>
      <c r="L284" s="0" t="str">
        <f aca="false">IFERROR(__xludf.dummyfunction("IF(AND(NOT(K284 = """"), G284 &gt;= 15),K284/FILTER('Base Stats'!$C$2:$C1000, LOWER('Base Stats'!$B$2:$B1000) = LOWER($A284)), """")"),"")</f>
        <v/>
      </c>
      <c r="M284" s="0" t="str">
        <f aca="false">IFERROR(__xludf.dummyfunction("1.15 + 0.02 * FILTER('Base Stats'!$C$2:$C1000, LOWER('Base Stats'!$B$2:$B1000) = LOWER($A284))"),"2.15")</f>
        <v>2.15</v>
      </c>
      <c r="N284" s="0" t="e">
        <f aca="false">IFERROR(IF(AND(NOT(K284 = ""), G284 &gt;= 15),K284/M284, ""))</f>
        <v>#VALUE!</v>
      </c>
    </row>
    <row r="285" customFormat="false" ht="15.75" hidden="false" customHeight="false" outlineLevel="0" collapsed="false">
      <c r="A285" s="8" t="s">
        <v>536</v>
      </c>
      <c r="B285" s="8" t="n">
        <v>73</v>
      </c>
      <c r="C285" s="8" t="n">
        <v>22</v>
      </c>
      <c r="D285" s="8" t="n">
        <v>3.7</v>
      </c>
      <c r="E285" s="8" t="n">
        <v>0.65</v>
      </c>
      <c r="F285" s="8" t="n">
        <v>400</v>
      </c>
      <c r="G285" s="0" t="str">
        <f aca="false">IFERROR(__xludf.dummyfunction("ROUND(B285/ FILTER('Pokemon CP/HP'!$M$2:$M1000, LOWER('Pokemon CP/HP'!$B$2:$B1000)=LOWER(A285)))"),"6")</f>
        <v>6</v>
      </c>
      <c r="H285" s="0" t="str">
        <f aca="false">IFERROR(__xludf.dummyfunction("FILTER('Leveling Info'!$B$2:$B1000, 'Leveling Info'!$A$2:$A1000 =G285)"),"400")</f>
        <v>400</v>
      </c>
      <c r="I285" s="14" t="n">
        <f aca="false">SQRT(G285)</f>
        <v>2.44948974278318</v>
      </c>
      <c r="J285" s="14" t="str">
        <f aca="false">IFERROR(__xludf.dummyfunction("IF(F285 = H285,C285/FILTER('Base Stats'!$C$2:$C1000, LOWER('Base Stats'!$B$2:$B1000) = LOWER($A285)), """")"),"0.44")</f>
        <v>0.44</v>
      </c>
      <c r="K285" s="0" t="str">
        <f aca="false">IF(F285 = H285, C285/G285, "")</f>
        <v/>
      </c>
      <c r="L285" s="0" t="str">
        <f aca="false">IFERROR(__xludf.dummyfunction("IF(AND(NOT(K285 = """"), G285 &gt;= 15),K285/FILTER('Base Stats'!$C$2:$C1000, LOWER('Base Stats'!$B$2:$B1000) = LOWER($A285)), """")"),"")</f>
        <v/>
      </c>
      <c r="M285" s="0" t="str">
        <f aca="false">IFERROR(__xludf.dummyfunction("1.15 + 0.02 * FILTER('Base Stats'!$C$2:$C1000, LOWER('Base Stats'!$B$2:$B1000) = LOWER($A285))"),"2.15")</f>
        <v>2.15</v>
      </c>
      <c r="N285" s="0" t="e">
        <f aca="false">IFERROR(IF(AND(NOT(K285 = ""), G285 &gt;= 15),K285/M285, ""))</f>
        <v>#VALUE!</v>
      </c>
    </row>
    <row r="286" customFormat="false" ht="15.75" hidden="false" customHeight="false" outlineLevel="0" collapsed="false">
      <c r="A286" s="8" t="s">
        <v>536</v>
      </c>
      <c r="B286" s="8" t="n">
        <v>71</v>
      </c>
      <c r="C286" s="8" t="n">
        <v>21</v>
      </c>
      <c r="D286" s="8" t="n">
        <v>4.03</v>
      </c>
      <c r="E286" s="8" t="n">
        <v>0.65</v>
      </c>
      <c r="F286" s="8" t="n">
        <v>400</v>
      </c>
      <c r="G286" s="0" t="str">
        <f aca="false">IFERROR(__xludf.dummyfunction("ROUND(B286/ FILTER('Pokemon CP/HP'!$M$2:$M1000, LOWER('Pokemon CP/HP'!$B$2:$B1000)=LOWER(A286)))"),"5")</f>
        <v>5</v>
      </c>
      <c r="H286" s="0" t="str">
        <f aca="false">IFERROR(__xludf.dummyfunction("FILTER('Leveling Info'!$B$2:$B1000, 'Leveling Info'!$A$2:$A1000 =G286)"),"400")</f>
        <v>400</v>
      </c>
      <c r="I286" s="14" t="n">
        <f aca="false">SQRT(G286)</f>
        <v>2.23606797749979</v>
      </c>
      <c r="J286" s="14" t="str">
        <f aca="false">IFERROR(__xludf.dummyfunction("IF(F286 = H286,C286/FILTER('Base Stats'!$C$2:$C1000, LOWER('Base Stats'!$B$2:$B1000) = LOWER($A286)), """")"),"0.42")</f>
        <v>0.42</v>
      </c>
      <c r="K286" s="0" t="str">
        <f aca="false">IF(F286 = H286, C286/G286, "")</f>
        <v/>
      </c>
      <c r="L286" s="0" t="str">
        <f aca="false">IFERROR(__xludf.dummyfunction("IF(AND(NOT(K286 = """"), G286 &gt;= 15),K286/FILTER('Base Stats'!$C$2:$C1000, LOWER('Base Stats'!$B$2:$B1000) = LOWER($A286)), """")"),"")</f>
        <v/>
      </c>
      <c r="M286" s="0" t="str">
        <f aca="false">IFERROR(__xludf.dummyfunction("1.15 + 0.02 * FILTER('Base Stats'!$C$2:$C1000, LOWER('Base Stats'!$B$2:$B1000) = LOWER($A286))"),"2.15")</f>
        <v>2.15</v>
      </c>
      <c r="N286" s="0" t="e">
        <f aca="false">IFERROR(IF(AND(NOT(K286 = ""), G286 &gt;= 15),K286/M286, ""))</f>
        <v>#VALUE!</v>
      </c>
    </row>
    <row r="287" customFormat="false" ht="15.75" hidden="false" customHeight="false" outlineLevel="0" collapsed="false">
      <c r="A287" s="8" t="s">
        <v>537</v>
      </c>
      <c r="B287" s="8" t="n">
        <v>444</v>
      </c>
      <c r="C287" s="8" t="n">
        <v>55</v>
      </c>
      <c r="D287" s="8" t="n">
        <v>8.34</v>
      </c>
      <c r="E287" s="8" t="n">
        <v>1.06</v>
      </c>
      <c r="F287" s="8" t="n">
        <v>1000</v>
      </c>
      <c r="G287" s="0" t="str">
        <f aca="false">IFERROR(__xludf.dummyfunction("ROUND(B287/ FILTER('Pokemon CP/HP'!$M$2:$M1000, LOWER('Pokemon CP/HP'!$B$2:$B1000)=LOWER(A287)))"),"21")</f>
        <v>21</v>
      </c>
      <c r="H287" s="0" t="str">
        <f aca="false">IFERROR(__xludf.dummyfunction("FILTER('Leveling Info'!$B$2:$B1000, 'Leveling Info'!$A$2:$A1000 =G287)"),"1300")</f>
        <v>1300</v>
      </c>
      <c r="I287" s="14" t="n">
        <f aca="false">SQRT(G287)</f>
        <v>4.58257569495584</v>
      </c>
      <c r="J287" s="14" t="str">
        <f aca="false">IFERROR(__xludf.dummyfunction("IF(F287 = H287,C287/FILTER('Base Stats'!$C$2:$C1000, LOWER('Base Stats'!$B$2:$B1000) = LOWER($A287)), """")"),"")</f>
        <v/>
      </c>
      <c r="K287" s="0" t="str">
        <f aca="false">IF(F287 = H287, C287/G287, "")</f>
        <v/>
      </c>
      <c r="L287" s="0" t="str">
        <f aca="false">IFERROR(__xludf.dummyfunction("IF(AND(NOT(K287 = """"), G287 &gt;= 15),K287/FILTER('Base Stats'!$C$2:$C1000, LOWER('Base Stats'!$B$2:$B1000) = LOWER($A287)), """")"),"")</f>
        <v/>
      </c>
      <c r="M287" s="0" t="str">
        <f aca="false">IFERROR(__xludf.dummyfunction("1.15 + 0.02 * FILTER('Base Stats'!$C$2:$C1000, LOWER('Base Stats'!$B$2:$B1000) = LOWER($A287))"),"2.45")</f>
        <v>2.45</v>
      </c>
      <c r="N287" s="0" t="e">
        <f aca="false">IFERROR(IF(AND(NOT(K287 = ""), G287 &gt;= 15),K287/M287, ""))</f>
        <v>#VALUE!</v>
      </c>
    </row>
    <row r="288" customFormat="false" ht="15.75" hidden="false" customHeight="false" outlineLevel="0" collapsed="false">
      <c r="A288" s="8" t="s">
        <v>537</v>
      </c>
      <c r="B288" s="8" t="n">
        <v>136</v>
      </c>
      <c r="C288" s="8" t="n">
        <v>30</v>
      </c>
      <c r="D288" s="8" t="n">
        <v>5.93</v>
      </c>
      <c r="E288" s="8" t="n">
        <v>0.92</v>
      </c>
      <c r="F288" s="8" t="n">
        <v>400</v>
      </c>
      <c r="G288" s="0" t="str">
        <f aca="false">IFERROR(__xludf.dummyfunction("ROUND(B288/ FILTER('Pokemon CP/HP'!$M$2:$M1000, LOWER('Pokemon CP/HP'!$B$2:$B1000)=LOWER(A288)))"),"6")</f>
        <v>6</v>
      </c>
      <c r="H288" s="0" t="str">
        <f aca="false">IFERROR(__xludf.dummyfunction("FILTER('Leveling Info'!$B$2:$B1000, 'Leveling Info'!$A$2:$A1000 =G288)"),"400")</f>
        <v>400</v>
      </c>
      <c r="I288" s="14" t="n">
        <f aca="false">SQRT(G288)</f>
        <v>2.44948974278318</v>
      </c>
      <c r="J288" s="14" t="str">
        <f aca="false">IFERROR(__xludf.dummyfunction("IF(F288 = H288,C288/FILTER('Base Stats'!$C$2:$C1000, LOWER('Base Stats'!$B$2:$B1000) = LOWER($A288)), """")"),"0.4615384615")</f>
        <v>0.4615384615</v>
      </c>
      <c r="K288" s="0" t="str">
        <f aca="false">IF(F288 = H288, C288/G288, "")</f>
        <v/>
      </c>
      <c r="L288" s="0" t="str">
        <f aca="false">IFERROR(__xludf.dummyfunction("IF(AND(NOT(K288 = """"), G288 &gt;= 15),K288/FILTER('Base Stats'!$C$2:$C1000, LOWER('Base Stats'!$B$2:$B1000) = LOWER($A288)), """")"),"")</f>
        <v/>
      </c>
      <c r="M288" s="0" t="str">
        <f aca="false">IFERROR(__xludf.dummyfunction("1.15 + 0.02 * FILTER('Base Stats'!$C$2:$C1000, LOWER('Base Stats'!$B$2:$B1000) = LOWER($A288))"),"2.45")</f>
        <v>2.45</v>
      </c>
      <c r="N288" s="0" t="e">
        <f aca="false">IFERROR(IF(AND(NOT(K288 = ""), G288 &gt;= 15),K288/M288, ""))</f>
        <v>#VALUE!</v>
      </c>
    </row>
    <row r="289" customFormat="false" ht="15.75" hidden="false" customHeight="false" outlineLevel="0" collapsed="false">
      <c r="A289" s="8" t="s">
        <v>538</v>
      </c>
      <c r="B289" s="8" t="n">
        <v>317</v>
      </c>
      <c r="C289" s="8" t="n">
        <v>42</v>
      </c>
      <c r="D289" s="8" t="n">
        <v>55.06</v>
      </c>
      <c r="E289" s="8" t="n">
        <v>0.97</v>
      </c>
      <c r="F289" s="8" t="n">
        <v>1600</v>
      </c>
      <c r="G289" s="0" t="str">
        <f aca="false">IFERROR(__xludf.dummyfunction("ROUND(B289/ FILTER('Pokemon CP/HP'!$M$2:$M1000, LOWER('Pokemon CP/HP'!$B$2:$B1000)=LOWER(A289)))"),"26")</f>
        <v>26</v>
      </c>
      <c r="H289" s="0" t="str">
        <f aca="false">IFERROR(__xludf.dummyfunction("FILTER('Leveling Info'!$B$2:$B1000, 'Leveling Info'!$A$2:$A1000 =G289)"),"1600")</f>
        <v>1600</v>
      </c>
      <c r="I289" s="14" t="n">
        <f aca="false">SQRT(G289)</f>
        <v>5.09901951359278</v>
      </c>
      <c r="J289" s="14" t="str">
        <f aca="false">IFERROR(__xludf.dummyfunction("IF(F289 = H289,C289/FILTER('Base Stats'!$C$2:$C1000, LOWER('Base Stats'!$B$2:$B1000) = LOWER($A289)), """")"),"1.05")</f>
        <v>1.05</v>
      </c>
      <c r="K289" s="0" t="str">
        <f aca="false">IF(F289 = H289, C289/G289, "")</f>
        <v/>
      </c>
      <c r="L289" s="0" t="str">
        <f aca="false">IFERROR(__xludf.dummyfunction("IF(AND(NOT(K289 = """"), G289 &gt;= 15),K289/FILTER('Base Stats'!$C$2:$C1000, LOWER('Base Stats'!$B$2:$B1000) = LOWER($A289)), """")"),"0.04038461538")</f>
        <v>0.04038461538</v>
      </c>
      <c r="M289" s="0" t="str">
        <f aca="false">IFERROR(__xludf.dummyfunction("1.15 + 0.02 * FILTER('Base Stats'!$C$2:$C1000, LOWER('Base Stats'!$B$2:$B1000) = LOWER($A289))"),"1.95")</f>
        <v>1.95</v>
      </c>
      <c r="N289" s="0" t="e">
        <f aca="false">IFERROR(IF(AND(NOT(K289 = ""), G289 &gt;= 15),K289/M289, ""))</f>
        <v>#VALUE!</v>
      </c>
    </row>
    <row r="290" customFormat="false" ht="15.75" hidden="false" customHeight="false" outlineLevel="0" collapsed="false">
      <c r="A290" s="8" t="s">
        <v>538</v>
      </c>
      <c r="B290" s="8" t="n">
        <v>110</v>
      </c>
      <c r="C290" s="8" t="n">
        <v>24</v>
      </c>
      <c r="D290" s="8" t="n">
        <v>51.71</v>
      </c>
      <c r="E290" s="8" t="n">
        <v>0.95</v>
      </c>
      <c r="F290" s="8" t="n">
        <v>600</v>
      </c>
      <c r="G290" s="0" t="str">
        <f aca="false">IFERROR(__xludf.dummyfunction("ROUND(B290/ FILTER('Pokemon CP/HP'!$M$2:$M1000, LOWER('Pokemon CP/HP'!$B$2:$B1000)=LOWER(A290)))"),"9")</f>
        <v>9</v>
      </c>
      <c r="H290" s="0" t="str">
        <f aca="false">IFERROR(__xludf.dummyfunction("FILTER('Leveling Info'!$B$2:$B1000, 'Leveling Info'!$A$2:$A1000 =G290)"),"600")</f>
        <v>600</v>
      </c>
      <c r="I290" s="14" t="n">
        <f aca="false">SQRT(G290)</f>
        <v>3</v>
      </c>
      <c r="J290" s="14" t="str">
        <f aca="false">IFERROR(__xludf.dummyfunction("IF(F290 = H290,C290/FILTER('Base Stats'!$C$2:$C1000, LOWER('Base Stats'!$B$2:$B1000) = LOWER($A290)), """")"),"0.6")</f>
        <v>0.6</v>
      </c>
      <c r="K290" s="0" t="str">
        <f aca="false">IF(F290 = H290, C290/G290, "")</f>
        <v/>
      </c>
      <c r="L290" s="0" t="str">
        <f aca="false">IFERROR(__xludf.dummyfunction("IF(AND(NOT(K290 = """"), G290 &gt;= 15),K290/FILTER('Base Stats'!$C$2:$C1000, LOWER('Base Stats'!$B$2:$B1000) = LOWER($A290)), """")"),"")</f>
        <v/>
      </c>
      <c r="M290" s="0" t="str">
        <f aca="false">IFERROR(__xludf.dummyfunction("1.15 + 0.02 * FILTER('Base Stats'!$C$2:$C1000, LOWER('Base Stats'!$B$2:$B1000) = LOWER($A290))"),"1.95")</f>
        <v>1.95</v>
      </c>
      <c r="N290" s="0" t="e">
        <f aca="false">IFERROR(IF(AND(NOT(K290 = ""), G290 &gt;= 15),K290/M290, ""))</f>
        <v>#VALUE!</v>
      </c>
    </row>
    <row r="291" customFormat="false" ht="15.75" hidden="false" customHeight="false" outlineLevel="0" collapsed="false">
      <c r="A291" s="8" t="s">
        <v>539</v>
      </c>
      <c r="B291" s="8" t="n">
        <v>37</v>
      </c>
      <c r="C291" s="8" t="n">
        <v>15</v>
      </c>
      <c r="D291" s="8" t="n">
        <v>141.03</v>
      </c>
      <c r="E291" s="8" t="n">
        <v>1.16</v>
      </c>
      <c r="F291" s="8" t="n">
        <v>200</v>
      </c>
      <c r="G291" s="0" t="str">
        <f aca="false">IFERROR(__xludf.dummyfunction("ROUND(B291/ FILTER('Pokemon CP/HP'!$M$2:$M1000, LOWER('Pokemon CP/HP'!$B$2:$B1000)=LOWER(A291)))"),"2")</f>
        <v>2</v>
      </c>
      <c r="H291" s="0" t="str">
        <f aca="false">IFERROR(__xludf.dummyfunction("FILTER('Leveling Info'!$B$2:$B1000, 'Leveling Info'!$A$2:$A1000 =G291)"),"200")</f>
        <v>200</v>
      </c>
      <c r="I291" s="14" t="n">
        <f aca="false">SQRT(G291)</f>
        <v>1.4142135623731</v>
      </c>
      <c r="J291" s="14" t="str">
        <f aca="false">IFERROR(__xludf.dummyfunction("IF(F291 = H291,C291/FILTER('Base Stats'!$C$2:$C1000, LOWER('Base Stats'!$B$2:$B1000) = LOWER($A291)), """")"),"0.2727272727")</f>
        <v>0.2727272727</v>
      </c>
      <c r="K291" s="0" t="str">
        <f aca="false">IF(F291 = H291, C291/G291, "")</f>
        <v/>
      </c>
      <c r="L291" s="0" t="str">
        <f aca="false">IFERROR(__xludf.dummyfunction("IF(AND(NOT(K291 = """"), G291 &gt;= 15),K291/FILTER('Base Stats'!$C$2:$C1000, LOWER('Base Stats'!$B$2:$B1000) = LOWER($A291)), """")"),"")</f>
        <v/>
      </c>
      <c r="M291" s="0" t="str">
        <f aca="false">IFERROR(__xludf.dummyfunction("1.15 + 0.02 * FILTER('Base Stats'!$C$2:$C1000, LOWER('Base Stats'!$B$2:$B1000) = LOWER($A291))"),"2.25")</f>
        <v>2.25</v>
      </c>
      <c r="N291" s="0" t="e">
        <f aca="false">IFERROR(IF(AND(NOT(K291 = ""), G291 &gt;= 15),K291/M291, ""))</f>
        <v>#VALUE!</v>
      </c>
    </row>
    <row r="292" customFormat="false" ht="15.75" hidden="false" customHeight="false" outlineLevel="0" collapsed="false">
      <c r="A292" s="8" t="s">
        <v>540</v>
      </c>
      <c r="B292" s="8" t="n">
        <v>173</v>
      </c>
      <c r="C292" s="8" t="n">
        <v>21</v>
      </c>
      <c r="D292" s="8" t="n">
        <v>7.12</v>
      </c>
      <c r="E292" s="8" t="n">
        <v>0.3</v>
      </c>
      <c r="F292" s="8" t="n">
        <v>800</v>
      </c>
      <c r="G292" s="0" t="str">
        <f aca="false">IFERROR(__xludf.dummyfunction("ROUND(B292/ FILTER('Pokemon CP/HP'!$M$2:$M1000, LOWER('Pokemon CP/HP'!$B$2:$B1000)=LOWER(A292)))"),"14")</f>
        <v>14</v>
      </c>
      <c r="H292" s="0" t="str">
        <f aca="false">IFERROR(__xludf.dummyfunction("FILTER('Leveling Info'!$B$2:$B1000, 'Leveling Info'!$A$2:$A1000 =G292)"),"800")</f>
        <v>800</v>
      </c>
      <c r="I292" s="14" t="n">
        <f aca="false">SQRT(G292)</f>
        <v>3.74165738677394</v>
      </c>
      <c r="J292" s="14" t="str">
        <f aca="false">IFERROR(__xludf.dummyfunction("IF(F292 = H292,C292/FILTER('Base Stats'!$C$2:$C1000, LOWER('Base Stats'!$B$2:$B1000) = LOWER($A292)), """")"),"0.84")</f>
        <v>0.84</v>
      </c>
      <c r="K292" s="0" t="str">
        <f aca="false">IF(F292 = H292, C292/G292, "")</f>
        <v/>
      </c>
      <c r="L292" s="0" t="str">
        <f aca="false">IFERROR(__xludf.dummyfunction("IF(AND(NOT(K292 = """"), G292 &gt;= 15),K292/FILTER('Base Stats'!$C$2:$C1000, LOWER('Base Stats'!$B$2:$B1000) = LOWER($A292)), """")"),"")</f>
        <v/>
      </c>
      <c r="M292" s="0" t="str">
        <f aca="false">IFERROR(__xludf.dummyfunction("1.15 + 0.02 * FILTER('Base Stats'!$C$2:$C1000, LOWER('Base Stats'!$B$2:$B1000) = LOWER($A292))"),"1.65")</f>
        <v>1.65</v>
      </c>
      <c r="N292" s="0" t="e">
        <f aca="false">IFERROR(IF(AND(NOT(K292 = ""), G292 &gt;= 15),K292/M292, ""))</f>
        <v>#VALUE!</v>
      </c>
    </row>
    <row r="293" customFormat="false" ht="15.75" hidden="false" customHeight="false" outlineLevel="0" collapsed="false">
      <c r="A293" s="8" t="s">
        <v>541</v>
      </c>
      <c r="B293" s="8" t="n">
        <v>277</v>
      </c>
      <c r="C293" s="8" t="n">
        <v>37</v>
      </c>
      <c r="D293" s="8" t="n">
        <v>55.12</v>
      </c>
      <c r="E293" s="8" t="n">
        <v>1.59</v>
      </c>
      <c r="F293" s="8" t="n">
        <v>1300</v>
      </c>
      <c r="G293" s="0" t="str">
        <f aca="false">IFERROR(__xludf.dummyfunction("ROUND(B293/ FILTER('Pokemon CP/HP'!$M$2:$M1000, LOWER('Pokemon CP/HP'!$B$2:$B1000)=LOWER(A293)))"),"23")</f>
        <v>23</v>
      </c>
      <c r="H293" s="0" t="str">
        <f aca="false">IFERROR(__xludf.dummyfunction("FILTER('Leveling Info'!$B$2:$B1000, 'Leveling Info'!$A$2:$A1000 =G293)"),"1300")</f>
        <v>1300</v>
      </c>
      <c r="I293" s="14" t="n">
        <f aca="false">SQRT(G293)</f>
        <v>4.79583152331272</v>
      </c>
      <c r="J293" s="14" t="str">
        <f aca="false">IFERROR(__xludf.dummyfunction("IF(F293 = H293,C293/FILTER('Base Stats'!$C$2:$C1000, LOWER('Base Stats'!$B$2:$B1000) = LOWER($A293)), """")"),"1.057142857")</f>
        <v>1.057142857</v>
      </c>
      <c r="K293" s="0" t="str">
        <f aca="false">IF(F293 = H293, C293/G293, "")</f>
        <v/>
      </c>
      <c r="L293" s="0" t="str">
        <f aca="false">IFERROR(__xludf.dummyfunction("IF(AND(NOT(K293 = """"), G293 &gt;= 15),K293/FILTER('Base Stats'!$C$2:$C1000, LOWER('Base Stats'!$B$2:$B1000) = LOWER($A293)), """")"),"0.04596273292")</f>
        <v>0.04596273292</v>
      </c>
      <c r="M293" s="0" t="str">
        <f aca="false">IFERROR(__xludf.dummyfunction("1.15 + 0.02 * FILTER('Base Stats'!$C$2:$C1000, LOWER('Base Stats'!$B$2:$B1000) = LOWER($A293))"),"1.85")</f>
        <v>1.85</v>
      </c>
      <c r="N293" s="0" t="e">
        <f aca="false">IFERROR(IF(AND(NOT(K293 = ""), G293 &gt;= 15),K293/M293, ""))</f>
        <v>#VALUE!</v>
      </c>
    </row>
    <row r="294" customFormat="false" ht="15.75" hidden="false" customHeight="false" outlineLevel="0" collapsed="false">
      <c r="A294" s="8" t="s">
        <v>542</v>
      </c>
      <c r="B294" s="8" t="n">
        <v>146</v>
      </c>
      <c r="C294" s="8" t="n">
        <v>40</v>
      </c>
      <c r="D294" s="8" t="n">
        <v>59.82</v>
      </c>
      <c r="E294" s="8" t="n">
        <v>0.87</v>
      </c>
      <c r="F294" s="8" t="n">
        <v>600</v>
      </c>
      <c r="G294" s="0" t="str">
        <f aca="false">IFERROR(__xludf.dummyfunction("ROUND(B294/ FILTER('Pokemon CP/HP'!$M$2:$M1000, LOWER('Pokemon CP/HP'!$B$2:$B1000)=LOWER(A294)))"),"9")</f>
        <v>9</v>
      </c>
      <c r="H294" s="0" t="str">
        <f aca="false">IFERROR(__xludf.dummyfunction("FILTER('Leveling Info'!$B$2:$B1000, 'Leveling Info'!$A$2:$A1000 =G294)"),"600")</f>
        <v>600</v>
      </c>
      <c r="I294" s="14" t="n">
        <f aca="false">SQRT(G294)</f>
        <v>3</v>
      </c>
      <c r="J294" s="14" t="str">
        <f aca="false">IFERROR(__xludf.dummyfunction("IF(F294 = H294,C294/FILTER('Base Stats'!$C$2:$C1000, LOWER('Base Stats'!$B$2:$B1000) = LOWER($A294)), """")"),"0.6153846154")</f>
        <v>0.6153846154</v>
      </c>
      <c r="K294" s="0" t="str">
        <f aca="false">IF(F294 = H294, C294/G294, "")</f>
        <v/>
      </c>
      <c r="L294" s="0" t="str">
        <f aca="false">IFERROR(__xludf.dummyfunction("IF(AND(NOT(K294 = """"), G294 &gt;= 15),K294/FILTER('Base Stats'!$C$2:$C1000, LOWER('Base Stats'!$B$2:$B1000) = LOWER($A294)), """")"),"")</f>
        <v/>
      </c>
      <c r="M294" s="0" t="str">
        <f aca="false">IFERROR(__xludf.dummyfunction("1.15 + 0.02 * FILTER('Base Stats'!$C$2:$C1000, LOWER('Base Stats'!$B$2:$B1000) = LOWER($A294))"),"2.45")</f>
        <v>2.45</v>
      </c>
      <c r="N294" s="0" t="e">
        <f aca="false">IFERROR(IF(AND(NOT(K294 = ""), G294 &gt;= 15),K294/M294, ""))</f>
        <v>#VALUE!</v>
      </c>
    </row>
    <row r="295" customFormat="false" ht="15.75" hidden="false" customHeight="false" outlineLevel="0" collapsed="false">
      <c r="A295" s="8" t="s">
        <v>542</v>
      </c>
      <c r="B295" s="8" t="n">
        <v>99</v>
      </c>
      <c r="C295" s="8" t="n">
        <v>34</v>
      </c>
      <c r="D295" s="8" t="n">
        <v>113.62</v>
      </c>
      <c r="E295" s="8" t="n">
        <v>1.19</v>
      </c>
      <c r="F295" s="8" t="n">
        <v>400</v>
      </c>
      <c r="G295" s="0" t="str">
        <f aca="false">IFERROR(__xludf.dummyfunction("ROUND(B295/ FILTER('Pokemon CP/HP'!$M$2:$M1000, LOWER('Pokemon CP/HP'!$B$2:$B1000)=LOWER(A295)))"),"6")</f>
        <v>6</v>
      </c>
      <c r="H295" s="0" t="str">
        <f aca="false">IFERROR(__xludf.dummyfunction("FILTER('Leveling Info'!$B$2:$B1000, 'Leveling Info'!$A$2:$A1000 =G295)"),"400")</f>
        <v>400</v>
      </c>
      <c r="I295" s="14" t="n">
        <f aca="false">SQRT(G295)</f>
        <v>2.44948974278318</v>
      </c>
      <c r="J295" s="14" t="str">
        <f aca="false">IFERROR(__xludf.dummyfunction("IF(F295 = H295,C295/FILTER('Base Stats'!$C$2:$C1000, LOWER('Base Stats'!$B$2:$B1000) = LOWER($A295)), """")"),"0.5230769231")</f>
        <v>0.5230769231</v>
      </c>
      <c r="K295" s="0" t="str">
        <f aca="false">IF(F295 = H295, C295/G295, "")</f>
        <v/>
      </c>
      <c r="L295" s="0" t="str">
        <f aca="false">IFERROR(__xludf.dummyfunction("IF(AND(NOT(K295 = """"), G295 &gt;= 15),K295/FILTER('Base Stats'!$C$2:$C1000, LOWER('Base Stats'!$B$2:$B1000) = LOWER($A295)), """")"),"")</f>
        <v/>
      </c>
      <c r="M295" s="0" t="str">
        <f aca="false">IFERROR(__xludf.dummyfunction("1.15 + 0.02 * FILTER('Base Stats'!$C$2:$C1000, LOWER('Base Stats'!$B$2:$B1000) = LOWER($A295))"),"2.45")</f>
        <v>2.45</v>
      </c>
      <c r="N295" s="0" t="e">
        <f aca="false">IFERROR(IF(AND(NOT(K295 = ""), G295 &gt;= 15),K295/M295, ""))</f>
        <v>#VALUE!</v>
      </c>
    </row>
    <row r="296" customFormat="false" ht="15.75" hidden="false" customHeight="false" outlineLevel="0" collapsed="false">
      <c r="A296" s="8" t="s">
        <v>543</v>
      </c>
      <c r="B296" s="8" t="n">
        <v>193</v>
      </c>
      <c r="C296" s="8" t="n">
        <v>26</v>
      </c>
      <c r="D296" s="8" t="n">
        <v>2.37</v>
      </c>
      <c r="E296" s="8" t="n">
        <v>0.24</v>
      </c>
      <c r="F296" s="8" t="n">
        <v>1000</v>
      </c>
      <c r="G296" s="0" t="str">
        <f aca="false">IFERROR(__xludf.dummyfunction("ROUND(B296/ FILTER('Pokemon CP/HP'!$M$2:$M1000, LOWER('Pokemon CP/HP'!$B$2:$B1000)=LOWER(A296)))"),"19")</f>
        <v>19</v>
      </c>
      <c r="H296" s="0" t="str">
        <f aca="false">IFERROR(__xludf.dummyfunction("FILTER('Leveling Info'!$B$2:$B1000, 'Leveling Info'!$A$2:$A1000 =G296)"),"1000")</f>
        <v>1000</v>
      </c>
      <c r="I296" s="14" t="n">
        <f aca="false">SQRT(G296)</f>
        <v>4.35889894354067</v>
      </c>
      <c r="J296" s="14" t="str">
        <f aca="false">IFERROR(__xludf.dummyfunction("IF(F296 = H296,C296/FILTER('Base Stats'!$C$2:$C1000, LOWER('Base Stats'!$B$2:$B1000) = LOWER($A296)), """")"),"0.8666666667")</f>
        <v>0.8666666667</v>
      </c>
      <c r="K296" s="0" t="str">
        <f aca="false">IF(F296 = H296, C296/G296, "")</f>
        <v/>
      </c>
      <c r="L296" s="0" t="str">
        <f aca="false">IFERROR(__xludf.dummyfunction("IF(AND(NOT(K296 = """"), G296 &gt;= 15),K296/FILTER('Base Stats'!$C$2:$C1000, LOWER('Base Stats'!$B$2:$B1000) = LOWER($A296)), """")"),"0.04561403509")</f>
        <v>0.04561403509</v>
      </c>
      <c r="M296" s="0" t="str">
        <f aca="false">IFERROR(__xludf.dummyfunction("1.15 + 0.02 * FILTER('Base Stats'!$C$2:$C1000, LOWER('Base Stats'!$B$2:$B1000) = LOWER($A296))"),"1.75")</f>
        <v>1.75</v>
      </c>
      <c r="N296" s="0" t="e">
        <f aca="false">IFERROR(IF(AND(NOT(K296 = ""), G296 &gt;= 15),K296/M296, ""))</f>
        <v>#VALUE!</v>
      </c>
    </row>
    <row r="297" customFormat="false" ht="15.75" hidden="false" customHeight="false" outlineLevel="0" collapsed="false">
      <c r="A297" s="8" t="s">
        <v>543</v>
      </c>
      <c r="B297" s="8" t="n">
        <v>96</v>
      </c>
      <c r="C297" s="8" t="n">
        <v>18</v>
      </c>
      <c r="D297" s="8" t="n">
        <v>4.36</v>
      </c>
      <c r="E297" s="8" t="n">
        <v>0.3</v>
      </c>
      <c r="F297" s="8" t="n">
        <v>600</v>
      </c>
      <c r="G297" s="0" t="str">
        <f aca="false">IFERROR(__xludf.dummyfunction("ROUND(B297/ FILTER('Pokemon CP/HP'!$M$2:$M1000, LOWER('Pokemon CP/HP'!$B$2:$B1000)=LOWER(A297)))"),"10")</f>
        <v>10</v>
      </c>
      <c r="H297" s="0" t="str">
        <f aca="false">IFERROR(__xludf.dummyfunction("FILTER('Leveling Info'!$B$2:$B1000, 'Leveling Info'!$A$2:$A1000 =G297)"),"600")</f>
        <v>600</v>
      </c>
      <c r="I297" s="14" t="n">
        <f aca="false">SQRT(G297)</f>
        <v>3.16227766016838</v>
      </c>
      <c r="J297" s="14" t="str">
        <f aca="false">IFERROR(__xludf.dummyfunction("IF(F297 = H297,C297/FILTER('Base Stats'!$C$2:$C1000, LOWER('Base Stats'!$B$2:$B1000) = LOWER($A297)), """")"),"0.6")</f>
        <v>0.6</v>
      </c>
      <c r="K297" s="0" t="str">
        <f aca="false">IF(F297 = H297, C297/G297, "")</f>
        <v/>
      </c>
      <c r="L297" s="0" t="str">
        <f aca="false">IFERROR(__xludf.dummyfunction("IF(AND(NOT(K297 = """"), G297 &gt;= 15),K297/FILTER('Base Stats'!$C$2:$C1000, LOWER('Base Stats'!$B$2:$B1000) = LOWER($A297)), """")"),"")</f>
        <v/>
      </c>
      <c r="M297" s="0" t="str">
        <f aca="false">IFERROR(__xludf.dummyfunction("1.15 + 0.02 * FILTER('Base Stats'!$C$2:$C1000, LOWER('Base Stats'!$B$2:$B1000) = LOWER($A297))"),"1.75")</f>
        <v>1.75</v>
      </c>
      <c r="N297" s="0" t="e">
        <f aca="false">IFERROR(IF(AND(NOT(K297 = ""), G297 &gt;= 15),K297/M297, ""))</f>
        <v>#VALUE!</v>
      </c>
    </row>
    <row r="298" customFormat="false" ht="15.75" hidden="false" customHeight="false" outlineLevel="0" collapsed="false">
      <c r="A298" s="8" t="s">
        <v>543</v>
      </c>
      <c r="B298" s="8" t="n">
        <v>11</v>
      </c>
      <c r="C298" s="8" t="n">
        <v>10</v>
      </c>
      <c r="D298" s="8" t="n">
        <v>2.68</v>
      </c>
      <c r="E298" s="8" t="n">
        <v>0.26</v>
      </c>
      <c r="F298" s="8" t="n">
        <v>200</v>
      </c>
      <c r="G298" s="0" t="str">
        <f aca="false">IFERROR(__xludf.dummyfunction("ROUND(B298/ FILTER('Pokemon CP/HP'!$M$2:$M1000, LOWER('Pokemon CP/HP'!$B$2:$B1000)=LOWER(A298)))"),"1")</f>
        <v>1</v>
      </c>
      <c r="H298" s="0" t="str">
        <f aca="false">IFERROR(__xludf.dummyfunction("FILTER('Leveling Info'!$B$2:$B1000, 'Leveling Info'!$A$2:$A1000 =G298)"),"200")</f>
        <v>200</v>
      </c>
      <c r="I298" s="14" t="n">
        <f aca="false">SQRT(G298)</f>
        <v>1</v>
      </c>
      <c r="J298" s="14" t="str">
        <f aca="false">IFERROR(__xludf.dummyfunction("IF(F298 = H298,C298/FILTER('Base Stats'!$C$2:$C1000, LOWER('Base Stats'!$B$2:$B1000) = LOWER($A298)), """")"),"0.3333333333")</f>
        <v>0.3333333333</v>
      </c>
      <c r="K298" s="0" t="str">
        <f aca="false">IF(F298 = H298, C298/G298, "")</f>
        <v/>
      </c>
      <c r="L298" s="0" t="str">
        <f aca="false">IFERROR(__xludf.dummyfunction("IF(AND(NOT(K298 = """"), G298 &gt;= 15),K298/FILTER('Base Stats'!$C$2:$C1000, LOWER('Base Stats'!$B$2:$B1000) = LOWER($A298)), """")"),"")</f>
        <v/>
      </c>
      <c r="M298" s="0" t="str">
        <f aca="false">IFERROR(__xludf.dummyfunction("1.15 + 0.02 * FILTER('Base Stats'!$C$2:$C1000, LOWER('Base Stats'!$B$2:$B1000) = LOWER($A298))"),"1.75")</f>
        <v>1.75</v>
      </c>
      <c r="N298" s="0" t="e">
        <f aca="false">IFERROR(IF(AND(NOT(K298 = ""), G298 &gt;= 15),K298/M298, ""))</f>
        <v>#VALUE!</v>
      </c>
    </row>
    <row r="299" customFormat="false" ht="15.75" hidden="false" customHeight="false" outlineLevel="0" collapsed="false">
      <c r="A299" s="8" t="s">
        <v>544</v>
      </c>
      <c r="B299" s="8" t="n">
        <v>201</v>
      </c>
      <c r="C299" s="8" t="n">
        <v>29</v>
      </c>
      <c r="D299" s="8" t="n">
        <v>0.07</v>
      </c>
      <c r="E299" s="8" t="n">
        <v>1.15</v>
      </c>
      <c r="F299" s="8" t="n">
        <v>1000</v>
      </c>
      <c r="G299" s="0" t="str">
        <f aca="false">IFERROR(__xludf.dummyfunction("ROUND(B299/ FILTER('Pokemon CP/HP'!$M$2:$M1000, LOWER('Pokemon CP/HP'!$B$2:$B1000)=LOWER(A299)))"),"18")</f>
        <v>18</v>
      </c>
      <c r="H299" s="0" t="str">
        <f aca="false">IFERROR(__xludf.dummyfunction("FILTER('Leveling Info'!$B$2:$B1000, 'Leveling Info'!$A$2:$A1000 =G299)"),"1000")</f>
        <v>1000</v>
      </c>
      <c r="I299" s="14" t="n">
        <f aca="false">SQRT(G299)</f>
        <v>4.24264068711929</v>
      </c>
      <c r="J299" s="14" t="str">
        <f aca="false">IFERROR(__xludf.dummyfunction("IF(F299 = H299,C299/FILTER('Base Stats'!$C$2:$C1000, LOWER('Base Stats'!$B$2:$B1000) = LOWER($A299)), """")"),"0.9666666667")</f>
        <v>0.9666666667</v>
      </c>
      <c r="K299" s="0" t="str">
        <f aca="false">IF(F299 = H299, C299/G299, "")</f>
        <v/>
      </c>
      <c r="L299" s="0" t="str">
        <f aca="false">IFERROR(__xludf.dummyfunction("IF(AND(NOT(K299 = """"), G299 &gt;= 15),K299/FILTER('Base Stats'!$C$2:$C1000, LOWER('Base Stats'!$B$2:$B1000) = LOWER($A299)), """")"),"0.0537037037")</f>
        <v>0.0537037037</v>
      </c>
      <c r="M299" s="0" t="str">
        <f aca="false">IFERROR(__xludf.dummyfunction("1.15 + 0.02 * FILTER('Base Stats'!$C$2:$C1000, LOWER('Base Stats'!$B$2:$B1000) = LOWER($A299))"),"1.75")</f>
        <v>1.75</v>
      </c>
      <c r="N299" s="0" t="e">
        <f aca="false">IFERROR(IF(AND(NOT(K299 = ""), G299 &gt;= 15),K299/M299, ""))</f>
        <v>#VALUE!</v>
      </c>
    </row>
    <row r="300" customFormat="false" ht="15.75" hidden="false" customHeight="false" outlineLevel="0" collapsed="false">
      <c r="A300" s="8" t="s">
        <v>544</v>
      </c>
      <c r="B300" s="8" t="n">
        <v>173</v>
      </c>
      <c r="C300" s="8" t="n">
        <v>27</v>
      </c>
      <c r="D300" s="8" t="n">
        <v>0.09</v>
      </c>
      <c r="E300" s="8" t="n">
        <v>1.08</v>
      </c>
      <c r="F300" s="8" t="n">
        <v>800</v>
      </c>
      <c r="G300" s="0" t="str">
        <f aca="false">IFERROR(__xludf.dummyfunction("ROUND(B300/ FILTER('Pokemon CP/HP'!$M$2:$M1000, LOWER('Pokemon CP/HP'!$B$2:$B1000)=LOWER(A300)))"),"15")</f>
        <v>15</v>
      </c>
      <c r="H300" s="0" t="str">
        <f aca="false">IFERROR(__xludf.dummyfunction("FILTER('Leveling Info'!$B$2:$B1000, 'Leveling Info'!$A$2:$A1000 =G300)"),"800")</f>
        <v>800</v>
      </c>
      <c r="I300" s="14" t="n">
        <f aca="false">SQRT(G300)</f>
        <v>3.87298334620742</v>
      </c>
      <c r="J300" s="14" t="str">
        <f aca="false">IFERROR(__xludf.dummyfunction("IF(F300 = H300,C300/FILTER('Base Stats'!$C$2:$C1000, LOWER('Base Stats'!$B$2:$B1000) = LOWER($A300)), """")"),"0.9")</f>
        <v>0.9</v>
      </c>
      <c r="K300" s="0" t="str">
        <f aca="false">IF(F300 = H300, C300/G300, "")</f>
        <v/>
      </c>
      <c r="L300" s="0" t="str">
        <f aca="false">IFERROR(__xludf.dummyfunction("IF(AND(NOT(K300 = """"), G300 &gt;= 15),K300/FILTER('Base Stats'!$C$2:$C1000, LOWER('Base Stats'!$B$2:$B1000) = LOWER($A300)), """")"),"0.06")</f>
        <v>0.06</v>
      </c>
      <c r="M300" s="0" t="str">
        <f aca="false">IFERROR(__xludf.dummyfunction("1.15 + 0.02 * FILTER('Base Stats'!$C$2:$C1000, LOWER('Base Stats'!$B$2:$B1000) = LOWER($A300))"),"1.75")</f>
        <v>1.75</v>
      </c>
      <c r="N300" s="0" t="e">
        <f aca="false">IFERROR(IF(AND(NOT(K300 = ""), G300 &gt;= 15),K300/M300, ""))</f>
        <v>#VALUE!</v>
      </c>
    </row>
    <row r="301" customFormat="false" ht="15.75" hidden="false" customHeight="false" outlineLevel="0" collapsed="false">
      <c r="A301" s="8" t="s">
        <v>545</v>
      </c>
      <c r="B301" s="8" t="n">
        <v>415</v>
      </c>
      <c r="C301" s="8" t="n">
        <v>66</v>
      </c>
      <c r="D301" s="8" t="n">
        <v>30.6</v>
      </c>
      <c r="E301" s="8" t="n">
        <v>0.99</v>
      </c>
      <c r="F301" s="8" t="n">
        <v>1600</v>
      </c>
      <c r="G301" s="0" t="str">
        <f aca="false">IFERROR(__xludf.dummyfunction("ROUND(B301/ FILTER('Pokemon CP/HP'!$M$2:$M1000, LOWER('Pokemon CP/HP'!$B$2:$B1000)=LOWER(A301)))"),"29")</f>
        <v>29</v>
      </c>
      <c r="H301" s="0" t="str">
        <f aca="false">IFERROR(__xludf.dummyfunction("FILTER('Leveling Info'!$B$2:$B1000, 'Leveling Info'!$A$2:$A1000 =G301)"),"1900")</f>
        <v>1900</v>
      </c>
      <c r="I301" s="14" t="n">
        <f aca="false">SQRT(G301)</f>
        <v>5.3851648071345</v>
      </c>
      <c r="J301" s="14" t="str">
        <f aca="false">IFERROR(__xludf.dummyfunction("IF(F301 = H301,C301/FILTER('Base Stats'!$C$2:$C1000, LOWER('Base Stats'!$B$2:$B1000) = LOWER($A301)), """")"),"")</f>
        <v/>
      </c>
      <c r="K301" s="0" t="str">
        <f aca="false">IF(F301 = H301, C301/G301, "")</f>
        <v/>
      </c>
      <c r="L301" s="0" t="str">
        <f aca="false">IFERROR(__xludf.dummyfunction("IF(AND(NOT(K301 = """"), G301 &gt;= 15),K301/FILTER('Base Stats'!$C$2:$C1000, LOWER('Base Stats'!$B$2:$B1000) = LOWER($A301)), """")"),"")</f>
        <v/>
      </c>
      <c r="M301" s="0" t="str">
        <f aca="false">IFERROR(__xludf.dummyfunction("1.15 + 0.02 * FILTER('Base Stats'!$C$2:$C1000, LOWER('Base Stats'!$B$2:$B1000) = LOWER($A301))"),"2.35")</f>
        <v>2.35</v>
      </c>
      <c r="N301" s="0" t="e">
        <f aca="false">IFERROR(IF(AND(NOT(K301 = ""), G301 &gt;= 15),K301/M301, ""))</f>
        <v>#VALUE!</v>
      </c>
    </row>
    <row r="302" customFormat="false" ht="15.75" hidden="false" customHeight="false" outlineLevel="0" collapsed="false">
      <c r="A302" s="8" t="s">
        <v>545</v>
      </c>
      <c r="B302" s="8" t="n">
        <v>414</v>
      </c>
      <c r="C302" s="8" t="n">
        <v>64</v>
      </c>
      <c r="D302" s="8" t="n">
        <v>33.49</v>
      </c>
      <c r="E302" s="8" t="n">
        <v>1.11</v>
      </c>
      <c r="F302" s="8" t="n">
        <v>1900</v>
      </c>
      <c r="G302" s="0" t="str">
        <f aca="false">IFERROR(__xludf.dummyfunction("ROUND(B302/ FILTER('Pokemon CP/HP'!$M$2:$M1000, LOWER('Pokemon CP/HP'!$B$2:$B1000)=LOWER(A302)))"),"29")</f>
        <v>29</v>
      </c>
      <c r="H302" s="0" t="str">
        <f aca="false">IFERROR(__xludf.dummyfunction("FILTER('Leveling Info'!$B$2:$B1000, 'Leveling Info'!$A$2:$A1000 =G302)"),"1900")</f>
        <v>1900</v>
      </c>
      <c r="I302" s="14" t="n">
        <f aca="false">SQRT(G302)</f>
        <v>5.3851648071345</v>
      </c>
      <c r="J302" s="14" t="str">
        <f aca="false">IFERROR(__xludf.dummyfunction("IF(F302 = H302,C302/FILTER('Base Stats'!$C$2:$C1000, LOWER('Base Stats'!$B$2:$B1000) = LOWER($A302)), """")"),"1.066666667")</f>
        <v>1.066666667</v>
      </c>
      <c r="K302" s="0" t="str">
        <f aca="false">IF(F302 = H302, C302/G302, "")</f>
        <v/>
      </c>
      <c r="L302" s="0" t="str">
        <f aca="false">IFERROR(__xludf.dummyfunction("IF(AND(NOT(K302 = """"), G302 &gt;= 15),K302/FILTER('Base Stats'!$C$2:$C1000, LOWER('Base Stats'!$B$2:$B1000) = LOWER($A302)), """")"),"0.0367816092")</f>
        <v>0.0367816092</v>
      </c>
      <c r="M302" s="0" t="str">
        <f aca="false">IFERROR(__xludf.dummyfunction("1.15 + 0.02 * FILTER('Base Stats'!$C$2:$C1000, LOWER('Base Stats'!$B$2:$B1000) = LOWER($A302))"),"2.35")</f>
        <v>2.35</v>
      </c>
      <c r="N302" s="0" t="e">
        <f aca="false">IFERROR(IF(AND(NOT(K302 = ""), G302 &gt;= 15),K302/M302, ""))</f>
        <v>#VALUE!</v>
      </c>
    </row>
    <row r="303" customFormat="false" ht="15.75" hidden="false" customHeight="false" outlineLevel="0" collapsed="false">
      <c r="A303" s="8" t="s">
        <v>545</v>
      </c>
      <c r="B303" s="8" t="n">
        <v>298</v>
      </c>
      <c r="C303" s="8" t="n">
        <v>53</v>
      </c>
      <c r="D303" s="8" t="n">
        <v>34.75</v>
      </c>
      <c r="E303" s="8" t="n">
        <v>1.03</v>
      </c>
      <c r="F303" s="8" t="n">
        <v>1000</v>
      </c>
      <c r="G303" s="0" t="str">
        <f aca="false">IFERROR(__xludf.dummyfunction("ROUND(B303/ FILTER('Pokemon CP/HP'!$M$2:$M1000, LOWER('Pokemon CP/HP'!$B$2:$B1000)=LOWER(A303)))"),"21")</f>
        <v>21</v>
      </c>
      <c r="H303" s="0" t="str">
        <f aca="false">IFERROR(__xludf.dummyfunction("FILTER('Leveling Info'!$B$2:$B1000, 'Leveling Info'!$A$2:$A1000 =G303)"),"1300")</f>
        <v>1300</v>
      </c>
      <c r="I303" s="14" t="n">
        <f aca="false">SQRT(G303)</f>
        <v>4.58257569495584</v>
      </c>
      <c r="J303" s="14" t="str">
        <f aca="false">IFERROR(__xludf.dummyfunction("IF(F303 = H303,C303/FILTER('Base Stats'!$C$2:$C1000, LOWER('Base Stats'!$B$2:$B1000) = LOWER($A303)), """")"),"")</f>
        <v/>
      </c>
      <c r="K303" s="0" t="str">
        <f aca="false">IF(F303 = H303, C303/G303, "")</f>
        <v/>
      </c>
      <c r="L303" s="0" t="str">
        <f aca="false">IFERROR(__xludf.dummyfunction("IF(AND(NOT(K303 = """"), G303 &gt;= 15),K303/FILTER('Base Stats'!$C$2:$C1000, LOWER('Base Stats'!$B$2:$B1000) = LOWER($A303)), """")"),"")</f>
        <v/>
      </c>
      <c r="M303" s="0" t="str">
        <f aca="false">IFERROR(__xludf.dummyfunction("1.15 + 0.02 * FILTER('Base Stats'!$C$2:$C1000, LOWER('Base Stats'!$B$2:$B1000) = LOWER($A303))"),"2.35")</f>
        <v>2.35</v>
      </c>
      <c r="N303" s="0" t="e">
        <f aca="false">IFERROR(IF(AND(NOT(K303 = ""), G303 &gt;= 15),K303/M303, ""))</f>
        <v>#VALUE!</v>
      </c>
    </row>
    <row r="304" customFormat="false" ht="15.75" hidden="false" customHeight="false" outlineLevel="0" collapsed="false">
      <c r="A304" s="8" t="s">
        <v>545</v>
      </c>
      <c r="B304" s="8" t="n">
        <v>282</v>
      </c>
      <c r="C304" s="8" t="n">
        <v>50</v>
      </c>
      <c r="D304" s="8" t="n">
        <v>45.08</v>
      </c>
      <c r="E304" s="8" t="n">
        <v>1.14</v>
      </c>
      <c r="F304" s="8" t="n">
        <v>1000</v>
      </c>
      <c r="G304" s="0" t="str">
        <f aca="false">IFERROR(__xludf.dummyfunction("ROUND(B304/ FILTER('Pokemon CP/HP'!$M$2:$M1000, LOWER('Pokemon CP/HP'!$B$2:$B1000)=LOWER(A304)))"),"19")</f>
        <v>19</v>
      </c>
      <c r="H304" s="0" t="str">
        <f aca="false">IFERROR(__xludf.dummyfunction("FILTER('Leveling Info'!$B$2:$B1000, 'Leveling Info'!$A$2:$A1000 =G304)"),"1000")</f>
        <v>1000</v>
      </c>
      <c r="I304" s="14" t="n">
        <f aca="false">SQRT(G304)</f>
        <v>4.35889894354067</v>
      </c>
      <c r="J304" s="14" t="str">
        <f aca="false">IFERROR(__xludf.dummyfunction("IF(F304 = H304,C304/FILTER('Base Stats'!$C$2:$C1000, LOWER('Base Stats'!$B$2:$B1000) = LOWER($A304)), """")"),"0.8333333333")</f>
        <v>0.8333333333</v>
      </c>
      <c r="K304" s="0" t="str">
        <f aca="false">IF(F304 = H304, C304/G304, "")</f>
        <v/>
      </c>
      <c r="L304" s="0" t="str">
        <f aca="false">IFERROR(__xludf.dummyfunction("IF(AND(NOT(K304 = """"), G304 &gt;= 15),K304/FILTER('Base Stats'!$C$2:$C1000, LOWER('Base Stats'!$B$2:$B1000) = LOWER($A304)), """")"),"0.04385964912")</f>
        <v>0.04385964912</v>
      </c>
      <c r="M304" s="0" t="str">
        <f aca="false">IFERROR(__xludf.dummyfunction("1.15 + 0.02 * FILTER('Base Stats'!$C$2:$C1000, LOWER('Base Stats'!$B$2:$B1000) = LOWER($A304))"),"2.35")</f>
        <v>2.35</v>
      </c>
      <c r="N304" s="0" t="e">
        <f aca="false">IFERROR(IF(AND(NOT(K304 = ""), G304 &gt;= 15),K304/M304, ""))</f>
        <v>#VALUE!</v>
      </c>
    </row>
    <row r="305" customFormat="false" ht="15.75" hidden="false" customHeight="false" outlineLevel="0" collapsed="false">
      <c r="A305" s="8" t="s">
        <v>545</v>
      </c>
      <c r="B305" s="8" t="n">
        <v>262</v>
      </c>
      <c r="C305" s="8" t="n">
        <v>50</v>
      </c>
      <c r="D305" s="8" t="n">
        <v>39.3</v>
      </c>
      <c r="E305" s="8" t="n">
        <v>1.07</v>
      </c>
      <c r="F305" s="8" t="n">
        <v>1000</v>
      </c>
      <c r="G305" s="0" t="str">
        <f aca="false">IFERROR(__xludf.dummyfunction("ROUND(B305/ FILTER('Pokemon CP/HP'!$M$2:$M1000, LOWER('Pokemon CP/HP'!$B$2:$B1000)=LOWER(A305)))"),"18")</f>
        <v>18</v>
      </c>
      <c r="H305" s="0" t="str">
        <f aca="false">IFERROR(__xludf.dummyfunction("FILTER('Leveling Info'!$B$2:$B1000, 'Leveling Info'!$A$2:$A1000 =G305)"),"1000")</f>
        <v>1000</v>
      </c>
      <c r="I305" s="14" t="n">
        <f aca="false">SQRT(G305)</f>
        <v>4.24264068711929</v>
      </c>
      <c r="J305" s="14" t="str">
        <f aca="false">IFERROR(__xludf.dummyfunction("IF(F305 = H305,C305/FILTER('Base Stats'!$C$2:$C1000, LOWER('Base Stats'!$B$2:$B1000) = LOWER($A305)), """")"),"0.8333333333")</f>
        <v>0.8333333333</v>
      </c>
      <c r="K305" s="0" t="str">
        <f aca="false">IF(F305 = H305, C305/G305, "")</f>
        <v/>
      </c>
      <c r="L305" s="0" t="str">
        <f aca="false">IFERROR(__xludf.dummyfunction("IF(AND(NOT(K305 = """"), G305 &gt;= 15),K305/FILTER('Base Stats'!$C$2:$C1000, LOWER('Base Stats'!$B$2:$B1000) = LOWER($A305)), """")"),"0.0462962963")</f>
        <v>0.0462962963</v>
      </c>
      <c r="M305" s="0" t="str">
        <f aca="false">IFERROR(__xludf.dummyfunction("1.15 + 0.02 * FILTER('Base Stats'!$C$2:$C1000, LOWER('Base Stats'!$B$2:$B1000) = LOWER($A305))"),"2.35")</f>
        <v>2.35</v>
      </c>
      <c r="N305" s="0" t="e">
        <f aca="false">IFERROR(IF(AND(NOT(K305 = ""), G305 &gt;= 15),K305/M305, ""))</f>
        <v>#VALUE!</v>
      </c>
    </row>
    <row r="306" customFormat="false" ht="15.75" hidden="false" customHeight="false" outlineLevel="0" collapsed="false">
      <c r="A306" s="8" t="s">
        <v>545</v>
      </c>
      <c r="B306" s="8" t="n">
        <v>256</v>
      </c>
      <c r="C306" s="8" t="n">
        <v>50</v>
      </c>
      <c r="D306" s="8" t="n">
        <v>32.15</v>
      </c>
      <c r="E306" s="8" t="n">
        <v>0.9</v>
      </c>
      <c r="F306" s="8" t="n">
        <v>1000</v>
      </c>
      <c r="G306" s="0" t="str">
        <f aca="false">IFERROR(__xludf.dummyfunction("ROUND(B306/ FILTER('Pokemon CP/HP'!$M$2:$M1000, LOWER('Pokemon CP/HP'!$B$2:$B1000)=LOWER(A306)))"),"18")</f>
        <v>18</v>
      </c>
      <c r="H306" s="0" t="str">
        <f aca="false">IFERROR(__xludf.dummyfunction("FILTER('Leveling Info'!$B$2:$B1000, 'Leveling Info'!$A$2:$A1000 =G306)"),"1000")</f>
        <v>1000</v>
      </c>
      <c r="I306" s="14" t="n">
        <f aca="false">SQRT(G306)</f>
        <v>4.24264068711929</v>
      </c>
      <c r="J306" s="14" t="str">
        <f aca="false">IFERROR(__xludf.dummyfunction("IF(F306 = H306,C306/FILTER('Base Stats'!$C$2:$C1000, LOWER('Base Stats'!$B$2:$B1000) = LOWER($A306)), """")"),"0.8333333333")</f>
        <v>0.8333333333</v>
      </c>
      <c r="K306" s="0" t="str">
        <f aca="false">IF(F306 = H306, C306/G306, "")</f>
        <v/>
      </c>
      <c r="L306" s="0" t="str">
        <f aca="false">IFERROR(__xludf.dummyfunction("IF(AND(NOT(K306 = """"), G306 &gt;= 15),K306/FILTER('Base Stats'!$C$2:$C1000, LOWER('Base Stats'!$B$2:$B1000) = LOWER($A306)), """")"),"0.0462962963")</f>
        <v>0.0462962963</v>
      </c>
      <c r="M306" s="0" t="str">
        <f aca="false">IFERROR(__xludf.dummyfunction("1.15 + 0.02 * FILTER('Base Stats'!$C$2:$C1000, LOWER('Base Stats'!$B$2:$B1000) = LOWER($A306))"),"2.35")</f>
        <v>2.35</v>
      </c>
      <c r="N306" s="0" t="e">
        <f aca="false">IFERROR(IF(AND(NOT(K306 = ""), G306 &gt;= 15),K306/M306, ""))</f>
        <v>#VALUE!</v>
      </c>
    </row>
    <row r="307" customFormat="false" ht="15.75" hidden="false" customHeight="false" outlineLevel="0" collapsed="false">
      <c r="A307" s="8" t="s">
        <v>545</v>
      </c>
      <c r="B307" s="8" t="n">
        <v>194</v>
      </c>
      <c r="C307" s="8" t="n">
        <v>41</v>
      </c>
      <c r="D307" s="8" t="n">
        <v>26.4</v>
      </c>
      <c r="E307" s="8" t="n">
        <v>0.96</v>
      </c>
      <c r="F307" s="8" t="n">
        <v>800</v>
      </c>
      <c r="G307" s="0" t="str">
        <f aca="false">IFERROR(__xludf.dummyfunction("ROUND(B307/ FILTER('Pokemon CP/HP'!$M$2:$M1000, LOWER('Pokemon CP/HP'!$B$2:$B1000)=LOWER(A307)))"),"13")</f>
        <v>13</v>
      </c>
      <c r="H307" s="0" t="str">
        <f aca="false">IFERROR(__xludf.dummyfunction("FILTER('Leveling Info'!$B$2:$B1000, 'Leveling Info'!$A$2:$A1000 =G307)"),"800")</f>
        <v>800</v>
      </c>
      <c r="I307" s="14" t="n">
        <f aca="false">SQRT(G307)</f>
        <v>3.60555127546399</v>
      </c>
      <c r="J307" s="14" t="str">
        <f aca="false">IFERROR(__xludf.dummyfunction("IF(F307 = H307,C307/FILTER('Base Stats'!$C$2:$C1000, LOWER('Base Stats'!$B$2:$B1000) = LOWER($A307)), """")"),"0.6833333333")</f>
        <v>0.6833333333</v>
      </c>
      <c r="K307" s="0" t="str">
        <f aca="false">IF(F307 = H307, C307/G307, "")</f>
        <v/>
      </c>
      <c r="L307" s="0" t="str">
        <f aca="false">IFERROR(__xludf.dummyfunction("IF(AND(NOT(K307 = """"), G307 &gt;= 15),K307/FILTER('Base Stats'!$C$2:$C1000, LOWER('Base Stats'!$B$2:$B1000) = LOWER($A307)), """")"),"")</f>
        <v/>
      </c>
      <c r="M307" s="0" t="str">
        <f aca="false">IFERROR(__xludf.dummyfunction("1.15 + 0.02 * FILTER('Base Stats'!$C$2:$C1000, LOWER('Base Stats'!$B$2:$B1000) = LOWER($A307))"),"2.35")</f>
        <v>2.35</v>
      </c>
      <c r="N307" s="0" t="e">
        <f aca="false">IFERROR(IF(AND(NOT(K307 = ""), G307 &gt;= 15),K307/M307, ""))</f>
        <v>#VALUE!</v>
      </c>
    </row>
    <row r="308" customFormat="false" ht="15.75" hidden="false" customHeight="false" outlineLevel="0" collapsed="false">
      <c r="A308" s="8" t="s">
        <v>545</v>
      </c>
      <c r="B308" s="8" t="n">
        <v>193</v>
      </c>
      <c r="C308" s="8" t="n">
        <v>43</v>
      </c>
      <c r="D308" s="8" t="n">
        <v>29.35</v>
      </c>
      <c r="E308" s="8" t="n">
        <v>1</v>
      </c>
      <c r="F308" s="8" t="n">
        <v>800</v>
      </c>
      <c r="G308" s="0" t="str">
        <f aca="false">IFERROR(__xludf.dummyfunction("ROUND(B308/ FILTER('Pokemon CP/HP'!$M$2:$M1000, LOWER('Pokemon CP/HP'!$B$2:$B1000)=LOWER(A308)))"),"13")</f>
        <v>13</v>
      </c>
      <c r="H308" s="0" t="str">
        <f aca="false">IFERROR(__xludf.dummyfunction("FILTER('Leveling Info'!$B$2:$B1000, 'Leveling Info'!$A$2:$A1000 =G308)"),"800")</f>
        <v>800</v>
      </c>
      <c r="I308" s="14" t="n">
        <f aca="false">SQRT(G308)</f>
        <v>3.60555127546399</v>
      </c>
      <c r="J308" s="14" t="str">
        <f aca="false">IFERROR(__xludf.dummyfunction("IF(F308 = H308,C308/FILTER('Base Stats'!$C$2:$C1000, LOWER('Base Stats'!$B$2:$B1000) = LOWER($A308)), """")"),"0.7166666667")</f>
        <v>0.7166666667</v>
      </c>
      <c r="K308" s="0" t="str">
        <f aca="false">IF(F308 = H308, C308/G308, "")</f>
        <v/>
      </c>
      <c r="L308" s="0" t="str">
        <f aca="false">IFERROR(__xludf.dummyfunction("IF(AND(NOT(K308 = """"), G308 &gt;= 15),K308/FILTER('Base Stats'!$C$2:$C1000, LOWER('Base Stats'!$B$2:$B1000) = LOWER($A308)), """")"),"")</f>
        <v/>
      </c>
      <c r="M308" s="0" t="str">
        <f aca="false">IFERROR(__xludf.dummyfunction("1.15 + 0.02 * FILTER('Base Stats'!$C$2:$C1000, LOWER('Base Stats'!$B$2:$B1000) = LOWER($A308))"),"2.35")</f>
        <v>2.35</v>
      </c>
      <c r="N308" s="0" t="e">
        <f aca="false">IFERROR(IF(AND(NOT(K308 = ""), G308 &gt;= 15),K308/M308, ""))</f>
        <v>#VALUE!</v>
      </c>
    </row>
    <row r="309" customFormat="false" ht="15.75" hidden="false" customHeight="false" outlineLevel="0" collapsed="false">
      <c r="A309" s="8" t="s">
        <v>545</v>
      </c>
      <c r="B309" s="8" t="n">
        <v>192</v>
      </c>
      <c r="C309" s="8" t="n">
        <v>43</v>
      </c>
      <c r="D309" s="8" t="n">
        <v>25.58</v>
      </c>
      <c r="E309" s="8" t="n">
        <v>0.86</v>
      </c>
      <c r="F309" s="8" t="n">
        <v>800</v>
      </c>
      <c r="G309" s="0" t="str">
        <f aca="false">IFERROR(__xludf.dummyfunction("ROUND(B309/ FILTER('Pokemon CP/HP'!$M$2:$M1000, LOWER('Pokemon CP/HP'!$B$2:$B1000)=LOWER(A309)))"),"13")</f>
        <v>13</v>
      </c>
      <c r="H309" s="0" t="str">
        <f aca="false">IFERROR(__xludf.dummyfunction("FILTER('Leveling Info'!$B$2:$B1000, 'Leveling Info'!$A$2:$A1000 =G309)"),"800")</f>
        <v>800</v>
      </c>
      <c r="I309" s="14" t="n">
        <f aca="false">SQRT(G309)</f>
        <v>3.60555127546399</v>
      </c>
      <c r="J309" s="14" t="str">
        <f aca="false">IFERROR(__xludf.dummyfunction("IF(F309 = H309,C309/FILTER('Base Stats'!$C$2:$C1000, LOWER('Base Stats'!$B$2:$B1000) = LOWER($A309)), """")"),"0.7166666667")</f>
        <v>0.7166666667</v>
      </c>
      <c r="K309" s="0" t="str">
        <f aca="false">IF(F309 = H309, C309/G309, "")</f>
        <v/>
      </c>
      <c r="L309" s="0" t="str">
        <f aca="false">IFERROR(__xludf.dummyfunction("IF(AND(NOT(K309 = """"), G309 &gt;= 15),K309/FILTER('Base Stats'!$C$2:$C1000, LOWER('Base Stats'!$B$2:$B1000) = LOWER($A309)), """")"),"")</f>
        <v/>
      </c>
      <c r="M309" s="0" t="str">
        <f aca="false">IFERROR(__xludf.dummyfunction("1.15 + 0.02 * FILTER('Base Stats'!$C$2:$C1000, LOWER('Base Stats'!$B$2:$B1000) = LOWER($A309))"),"2.35")</f>
        <v>2.35</v>
      </c>
      <c r="N309" s="0" t="e">
        <f aca="false">IFERROR(IF(AND(NOT(K309 = ""), G309 &gt;= 15),K309/M309, ""))</f>
        <v>#VALUE!</v>
      </c>
    </row>
    <row r="310" customFormat="false" ht="15.75" hidden="false" customHeight="false" outlineLevel="0" collapsed="false">
      <c r="A310" s="8" t="s">
        <v>545</v>
      </c>
      <c r="B310" s="8" t="n">
        <v>169</v>
      </c>
      <c r="C310" s="8" t="n">
        <v>39</v>
      </c>
      <c r="D310" s="8" t="n">
        <v>29.5</v>
      </c>
      <c r="E310" s="8" t="n">
        <v>0.97</v>
      </c>
      <c r="F310" s="8" t="n">
        <v>600</v>
      </c>
      <c r="G310" s="0" t="str">
        <f aca="false">IFERROR(__xludf.dummyfunction("ROUND(B310/ FILTER('Pokemon CP/HP'!$M$2:$M1000, LOWER('Pokemon CP/HP'!$B$2:$B1000)=LOWER(A310)))"),"12")</f>
        <v>12</v>
      </c>
      <c r="H310" s="0" t="str">
        <f aca="false">IFERROR(__xludf.dummyfunction("FILTER('Leveling Info'!$B$2:$B1000, 'Leveling Info'!$A$2:$A1000 =G310)"),"600")</f>
        <v>600</v>
      </c>
      <c r="I310" s="14" t="n">
        <f aca="false">SQRT(G310)</f>
        <v>3.46410161513775</v>
      </c>
      <c r="J310" s="14" t="str">
        <f aca="false">IFERROR(__xludf.dummyfunction("IF(F310 = H310,C310/FILTER('Base Stats'!$C$2:$C1000, LOWER('Base Stats'!$B$2:$B1000) = LOWER($A310)), """")"),"0.65")</f>
        <v>0.65</v>
      </c>
      <c r="K310" s="0" t="str">
        <f aca="false">IF(F310 = H310, C310/G310, "")</f>
        <v/>
      </c>
      <c r="L310" s="0" t="str">
        <f aca="false">IFERROR(__xludf.dummyfunction("IF(AND(NOT(K310 = """"), G310 &gt;= 15),K310/FILTER('Base Stats'!$C$2:$C1000, LOWER('Base Stats'!$B$2:$B1000) = LOWER($A310)), """")"),"")</f>
        <v/>
      </c>
      <c r="M310" s="0" t="str">
        <f aca="false">IFERROR(__xludf.dummyfunction("1.15 + 0.02 * FILTER('Base Stats'!$C$2:$C1000, LOWER('Base Stats'!$B$2:$B1000) = LOWER($A310))"),"2.35")</f>
        <v>2.35</v>
      </c>
      <c r="N310" s="0" t="e">
        <f aca="false">IFERROR(IF(AND(NOT(K310 = ""), G310 &gt;= 15),K310/M310, ""))</f>
        <v>#VALUE!</v>
      </c>
    </row>
    <row r="311" customFormat="false" ht="15.75" hidden="false" customHeight="false" outlineLevel="0" collapsed="false">
      <c r="A311" s="8" t="s">
        <v>545</v>
      </c>
      <c r="B311" s="8" t="n">
        <v>168</v>
      </c>
      <c r="C311" s="8" t="n">
        <v>43</v>
      </c>
      <c r="D311" s="8" t="n">
        <v>9.14</v>
      </c>
      <c r="E311" s="8" t="n">
        <v>0.72</v>
      </c>
      <c r="F311" s="8" t="n">
        <v>600</v>
      </c>
      <c r="G311" s="0" t="str">
        <f aca="false">IFERROR(__xludf.dummyfunction("ROUND(B311/ FILTER('Pokemon CP/HP'!$M$2:$M1000, LOWER('Pokemon CP/HP'!$B$2:$B1000)=LOWER(A311)))"),"12")</f>
        <v>12</v>
      </c>
      <c r="H311" s="0" t="str">
        <f aca="false">IFERROR(__xludf.dummyfunction("FILTER('Leveling Info'!$B$2:$B1000, 'Leveling Info'!$A$2:$A1000 =G311)"),"600")</f>
        <v>600</v>
      </c>
      <c r="I311" s="14" t="n">
        <f aca="false">SQRT(G311)</f>
        <v>3.46410161513775</v>
      </c>
      <c r="J311" s="14" t="str">
        <f aca="false">IFERROR(__xludf.dummyfunction("IF(F311 = H311,C311/FILTER('Base Stats'!$C$2:$C1000, LOWER('Base Stats'!$B$2:$B1000) = LOWER($A311)), """")"),"0.7166666667")</f>
        <v>0.7166666667</v>
      </c>
      <c r="K311" s="0" t="str">
        <f aca="false">IF(F311 = H311, C311/G311, "")</f>
        <v/>
      </c>
      <c r="L311" s="0" t="str">
        <f aca="false">IFERROR(__xludf.dummyfunction("IF(AND(NOT(K311 = """"), G311 &gt;= 15),K311/FILTER('Base Stats'!$C$2:$C1000, LOWER('Base Stats'!$B$2:$B1000) = LOWER($A311)), """")"),"")</f>
        <v/>
      </c>
      <c r="M311" s="0" t="str">
        <f aca="false">IFERROR(__xludf.dummyfunction("1.15 + 0.02 * FILTER('Base Stats'!$C$2:$C1000, LOWER('Base Stats'!$B$2:$B1000) = LOWER($A311))"),"2.35")</f>
        <v>2.35</v>
      </c>
      <c r="N311" s="0" t="e">
        <f aca="false">IFERROR(IF(AND(NOT(K311 = ""), G311 &gt;= 15),K311/M311, ""))</f>
        <v>#VALUE!</v>
      </c>
    </row>
    <row r="312" customFormat="false" ht="15.75" hidden="false" customHeight="false" outlineLevel="0" collapsed="false">
      <c r="A312" s="8" t="s">
        <v>545</v>
      </c>
      <c r="B312" s="8" t="n">
        <v>161</v>
      </c>
      <c r="C312" s="8" t="n">
        <v>39</v>
      </c>
      <c r="D312" s="8" t="n">
        <v>29.26</v>
      </c>
      <c r="E312" s="8" t="n">
        <v>0.92</v>
      </c>
      <c r="F312" s="8" t="n">
        <v>600</v>
      </c>
      <c r="G312" s="0" t="str">
        <f aca="false">IFERROR(__xludf.dummyfunction("ROUND(B312/ FILTER('Pokemon CP/HP'!$M$2:$M1000, LOWER('Pokemon CP/HP'!$B$2:$B1000)=LOWER(A312)))"),"11")</f>
        <v>11</v>
      </c>
      <c r="H312" s="0" t="str">
        <f aca="false">IFERROR(__xludf.dummyfunction("FILTER('Leveling Info'!$B$2:$B1000, 'Leveling Info'!$A$2:$A1000 =G312)"),"600")</f>
        <v>600</v>
      </c>
      <c r="I312" s="14" t="n">
        <f aca="false">SQRT(G312)</f>
        <v>3.3166247903554</v>
      </c>
      <c r="J312" s="14" t="str">
        <f aca="false">IFERROR(__xludf.dummyfunction("IF(F312 = H312,C312/FILTER('Base Stats'!$C$2:$C1000, LOWER('Base Stats'!$B$2:$B1000) = LOWER($A312)), """")"),"0.65")</f>
        <v>0.65</v>
      </c>
      <c r="K312" s="0" t="str">
        <f aca="false">IF(F312 = H312, C312/G312, "")</f>
        <v/>
      </c>
      <c r="L312" s="0" t="str">
        <f aca="false">IFERROR(__xludf.dummyfunction("IF(AND(NOT(K312 = """"), G312 &gt;= 15),K312/FILTER('Base Stats'!$C$2:$C1000, LOWER('Base Stats'!$B$2:$B1000) = LOWER($A312)), """")"),"")</f>
        <v/>
      </c>
      <c r="M312" s="0" t="str">
        <f aca="false">IFERROR(__xludf.dummyfunction("1.15 + 0.02 * FILTER('Base Stats'!$C$2:$C1000, LOWER('Base Stats'!$B$2:$B1000) = LOWER($A312))"),"2.35")</f>
        <v>2.35</v>
      </c>
      <c r="N312" s="0" t="e">
        <f aca="false">IFERROR(IF(AND(NOT(K312 = ""), G312 &gt;= 15),K312/M312, ""))</f>
        <v>#VALUE!</v>
      </c>
    </row>
    <row r="313" customFormat="false" ht="15.75" hidden="false" customHeight="false" outlineLevel="0" collapsed="false">
      <c r="A313" s="8" t="s">
        <v>545</v>
      </c>
      <c r="B313" s="8" t="n">
        <v>135</v>
      </c>
      <c r="C313" s="8" t="n">
        <v>38</v>
      </c>
      <c r="D313" s="8" t="n">
        <v>33.91</v>
      </c>
      <c r="E313" s="8" t="n">
        <v>0.93</v>
      </c>
      <c r="F313" s="8" t="n">
        <v>600</v>
      </c>
      <c r="G313" s="0" t="str">
        <f aca="false">IFERROR(__xludf.dummyfunction("ROUND(B313/ FILTER('Pokemon CP/HP'!$M$2:$M1000, LOWER('Pokemon CP/HP'!$B$2:$B1000)=LOWER(A313)))"),"9")</f>
        <v>9</v>
      </c>
      <c r="H313" s="0" t="str">
        <f aca="false">IFERROR(__xludf.dummyfunction("FILTER('Leveling Info'!$B$2:$B1000, 'Leveling Info'!$A$2:$A1000 =G313)"),"600")</f>
        <v>600</v>
      </c>
      <c r="I313" s="14" t="n">
        <f aca="false">SQRT(G313)</f>
        <v>3</v>
      </c>
      <c r="J313" s="14" t="str">
        <f aca="false">IFERROR(__xludf.dummyfunction("IF(F313 = H313,C313/FILTER('Base Stats'!$C$2:$C1000, LOWER('Base Stats'!$B$2:$B1000) = LOWER($A313)), """")"),"0.6333333333")</f>
        <v>0.6333333333</v>
      </c>
      <c r="K313" s="0" t="str">
        <f aca="false">IF(F313 = H313, C313/G313, "")</f>
        <v/>
      </c>
      <c r="L313" s="0" t="str">
        <f aca="false">IFERROR(__xludf.dummyfunction("IF(AND(NOT(K313 = """"), G313 &gt;= 15),K313/FILTER('Base Stats'!$C$2:$C1000, LOWER('Base Stats'!$B$2:$B1000) = LOWER($A313)), """")"),"")</f>
        <v/>
      </c>
      <c r="M313" s="0" t="str">
        <f aca="false">IFERROR(__xludf.dummyfunction("1.15 + 0.02 * FILTER('Base Stats'!$C$2:$C1000, LOWER('Base Stats'!$B$2:$B1000) = LOWER($A313))"),"2.35")</f>
        <v>2.35</v>
      </c>
      <c r="N313" s="0" t="e">
        <f aca="false">IFERROR(IF(AND(NOT(K313 = ""), G313 &gt;= 15),K313/M313, ""))</f>
        <v>#VALUE!</v>
      </c>
    </row>
    <row r="314" customFormat="false" ht="15.75" hidden="false" customHeight="false" outlineLevel="0" collapsed="false">
      <c r="A314" s="8" t="s">
        <v>545</v>
      </c>
      <c r="B314" s="8" t="n">
        <v>104</v>
      </c>
      <c r="C314" s="8" t="n">
        <v>33</v>
      </c>
      <c r="D314" s="8" t="n">
        <v>43.12</v>
      </c>
      <c r="E314" s="8" t="n">
        <v>1.15</v>
      </c>
      <c r="F314" s="8" t="n">
        <v>400</v>
      </c>
      <c r="G314" s="0" t="str">
        <f aca="false">IFERROR(__xludf.dummyfunction("ROUND(B314/ FILTER('Pokemon CP/HP'!$M$2:$M1000, LOWER('Pokemon CP/HP'!$B$2:$B1000)=LOWER(A314)))"),"7")</f>
        <v>7</v>
      </c>
      <c r="H314" s="0" t="str">
        <f aca="false">IFERROR(__xludf.dummyfunction("FILTER('Leveling Info'!$B$2:$B1000, 'Leveling Info'!$A$2:$A1000 =G314)"),"400")</f>
        <v>400</v>
      </c>
      <c r="I314" s="14" t="n">
        <f aca="false">SQRT(G314)</f>
        <v>2.64575131106459</v>
      </c>
      <c r="J314" s="14" t="str">
        <f aca="false">IFERROR(__xludf.dummyfunction("IF(F314 = H314,C314/FILTER('Base Stats'!$C$2:$C1000, LOWER('Base Stats'!$B$2:$B1000) = LOWER($A314)), """")"),"0.55")</f>
        <v>0.55</v>
      </c>
      <c r="K314" s="0" t="str">
        <f aca="false">IF(F314 = H314, C314/G314, "")</f>
        <v/>
      </c>
      <c r="L314" s="0" t="str">
        <f aca="false">IFERROR(__xludf.dummyfunction("IF(AND(NOT(K314 = """"), G314 &gt;= 15),K314/FILTER('Base Stats'!$C$2:$C1000, LOWER('Base Stats'!$B$2:$B1000) = LOWER($A314)), """")"),"")</f>
        <v/>
      </c>
      <c r="M314" s="0" t="str">
        <f aca="false">IFERROR(__xludf.dummyfunction("1.15 + 0.02 * FILTER('Base Stats'!$C$2:$C1000, LOWER('Base Stats'!$B$2:$B1000) = LOWER($A314))"),"2.35")</f>
        <v>2.35</v>
      </c>
      <c r="N314" s="0" t="e">
        <f aca="false">IFERROR(IF(AND(NOT(K314 = ""), G314 &gt;= 15),K314/M314, ""))</f>
        <v>#VALUE!</v>
      </c>
    </row>
    <row r="315" customFormat="false" ht="15.75" hidden="false" customHeight="false" outlineLevel="0" collapsed="false">
      <c r="A315" s="8" t="s">
        <v>545</v>
      </c>
      <c r="B315" s="8" t="n">
        <v>76</v>
      </c>
      <c r="C315" s="8" t="n">
        <v>28</v>
      </c>
      <c r="D315" s="8" t="n">
        <v>33</v>
      </c>
      <c r="E315" s="8" t="n">
        <v>1.02</v>
      </c>
      <c r="F315" s="8" t="n">
        <v>400</v>
      </c>
      <c r="G315" s="0" t="str">
        <f aca="false">IFERROR(__xludf.dummyfunction("ROUND(B315/ FILTER('Pokemon CP/HP'!$M$2:$M1000, LOWER('Pokemon CP/HP'!$B$2:$B1000)=LOWER(A315)))"),"5")</f>
        <v>5</v>
      </c>
      <c r="H315" s="0" t="str">
        <f aca="false">IFERROR(__xludf.dummyfunction("FILTER('Leveling Info'!$B$2:$B1000, 'Leveling Info'!$A$2:$A1000 =G315)"),"400")</f>
        <v>400</v>
      </c>
      <c r="I315" s="14" t="n">
        <f aca="false">SQRT(G315)</f>
        <v>2.23606797749979</v>
      </c>
      <c r="J315" s="14" t="str">
        <f aca="false">IFERROR(__xludf.dummyfunction("IF(F315 = H315,C315/FILTER('Base Stats'!$C$2:$C1000, LOWER('Base Stats'!$B$2:$B1000) = LOWER($A315)), """")"),"0.4666666667")</f>
        <v>0.4666666667</v>
      </c>
      <c r="K315" s="0" t="str">
        <f aca="false">IF(F315 = H315, C315/G315, "")</f>
        <v/>
      </c>
      <c r="L315" s="0" t="str">
        <f aca="false">IFERROR(__xludf.dummyfunction("IF(AND(NOT(K315 = """"), G315 &gt;= 15),K315/FILTER('Base Stats'!$C$2:$C1000, LOWER('Base Stats'!$B$2:$B1000) = LOWER($A315)), """")"),"")</f>
        <v/>
      </c>
      <c r="M315" s="0" t="str">
        <f aca="false">IFERROR(__xludf.dummyfunction("1.15 + 0.02 * FILTER('Base Stats'!$C$2:$C1000, LOWER('Base Stats'!$B$2:$B1000) = LOWER($A315))"),"2.35")</f>
        <v>2.35</v>
      </c>
      <c r="N315" s="0" t="e">
        <f aca="false">IFERROR(IF(AND(NOT(K315 = ""), G315 &gt;= 15),K315/M315, ""))</f>
        <v>#VALUE!</v>
      </c>
    </row>
    <row r="316" customFormat="false" ht="15.75" hidden="false" customHeight="false" outlineLevel="0" collapsed="false">
      <c r="A316" s="8" t="s">
        <v>545</v>
      </c>
      <c r="B316" s="8" t="n">
        <v>41</v>
      </c>
      <c r="C316" s="8" t="n">
        <v>21</v>
      </c>
      <c r="D316" s="8" t="n">
        <v>27.08</v>
      </c>
      <c r="E316" s="8" t="n">
        <v>0.87</v>
      </c>
      <c r="F316" s="8" t="n">
        <v>200</v>
      </c>
      <c r="G316" s="0" t="str">
        <f aca="false">IFERROR(__xludf.dummyfunction("ROUND(B316/ FILTER('Pokemon CP/HP'!$M$2:$M1000, LOWER('Pokemon CP/HP'!$B$2:$B1000)=LOWER(A316)))"),"3")</f>
        <v>3</v>
      </c>
      <c r="H316" s="0" t="str">
        <f aca="false">IFERROR(__xludf.dummyfunction("FILTER('Leveling Info'!$B$2:$B1000, 'Leveling Info'!$A$2:$A1000 =G316)"),"200")</f>
        <v>200</v>
      </c>
      <c r="I316" s="14" t="n">
        <f aca="false">SQRT(G316)</f>
        <v>1.73205080756888</v>
      </c>
      <c r="J316" s="14" t="str">
        <f aca="false">IFERROR(__xludf.dummyfunction("IF(F316 = H316,C316/FILTER('Base Stats'!$C$2:$C1000, LOWER('Base Stats'!$B$2:$B1000) = LOWER($A316)), """")"),"0.35")</f>
        <v>0.35</v>
      </c>
      <c r="K316" s="0" t="str">
        <f aca="false">IF(F316 = H316, C316/G316, "")</f>
        <v/>
      </c>
      <c r="L316" s="0" t="str">
        <f aca="false">IFERROR(__xludf.dummyfunction("IF(AND(NOT(K316 = """"), G316 &gt;= 15),K316/FILTER('Base Stats'!$C$2:$C1000, LOWER('Base Stats'!$B$2:$B1000) = LOWER($A316)), """")"),"")</f>
        <v/>
      </c>
      <c r="M316" s="0" t="str">
        <f aca="false">IFERROR(__xludf.dummyfunction("1.15 + 0.02 * FILTER('Base Stats'!$C$2:$C1000, LOWER('Base Stats'!$B$2:$B1000) = LOWER($A316))"),"2.35")</f>
        <v>2.35</v>
      </c>
      <c r="N316" s="0" t="e">
        <f aca="false">IFERROR(IF(AND(NOT(K316 = ""), G316 &gt;= 15),K316/M316, ""))</f>
        <v>#VALUE!</v>
      </c>
    </row>
    <row r="317" customFormat="false" ht="15.75" hidden="false" customHeight="false" outlineLevel="0" collapsed="false">
      <c r="A317" s="8" t="s">
        <v>546</v>
      </c>
      <c r="B317" s="8" t="n">
        <v>716</v>
      </c>
      <c r="C317" s="8" t="n">
        <v>83</v>
      </c>
      <c r="D317" s="8" t="n">
        <v>43.82</v>
      </c>
      <c r="E317" s="8" t="n">
        <v>1.69</v>
      </c>
      <c r="F317" s="8" t="n">
        <v>1300</v>
      </c>
      <c r="G317" s="0" t="str">
        <f aca="false">IFERROR(__xludf.dummyfunction("ROUND(B317/ FILTER('Pokemon CP/HP'!$M$2:$M1000, LOWER('Pokemon CP/HP'!$B$2:$B1000)=LOWER(A317)))"),"24")</f>
        <v>24</v>
      </c>
      <c r="H317" s="0" t="str">
        <f aca="false">IFERROR(__xludf.dummyfunction("FILTER('Leveling Info'!$B$2:$B1000, 'Leveling Info'!$A$2:$A1000 =G317)"),"1300")</f>
        <v>1300</v>
      </c>
      <c r="I317" s="14" t="n">
        <f aca="false">SQRT(G317)</f>
        <v>4.89897948556636</v>
      </c>
      <c r="J317" s="14" t="str">
        <f aca="false">IFERROR(__xludf.dummyfunction("IF(F317 = H317,C317/FILTER('Base Stats'!$C$2:$C1000, LOWER('Base Stats'!$B$2:$B1000) = LOWER($A317)), """")"),"0.9764705882")</f>
        <v>0.9764705882</v>
      </c>
      <c r="K317" s="0" t="str">
        <f aca="false">IF(F317 = H317, C317/G317, "")</f>
        <v/>
      </c>
      <c r="L317" s="0" t="str">
        <f aca="false">IFERROR(__xludf.dummyfunction("IF(AND(NOT(K317 = """"), G317 &gt;= 15),K317/FILTER('Base Stats'!$C$2:$C1000, LOWER('Base Stats'!$B$2:$B1000) = LOWER($A317)), """")"),"0.04068627451")</f>
        <v>0.04068627451</v>
      </c>
      <c r="M317" s="0" t="str">
        <f aca="false">IFERROR(__xludf.dummyfunction("1.15 + 0.02 * FILTER('Base Stats'!$C$2:$C1000, LOWER('Base Stats'!$B$2:$B1000) = LOWER($A317))"),"2.85")</f>
        <v>2.85</v>
      </c>
      <c r="N317" s="0" t="e">
        <f aca="false">IFERROR(IF(AND(NOT(K317 = ""), G317 &gt;= 15),K317/M317, ""))</f>
        <v>#VALUE!</v>
      </c>
    </row>
    <row r="318" customFormat="false" ht="15.75" hidden="false" customHeight="false" outlineLevel="0" collapsed="false">
      <c r="A318" s="8" t="s">
        <v>546</v>
      </c>
      <c r="B318" s="8" t="n">
        <v>279</v>
      </c>
      <c r="C318" s="8" t="n">
        <v>52</v>
      </c>
      <c r="D318" s="8" t="n">
        <v>55.12</v>
      </c>
      <c r="E318" s="8" t="n">
        <v>1.19</v>
      </c>
      <c r="F318" s="8" t="n">
        <v>600</v>
      </c>
      <c r="G318" s="0" t="str">
        <f aca="false">IFERROR(__xludf.dummyfunction("ROUND(B318/ FILTER('Pokemon CP/HP'!$M$2:$M1000, LOWER('Pokemon CP/HP'!$B$2:$B1000)=LOWER(A318)))"),"9")</f>
        <v>9</v>
      </c>
      <c r="H318" s="0" t="str">
        <f aca="false">IFERROR(__xludf.dummyfunction("FILTER('Leveling Info'!$B$2:$B1000, 'Leveling Info'!$A$2:$A1000 =G318)"),"600")</f>
        <v>600</v>
      </c>
      <c r="I318" s="14" t="n">
        <f aca="false">SQRT(G318)</f>
        <v>3</v>
      </c>
      <c r="J318" s="14" t="str">
        <f aca="false">IFERROR(__xludf.dummyfunction("IF(F318 = H318,C318/FILTER('Base Stats'!$C$2:$C1000, LOWER('Base Stats'!$B$2:$B1000) = LOWER($A318)), """")"),"0.6117647059")</f>
        <v>0.6117647059</v>
      </c>
      <c r="K318" s="0" t="str">
        <f aca="false">IF(F318 = H318, C318/G318, "")</f>
        <v/>
      </c>
      <c r="L318" s="0" t="str">
        <f aca="false">IFERROR(__xludf.dummyfunction("IF(AND(NOT(K318 = """"), G318 &gt;= 15),K318/FILTER('Base Stats'!$C$2:$C1000, LOWER('Base Stats'!$B$2:$B1000) = LOWER($A318)), """")"),"")</f>
        <v/>
      </c>
      <c r="M318" s="0" t="str">
        <f aca="false">IFERROR(__xludf.dummyfunction("1.15 + 0.02 * FILTER('Base Stats'!$C$2:$C1000, LOWER('Base Stats'!$B$2:$B1000) = LOWER($A318))"),"2.85")</f>
        <v>2.85</v>
      </c>
      <c r="N318" s="0" t="e">
        <f aca="false">IFERROR(IF(AND(NOT(K318 = ""), G318 &gt;= 15),K318/M318, ""))</f>
        <v>#VALUE!</v>
      </c>
    </row>
    <row r="319" customFormat="false" ht="15.75" hidden="false" customHeight="false" outlineLevel="0" collapsed="false">
      <c r="A319" s="8" t="s">
        <v>546</v>
      </c>
      <c r="B319" s="8" t="n">
        <v>149</v>
      </c>
      <c r="C319" s="8" t="n">
        <v>36</v>
      </c>
      <c r="D319" s="8" t="n">
        <v>66.67</v>
      </c>
      <c r="E319" s="8" t="n">
        <v>1.66</v>
      </c>
      <c r="F319" s="8" t="n">
        <v>400</v>
      </c>
      <c r="G319" s="0" t="str">
        <f aca="false">IFERROR(__xludf.dummyfunction("ROUND(B319/ FILTER('Pokemon CP/HP'!$M$2:$M1000, LOWER('Pokemon CP/HP'!$B$2:$B1000)=LOWER(A319)))"),"5")</f>
        <v>5</v>
      </c>
      <c r="H319" s="0" t="str">
        <f aca="false">IFERROR(__xludf.dummyfunction("FILTER('Leveling Info'!$B$2:$B1000, 'Leveling Info'!$A$2:$A1000 =G319)"),"400")</f>
        <v>400</v>
      </c>
      <c r="I319" s="14" t="n">
        <f aca="false">SQRT(G319)</f>
        <v>2.23606797749979</v>
      </c>
      <c r="J319" s="14" t="str">
        <f aca="false">IFERROR(__xludf.dummyfunction("IF(F319 = H319,C319/FILTER('Base Stats'!$C$2:$C1000, LOWER('Base Stats'!$B$2:$B1000) = LOWER($A319)), """")"),"0.4235294118")</f>
        <v>0.4235294118</v>
      </c>
      <c r="K319" s="0" t="str">
        <f aca="false">IF(F319 = H319, C319/G319, "")</f>
        <v/>
      </c>
      <c r="L319" s="0" t="str">
        <f aca="false">IFERROR(__xludf.dummyfunction("IF(AND(NOT(K319 = """"), G319 &gt;= 15),K319/FILTER('Base Stats'!$C$2:$C1000, LOWER('Base Stats'!$B$2:$B1000) = LOWER($A319)), """")"),"")</f>
        <v/>
      </c>
      <c r="M319" s="0" t="str">
        <f aca="false">IFERROR(__xludf.dummyfunction("1.15 + 0.02 * FILTER('Base Stats'!$C$2:$C1000, LOWER('Base Stats'!$B$2:$B1000) = LOWER($A319))"),"2.85")</f>
        <v>2.85</v>
      </c>
      <c r="N319" s="0" t="e">
        <f aca="false">IFERROR(IF(AND(NOT(K319 = ""), G319 &gt;= 15),K319/M319, ""))</f>
        <v>#VALUE!</v>
      </c>
    </row>
    <row r="320" customFormat="false" ht="15.75" hidden="false" customHeight="false" outlineLevel="0" collapsed="false">
      <c r="A320" s="8" t="s">
        <v>547</v>
      </c>
      <c r="B320" s="8" t="n">
        <v>273</v>
      </c>
      <c r="C320" s="8" t="n">
        <v>31</v>
      </c>
      <c r="D320" s="8" t="n">
        <v>8.06</v>
      </c>
      <c r="E320" s="8" t="n">
        <v>0.46</v>
      </c>
      <c r="F320" s="8" t="n">
        <v>1600</v>
      </c>
      <c r="G320" s="0" t="str">
        <f aca="false">IFERROR(__xludf.dummyfunction("ROUND(B320/ FILTER('Pokemon CP/HP'!$M$2:$M1000, LOWER('Pokemon CP/HP'!$B$2:$B1000)=LOWER(A320)))"),"26")</f>
        <v>26</v>
      </c>
      <c r="H320" s="0" t="str">
        <f aca="false">IFERROR(__xludf.dummyfunction("FILTER('Leveling Info'!$B$2:$B1000, 'Leveling Info'!$A$2:$A1000 =G320)"),"1600")</f>
        <v>1600</v>
      </c>
      <c r="I320" s="14" t="n">
        <f aca="false">SQRT(G320)</f>
        <v>5.09901951359278</v>
      </c>
      <c r="J320" s="14" t="str">
        <f aca="false">IFERROR(__xludf.dummyfunction("IF(F320 = H320,C320/FILTER('Base Stats'!$C$2:$C1000, LOWER('Base Stats'!$B$2:$B1000) = LOWER($A320)), """")"),"1.033333333")</f>
        <v>1.033333333</v>
      </c>
      <c r="K320" s="0" t="str">
        <f aca="false">IF(F320 = H320, C320/G320, "")</f>
        <v/>
      </c>
      <c r="L320" s="0" t="str">
        <f aca="false">IFERROR(__xludf.dummyfunction("IF(AND(NOT(K320 = """"), G320 &gt;= 15),K320/FILTER('Base Stats'!$C$2:$C1000, LOWER('Base Stats'!$B$2:$B1000) = LOWER($A320)), """")"),"0.03974358974")</f>
        <v>0.03974358974</v>
      </c>
      <c r="M320" s="0" t="str">
        <f aca="false">IFERROR(__xludf.dummyfunction("1.15 + 0.02 * FILTER('Base Stats'!$C$2:$C1000, LOWER('Base Stats'!$B$2:$B1000) = LOWER($A320))"),"1.75")</f>
        <v>1.75</v>
      </c>
      <c r="N320" s="0" t="e">
        <f aca="false">IFERROR(IF(AND(NOT(K320 = ""), G320 &gt;= 15),K320/M320, ""))</f>
        <v>#VALUE!</v>
      </c>
    </row>
    <row r="321" customFormat="false" ht="15.75" hidden="false" customHeight="false" outlineLevel="0" collapsed="false">
      <c r="A321" s="8" t="s">
        <v>547</v>
      </c>
      <c r="B321" s="8" t="n">
        <v>148</v>
      </c>
      <c r="C321" s="8" t="n">
        <v>25</v>
      </c>
      <c r="D321" s="8" t="n">
        <v>3.71</v>
      </c>
      <c r="E321" s="8" t="n">
        <v>0.35</v>
      </c>
      <c r="F321" s="8" t="n">
        <v>800</v>
      </c>
      <c r="G321" s="0" t="str">
        <f aca="false">IFERROR(__xludf.dummyfunction("ROUND(B321/ FILTER('Pokemon CP/HP'!$M$2:$M1000, LOWER('Pokemon CP/HP'!$B$2:$B1000)=LOWER(A321)))"),"14")</f>
        <v>14</v>
      </c>
      <c r="H321" s="0" t="str">
        <f aca="false">IFERROR(__xludf.dummyfunction("FILTER('Leveling Info'!$B$2:$B1000, 'Leveling Info'!$A$2:$A1000 =G321)"),"800")</f>
        <v>800</v>
      </c>
      <c r="I321" s="14" t="n">
        <f aca="false">SQRT(G321)</f>
        <v>3.74165738677394</v>
      </c>
      <c r="J321" s="14" t="str">
        <f aca="false">IFERROR(__xludf.dummyfunction("IF(F321 = H321,C321/FILTER('Base Stats'!$C$2:$C1000, LOWER('Base Stats'!$B$2:$B1000) = LOWER($A321)), """")"),"0.8333333333")</f>
        <v>0.8333333333</v>
      </c>
      <c r="K321" s="0" t="str">
        <f aca="false">IF(F321 = H321, C321/G321, "")</f>
        <v/>
      </c>
      <c r="L321" s="0" t="str">
        <f aca="false">IFERROR(__xludf.dummyfunction("IF(AND(NOT(K321 = """"), G321 &gt;= 15),K321/FILTER('Base Stats'!$C$2:$C1000, LOWER('Base Stats'!$B$2:$B1000) = LOWER($A321)), """")"),"")</f>
        <v/>
      </c>
      <c r="M321" s="0" t="str">
        <f aca="false">IFERROR(__xludf.dummyfunction("1.15 + 0.02 * FILTER('Base Stats'!$C$2:$C1000, LOWER('Base Stats'!$B$2:$B1000) = LOWER($A321))"),"1.75")</f>
        <v>1.75</v>
      </c>
      <c r="N321" s="0" t="e">
        <f aca="false">IFERROR(IF(AND(NOT(K321 = ""), G321 &gt;= 15),K321/M321, ""))</f>
        <v>#VALUE!</v>
      </c>
    </row>
    <row r="322" customFormat="false" ht="15.75" hidden="false" customHeight="false" outlineLevel="0" collapsed="false">
      <c r="A322" s="8" t="s">
        <v>548</v>
      </c>
      <c r="B322" s="8" t="n">
        <v>326</v>
      </c>
      <c r="C322" s="8" t="n">
        <v>54</v>
      </c>
      <c r="D322" s="8" t="n">
        <v>0.55</v>
      </c>
      <c r="E322" s="8" t="n">
        <v>0.24</v>
      </c>
      <c r="F322" s="8" t="n">
        <v>1300</v>
      </c>
      <c r="G322" s="0" t="str">
        <f aca="false">IFERROR(__xludf.dummyfunction("ROUND(B322/ FILTER('Pokemon CP/HP'!$M$2:$M1000, LOWER('Pokemon CP/HP'!$B$2:$B1000)=LOWER(A322)))"),"18")</f>
        <v>18</v>
      </c>
      <c r="H322" s="0" t="str">
        <f aca="false">IFERROR(__xludf.dummyfunction("FILTER('Leveling Info'!$B$2:$B1000, 'Leveling Info'!$A$2:$A1000 =G322)"),"1000")</f>
        <v>1000</v>
      </c>
      <c r="I322" s="14" t="n">
        <f aca="false">SQRT(G322)</f>
        <v>4.24264068711929</v>
      </c>
      <c r="J322" s="14" t="str">
        <f aca="false">IFERROR(__xludf.dummyfunction("IF(F322 = H322,C322/FILTER('Base Stats'!$C$2:$C1000, LOWER('Base Stats'!$B$2:$B1000) = LOWER($A322)), """")"),"")</f>
        <v/>
      </c>
      <c r="K322" s="0" t="str">
        <f aca="false">IF(F322 = H322, C322/G322, "")</f>
        <v/>
      </c>
      <c r="L322" s="0" t="str">
        <f aca="false">IFERROR(__xludf.dummyfunction("IF(AND(NOT(K322 = """"), G322 &gt;= 15),K322/FILTER('Base Stats'!$C$2:$C1000, LOWER('Base Stats'!$B$2:$B1000) = LOWER($A322)), """")"),"")</f>
        <v/>
      </c>
      <c r="M322" s="0" t="str">
        <f aca="false">IFERROR(__xludf.dummyfunction("1.15 + 0.02 * FILTER('Base Stats'!$C$2:$C1000, LOWER('Base Stats'!$B$2:$B1000) = LOWER($A322))"),"2.35")</f>
        <v>2.35</v>
      </c>
      <c r="N322" s="0" t="e">
        <f aca="false">IFERROR(IF(AND(NOT(K322 = ""), G322 &gt;= 15),K322/M322, ""))</f>
        <v>#VALUE!</v>
      </c>
    </row>
    <row r="323" customFormat="false" ht="15.75" hidden="false" customHeight="false" outlineLevel="0" collapsed="false">
      <c r="A323" s="8" t="s">
        <v>549</v>
      </c>
      <c r="B323" s="8" t="n">
        <v>70</v>
      </c>
      <c r="C323" s="8" t="n">
        <v>32</v>
      </c>
      <c r="D323" s="8" t="n">
        <v>112.52</v>
      </c>
      <c r="E323" s="8" t="n">
        <v>1.49</v>
      </c>
      <c r="F323" s="8" t="n">
        <v>200</v>
      </c>
      <c r="G323" s="0" t="str">
        <f aca="false">IFERROR(__xludf.dummyfunction("ROUND(B323/ FILTER('Pokemon CP/HP'!$M$2:$M1000, LOWER('Pokemon CP/HP'!$B$2:$B1000)=LOWER(A323)))"),"3")</f>
        <v>3</v>
      </c>
      <c r="H323" s="0" t="str">
        <f aca="false">IFERROR(__xludf.dummyfunction("FILTER('Leveling Info'!$B$2:$B1000, 'Leveling Info'!$A$2:$A1000 =G323)"),"200")</f>
        <v>200</v>
      </c>
      <c r="I323" s="14" t="n">
        <f aca="false">SQRT(G323)</f>
        <v>1.73205080756888</v>
      </c>
      <c r="J323" s="14" t="str">
        <f aca="false">IFERROR(__xludf.dummyfunction("IF(F323 = H323,C323/FILTER('Base Stats'!$C$2:$C1000, LOWER('Base Stats'!$B$2:$B1000) = LOWER($A323)), """")"),"0.3555555556")</f>
        <v>0.3555555556</v>
      </c>
      <c r="K323" s="0" t="str">
        <f aca="false">IF(F323 = H323, C323/G323, "")</f>
        <v/>
      </c>
      <c r="L323" s="0" t="str">
        <f aca="false">IFERROR(__xludf.dummyfunction("IF(AND(NOT(K323 = """"), G323 &gt;= 15),K323/FILTER('Base Stats'!$C$2:$C1000, LOWER('Base Stats'!$B$2:$B1000) = LOWER($A323)), """")"),"")</f>
        <v/>
      </c>
      <c r="M323" s="0" t="str">
        <f aca="false">IFERROR(__xludf.dummyfunction("1.15 + 0.02 * FILTER('Base Stats'!$C$2:$C1000, LOWER('Base Stats'!$B$2:$B1000) = LOWER($A323))"),"2.95")</f>
        <v>2.95</v>
      </c>
      <c r="N323" s="0" t="e">
        <f aca="false">IFERROR(IF(AND(NOT(K323 = ""), G323 &gt;= 15),K323/M323, ""))</f>
        <v>#VALUE!</v>
      </c>
    </row>
    <row r="324" customFormat="false" ht="15.75" hidden="false" customHeight="false" outlineLevel="0" collapsed="false">
      <c r="A324" s="8" t="s">
        <v>550</v>
      </c>
      <c r="B324" s="8" t="n">
        <v>382</v>
      </c>
      <c r="C324" s="8" t="n">
        <v>74</v>
      </c>
      <c r="D324" s="8" t="n">
        <v>105.98</v>
      </c>
      <c r="E324" s="8" t="n">
        <v>0.95</v>
      </c>
      <c r="F324" s="8" t="n">
        <v>1300</v>
      </c>
      <c r="G324" s="0" t="str">
        <f aca="false">IFERROR(__xludf.dummyfunction("ROUND(B324/ FILTER('Pokemon CP/HP'!$M$2:$M1000, LOWER('Pokemon CP/HP'!$B$2:$B1000)=LOWER(A324)))"),"24")</f>
        <v>24</v>
      </c>
      <c r="H324" s="0" t="str">
        <f aca="false">IFERROR(__xludf.dummyfunction("FILTER('Leveling Info'!$B$2:$B1000, 'Leveling Info'!$A$2:$A1000 =G324)"),"1300")</f>
        <v>1300</v>
      </c>
      <c r="I324" s="14" t="n">
        <f aca="false">SQRT(G324)</f>
        <v>4.89897948556636</v>
      </c>
      <c r="J324" s="14" t="str">
        <f aca="false">IFERROR(__xludf.dummyfunction("IF(F324 = H324,C324/FILTER('Base Stats'!$C$2:$C1000, LOWER('Base Stats'!$B$2:$B1000) = LOWER($A324)), """")"),"0.925")</f>
        <v>0.925</v>
      </c>
      <c r="K324" s="0" t="str">
        <f aca="false">IF(F324 = H324, C324/G324, "")</f>
        <v/>
      </c>
      <c r="L324" s="0" t="str">
        <f aca="false">IFERROR(__xludf.dummyfunction("IF(AND(NOT(K324 = """"), G324 &gt;= 15),K324/FILTER('Base Stats'!$C$2:$C1000, LOWER('Base Stats'!$B$2:$B1000) = LOWER($A324)), """")"),"0.03854166667")</f>
        <v>0.03854166667</v>
      </c>
      <c r="M324" s="0" t="str">
        <f aca="false">IFERROR(__xludf.dummyfunction("1.15 + 0.02 * FILTER('Base Stats'!$C$2:$C1000, LOWER('Base Stats'!$B$2:$B1000) = LOWER($A324))"),"2.75")</f>
        <v>2.75</v>
      </c>
      <c r="N324" s="0" t="e">
        <f aca="false">IFERROR(IF(AND(NOT(K324 = ""), G324 &gt;= 15),K324/M324, ""))</f>
        <v>#VALUE!</v>
      </c>
    </row>
    <row r="325" customFormat="false" ht="15.75" hidden="false" customHeight="false" outlineLevel="0" collapsed="false">
      <c r="A325" s="8" t="s">
        <v>550</v>
      </c>
      <c r="B325" s="8" t="n">
        <v>180</v>
      </c>
      <c r="C325" s="8" t="n">
        <v>52</v>
      </c>
      <c r="D325" s="8" t="n">
        <v>93.21</v>
      </c>
      <c r="E325" s="8" t="n">
        <v>0.85</v>
      </c>
      <c r="F325" s="8" t="n">
        <v>600</v>
      </c>
      <c r="G325" s="0" t="str">
        <f aca="false">IFERROR(__xludf.dummyfunction("ROUND(B325/ FILTER('Pokemon CP/HP'!$M$2:$M1000, LOWER('Pokemon CP/HP'!$B$2:$B1000)=LOWER(A325)))"),"11")</f>
        <v>11</v>
      </c>
      <c r="H325" s="0" t="str">
        <f aca="false">IFERROR(__xludf.dummyfunction("FILTER('Leveling Info'!$B$2:$B1000, 'Leveling Info'!$A$2:$A1000 =G325)"),"600")</f>
        <v>600</v>
      </c>
      <c r="I325" s="14" t="n">
        <f aca="false">SQRT(G325)</f>
        <v>3.3166247903554</v>
      </c>
      <c r="J325" s="14" t="str">
        <f aca="false">IFERROR(__xludf.dummyfunction("IF(F325 = H325,C325/FILTER('Base Stats'!$C$2:$C1000, LOWER('Base Stats'!$B$2:$B1000) = LOWER($A325)), """")"),"0.65")</f>
        <v>0.65</v>
      </c>
      <c r="K325" s="0" t="str">
        <f aca="false">IF(F325 = H325, C325/G325, "")</f>
        <v/>
      </c>
      <c r="L325" s="0" t="str">
        <f aca="false">IFERROR(__xludf.dummyfunction("IF(AND(NOT(K325 = """"), G325 &gt;= 15),K325/FILTER('Base Stats'!$C$2:$C1000, LOWER('Base Stats'!$B$2:$B1000) = LOWER($A325)), """")"),"")</f>
        <v/>
      </c>
      <c r="M325" s="0" t="str">
        <f aca="false">IFERROR(__xludf.dummyfunction("1.15 + 0.02 * FILTER('Base Stats'!$C$2:$C1000, LOWER('Base Stats'!$B$2:$B1000) = LOWER($A325))"),"2.75")</f>
        <v>2.75</v>
      </c>
      <c r="N325" s="0" t="e">
        <f aca="false">IFERROR(IF(AND(NOT(K325 = ""), G325 &gt;= 15),K325/M325, ""))</f>
        <v>#VALUE!</v>
      </c>
    </row>
    <row r="326" customFormat="false" ht="15.75" hidden="false" customHeight="false" outlineLevel="0" collapsed="false">
      <c r="A326" s="8" t="s">
        <v>551</v>
      </c>
      <c r="B326" s="8" t="n">
        <v>427</v>
      </c>
      <c r="C326" s="8" t="n">
        <v>77</v>
      </c>
      <c r="D326" s="8" t="n">
        <v>148.51</v>
      </c>
      <c r="E326" s="8" t="n">
        <v>2.14</v>
      </c>
      <c r="F326" s="8" t="n">
        <v>800</v>
      </c>
      <c r="G326" s="0" t="str">
        <f aca="false">IFERROR(__xludf.dummyfunction("ROUND(B326/ FILTER('Pokemon CP/HP'!$M$2:$M1000, LOWER('Pokemon CP/HP'!$B$2:$B1000)=LOWER(A326)))"),"15")</f>
        <v>15</v>
      </c>
      <c r="H326" s="0" t="str">
        <f aca="false">IFERROR(__xludf.dummyfunction("FILTER('Leveling Info'!$B$2:$B1000, 'Leveling Info'!$A$2:$A1000 =G326)"),"800")</f>
        <v>800</v>
      </c>
      <c r="I326" s="14" t="n">
        <f aca="false">SQRT(G326)</f>
        <v>3.87298334620742</v>
      </c>
      <c r="J326" s="14" t="str">
        <f aca="false">IFERROR(__xludf.dummyfunction("IF(F326 = H326,C326/FILTER('Base Stats'!$C$2:$C1000, LOWER('Base Stats'!$B$2:$B1000) = LOWER($A326)), """")"),"0.7333333333")</f>
        <v>0.7333333333</v>
      </c>
      <c r="K326" s="0" t="str">
        <f aca="false">IF(F326 = H326, C326/G326, "")</f>
        <v/>
      </c>
      <c r="L326" s="0" t="str">
        <f aca="false">IFERROR(__xludf.dummyfunction("IF(AND(NOT(K326 = """"), G326 &gt;= 15),K326/FILTER('Base Stats'!$C$2:$C1000, LOWER('Base Stats'!$B$2:$B1000) = LOWER($A326)), """")"),"0.04888888889")</f>
        <v>0.04888888889</v>
      </c>
      <c r="M326" s="0" t="str">
        <f aca="false">IFERROR(__xludf.dummyfunction("1.15 + 0.02 * FILTER('Base Stats'!$C$2:$C1000, LOWER('Base Stats'!$B$2:$B1000) = LOWER($A326))"),"3.25")</f>
        <v>3.25</v>
      </c>
      <c r="N326" s="0" t="e">
        <f aca="false">IFERROR(IF(AND(NOT(K326 = ""), G326 &gt;= 15),K326/M326, ""))</f>
        <v>#VALUE!</v>
      </c>
    </row>
    <row r="327" customFormat="false" ht="15.75" hidden="false" customHeight="false" outlineLevel="0" collapsed="false">
      <c r="A327" s="8" t="s">
        <v>552</v>
      </c>
      <c r="B327" s="8" t="n">
        <v>195</v>
      </c>
      <c r="C327" s="8" t="n">
        <v>27</v>
      </c>
      <c r="D327" s="8" t="n">
        <v>8.35</v>
      </c>
      <c r="E327" s="8" t="n">
        <v>0.44</v>
      </c>
      <c r="F327" s="8" t="n">
        <v>1000</v>
      </c>
      <c r="G327" s="0" t="str">
        <f aca="false">IFERROR(__xludf.dummyfunction("ROUND(B327/ FILTER('Pokemon CP/HP'!$M$2:$M1000, LOWER('Pokemon CP/HP'!$B$2:$B1000)=LOWER(A327)))"),"17")</f>
        <v>17</v>
      </c>
      <c r="H327" s="0" t="str">
        <f aca="false">IFERROR(__xludf.dummyfunction("FILTER('Leveling Info'!$B$2:$B1000, 'Leveling Info'!$A$2:$A1000 =G327)"),"1000")</f>
        <v>1000</v>
      </c>
      <c r="I327" s="14" t="n">
        <f aca="false">SQRT(G327)</f>
        <v>4.12310562561766</v>
      </c>
      <c r="J327" s="14" t="str">
        <f aca="false">IFERROR(__xludf.dummyfunction("IF(F327 = H327,C327/FILTER('Base Stats'!$C$2:$C1000, LOWER('Base Stats'!$B$2:$B1000) = LOWER($A327)), """")"),"0.9")</f>
        <v>0.9</v>
      </c>
      <c r="K327" s="0" t="str">
        <f aca="false">IF(F327 = H327, C327/G327, "")</f>
        <v/>
      </c>
      <c r="L327" s="0" t="str">
        <f aca="false">IFERROR(__xludf.dummyfunction("IF(AND(NOT(K327 = """"), G327 &gt;= 15),K327/FILTER('Base Stats'!$C$2:$C1000, LOWER('Base Stats'!$B$2:$B1000) = LOWER($A327)), """")"),"0.05294117647")</f>
        <v>0.05294117647</v>
      </c>
      <c r="M327" s="0" t="str">
        <f aca="false">IFERROR(__xludf.dummyfunction("1.15 + 0.02 * FILTER('Base Stats'!$C$2:$C1000, LOWER('Base Stats'!$B$2:$B1000) = LOWER($A327))"),"1.75")</f>
        <v>1.75</v>
      </c>
      <c r="N327" s="0" t="e">
        <f aca="false">IFERROR(IF(AND(NOT(K327 = ""), G327 &gt;= 15),K327/M327, ""))</f>
        <v>#VALUE!</v>
      </c>
    </row>
    <row r="328" customFormat="false" ht="15.75" hidden="false" customHeight="false" outlineLevel="0" collapsed="false">
      <c r="A328" s="8" t="s">
        <v>552</v>
      </c>
      <c r="B328" s="8" t="n">
        <v>76</v>
      </c>
      <c r="C328" s="8" t="n">
        <v>18</v>
      </c>
      <c r="D328" s="8" t="n">
        <v>10.42</v>
      </c>
      <c r="E328" s="8" t="n">
        <v>0.46</v>
      </c>
      <c r="F328" s="8" t="n">
        <v>400</v>
      </c>
      <c r="G328" s="0" t="str">
        <f aca="false">IFERROR(__xludf.dummyfunction("ROUND(B328/ FILTER('Pokemon CP/HP'!$M$2:$M1000, LOWER('Pokemon CP/HP'!$B$2:$B1000)=LOWER(A328)))"),"7")</f>
        <v>7</v>
      </c>
      <c r="H328" s="0" t="str">
        <f aca="false">IFERROR(__xludf.dummyfunction("FILTER('Leveling Info'!$B$2:$B1000, 'Leveling Info'!$A$2:$A1000 =G328)"),"400")</f>
        <v>400</v>
      </c>
      <c r="I328" s="14" t="n">
        <f aca="false">SQRT(G328)</f>
        <v>2.64575131106459</v>
      </c>
      <c r="J328" s="14" t="str">
        <f aca="false">IFERROR(__xludf.dummyfunction("IF(F328 = H328,C328/FILTER('Base Stats'!$C$2:$C1000, LOWER('Base Stats'!$B$2:$B1000) = LOWER($A328)), """")"),"0.6")</f>
        <v>0.6</v>
      </c>
      <c r="K328" s="0" t="str">
        <f aca="false">IF(F328 = H328, C328/G328, "")</f>
        <v/>
      </c>
      <c r="L328" s="0" t="str">
        <f aca="false">IFERROR(__xludf.dummyfunction("IF(AND(NOT(K328 = """"), G328 &gt;= 15),K328/FILTER('Base Stats'!$C$2:$C1000, LOWER('Base Stats'!$B$2:$B1000) = LOWER($A328)), """")"),"")</f>
        <v/>
      </c>
      <c r="M328" s="0" t="str">
        <f aca="false">IFERROR(__xludf.dummyfunction("1.15 + 0.02 * FILTER('Base Stats'!$C$2:$C1000, LOWER('Base Stats'!$B$2:$B1000) = LOWER($A328))"),"1.75")</f>
        <v>1.75</v>
      </c>
      <c r="N328" s="0" t="e">
        <f aca="false">IFERROR(IF(AND(NOT(K328 = ""), G328 &gt;= 15),K328/M328, ""))</f>
        <v>#VALUE!</v>
      </c>
    </row>
    <row r="329" customFormat="false" ht="15.75" hidden="false" customHeight="false" outlineLevel="0" collapsed="false">
      <c r="A329" s="8" t="s">
        <v>553</v>
      </c>
      <c r="B329" s="8" t="n">
        <v>152</v>
      </c>
      <c r="C329" s="8" t="n">
        <v>29</v>
      </c>
      <c r="D329" s="8" t="n">
        <v>12.55</v>
      </c>
      <c r="E329" s="8" t="n">
        <v>0.89</v>
      </c>
      <c r="F329" s="8" t="n">
        <v>400</v>
      </c>
      <c r="G329" s="0" t="str">
        <f aca="false">IFERROR(__xludf.dummyfunction("ROUND(B329/ FILTER('Pokemon CP/HP'!$M$2:$M1000, LOWER('Pokemon CP/HP'!$B$2:$B1000)=LOWER(A329)))"),"6")</f>
        <v>6</v>
      </c>
      <c r="H329" s="0" t="str">
        <f aca="false">IFERROR(__xludf.dummyfunction("FILTER('Leveling Info'!$B$2:$B1000, 'Leveling Info'!$A$2:$A1000 =G329)"),"400")</f>
        <v>400</v>
      </c>
      <c r="I329" s="14" t="n">
        <f aca="false">SQRT(G329)</f>
        <v>2.44948974278318</v>
      </c>
      <c r="J329" s="14" t="str">
        <f aca="false">IFERROR(__xludf.dummyfunction("IF(F329 = H329,C329/FILTER('Base Stats'!$C$2:$C1000, LOWER('Base Stats'!$B$2:$B1000) = LOWER($A329)), """")"),"0.5272727273")</f>
        <v>0.5272727273</v>
      </c>
      <c r="K329" s="0" t="str">
        <f aca="false">IF(F329 = H329, C329/G329, "")</f>
        <v/>
      </c>
      <c r="L329" s="0" t="str">
        <f aca="false">IFERROR(__xludf.dummyfunction("IF(AND(NOT(K329 = """"), G329 &gt;= 15),K329/FILTER('Base Stats'!$C$2:$C1000, LOWER('Base Stats'!$B$2:$B1000) = LOWER($A329)), """")"),"")</f>
        <v/>
      </c>
      <c r="M329" s="0" t="str">
        <f aca="false">IFERROR(__xludf.dummyfunction("1.15 + 0.02 * FILTER('Base Stats'!$C$2:$C1000, LOWER('Base Stats'!$B$2:$B1000) = LOWER($A329))"),"2.25")</f>
        <v>2.25</v>
      </c>
      <c r="N329" s="0" t="e">
        <f aca="false">IFERROR(IF(AND(NOT(K329 = ""), G329 &gt;= 15),K329/M329, ""))</f>
        <v>#VALUE!</v>
      </c>
    </row>
    <row r="330" customFormat="false" ht="15.75" hidden="false" customHeight="false" outlineLevel="0" collapsed="false">
      <c r="A330" s="8" t="s">
        <v>554</v>
      </c>
      <c r="B330" s="8" t="n">
        <v>199</v>
      </c>
      <c r="C330" s="8" t="n">
        <v>37</v>
      </c>
      <c r="D330" s="8" t="n">
        <v>22.5</v>
      </c>
      <c r="E330" s="8" t="n">
        <v>0.78</v>
      </c>
      <c r="F330" s="8" t="n">
        <v>800</v>
      </c>
      <c r="G330" s="0" t="str">
        <f aca="false">IFERROR(__xludf.dummyfunction("ROUND(B330/ FILTER('Pokemon CP/HP'!$M$2:$M1000, LOWER('Pokemon CP/HP'!$B$2:$B1000)=LOWER(A330)))"),"15")</f>
        <v>15</v>
      </c>
      <c r="H330" s="0" t="str">
        <f aca="false">IFERROR(__xludf.dummyfunction("FILTER('Leveling Info'!$B$2:$B1000, 'Leveling Info'!$A$2:$A1000 =G330)"),"800")</f>
        <v>800</v>
      </c>
      <c r="I330" s="14" t="n">
        <f aca="false">SQRT(G330)</f>
        <v>3.87298334620742</v>
      </c>
      <c r="J330" s="14" t="str">
        <f aca="false">IFERROR(__xludf.dummyfunction("IF(F330 = H330,C330/FILTER('Base Stats'!$C$2:$C1000, LOWER('Base Stats'!$B$2:$B1000) = LOWER($A330)), """")"),"0.8222222222")</f>
        <v>0.8222222222</v>
      </c>
      <c r="K330" s="0" t="str">
        <f aca="false">IF(F330 = H330, C330/G330, "")</f>
        <v/>
      </c>
      <c r="L330" s="0" t="str">
        <f aca="false">IFERROR(__xludf.dummyfunction("IF(AND(NOT(K330 = """"), G330 &gt;= 15),K330/FILTER('Base Stats'!$C$2:$C1000, LOWER('Base Stats'!$B$2:$B1000) = LOWER($A330)), """")"),"0.05481481481")</f>
        <v>0.05481481481</v>
      </c>
      <c r="M330" s="0" t="str">
        <f aca="false">IFERROR(__xludf.dummyfunction("1.15 + 0.02 * FILTER('Base Stats'!$C$2:$C1000, LOWER('Base Stats'!$B$2:$B1000) = LOWER($A330))"),"2.05")</f>
        <v>2.05</v>
      </c>
      <c r="N330" s="0" t="e">
        <f aca="false">IFERROR(IF(AND(NOT(K330 = ""), G330 &gt;= 15),K330/M330, ""))</f>
        <v>#VALUE!</v>
      </c>
    </row>
    <row r="331" customFormat="false" ht="15.75" hidden="false" customHeight="false" outlineLevel="0" collapsed="false">
      <c r="A331" s="8" t="s">
        <v>554</v>
      </c>
      <c r="B331" s="8" t="n">
        <v>115</v>
      </c>
      <c r="C331" s="8" t="n">
        <v>29</v>
      </c>
      <c r="D331" s="8" t="n">
        <v>15.51</v>
      </c>
      <c r="E331" s="8" t="n">
        <v>0.59</v>
      </c>
      <c r="F331" s="8" t="n">
        <v>600</v>
      </c>
      <c r="G331" s="0" t="str">
        <f aca="false">IFERROR(__xludf.dummyfunction("ROUND(B331/ FILTER('Pokemon CP/HP'!$M$2:$M1000, LOWER('Pokemon CP/HP'!$B$2:$B1000)=LOWER(A331)))"),"9")</f>
        <v>9</v>
      </c>
      <c r="H331" s="0" t="str">
        <f aca="false">IFERROR(__xludf.dummyfunction("FILTER('Leveling Info'!$B$2:$B1000, 'Leveling Info'!$A$2:$A1000 =G331)"),"600")</f>
        <v>600</v>
      </c>
      <c r="I331" s="14" t="n">
        <f aca="false">SQRT(G331)</f>
        <v>3</v>
      </c>
      <c r="J331" s="14" t="str">
        <f aca="false">IFERROR(__xludf.dummyfunction("IF(F331 = H331,C331/FILTER('Base Stats'!$C$2:$C1000, LOWER('Base Stats'!$B$2:$B1000) = LOWER($A331)), """")"),"0.6444444444")</f>
        <v>0.6444444444</v>
      </c>
      <c r="K331" s="0" t="str">
        <f aca="false">IF(F331 = H331, C331/G331, "")</f>
        <v/>
      </c>
      <c r="L331" s="0" t="str">
        <f aca="false">IFERROR(__xludf.dummyfunction("IF(AND(NOT(K331 = """"), G331 &gt;= 15),K331/FILTER('Base Stats'!$C$2:$C1000, LOWER('Base Stats'!$B$2:$B1000) = LOWER($A331)), """")"),"")</f>
        <v/>
      </c>
      <c r="M331" s="0" t="str">
        <f aca="false">IFERROR(__xludf.dummyfunction("1.15 + 0.02 * FILTER('Base Stats'!$C$2:$C1000, LOWER('Base Stats'!$B$2:$B1000) = LOWER($A331))"),"2.05")</f>
        <v>2.05</v>
      </c>
      <c r="N331" s="0" t="e">
        <f aca="false">IFERROR(IF(AND(NOT(K331 = ""), G331 &gt;= 15),K331/M331, ""))</f>
        <v>#VALUE!</v>
      </c>
    </row>
    <row r="332" customFormat="false" ht="15.75" hidden="false" customHeight="false" outlineLevel="0" collapsed="false">
      <c r="A332" s="8" t="s">
        <v>555</v>
      </c>
      <c r="B332" s="8" t="n">
        <v>480</v>
      </c>
      <c r="C332" s="8" t="n">
        <v>66</v>
      </c>
      <c r="D332" s="8" t="n">
        <v>18.79</v>
      </c>
      <c r="E332" s="8" t="n">
        <v>1.1</v>
      </c>
      <c r="F332" s="8" t="n">
        <v>1000</v>
      </c>
      <c r="G332" s="0" t="str">
        <f aca="false">IFERROR(__xludf.dummyfunction("ROUND(B332/ FILTER('Pokemon CP/HP'!$M$2:$M1000, LOWER('Pokemon CP/HP'!$B$2:$B1000)=LOWER(A332)))"),"17")</f>
        <v>17</v>
      </c>
      <c r="H332" s="0" t="str">
        <f aca="false">IFERROR(__xludf.dummyfunction("FILTER('Leveling Info'!$B$2:$B1000, 'Leveling Info'!$A$2:$A1000 =G332)"),"1000")</f>
        <v>1000</v>
      </c>
      <c r="I332" s="14" t="n">
        <f aca="false">SQRT(G332)</f>
        <v>4.12310562561766</v>
      </c>
      <c r="J332" s="14" t="str">
        <f aca="false">IFERROR(__xludf.dummyfunction("IF(F332 = H332,C332/FILTER('Base Stats'!$C$2:$C1000, LOWER('Base Stats'!$B$2:$B1000) = LOWER($A332)), """")"),"0.825")</f>
        <v>0.825</v>
      </c>
      <c r="K332" s="0" t="str">
        <f aca="false">IF(F332 = H332, C332/G332, "")</f>
        <v/>
      </c>
      <c r="L332" s="0" t="str">
        <f aca="false">IFERROR(__xludf.dummyfunction("IF(AND(NOT(K332 = """"), G332 &gt;= 15),K332/FILTER('Base Stats'!$C$2:$C1000, LOWER('Base Stats'!$B$2:$B1000) = LOWER($A332)), """")"),"0.04852941176")</f>
        <v>0.04852941176</v>
      </c>
      <c r="M332" s="0" t="str">
        <f aca="false">IFERROR(__xludf.dummyfunction("1.15 + 0.02 * FILTER('Base Stats'!$C$2:$C1000, LOWER('Base Stats'!$B$2:$B1000) = LOWER($A332))"),"2.75")</f>
        <v>2.75</v>
      </c>
      <c r="N332" s="0" t="e">
        <f aca="false">IFERROR(IF(AND(NOT(K332 = ""), G332 &gt;= 15),K332/M332, ""))</f>
        <v>#VALUE!</v>
      </c>
    </row>
    <row r="333" customFormat="false" ht="15.75" hidden="false" customHeight="false" outlineLevel="0" collapsed="false">
      <c r="A333" s="8" t="s">
        <v>555</v>
      </c>
      <c r="B333" s="8" t="n">
        <v>341</v>
      </c>
      <c r="C333" s="8" t="n">
        <v>54</v>
      </c>
      <c r="D333" s="8" t="n">
        <v>34.75</v>
      </c>
      <c r="E333" s="8" t="n">
        <v>1.24</v>
      </c>
      <c r="F333" s="8" t="n">
        <v>600</v>
      </c>
      <c r="G333" s="0" t="str">
        <f aca="false">IFERROR(__xludf.dummyfunction("ROUND(B333/ FILTER('Pokemon CP/HP'!$M$2:$M1000, LOWER('Pokemon CP/HP'!$B$2:$B1000)=LOWER(A333)))"),"12")</f>
        <v>12</v>
      </c>
      <c r="H333" s="0" t="str">
        <f aca="false">IFERROR(__xludf.dummyfunction("FILTER('Leveling Info'!$B$2:$B1000, 'Leveling Info'!$A$2:$A1000 =G333)"),"600")</f>
        <v>600</v>
      </c>
      <c r="I333" s="14" t="n">
        <f aca="false">SQRT(G333)</f>
        <v>3.46410161513775</v>
      </c>
      <c r="J333" s="14" t="str">
        <f aca="false">IFERROR(__xludf.dummyfunction("IF(F333 = H333,C333/FILTER('Base Stats'!$C$2:$C1000, LOWER('Base Stats'!$B$2:$B1000) = LOWER($A333)), """")"),"0.675")</f>
        <v>0.675</v>
      </c>
      <c r="K333" s="0" t="str">
        <f aca="false">IF(F333 = H333, C333/G333, "")</f>
        <v/>
      </c>
      <c r="L333" s="0" t="str">
        <f aca="false">IFERROR(__xludf.dummyfunction("IF(AND(NOT(K333 = """"), G333 &gt;= 15),K333/FILTER('Base Stats'!$C$2:$C1000, LOWER('Base Stats'!$B$2:$B1000) = LOWER($A333)), """")"),"")</f>
        <v/>
      </c>
      <c r="M333" s="0" t="str">
        <f aca="false">IFERROR(__xludf.dummyfunction("1.15 + 0.02 * FILTER('Base Stats'!$C$2:$C1000, LOWER('Base Stats'!$B$2:$B1000) = LOWER($A333))"),"2.75")</f>
        <v>2.75</v>
      </c>
      <c r="N333" s="0" t="e">
        <f aca="false">IFERROR(IF(AND(NOT(K333 = ""), G333 &gt;= 15),K333/M333, ""))</f>
        <v>#VALUE!</v>
      </c>
    </row>
    <row r="334" customFormat="false" ht="15.75" hidden="false" customHeight="false" outlineLevel="0" collapsed="false">
      <c r="A334" s="8" t="s">
        <v>556</v>
      </c>
      <c r="B334" s="8" t="n">
        <v>136</v>
      </c>
      <c r="C334" s="8" t="n">
        <v>19</v>
      </c>
      <c r="D334" s="8" t="n">
        <v>40.31</v>
      </c>
      <c r="E334" s="8" t="n">
        <v>0.81</v>
      </c>
      <c r="F334" s="8" t="n">
        <v>600</v>
      </c>
      <c r="G334" s="0" t="str">
        <f aca="false">IFERROR(__xludf.dummyfunction("ROUND(B334/ FILTER('Pokemon CP/HP'!$M$2:$M1000, LOWER('Pokemon CP/HP'!$B$2:$B1000)=LOWER(A334)))"),"11")</f>
        <v>11</v>
      </c>
      <c r="H334" s="0" t="str">
        <f aca="false">IFERROR(__xludf.dummyfunction("FILTER('Leveling Info'!$B$2:$B1000, 'Leveling Info'!$A$2:$A1000 =G334)"),"600")</f>
        <v>600</v>
      </c>
      <c r="I334" s="14" t="n">
        <f aca="false">SQRT(G334)</f>
        <v>3.3166247903554</v>
      </c>
      <c r="J334" s="14" t="str">
        <f aca="false">IFERROR(__xludf.dummyfunction("IF(F334 = H334,C334/FILTER('Base Stats'!$C$2:$C1000, LOWER('Base Stats'!$B$2:$B1000) = LOWER($A334)), """")"),"0.6333333333")</f>
        <v>0.6333333333</v>
      </c>
      <c r="K334" s="0" t="str">
        <f aca="false">IF(F334 = H334, C334/G334, "")</f>
        <v/>
      </c>
      <c r="L334" s="0" t="str">
        <f aca="false">IFERROR(__xludf.dummyfunction("IF(AND(NOT(K334 = """"), G334 &gt;= 15),K334/FILTER('Base Stats'!$C$2:$C1000, LOWER('Base Stats'!$B$2:$B1000) = LOWER($A334)), """")"),"")</f>
        <v/>
      </c>
      <c r="M334" s="0" t="str">
        <f aca="false">IFERROR(__xludf.dummyfunction("1.15 + 0.02 * FILTER('Base Stats'!$C$2:$C1000, LOWER('Base Stats'!$B$2:$B1000) = LOWER($A334))"),"1.75")</f>
        <v>1.75</v>
      </c>
      <c r="N334" s="0" t="e">
        <f aca="false">IFERROR(IF(AND(NOT(K334 = ""), G334 &gt;= 15),K334/M334, ""))</f>
        <v>#VALUE!</v>
      </c>
    </row>
    <row r="335" customFormat="false" ht="15.75" hidden="false" customHeight="false" outlineLevel="0" collapsed="false">
      <c r="A335" s="8" t="s">
        <v>557</v>
      </c>
      <c r="B335" s="8" t="n">
        <v>217</v>
      </c>
      <c r="C335" s="8" t="n">
        <v>37</v>
      </c>
      <c r="D335" s="8" t="n">
        <v>39.46</v>
      </c>
      <c r="E335" s="8" t="n">
        <v>1.29</v>
      </c>
      <c r="F335" s="8" t="n">
        <v>400</v>
      </c>
      <c r="G335" s="0" t="str">
        <f aca="false">IFERROR(__xludf.dummyfunction("ROUND(B335/ FILTER('Pokemon CP/HP'!$M$2:$M1000, LOWER('Pokemon CP/HP'!$B$2:$B1000)=LOWER(A335)))"),"7")</f>
        <v>7</v>
      </c>
      <c r="H335" s="0" t="str">
        <f aca="false">IFERROR(__xludf.dummyfunction("FILTER('Leveling Info'!$B$2:$B1000, 'Leveling Info'!$A$2:$A1000 =G335)"),"400")</f>
        <v>400</v>
      </c>
      <c r="I335" s="14" t="n">
        <f aca="false">SQRT(G335)</f>
        <v>2.64575131106459</v>
      </c>
      <c r="J335" s="14" t="str">
        <f aca="false">IFERROR(__xludf.dummyfunction("IF(F335 = H335,C335/FILTER('Base Stats'!$C$2:$C1000, LOWER('Base Stats'!$B$2:$B1000) = LOWER($A335)), """")"),"0.5692307692")</f>
        <v>0.5692307692</v>
      </c>
      <c r="K335" s="0" t="str">
        <f aca="false">IF(F335 = H335, C335/G335, "")</f>
        <v/>
      </c>
      <c r="L335" s="0" t="str">
        <f aca="false">IFERROR(__xludf.dummyfunction("IF(AND(NOT(K335 = """"), G335 &gt;= 15),K335/FILTER('Base Stats'!$C$2:$C1000, LOWER('Base Stats'!$B$2:$B1000) = LOWER($A335)), """")"),"")</f>
        <v/>
      </c>
      <c r="M335" s="0" t="str">
        <f aca="false">IFERROR(__xludf.dummyfunction("1.15 + 0.02 * FILTER('Base Stats'!$C$2:$C1000, LOWER('Base Stats'!$B$2:$B1000) = LOWER($A335))"),"2.45")</f>
        <v>2.45</v>
      </c>
      <c r="N335" s="0" t="e">
        <f aca="false">IFERROR(IF(AND(NOT(K335 = ""), G335 &gt;= 15),K335/M335, ""))</f>
        <v>#VALUE!</v>
      </c>
    </row>
    <row r="336" customFormat="false" ht="15.75" hidden="false" customHeight="false" outlineLevel="0" collapsed="false">
      <c r="A336" s="8" t="s">
        <v>558</v>
      </c>
      <c r="B336" s="8" t="n">
        <v>846</v>
      </c>
      <c r="C336" s="8" t="n">
        <v>67</v>
      </c>
      <c r="D336" s="8" t="n">
        <v>49.25</v>
      </c>
      <c r="E336" s="8" t="n">
        <v>1.47</v>
      </c>
      <c r="F336" s="8" t="n">
        <v>1900</v>
      </c>
      <c r="G336" s="0" t="str">
        <f aca="false">IFERROR(__xludf.dummyfunction("ROUND(B336/ FILTER('Pokemon CP/HP'!$M$2:$M1000, LOWER('Pokemon CP/HP'!$B$2:$B1000)=LOWER(A336)))"),"28")</f>
        <v>28</v>
      </c>
      <c r="H336" s="0" t="str">
        <f aca="false">IFERROR(__xludf.dummyfunction("FILTER('Leveling Info'!$B$2:$B1000, 'Leveling Info'!$A$2:$A1000 =G336)"),"1600")</f>
        <v>1600</v>
      </c>
      <c r="I336" s="14" t="n">
        <f aca="false">SQRT(G336)</f>
        <v>5.29150262212918</v>
      </c>
      <c r="J336" s="14" t="str">
        <f aca="false">IFERROR(__xludf.dummyfunction("IF(F336 = H336,C336/FILTER('Base Stats'!$C$2:$C1000, LOWER('Base Stats'!$B$2:$B1000) = LOWER($A336)), """")"),"")</f>
        <v/>
      </c>
      <c r="K336" s="0" t="str">
        <f aca="false">IF(F336 = H336, C336/G336, "")</f>
        <v/>
      </c>
      <c r="L336" s="0" t="str">
        <f aca="false">IFERROR(__xludf.dummyfunction("IF(AND(NOT(K336 = """"), G336 &gt;= 15),K336/FILTER('Base Stats'!$C$2:$C1000, LOWER('Base Stats'!$B$2:$B1000) = LOWER($A336)), """")"),"")</f>
        <v/>
      </c>
      <c r="M336" s="0" t="str">
        <f aca="false">IFERROR(__xludf.dummyfunction("1.15 + 0.02 * FILTER('Base Stats'!$C$2:$C1000, LOWER('Base Stats'!$B$2:$B1000) = LOWER($A336))"),"2.45")</f>
        <v>2.45</v>
      </c>
      <c r="N336" s="0" t="e">
        <f aca="false">IFERROR(IF(AND(NOT(K336 = ""), G336 &gt;= 15),K336/M336, ""))</f>
        <v>#VALUE!</v>
      </c>
    </row>
    <row r="337" customFormat="false" ht="15.75" hidden="false" customHeight="false" outlineLevel="0" collapsed="false">
      <c r="A337" s="8" t="s">
        <v>559</v>
      </c>
      <c r="B337" s="8" t="n">
        <v>350</v>
      </c>
      <c r="C337" s="8" t="n">
        <v>55</v>
      </c>
      <c r="D337" s="8" t="n">
        <v>81.34</v>
      </c>
      <c r="E337" s="8" t="n">
        <v>1.36</v>
      </c>
      <c r="F337" s="8" t="n">
        <v>800</v>
      </c>
      <c r="G337" s="0" t="str">
        <f aca="false">IFERROR(__xludf.dummyfunction("ROUND(B337/ FILTER('Pokemon CP/HP'!$M$2:$M1000, LOWER('Pokemon CP/HP'!$B$2:$B1000)=LOWER(A337)))"),"14")</f>
        <v>14</v>
      </c>
      <c r="H337" s="0" t="str">
        <f aca="false">IFERROR(__xludf.dummyfunction("FILTER('Leveling Info'!$B$2:$B1000, 'Leveling Info'!$A$2:$A1000 =G337)"),"800")</f>
        <v>800</v>
      </c>
      <c r="I337" s="14" t="n">
        <f aca="false">SQRT(G337)</f>
        <v>3.74165738677394</v>
      </c>
      <c r="J337" s="14" t="str">
        <f aca="false">IFERROR(__xludf.dummyfunction("IF(F337 = H337,C337/FILTER('Base Stats'!$C$2:$C1000, LOWER('Base Stats'!$B$2:$B1000) = LOWER($A337)), """")"),"0.7333333333")</f>
        <v>0.7333333333</v>
      </c>
      <c r="K337" s="0" t="str">
        <f aca="false">IF(F337 = H337, C337/G337, "")</f>
        <v/>
      </c>
      <c r="L337" s="0" t="str">
        <f aca="false">IFERROR(__xludf.dummyfunction("IF(AND(NOT(K337 = """"), G337 &gt;= 15),K337/FILTER('Base Stats'!$C$2:$C1000, LOWER('Base Stats'!$B$2:$B1000) = LOWER($A337)), """")"),"")</f>
        <v/>
      </c>
      <c r="M337" s="0" t="str">
        <f aca="false">IFERROR(__xludf.dummyfunction("1.15 + 0.02 * FILTER('Base Stats'!$C$2:$C1000, LOWER('Base Stats'!$B$2:$B1000) = LOWER($A337))"),"2.65")</f>
        <v>2.65</v>
      </c>
      <c r="N337" s="0" t="e">
        <f aca="false">IFERROR(IF(AND(NOT(K337 = ""), G337 &gt;= 15),K337/M337, ""))</f>
        <v>#VALUE!</v>
      </c>
    </row>
    <row r="338" customFormat="false" ht="15.75" hidden="false" customHeight="false" outlineLevel="0" collapsed="false">
      <c r="A338" s="8" t="s">
        <v>559</v>
      </c>
      <c r="B338" s="8" t="n">
        <v>238</v>
      </c>
      <c r="C338" s="8" t="n">
        <v>45</v>
      </c>
      <c r="D338" s="8" t="n">
        <v>97.29</v>
      </c>
      <c r="E338" s="8" t="n">
        <v>1.52</v>
      </c>
      <c r="F338" s="8" t="n">
        <v>600</v>
      </c>
      <c r="G338" s="0" t="str">
        <f aca="false">IFERROR(__xludf.dummyfunction("ROUND(B338/ FILTER('Pokemon CP/HP'!$M$2:$M1000, LOWER('Pokemon CP/HP'!$B$2:$B1000)=LOWER(A338)))"),"9")</f>
        <v>9</v>
      </c>
      <c r="H338" s="0" t="str">
        <f aca="false">IFERROR(__xludf.dummyfunction("FILTER('Leveling Info'!$B$2:$B1000, 'Leveling Info'!$A$2:$A1000 =G338)"),"600")</f>
        <v>600</v>
      </c>
      <c r="I338" s="14" t="n">
        <f aca="false">SQRT(G338)</f>
        <v>3</v>
      </c>
      <c r="J338" s="14" t="str">
        <f aca="false">IFERROR(__xludf.dummyfunction("IF(F338 = H338,C338/FILTER('Base Stats'!$C$2:$C1000, LOWER('Base Stats'!$B$2:$B1000) = LOWER($A338)), """")"),"0.6")</f>
        <v>0.6</v>
      </c>
      <c r="K338" s="0" t="str">
        <f aca="false">IF(F338 = H338, C338/G338, "")</f>
        <v/>
      </c>
      <c r="L338" s="0" t="str">
        <f aca="false">IFERROR(__xludf.dummyfunction("IF(AND(NOT(K338 = """"), G338 &gt;= 15),K338/FILTER('Base Stats'!$C$2:$C1000, LOWER('Base Stats'!$B$2:$B1000) = LOWER($A338)), """")"),"")</f>
        <v/>
      </c>
      <c r="M338" s="0" t="str">
        <f aca="false">IFERROR(__xludf.dummyfunction("1.15 + 0.02 * FILTER('Base Stats'!$C$2:$C1000, LOWER('Base Stats'!$B$2:$B1000) = LOWER($A338))"),"2.65")</f>
        <v>2.65</v>
      </c>
      <c r="N338" s="0" t="e">
        <f aca="false">IFERROR(IF(AND(NOT(K338 = ""), G338 &gt;= 15),K338/M338, ""))</f>
        <v>#VALUE!</v>
      </c>
    </row>
    <row r="339" customFormat="false" ht="15.75" hidden="false" customHeight="false" outlineLevel="0" collapsed="false">
      <c r="A339" s="8" t="s">
        <v>559</v>
      </c>
      <c r="B339" s="8" t="n">
        <v>132</v>
      </c>
      <c r="C339" s="8" t="n">
        <v>33</v>
      </c>
      <c r="D339" s="8" t="n">
        <v>83.68</v>
      </c>
      <c r="E339" s="8" t="n">
        <v>1.48</v>
      </c>
      <c r="F339" s="8" t="n">
        <v>400</v>
      </c>
      <c r="G339" s="0" t="str">
        <f aca="false">IFERROR(__xludf.dummyfunction("ROUND(B339/ FILTER('Pokemon CP/HP'!$M$2:$M1000, LOWER('Pokemon CP/HP'!$B$2:$B1000)=LOWER(A339)))"),"5")</f>
        <v>5</v>
      </c>
      <c r="H339" s="0" t="str">
        <f aca="false">IFERROR(__xludf.dummyfunction("FILTER('Leveling Info'!$B$2:$B1000, 'Leveling Info'!$A$2:$A1000 =G339)"),"400")</f>
        <v>400</v>
      </c>
      <c r="I339" s="14" t="n">
        <f aca="false">SQRT(G339)</f>
        <v>2.23606797749979</v>
      </c>
      <c r="J339" s="14" t="str">
        <f aca="false">IFERROR(__xludf.dummyfunction("IF(F339 = H339,C339/FILTER('Base Stats'!$C$2:$C1000, LOWER('Base Stats'!$B$2:$B1000) = LOWER($A339)), """")"),"0.44")</f>
        <v>0.44</v>
      </c>
      <c r="K339" s="0" t="str">
        <f aca="false">IF(F339 = H339, C339/G339, "")</f>
        <v/>
      </c>
      <c r="L339" s="0" t="str">
        <f aca="false">IFERROR(__xludf.dummyfunction("IF(AND(NOT(K339 = """"), G339 &gt;= 15),K339/FILTER('Base Stats'!$C$2:$C1000, LOWER('Base Stats'!$B$2:$B1000) = LOWER($A339)), """")"),"")</f>
        <v/>
      </c>
      <c r="M339" s="0" t="str">
        <f aca="false">IFERROR(__xludf.dummyfunction("1.15 + 0.02 * FILTER('Base Stats'!$C$2:$C1000, LOWER('Base Stats'!$B$2:$B1000) = LOWER($A339))"),"2.65")</f>
        <v>2.65</v>
      </c>
      <c r="N339" s="0" t="e">
        <f aca="false">IFERROR(IF(AND(NOT(K339 = ""), G339 &gt;= 15),K339/M339, ""))</f>
        <v>#VALUE!</v>
      </c>
    </row>
    <row r="340" customFormat="false" ht="15.75" hidden="false" customHeight="false" outlineLevel="0" collapsed="false">
      <c r="A340" s="8" t="s">
        <v>560</v>
      </c>
      <c r="B340" s="8" t="n">
        <v>119</v>
      </c>
      <c r="C340" s="8" t="n">
        <v>29</v>
      </c>
      <c r="D340" s="8" t="n">
        <v>10.28</v>
      </c>
      <c r="E340" s="8" t="n">
        <v>0.9</v>
      </c>
      <c r="F340" s="8" t="n">
        <v>2200</v>
      </c>
      <c r="G340" s="0" t="str">
        <f aca="false">IFERROR(__xludf.dummyfunction("ROUND(B340/ FILTER('Pokemon CP/HP'!$M$2:$M1000, LOWER('Pokemon CP/HP'!$B$2:$B1000)=LOWER(A340)))"),"36")</f>
        <v>36</v>
      </c>
      <c r="H340" s="0" t="str">
        <f aca="false">IFERROR(__xludf.dummyfunction("FILTER('Leveling Info'!$B$2:$B1000, 'Leveling Info'!$A$2:$A1000 =G340)"),"2200")</f>
        <v>2200</v>
      </c>
      <c r="I340" s="14" t="n">
        <f aca="false">SQRT(G340)</f>
        <v>6</v>
      </c>
      <c r="J340" s="14" t="str">
        <f aca="false">IFERROR(__xludf.dummyfunction("IF(F340 = H340,C340/FILTER('Base Stats'!$C$2:$C1000, LOWER('Base Stats'!$B$2:$B1000) = LOWER($A340)), """")"),"1.45")</f>
        <v>1.45</v>
      </c>
      <c r="K340" s="0" t="str">
        <f aca="false">IF(F340 = H340, C340/G340, "")</f>
        <v/>
      </c>
      <c r="L340" s="0" t="str">
        <f aca="false">IFERROR(__xludf.dummyfunction("IF(AND(NOT(K340 = """"), G340 &gt;= 15),K340/FILTER('Base Stats'!$C$2:$C1000, LOWER('Base Stats'!$B$2:$B1000) = LOWER($A340)), """")"),"0.04027777778")</f>
        <v>0.04027777778</v>
      </c>
      <c r="M340" s="0" t="str">
        <f aca="false">IFERROR(__xludf.dummyfunction("1.15 + 0.02 * FILTER('Base Stats'!$C$2:$C1000, LOWER('Base Stats'!$B$2:$B1000) = LOWER($A340))"),"1.55")</f>
        <v>1.55</v>
      </c>
      <c r="N340" s="0" t="e">
        <f aca="false">IFERROR(IF(AND(NOT(K340 = ""), G340 &gt;= 15),K340/M340, ""))</f>
        <v>#VALUE!</v>
      </c>
    </row>
    <row r="341" customFormat="false" ht="15.75" hidden="false" customHeight="false" outlineLevel="0" collapsed="false">
      <c r="A341" s="8" t="s">
        <v>560</v>
      </c>
      <c r="B341" s="8" t="n">
        <v>52</v>
      </c>
      <c r="C341" s="8" t="n">
        <v>17</v>
      </c>
      <c r="D341" s="8" t="n">
        <v>10.78</v>
      </c>
      <c r="E341" s="8" t="n">
        <v>0.98</v>
      </c>
      <c r="F341" s="8" t="n">
        <v>800</v>
      </c>
      <c r="G341" s="0" t="str">
        <f aca="false">IFERROR(__xludf.dummyfunction("ROUND(B341/ FILTER('Pokemon CP/HP'!$M$2:$M1000, LOWER('Pokemon CP/HP'!$B$2:$B1000)=LOWER(A341)))"),"16")</f>
        <v>16</v>
      </c>
      <c r="H341" s="0" t="str">
        <f aca="false">IFERROR(__xludf.dummyfunction("FILTER('Leveling Info'!$B$2:$B1000, 'Leveling Info'!$A$2:$A1000 =G341)"),"800")</f>
        <v>800</v>
      </c>
      <c r="I341" s="14" t="n">
        <f aca="false">SQRT(G341)</f>
        <v>4</v>
      </c>
      <c r="J341" s="14" t="str">
        <f aca="false">IFERROR(__xludf.dummyfunction("IF(F341 = H341,C341/FILTER('Base Stats'!$C$2:$C1000, LOWER('Base Stats'!$B$2:$B1000) = LOWER($A341)), """")"),"0.85")</f>
        <v>0.85</v>
      </c>
      <c r="K341" s="0" t="str">
        <f aca="false">IF(F341 = H341, C341/G341, "")</f>
        <v/>
      </c>
      <c r="L341" s="0" t="str">
        <f aca="false">IFERROR(__xludf.dummyfunction("IF(AND(NOT(K341 = """"), G341 &gt;= 15),K341/FILTER('Base Stats'!$C$2:$C1000, LOWER('Base Stats'!$B$2:$B1000) = LOWER($A341)), """")"),"0.053125")</f>
        <v>0.053125</v>
      </c>
      <c r="M341" s="0" t="str">
        <f aca="false">IFERROR(__xludf.dummyfunction("1.15 + 0.02 * FILTER('Base Stats'!$C$2:$C1000, LOWER('Base Stats'!$B$2:$B1000) = LOWER($A341))"),"1.55")</f>
        <v>1.55</v>
      </c>
      <c r="N341" s="0" t="e">
        <f aca="false">IFERROR(IF(AND(NOT(K341 = ""), G341 &gt;= 15),K341/M341, ""))</f>
        <v>#VALUE!</v>
      </c>
    </row>
    <row r="342" customFormat="false" ht="15.75" hidden="false" customHeight="false" outlineLevel="0" collapsed="false">
      <c r="A342" s="8" t="s">
        <v>560</v>
      </c>
      <c r="B342" s="8" t="n">
        <v>44</v>
      </c>
      <c r="C342" s="8" t="n">
        <v>18</v>
      </c>
      <c r="D342" s="8" t="n">
        <v>13.99</v>
      </c>
      <c r="E342" s="8" t="n">
        <v>1.1</v>
      </c>
      <c r="F342" s="8" t="n">
        <v>800</v>
      </c>
      <c r="G342" s="0" t="str">
        <f aca="false">IFERROR(__xludf.dummyfunction("ROUND(B342/ FILTER('Pokemon CP/HP'!$M$2:$M1000, LOWER('Pokemon CP/HP'!$B$2:$B1000)=LOWER(A342)))"),"13")</f>
        <v>13</v>
      </c>
      <c r="H342" s="0" t="str">
        <f aca="false">IFERROR(__xludf.dummyfunction("FILTER('Leveling Info'!$B$2:$B1000, 'Leveling Info'!$A$2:$A1000 =G342)"),"800")</f>
        <v>800</v>
      </c>
      <c r="I342" s="14" t="n">
        <f aca="false">SQRT(G342)</f>
        <v>3.60555127546399</v>
      </c>
      <c r="J342" s="14" t="str">
        <f aca="false">IFERROR(__xludf.dummyfunction("IF(F342 = H342,C342/FILTER('Base Stats'!$C$2:$C1000, LOWER('Base Stats'!$B$2:$B1000) = LOWER($A342)), """")"),"0.9")</f>
        <v>0.9</v>
      </c>
      <c r="K342" s="0" t="str">
        <f aca="false">IF(F342 = H342, C342/G342, "")</f>
        <v/>
      </c>
      <c r="L342" s="0" t="str">
        <f aca="false">IFERROR(__xludf.dummyfunction("IF(AND(NOT(K342 = """"), G342 &gt;= 15),K342/FILTER('Base Stats'!$C$2:$C1000, LOWER('Base Stats'!$B$2:$B1000) = LOWER($A342)), """")"),"")</f>
        <v/>
      </c>
      <c r="M342" s="0" t="str">
        <f aca="false">IFERROR(__xludf.dummyfunction("1.15 + 0.02 * FILTER('Base Stats'!$C$2:$C1000, LOWER('Base Stats'!$B$2:$B1000) = LOWER($A342))"),"1.55")</f>
        <v>1.55</v>
      </c>
      <c r="N342" s="0" t="e">
        <f aca="false">IFERROR(IF(AND(NOT(K342 = ""), G342 &gt;= 15),K342/M342, ""))</f>
        <v>#VALUE!</v>
      </c>
    </row>
    <row r="343" customFormat="false" ht="15.75" hidden="false" customHeight="false" outlineLevel="0" collapsed="false">
      <c r="A343" s="8" t="s">
        <v>561</v>
      </c>
      <c r="B343" s="8" t="n">
        <v>469</v>
      </c>
      <c r="C343" s="8" t="n">
        <v>66</v>
      </c>
      <c r="D343" s="8" t="n">
        <v>8.56</v>
      </c>
      <c r="E343" s="8" t="n">
        <v>0.33</v>
      </c>
      <c r="F343" s="8" t="n">
        <v>1900</v>
      </c>
      <c r="G343" s="0" t="str">
        <f aca="false">IFERROR(__xludf.dummyfunction("ROUND(B343/ FILTER('Pokemon CP/HP'!$M$2:$M1000, LOWER('Pokemon CP/HP'!$B$2:$B1000)=LOWER(A343)))"),"29")</f>
        <v>29</v>
      </c>
      <c r="H343" s="0" t="str">
        <f aca="false">IFERROR(__xludf.dummyfunction("FILTER('Leveling Info'!$B$2:$B1000, 'Leveling Info'!$A$2:$A1000 =G343)"),"1900")</f>
        <v>1900</v>
      </c>
      <c r="I343" s="14" t="n">
        <f aca="false">SQRT(G343)</f>
        <v>5.3851648071345</v>
      </c>
      <c r="J343" s="14" t="str">
        <f aca="false">IFERROR(__xludf.dummyfunction("IF(F343 = H343,C343/FILTER('Base Stats'!$C$2:$C1000, LOWER('Base Stats'!$B$2:$B1000) = LOWER($A343)), """")"),"1.2")</f>
        <v>1.2</v>
      </c>
      <c r="K343" s="0" t="str">
        <f aca="false">IF(F343 = H343, C343/G343, "")</f>
        <v/>
      </c>
      <c r="L343" s="0" t="str">
        <f aca="false">IFERROR(__xludf.dummyfunction("IF(AND(NOT(K343 = """"), G343 &gt;= 15),K343/FILTER('Base Stats'!$C$2:$C1000, LOWER('Base Stats'!$B$2:$B1000) = LOWER($A343)), """")"),"0.04137931034")</f>
        <v>0.04137931034</v>
      </c>
      <c r="M343" s="0" t="str">
        <f aca="false">IFERROR(__xludf.dummyfunction("1.15 + 0.02 * FILTER('Base Stats'!$C$2:$C1000, LOWER('Base Stats'!$B$2:$B1000) = LOWER($A343))"),"2.25")</f>
        <v>2.25</v>
      </c>
      <c r="N343" s="0" t="e">
        <f aca="false">IFERROR(IF(AND(NOT(K343 = ""), G343 &gt;= 15),K343/M343, ""))</f>
        <v>#VALUE!</v>
      </c>
    </row>
    <row r="344" customFormat="false" ht="15.75" hidden="false" customHeight="false" outlineLevel="0" collapsed="false">
      <c r="A344" s="8" t="s">
        <v>561</v>
      </c>
      <c r="B344" s="8" t="n">
        <v>469</v>
      </c>
      <c r="C344" s="8" t="n">
        <v>65</v>
      </c>
      <c r="D344" s="8" t="n">
        <v>7.28</v>
      </c>
      <c r="E344" s="8" t="n">
        <v>0.31</v>
      </c>
      <c r="F344" s="8" t="n">
        <v>1900</v>
      </c>
      <c r="G344" s="0" t="str">
        <f aca="false">IFERROR(__xludf.dummyfunction("ROUND(B344/ FILTER('Pokemon CP/HP'!$M$2:$M1000, LOWER('Pokemon CP/HP'!$B$2:$B1000)=LOWER(A344)))"),"29")</f>
        <v>29</v>
      </c>
      <c r="H344" s="0" t="str">
        <f aca="false">IFERROR(__xludf.dummyfunction("FILTER('Leveling Info'!$B$2:$B1000, 'Leveling Info'!$A$2:$A1000 =G344)"),"1900")</f>
        <v>1900</v>
      </c>
      <c r="I344" s="14" t="n">
        <f aca="false">SQRT(G344)</f>
        <v>5.3851648071345</v>
      </c>
      <c r="J344" s="14" t="str">
        <f aca="false">IFERROR(__xludf.dummyfunction("IF(F344 = H344,C344/FILTER('Base Stats'!$C$2:$C1000, LOWER('Base Stats'!$B$2:$B1000) = LOWER($A344)), """")"),"1.181818182")</f>
        <v>1.181818182</v>
      </c>
      <c r="K344" s="0" t="str">
        <f aca="false">IF(F344 = H344, C344/G344, "")</f>
        <v/>
      </c>
      <c r="L344" s="0" t="str">
        <f aca="false">IFERROR(__xludf.dummyfunction("IF(AND(NOT(K344 = """"), G344 &gt;= 15),K344/FILTER('Base Stats'!$C$2:$C1000, LOWER('Base Stats'!$B$2:$B1000) = LOWER($A344)), """")"),"0.0407523511")</f>
        <v>0.0407523511</v>
      </c>
      <c r="M344" s="0" t="str">
        <f aca="false">IFERROR(__xludf.dummyfunction("1.15 + 0.02 * FILTER('Base Stats'!$C$2:$C1000, LOWER('Base Stats'!$B$2:$B1000) = LOWER($A344))"),"2.25")</f>
        <v>2.25</v>
      </c>
      <c r="N344" s="0" t="e">
        <f aca="false">IFERROR(IF(AND(NOT(K344 = ""), G344 &gt;= 15),K344/M344, ""))</f>
        <v>#VALUE!</v>
      </c>
    </row>
    <row r="345" customFormat="false" ht="15.75" hidden="false" customHeight="false" outlineLevel="0" collapsed="false">
      <c r="A345" s="8" t="s">
        <v>561</v>
      </c>
      <c r="B345" s="8" t="n">
        <v>363</v>
      </c>
      <c r="C345" s="8" t="n">
        <v>56</v>
      </c>
      <c r="D345" s="8" t="n">
        <v>6.2</v>
      </c>
      <c r="E345" s="8" t="n">
        <v>0.3</v>
      </c>
      <c r="F345" s="8" t="n">
        <v>1300</v>
      </c>
      <c r="G345" s="0" t="str">
        <f aca="false">IFERROR(__xludf.dummyfunction("ROUND(B345/ FILTER('Pokemon CP/HP'!$M$2:$M1000, LOWER('Pokemon CP/HP'!$B$2:$B1000)=LOWER(A345)))"),"23")</f>
        <v>23</v>
      </c>
      <c r="H345" s="0" t="str">
        <f aca="false">IFERROR(__xludf.dummyfunction("FILTER('Leveling Info'!$B$2:$B1000, 'Leveling Info'!$A$2:$A1000 =G345)"),"1300")</f>
        <v>1300</v>
      </c>
      <c r="I345" s="14" t="n">
        <f aca="false">SQRT(G345)</f>
        <v>4.79583152331272</v>
      </c>
      <c r="J345" s="14" t="str">
        <f aca="false">IFERROR(__xludf.dummyfunction("IF(F345 = H345,C345/FILTER('Base Stats'!$C$2:$C1000, LOWER('Base Stats'!$B$2:$B1000) = LOWER($A345)), """")"),"1.018181818")</f>
        <v>1.018181818</v>
      </c>
      <c r="K345" s="0" t="str">
        <f aca="false">IF(F345 = H345, C345/G345, "")</f>
        <v/>
      </c>
      <c r="L345" s="0" t="str">
        <f aca="false">IFERROR(__xludf.dummyfunction("IF(AND(NOT(K345 = """"), G345 &gt;= 15),K345/FILTER('Base Stats'!$C$2:$C1000, LOWER('Base Stats'!$B$2:$B1000) = LOWER($A345)), """")"),"0.0442687747")</f>
        <v>0.0442687747</v>
      </c>
      <c r="M345" s="0" t="str">
        <f aca="false">IFERROR(__xludf.dummyfunction("1.15 + 0.02 * FILTER('Base Stats'!$C$2:$C1000, LOWER('Base Stats'!$B$2:$B1000) = LOWER($A345))"),"2.25")</f>
        <v>2.25</v>
      </c>
      <c r="N345" s="0" t="e">
        <f aca="false">IFERROR(IF(AND(NOT(K345 = ""), G345 &gt;= 15),K345/M345, ""))</f>
        <v>#VALUE!</v>
      </c>
    </row>
    <row r="346" customFormat="false" ht="15.75" hidden="false" customHeight="false" outlineLevel="0" collapsed="false">
      <c r="A346" s="8" t="s">
        <v>561</v>
      </c>
      <c r="B346" s="8" t="n">
        <v>335</v>
      </c>
      <c r="C346" s="8" t="n">
        <v>52</v>
      </c>
      <c r="D346" s="8" t="n">
        <v>4.98</v>
      </c>
      <c r="E346" s="8" t="n">
        <v>0.28</v>
      </c>
      <c r="F346" s="8" t="n">
        <v>1300</v>
      </c>
      <c r="G346" s="0" t="str">
        <f aca="false">IFERROR(__xludf.dummyfunction("ROUND(B346/ FILTER('Pokemon CP/HP'!$M$2:$M1000, LOWER('Pokemon CP/HP'!$B$2:$B1000)=LOWER(A346)))"),"21")</f>
        <v>21</v>
      </c>
      <c r="H346" s="0" t="str">
        <f aca="false">IFERROR(__xludf.dummyfunction("FILTER('Leveling Info'!$B$2:$B1000, 'Leveling Info'!$A$2:$A1000 =G346)"),"1300")</f>
        <v>1300</v>
      </c>
      <c r="I346" s="14" t="n">
        <f aca="false">SQRT(G346)</f>
        <v>4.58257569495584</v>
      </c>
      <c r="J346" s="14" t="str">
        <f aca="false">IFERROR(__xludf.dummyfunction("IF(F346 = H346,C346/FILTER('Base Stats'!$C$2:$C1000, LOWER('Base Stats'!$B$2:$B1000) = LOWER($A346)), """")"),"0.9454545455")</f>
        <v>0.9454545455</v>
      </c>
      <c r="K346" s="0" t="str">
        <f aca="false">IF(F346 = H346, C346/G346, "")</f>
        <v/>
      </c>
      <c r="L346" s="0" t="str">
        <f aca="false">IFERROR(__xludf.dummyfunction("IF(AND(NOT(K346 = """"), G346 &gt;= 15),K346/FILTER('Base Stats'!$C$2:$C1000, LOWER('Base Stats'!$B$2:$B1000) = LOWER($A346)), """")"),"0.04502164502")</f>
        <v>0.04502164502</v>
      </c>
      <c r="M346" s="0" t="str">
        <f aca="false">IFERROR(__xludf.dummyfunction("1.15 + 0.02 * FILTER('Base Stats'!$C$2:$C1000, LOWER('Base Stats'!$B$2:$B1000) = LOWER($A346))"),"2.25")</f>
        <v>2.25</v>
      </c>
      <c r="N346" s="0" t="e">
        <f aca="false">IFERROR(IF(AND(NOT(K346 = ""), G346 &gt;= 15),K346/M346, ""))</f>
        <v>#VALUE!</v>
      </c>
    </row>
    <row r="347" customFormat="false" ht="15.75" hidden="false" customHeight="false" outlineLevel="0" collapsed="false">
      <c r="A347" s="8" t="s">
        <v>561</v>
      </c>
      <c r="B347" s="8" t="n">
        <v>332</v>
      </c>
      <c r="C347" s="8" t="n">
        <v>53</v>
      </c>
      <c r="D347" s="8" t="n">
        <v>5.6</v>
      </c>
      <c r="E347" s="8" t="n">
        <v>0.27</v>
      </c>
      <c r="F347" s="8" t="n">
        <v>1300</v>
      </c>
      <c r="G347" s="0" t="str">
        <f aca="false">IFERROR(__xludf.dummyfunction("ROUND(B347/ FILTER('Pokemon CP/HP'!$M$2:$M1000, LOWER('Pokemon CP/HP'!$B$2:$B1000)=LOWER(A347)))"),"21")</f>
        <v>21</v>
      </c>
      <c r="H347" s="0" t="str">
        <f aca="false">IFERROR(__xludf.dummyfunction("FILTER('Leveling Info'!$B$2:$B1000, 'Leveling Info'!$A$2:$A1000 =G347)"),"1300")</f>
        <v>1300</v>
      </c>
      <c r="I347" s="14" t="n">
        <f aca="false">SQRT(G347)</f>
        <v>4.58257569495584</v>
      </c>
      <c r="J347" s="14" t="str">
        <f aca="false">IFERROR(__xludf.dummyfunction("IF(F347 = H347,C347/FILTER('Base Stats'!$C$2:$C1000, LOWER('Base Stats'!$B$2:$B1000) = LOWER($A347)), """")"),"0.9636363636")</f>
        <v>0.9636363636</v>
      </c>
      <c r="K347" s="0" t="str">
        <f aca="false">IF(F347 = H347, C347/G347, "")</f>
        <v/>
      </c>
      <c r="L347" s="0" t="str">
        <f aca="false">IFERROR(__xludf.dummyfunction("IF(AND(NOT(K347 = """"), G347 &gt;= 15),K347/FILTER('Base Stats'!$C$2:$C1000, LOWER('Base Stats'!$B$2:$B1000) = LOWER($A347)), """")"),"0.04588744589")</f>
        <v>0.04588744589</v>
      </c>
      <c r="M347" s="0" t="str">
        <f aca="false">IFERROR(__xludf.dummyfunction("1.15 + 0.02 * FILTER('Base Stats'!$C$2:$C1000, LOWER('Base Stats'!$B$2:$B1000) = LOWER($A347))"),"2.25")</f>
        <v>2.25</v>
      </c>
      <c r="N347" s="0" t="e">
        <f aca="false">IFERROR(IF(AND(NOT(K347 = ""), G347 &gt;= 15),K347/M347, ""))</f>
        <v>#VALUE!</v>
      </c>
    </row>
    <row r="348" customFormat="false" ht="15.75" hidden="false" customHeight="false" outlineLevel="0" collapsed="false">
      <c r="A348" s="8" t="s">
        <v>561</v>
      </c>
      <c r="B348" s="8" t="n">
        <v>308</v>
      </c>
      <c r="C348" s="8" t="n">
        <v>49</v>
      </c>
      <c r="D348" s="8" t="n">
        <v>7.03</v>
      </c>
      <c r="E348" s="8" t="n">
        <v>0.32</v>
      </c>
      <c r="F348" s="8" t="n">
        <v>1300</v>
      </c>
      <c r="G348" s="0" t="str">
        <f aca="false">IFERROR(__xludf.dummyfunction("ROUND(B348/ FILTER('Pokemon CP/HP'!$M$2:$M1000, LOWER('Pokemon CP/HP'!$B$2:$B1000)=LOWER(A348)))"),"19")</f>
        <v>19</v>
      </c>
      <c r="H348" s="0" t="str">
        <f aca="false">IFERROR(__xludf.dummyfunction("FILTER('Leveling Info'!$B$2:$B1000, 'Leveling Info'!$A$2:$A1000 =G348)"),"1000")</f>
        <v>1000</v>
      </c>
      <c r="I348" s="14" t="n">
        <f aca="false">SQRT(G348)</f>
        <v>4.35889894354067</v>
      </c>
      <c r="J348" s="14" t="str">
        <f aca="false">IFERROR(__xludf.dummyfunction("IF(F348 = H348,C348/FILTER('Base Stats'!$C$2:$C1000, LOWER('Base Stats'!$B$2:$B1000) = LOWER($A348)), """")"),"")</f>
        <v/>
      </c>
      <c r="K348" s="0" t="str">
        <f aca="false">IF(F348 = H348, C348/G348, "")</f>
        <v/>
      </c>
      <c r="L348" s="0" t="str">
        <f aca="false">IFERROR(__xludf.dummyfunction("IF(AND(NOT(K348 = """"), G348 &gt;= 15),K348/FILTER('Base Stats'!$C$2:$C1000, LOWER('Base Stats'!$B$2:$B1000) = LOWER($A348)), """")"),"")</f>
        <v/>
      </c>
      <c r="M348" s="0" t="str">
        <f aca="false">IFERROR(__xludf.dummyfunction("1.15 + 0.02 * FILTER('Base Stats'!$C$2:$C1000, LOWER('Base Stats'!$B$2:$B1000) = LOWER($A348))"),"2.25")</f>
        <v>2.25</v>
      </c>
      <c r="N348" s="0" t="e">
        <f aca="false">IFERROR(IF(AND(NOT(K348 = ""), G348 &gt;= 15),K348/M348, ""))</f>
        <v>#VALUE!</v>
      </c>
    </row>
    <row r="349" customFormat="false" ht="15.75" hidden="false" customHeight="false" outlineLevel="0" collapsed="false">
      <c r="A349" s="8" t="s">
        <v>561</v>
      </c>
      <c r="B349" s="8" t="n">
        <v>299</v>
      </c>
      <c r="C349" s="8" t="n">
        <v>55</v>
      </c>
      <c r="D349" s="8" t="n">
        <v>7.71</v>
      </c>
      <c r="E349" s="8" t="n">
        <v>0.33</v>
      </c>
      <c r="F349" s="8" t="n">
        <v>1300</v>
      </c>
      <c r="G349" s="0" t="str">
        <f aca="false">IFERROR(__xludf.dummyfunction("ROUND(B349/ FILTER('Pokemon CP/HP'!$M$2:$M1000, LOWER('Pokemon CP/HP'!$B$2:$B1000)=LOWER(A349)))"),"19")</f>
        <v>19</v>
      </c>
      <c r="H349" s="0" t="str">
        <f aca="false">IFERROR(__xludf.dummyfunction("FILTER('Leveling Info'!$B$2:$B1000, 'Leveling Info'!$A$2:$A1000 =G349)"),"1000")</f>
        <v>1000</v>
      </c>
      <c r="I349" s="14" t="n">
        <f aca="false">SQRT(G349)</f>
        <v>4.35889894354067</v>
      </c>
      <c r="J349" s="14" t="str">
        <f aca="false">IFERROR(__xludf.dummyfunction("IF(F349 = H349,C349/FILTER('Base Stats'!$C$2:$C1000, LOWER('Base Stats'!$B$2:$B1000) = LOWER($A349)), """")"),"")</f>
        <v/>
      </c>
      <c r="K349" s="0" t="str">
        <f aca="false">IF(F349 = H349, C349/G349, "")</f>
        <v/>
      </c>
      <c r="L349" s="0" t="str">
        <f aca="false">IFERROR(__xludf.dummyfunction("IF(AND(NOT(K349 = """"), G349 &gt;= 15),K349/FILTER('Base Stats'!$C$2:$C1000, LOWER('Base Stats'!$B$2:$B1000) = LOWER($A349)), """")"),"")</f>
        <v/>
      </c>
      <c r="M349" s="0" t="str">
        <f aca="false">IFERROR(__xludf.dummyfunction("1.15 + 0.02 * FILTER('Base Stats'!$C$2:$C1000, LOWER('Base Stats'!$B$2:$B1000) = LOWER($A349))"),"2.25")</f>
        <v>2.25</v>
      </c>
      <c r="N349" s="0" t="e">
        <f aca="false">IFERROR(IF(AND(NOT(K349 = ""), G349 &gt;= 15),K349/M349, ""))</f>
        <v>#VALUE!</v>
      </c>
    </row>
    <row r="350" customFormat="false" ht="15.75" hidden="false" customHeight="false" outlineLevel="0" collapsed="false">
      <c r="A350" s="8" t="s">
        <v>561</v>
      </c>
      <c r="B350" s="8" t="n">
        <v>243</v>
      </c>
      <c r="C350" s="8" t="n">
        <v>49</v>
      </c>
      <c r="D350" s="8" t="n">
        <v>7.71</v>
      </c>
      <c r="E350" s="8" t="n">
        <v>0.33</v>
      </c>
      <c r="F350" s="8" t="n">
        <v>1000</v>
      </c>
      <c r="G350" s="0" t="str">
        <f aca="false">IFERROR(__xludf.dummyfunction("ROUND(B350/ FILTER('Pokemon CP/HP'!$M$2:$M1000, LOWER('Pokemon CP/HP'!$B$2:$B1000)=LOWER(A350)))"),"15")</f>
        <v>15</v>
      </c>
      <c r="H350" s="0" t="str">
        <f aca="false">IFERROR(__xludf.dummyfunction("FILTER('Leveling Info'!$B$2:$B1000, 'Leveling Info'!$A$2:$A1000 =G350)"),"800")</f>
        <v>800</v>
      </c>
      <c r="I350" s="14" t="n">
        <f aca="false">SQRT(G350)</f>
        <v>3.87298334620742</v>
      </c>
      <c r="J350" s="14" t="str">
        <f aca="false">IFERROR(__xludf.dummyfunction("IF(F350 = H350,C350/FILTER('Base Stats'!$C$2:$C1000, LOWER('Base Stats'!$B$2:$B1000) = LOWER($A350)), """")"),"")</f>
        <v/>
      </c>
      <c r="K350" s="0" t="str">
        <f aca="false">IF(F350 = H350, C350/G350, "")</f>
        <v/>
      </c>
      <c r="L350" s="0" t="str">
        <f aca="false">IFERROR(__xludf.dummyfunction("IF(AND(NOT(K350 = """"), G350 &gt;= 15),K350/FILTER('Base Stats'!$C$2:$C1000, LOWER('Base Stats'!$B$2:$B1000) = LOWER($A350)), """")"),"")</f>
        <v/>
      </c>
      <c r="M350" s="0" t="str">
        <f aca="false">IFERROR(__xludf.dummyfunction("1.15 + 0.02 * FILTER('Base Stats'!$C$2:$C1000, LOWER('Base Stats'!$B$2:$B1000) = LOWER($A350))"),"2.25")</f>
        <v>2.25</v>
      </c>
      <c r="N350" s="0" t="e">
        <f aca="false">IFERROR(IF(AND(NOT(K350 = ""), G350 &gt;= 15),K350/M350, ""))</f>
        <v>#VALUE!</v>
      </c>
    </row>
    <row r="351" customFormat="false" ht="15.75" hidden="false" customHeight="false" outlineLevel="0" collapsed="false">
      <c r="A351" s="8" t="s">
        <v>561</v>
      </c>
      <c r="B351" s="8" t="n">
        <v>205</v>
      </c>
      <c r="C351" s="8" t="n">
        <v>42</v>
      </c>
      <c r="D351" s="8" t="n">
        <v>8.04</v>
      </c>
      <c r="E351" s="8" t="n">
        <v>0.36</v>
      </c>
      <c r="F351" s="8" t="n">
        <v>800</v>
      </c>
      <c r="G351" s="0" t="str">
        <f aca="false">IFERROR(__xludf.dummyfunction("ROUND(B351/ FILTER('Pokemon CP/HP'!$M$2:$M1000, LOWER('Pokemon CP/HP'!$B$2:$B1000)=LOWER(A351)))"),"13")</f>
        <v>13</v>
      </c>
      <c r="H351" s="0" t="str">
        <f aca="false">IFERROR(__xludf.dummyfunction("FILTER('Leveling Info'!$B$2:$B1000, 'Leveling Info'!$A$2:$A1000 =G351)"),"800")</f>
        <v>800</v>
      </c>
      <c r="I351" s="14" t="n">
        <f aca="false">SQRT(G351)</f>
        <v>3.60555127546399</v>
      </c>
      <c r="J351" s="14" t="str">
        <f aca="false">IFERROR(__xludf.dummyfunction("IF(F351 = H351,C351/FILTER('Base Stats'!$C$2:$C1000, LOWER('Base Stats'!$B$2:$B1000) = LOWER($A351)), """")"),"0.7636363636")</f>
        <v>0.7636363636</v>
      </c>
      <c r="K351" s="0" t="str">
        <f aca="false">IF(F351 = H351, C351/G351, "")</f>
        <v/>
      </c>
      <c r="L351" s="0" t="str">
        <f aca="false">IFERROR(__xludf.dummyfunction("IF(AND(NOT(K351 = """"), G351 &gt;= 15),K351/FILTER('Base Stats'!$C$2:$C1000, LOWER('Base Stats'!$B$2:$B1000) = LOWER($A351)), """")"),"")</f>
        <v/>
      </c>
      <c r="M351" s="0" t="str">
        <f aca="false">IFERROR(__xludf.dummyfunction("1.15 + 0.02 * FILTER('Base Stats'!$C$2:$C1000, LOWER('Base Stats'!$B$2:$B1000) = LOWER($A351))"),"2.25")</f>
        <v>2.25</v>
      </c>
      <c r="N351" s="0" t="e">
        <f aca="false">IFERROR(IF(AND(NOT(K351 = ""), G351 &gt;= 15),K351/M351, ""))</f>
        <v>#VALUE!</v>
      </c>
    </row>
    <row r="352" customFormat="false" ht="15.75" hidden="false" customHeight="false" outlineLevel="0" collapsed="false">
      <c r="A352" s="8" t="s">
        <v>561</v>
      </c>
      <c r="B352" s="8" t="n">
        <v>201</v>
      </c>
      <c r="C352" s="8" t="n">
        <v>43</v>
      </c>
      <c r="D352" s="8" t="n">
        <v>5.7</v>
      </c>
      <c r="E352" s="8" t="n">
        <v>0.27</v>
      </c>
      <c r="F352" s="8" t="n">
        <v>800</v>
      </c>
      <c r="G352" s="0" t="str">
        <f aca="false">IFERROR(__xludf.dummyfunction("ROUND(B352/ FILTER('Pokemon CP/HP'!$M$2:$M1000, LOWER('Pokemon CP/HP'!$B$2:$B1000)=LOWER(A352)))"),"13")</f>
        <v>13</v>
      </c>
      <c r="H352" s="0" t="str">
        <f aca="false">IFERROR(__xludf.dummyfunction("FILTER('Leveling Info'!$B$2:$B1000, 'Leveling Info'!$A$2:$A1000 =G352)"),"800")</f>
        <v>800</v>
      </c>
      <c r="I352" s="14" t="n">
        <f aca="false">SQRT(G352)</f>
        <v>3.60555127546399</v>
      </c>
      <c r="J352" s="14" t="str">
        <f aca="false">IFERROR(__xludf.dummyfunction("IF(F352 = H352,C352/FILTER('Base Stats'!$C$2:$C1000, LOWER('Base Stats'!$B$2:$B1000) = LOWER($A352)), """")"),"0.7818181818")</f>
        <v>0.7818181818</v>
      </c>
      <c r="K352" s="0" t="str">
        <f aca="false">IF(F352 = H352, C352/G352, "")</f>
        <v/>
      </c>
      <c r="L352" s="0" t="str">
        <f aca="false">IFERROR(__xludf.dummyfunction("IF(AND(NOT(K352 = """"), G352 &gt;= 15),K352/FILTER('Base Stats'!$C$2:$C1000, LOWER('Base Stats'!$B$2:$B1000) = LOWER($A352)), """")"),"")</f>
        <v/>
      </c>
      <c r="M352" s="0" t="str">
        <f aca="false">IFERROR(__xludf.dummyfunction("1.15 + 0.02 * FILTER('Base Stats'!$C$2:$C1000, LOWER('Base Stats'!$B$2:$B1000) = LOWER($A352))"),"2.25")</f>
        <v>2.25</v>
      </c>
      <c r="N352" s="0" t="e">
        <f aca="false">IFERROR(IF(AND(NOT(K352 = ""), G352 &gt;= 15),K352/M352, ""))</f>
        <v>#VALUE!</v>
      </c>
    </row>
    <row r="353" customFormat="false" ht="15.75" hidden="false" customHeight="false" outlineLevel="0" collapsed="false">
      <c r="A353" s="8" t="s">
        <v>561</v>
      </c>
      <c r="B353" s="8" t="n">
        <v>197</v>
      </c>
      <c r="C353" s="8" t="n">
        <v>40</v>
      </c>
      <c r="D353" s="8" t="n">
        <v>8.67</v>
      </c>
      <c r="E353" s="8" t="n">
        <v>0.33</v>
      </c>
      <c r="F353" s="8" t="n">
        <v>800</v>
      </c>
      <c r="G353" s="0" t="str">
        <f aca="false">IFERROR(__xludf.dummyfunction("ROUND(B353/ FILTER('Pokemon CP/HP'!$M$2:$M1000, LOWER('Pokemon CP/HP'!$B$2:$B1000)=LOWER(A353)))"),"12")</f>
        <v>12</v>
      </c>
      <c r="H353" s="0" t="str">
        <f aca="false">IFERROR(__xludf.dummyfunction("FILTER('Leveling Info'!$B$2:$B1000, 'Leveling Info'!$A$2:$A1000 =G353)"),"600")</f>
        <v>600</v>
      </c>
      <c r="I353" s="14" t="n">
        <f aca="false">SQRT(G353)</f>
        <v>3.46410161513775</v>
      </c>
      <c r="J353" s="14" t="str">
        <f aca="false">IFERROR(__xludf.dummyfunction("IF(F353 = H353,C353/FILTER('Base Stats'!$C$2:$C1000, LOWER('Base Stats'!$B$2:$B1000) = LOWER($A353)), """")"),"")</f>
        <v/>
      </c>
      <c r="K353" s="0" t="str">
        <f aca="false">IF(F353 = H353, C353/G353, "")</f>
        <v/>
      </c>
      <c r="L353" s="0" t="str">
        <f aca="false">IFERROR(__xludf.dummyfunction("IF(AND(NOT(K353 = """"), G353 &gt;= 15),K353/FILTER('Base Stats'!$C$2:$C1000, LOWER('Base Stats'!$B$2:$B1000) = LOWER($A353)), """")"),"")</f>
        <v/>
      </c>
      <c r="M353" s="0" t="str">
        <f aca="false">IFERROR(__xludf.dummyfunction("1.15 + 0.02 * FILTER('Base Stats'!$C$2:$C1000, LOWER('Base Stats'!$B$2:$B1000) = LOWER($A353))"),"2.25")</f>
        <v>2.25</v>
      </c>
      <c r="N353" s="0" t="e">
        <f aca="false">IFERROR(IF(AND(NOT(K353 = ""), G353 &gt;= 15),K353/M353, ""))</f>
        <v>#VALUE!</v>
      </c>
    </row>
    <row r="354" customFormat="false" ht="15.75" hidden="false" customHeight="false" outlineLevel="0" collapsed="false">
      <c r="A354" s="8" t="s">
        <v>561</v>
      </c>
      <c r="B354" s="8" t="n">
        <v>195</v>
      </c>
      <c r="C354" s="8" t="n">
        <v>40</v>
      </c>
      <c r="D354" s="8" t="n">
        <v>7.23</v>
      </c>
      <c r="E354" s="8" t="n">
        <v>0.31</v>
      </c>
      <c r="F354" s="8" t="n">
        <v>800</v>
      </c>
      <c r="G354" s="0" t="str">
        <f aca="false">IFERROR(__xludf.dummyfunction("ROUND(B354/ FILTER('Pokemon CP/HP'!$M$2:$M1000, LOWER('Pokemon CP/HP'!$B$2:$B1000)=LOWER(A354)))"),"12")</f>
        <v>12</v>
      </c>
      <c r="H354" s="0" t="str">
        <f aca="false">IFERROR(__xludf.dummyfunction("FILTER('Leveling Info'!$B$2:$B1000, 'Leveling Info'!$A$2:$A1000 =G354)"),"600")</f>
        <v>600</v>
      </c>
      <c r="I354" s="14" t="n">
        <f aca="false">SQRT(G354)</f>
        <v>3.46410161513775</v>
      </c>
      <c r="J354" s="14" t="str">
        <f aca="false">IFERROR(__xludf.dummyfunction("IF(F354 = H354,C354/FILTER('Base Stats'!$C$2:$C1000, LOWER('Base Stats'!$B$2:$B1000) = LOWER($A354)), """")"),"")</f>
        <v/>
      </c>
      <c r="K354" s="0" t="str">
        <f aca="false">IF(F354 = H354, C354/G354, "")</f>
        <v/>
      </c>
      <c r="L354" s="0" t="str">
        <f aca="false">IFERROR(__xludf.dummyfunction("IF(AND(NOT(K354 = """"), G354 &gt;= 15),K354/FILTER('Base Stats'!$C$2:$C1000, LOWER('Base Stats'!$B$2:$B1000) = LOWER($A354)), """")"),"")</f>
        <v/>
      </c>
      <c r="M354" s="0" t="str">
        <f aca="false">IFERROR(__xludf.dummyfunction("1.15 + 0.02 * FILTER('Base Stats'!$C$2:$C1000, LOWER('Base Stats'!$B$2:$B1000) = LOWER($A354))"),"2.25")</f>
        <v>2.25</v>
      </c>
      <c r="N354" s="0" t="e">
        <f aca="false">IFERROR(IF(AND(NOT(K354 = ""), G354 &gt;= 15),K354/M354, ""))</f>
        <v>#VALUE!</v>
      </c>
    </row>
    <row r="355" customFormat="false" ht="15.75" hidden="false" customHeight="false" outlineLevel="0" collapsed="false">
      <c r="A355" s="8" t="s">
        <v>561</v>
      </c>
      <c r="B355" s="8" t="n">
        <v>194</v>
      </c>
      <c r="C355" s="8" t="n">
        <v>41</v>
      </c>
      <c r="D355" s="8" t="n">
        <v>9.22</v>
      </c>
      <c r="E355" s="8" t="n">
        <v>0.35</v>
      </c>
      <c r="F355" s="8" t="n">
        <v>800</v>
      </c>
      <c r="G355" s="0" t="str">
        <f aca="false">IFERROR(__xludf.dummyfunction("ROUND(B355/ FILTER('Pokemon CP/HP'!$M$2:$M1000, LOWER('Pokemon CP/HP'!$B$2:$B1000)=LOWER(A355)))"),"12")</f>
        <v>12</v>
      </c>
      <c r="H355" s="0" t="str">
        <f aca="false">IFERROR(__xludf.dummyfunction("FILTER('Leveling Info'!$B$2:$B1000, 'Leveling Info'!$A$2:$A1000 =G355)"),"600")</f>
        <v>600</v>
      </c>
      <c r="I355" s="14" t="n">
        <f aca="false">SQRT(G355)</f>
        <v>3.46410161513775</v>
      </c>
      <c r="J355" s="14" t="str">
        <f aca="false">IFERROR(__xludf.dummyfunction("IF(F355 = H355,C355/FILTER('Base Stats'!$C$2:$C1000, LOWER('Base Stats'!$B$2:$B1000) = LOWER($A355)), """")"),"")</f>
        <v/>
      </c>
      <c r="K355" s="0" t="str">
        <f aca="false">IF(F355 = H355, C355/G355, "")</f>
        <v/>
      </c>
      <c r="L355" s="0" t="str">
        <f aca="false">IFERROR(__xludf.dummyfunction("IF(AND(NOT(K355 = """"), G355 &gt;= 15),K355/FILTER('Base Stats'!$C$2:$C1000, LOWER('Base Stats'!$B$2:$B1000) = LOWER($A355)), """")"),"")</f>
        <v/>
      </c>
      <c r="M355" s="0" t="str">
        <f aca="false">IFERROR(__xludf.dummyfunction("1.15 + 0.02 * FILTER('Base Stats'!$C$2:$C1000, LOWER('Base Stats'!$B$2:$B1000) = LOWER($A355))"),"2.25")</f>
        <v>2.25</v>
      </c>
      <c r="N355" s="0" t="e">
        <f aca="false">IFERROR(IF(AND(NOT(K355 = ""), G355 &gt;= 15),K355/M355, ""))</f>
        <v>#VALUE!</v>
      </c>
    </row>
    <row r="356" customFormat="false" ht="15.75" hidden="false" customHeight="false" outlineLevel="0" collapsed="false">
      <c r="A356" s="8" t="s">
        <v>561</v>
      </c>
      <c r="B356" s="8" t="n">
        <v>188</v>
      </c>
      <c r="C356" s="8" t="n">
        <v>38</v>
      </c>
      <c r="D356" s="8" t="n">
        <v>11.72</v>
      </c>
      <c r="E356" s="8" t="n">
        <v>0.39</v>
      </c>
      <c r="F356" s="8" t="n">
        <v>800</v>
      </c>
      <c r="G356" s="0" t="str">
        <f aca="false">IFERROR(__xludf.dummyfunction("ROUND(B356/ FILTER('Pokemon CP/HP'!$M$2:$M1000, LOWER('Pokemon CP/HP'!$B$2:$B1000)=LOWER(A356)))"),"12")</f>
        <v>12</v>
      </c>
      <c r="H356" s="0" t="str">
        <f aca="false">IFERROR(__xludf.dummyfunction("FILTER('Leveling Info'!$B$2:$B1000, 'Leveling Info'!$A$2:$A1000 =G356)"),"600")</f>
        <v>600</v>
      </c>
      <c r="I356" s="14" t="n">
        <f aca="false">SQRT(G356)</f>
        <v>3.46410161513775</v>
      </c>
      <c r="J356" s="14" t="str">
        <f aca="false">IFERROR(__xludf.dummyfunction("IF(F356 = H356,C356/FILTER('Base Stats'!$C$2:$C1000, LOWER('Base Stats'!$B$2:$B1000) = LOWER($A356)), """")"),"")</f>
        <v/>
      </c>
      <c r="K356" s="0" t="str">
        <f aca="false">IF(F356 = H356, C356/G356, "")</f>
        <v/>
      </c>
      <c r="L356" s="0" t="str">
        <f aca="false">IFERROR(__xludf.dummyfunction("IF(AND(NOT(K356 = """"), G356 &gt;= 15),K356/FILTER('Base Stats'!$C$2:$C1000, LOWER('Base Stats'!$B$2:$B1000) = LOWER($A356)), """")"),"")</f>
        <v/>
      </c>
      <c r="M356" s="0" t="str">
        <f aca="false">IFERROR(__xludf.dummyfunction("1.15 + 0.02 * FILTER('Base Stats'!$C$2:$C1000, LOWER('Base Stats'!$B$2:$B1000) = LOWER($A356))"),"2.25")</f>
        <v>2.25</v>
      </c>
      <c r="N356" s="0" t="e">
        <f aca="false">IFERROR(IF(AND(NOT(K356 = ""), G356 &gt;= 15),K356/M356, ""))</f>
        <v>#VALUE!</v>
      </c>
    </row>
    <row r="357" customFormat="false" ht="15.75" hidden="false" customHeight="false" outlineLevel="0" collapsed="false">
      <c r="A357" s="8" t="s">
        <v>561</v>
      </c>
      <c r="B357" s="8" t="n">
        <v>181</v>
      </c>
      <c r="C357" s="8" t="n">
        <v>39</v>
      </c>
      <c r="D357" s="8" t="n">
        <v>6.66</v>
      </c>
      <c r="E357" s="8" t="n">
        <v>0.28</v>
      </c>
      <c r="F357" s="8" t="n">
        <v>600</v>
      </c>
      <c r="G357" s="0" t="str">
        <f aca="false">IFERROR(__xludf.dummyfunction("ROUND(B357/ FILTER('Pokemon CP/HP'!$M$2:$M1000, LOWER('Pokemon CP/HP'!$B$2:$B1000)=LOWER(A357)))"),"11")</f>
        <v>11</v>
      </c>
      <c r="H357" s="0" t="str">
        <f aca="false">IFERROR(__xludf.dummyfunction("FILTER('Leveling Info'!$B$2:$B1000, 'Leveling Info'!$A$2:$A1000 =G357)"),"600")</f>
        <v>600</v>
      </c>
      <c r="I357" s="14" t="n">
        <f aca="false">SQRT(G357)</f>
        <v>3.3166247903554</v>
      </c>
      <c r="J357" s="14" t="str">
        <f aca="false">IFERROR(__xludf.dummyfunction("IF(F357 = H357,C357/FILTER('Base Stats'!$C$2:$C1000, LOWER('Base Stats'!$B$2:$B1000) = LOWER($A357)), """")"),"0.7090909091")</f>
        <v>0.7090909091</v>
      </c>
      <c r="K357" s="0" t="str">
        <f aca="false">IF(F357 = H357, C357/G357, "")</f>
        <v/>
      </c>
      <c r="L357" s="0" t="str">
        <f aca="false">IFERROR(__xludf.dummyfunction("IF(AND(NOT(K357 = """"), G357 &gt;= 15),K357/FILTER('Base Stats'!$C$2:$C1000, LOWER('Base Stats'!$B$2:$B1000) = LOWER($A357)), """")"),"")</f>
        <v/>
      </c>
      <c r="M357" s="0" t="str">
        <f aca="false">IFERROR(__xludf.dummyfunction("1.15 + 0.02 * FILTER('Base Stats'!$C$2:$C1000, LOWER('Base Stats'!$B$2:$B1000) = LOWER($A357))"),"2.25")</f>
        <v>2.25</v>
      </c>
      <c r="N357" s="0" t="e">
        <f aca="false">IFERROR(IF(AND(NOT(K357 = ""), G357 &gt;= 15),K357/M357, ""))</f>
        <v>#VALUE!</v>
      </c>
    </row>
    <row r="358" customFormat="false" ht="15.75" hidden="false" customHeight="false" outlineLevel="0" collapsed="false">
      <c r="A358" s="8" t="s">
        <v>561</v>
      </c>
      <c r="B358" s="8" t="n">
        <v>159</v>
      </c>
      <c r="C358" s="8" t="n">
        <v>36</v>
      </c>
      <c r="D358" s="8" t="n">
        <v>6.13</v>
      </c>
      <c r="E358" s="8" t="n">
        <v>0.3</v>
      </c>
      <c r="F358" s="8" t="n">
        <v>600</v>
      </c>
      <c r="G358" s="0" t="str">
        <f aca="false">IFERROR(__xludf.dummyfunction("ROUND(B358/ FILTER('Pokemon CP/HP'!$M$2:$M1000, LOWER('Pokemon CP/HP'!$B$2:$B1000)=LOWER(A358)))"),"10")</f>
        <v>10</v>
      </c>
      <c r="H358" s="0" t="str">
        <f aca="false">IFERROR(__xludf.dummyfunction("FILTER('Leveling Info'!$B$2:$B1000, 'Leveling Info'!$A$2:$A1000 =G358)"),"600")</f>
        <v>600</v>
      </c>
      <c r="I358" s="14" t="n">
        <f aca="false">SQRT(G358)</f>
        <v>3.16227766016838</v>
      </c>
      <c r="J358" s="14" t="str">
        <f aca="false">IFERROR(__xludf.dummyfunction("IF(F358 = H358,C358/FILTER('Base Stats'!$C$2:$C1000, LOWER('Base Stats'!$B$2:$B1000) = LOWER($A358)), """")"),"0.6545454545")</f>
        <v>0.6545454545</v>
      </c>
      <c r="K358" s="0" t="str">
        <f aca="false">IF(F358 = H358, C358/G358, "")</f>
        <v/>
      </c>
      <c r="L358" s="0" t="str">
        <f aca="false">IFERROR(__xludf.dummyfunction("IF(AND(NOT(K358 = """"), G358 &gt;= 15),K358/FILTER('Base Stats'!$C$2:$C1000, LOWER('Base Stats'!$B$2:$B1000) = LOWER($A358)), """")"),"")</f>
        <v/>
      </c>
      <c r="M358" s="0" t="str">
        <f aca="false">IFERROR(__xludf.dummyfunction("1.15 + 0.02 * FILTER('Base Stats'!$C$2:$C1000, LOWER('Base Stats'!$B$2:$B1000) = LOWER($A358))"),"2.25")</f>
        <v>2.25</v>
      </c>
      <c r="N358" s="0" t="e">
        <f aca="false">IFERROR(IF(AND(NOT(K358 = ""), G358 &gt;= 15),K358/M358, ""))</f>
        <v>#VALUE!</v>
      </c>
    </row>
    <row r="359" customFormat="false" ht="15.75" hidden="false" customHeight="false" outlineLevel="0" collapsed="false">
      <c r="A359" s="8" t="s">
        <v>561</v>
      </c>
      <c r="B359" s="8" t="n">
        <v>141</v>
      </c>
      <c r="C359" s="8" t="n">
        <v>35</v>
      </c>
      <c r="D359" s="8" t="n">
        <v>3.89</v>
      </c>
      <c r="E359" s="8" t="n">
        <v>0.25</v>
      </c>
      <c r="F359" s="8" t="n">
        <v>600</v>
      </c>
      <c r="G359" s="0" t="str">
        <f aca="false">IFERROR(__xludf.dummyfunction("ROUND(B359/ FILTER('Pokemon CP/HP'!$M$2:$M1000, LOWER('Pokemon CP/HP'!$B$2:$B1000)=LOWER(A359)))"),"9")</f>
        <v>9</v>
      </c>
      <c r="H359" s="0" t="str">
        <f aca="false">IFERROR(__xludf.dummyfunction("FILTER('Leveling Info'!$B$2:$B1000, 'Leveling Info'!$A$2:$A1000 =G359)"),"600")</f>
        <v>600</v>
      </c>
      <c r="I359" s="14" t="n">
        <f aca="false">SQRT(G359)</f>
        <v>3</v>
      </c>
      <c r="J359" s="14" t="str">
        <f aca="false">IFERROR(__xludf.dummyfunction("IF(F359 = H359,C359/FILTER('Base Stats'!$C$2:$C1000, LOWER('Base Stats'!$B$2:$B1000) = LOWER($A359)), """")"),"0.6363636364")</f>
        <v>0.6363636364</v>
      </c>
      <c r="K359" s="0" t="str">
        <f aca="false">IF(F359 = H359, C359/G359, "")</f>
        <v/>
      </c>
      <c r="L359" s="0" t="str">
        <f aca="false">IFERROR(__xludf.dummyfunction("IF(AND(NOT(K359 = """"), G359 &gt;= 15),K359/FILTER('Base Stats'!$C$2:$C1000, LOWER('Base Stats'!$B$2:$B1000) = LOWER($A359)), """")"),"")</f>
        <v/>
      </c>
      <c r="M359" s="0" t="str">
        <f aca="false">IFERROR(__xludf.dummyfunction("1.15 + 0.02 * FILTER('Base Stats'!$C$2:$C1000, LOWER('Base Stats'!$B$2:$B1000) = LOWER($A359))"),"2.25")</f>
        <v>2.25</v>
      </c>
      <c r="N359" s="0" t="e">
        <f aca="false">IFERROR(IF(AND(NOT(K359 = ""), G359 &gt;= 15),K359/M359, ""))</f>
        <v>#VALUE!</v>
      </c>
    </row>
    <row r="360" customFormat="false" ht="15.75" hidden="false" customHeight="false" outlineLevel="0" collapsed="false">
      <c r="A360" s="8" t="s">
        <v>561</v>
      </c>
      <c r="B360" s="8" t="n">
        <v>135</v>
      </c>
      <c r="C360" s="8" t="n">
        <v>36</v>
      </c>
      <c r="D360" s="8" t="n">
        <v>8.35</v>
      </c>
      <c r="E360" s="8" t="n">
        <v>0.32</v>
      </c>
      <c r="F360" s="8" t="n">
        <v>600</v>
      </c>
      <c r="G360" s="0" t="str">
        <f aca="false">IFERROR(__xludf.dummyfunction("ROUND(B360/ FILTER('Pokemon CP/HP'!$M$2:$M1000, LOWER('Pokemon CP/HP'!$B$2:$B1000)=LOWER(A360)))"),"8")</f>
        <v>8</v>
      </c>
      <c r="H360" s="0" t="str">
        <f aca="false">IFERROR(__xludf.dummyfunction("FILTER('Leveling Info'!$B$2:$B1000, 'Leveling Info'!$A$2:$A1000 =G360)"),"400")</f>
        <v>400</v>
      </c>
      <c r="I360" s="14" t="n">
        <f aca="false">SQRT(G360)</f>
        <v>2.82842712474619</v>
      </c>
      <c r="J360" s="14" t="str">
        <f aca="false">IFERROR(__xludf.dummyfunction("IF(F360 = H360,C360/FILTER('Base Stats'!$C$2:$C1000, LOWER('Base Stats'!$B$2:$B1000) = LOWER($A360)), """")"),"")</f>
        <v/>
      </c>
      <c r="K360" s="0" t="str">
        <f aca="false">IF(F360 = H360, C360/G360, "")</f>
        <v/>
      </c>
      <c r="L360" s="0" t="str">
        <f aca="false">IFERROR(__xludf.dummyfunction("IF(AND(NOT(K360 = """"), G360 &gt;= 15),K360/FILTER('Base Stats'!$C$2:$C1000, LOWER('Base Stats'!$B$2:$B1000) = LOWER($A360)), """")"),"")</f>
        <v/>
      </c>
      <c r="M360" s="0" t="str">
        <f aca="false">IFERROR(__xludf.dummyfunction("1.15 + 0.02 * FILTER('Base Stats'!$C$2:$C1000, LOWER('Base Stats'!$B$2:$B1000) = LOWER($A360))"),"2.25")</f>
        <v>2.25</v>
      </c>
      <c r="N360" s="0" t="e">
        <f aca="false">IFERROR(IF(AND(NOT(K360 = ""), G360 &gt;= 15),K360/M360, ""))</f>
        <v>#VALUE!</v>
      </c>
    </row>
    <row r="361" customFormat="false" ht="15.75" hidden="false" customHeight="false" outlineLevel="0" collapsed="false">
      <c r="A361" s="8" t="s">
        <v>561</v>
      </c>
      <c r="B361" s="8" t="n">
        <v>133</v>
      </c>
      <c r="C361" s="8" t="n">
        <v>32</v>
      </c>
      <c r="D361" s="8" t="n">
        <v>8.72</v>
      </c>
      <c r="E361" s="8" t="n">
        <v>0.35</v>
      </c>
      <c r="F361" s="8" t="n">
        <v>600</v>
      </c>
      <c r="G361" s="0" t="str">
        <f aca="false">IFERROR(__xludf.dummyfunction("ROUND(B361/ FILTER('Pokemon CP/HP'!$M$2:$M1000, LOWER('Pokemon CP/HP'!$B$2:$B1000)=LOWER(A361)))"),"8")</f>
        <v>8</v>
      </c>
      <c r="H361" s="0" t="str">
        <f aca="false">IFERROR(__xludf.dummyfunction("FILTER('Leveling Info'!$B$2:$B1000, 'Leveling Info'!$A$2:$A1000 =G361)"),"400")</f>
        <v>400</v>
      </c>
      <c r="I361" s="14" t="n">
        <f aca="false">SQRT(G361)</f>
        <v>2.82842712474619</v>
      </c>
      <c r="J361" s="14" t="str">
        <f aca="false">IFERROR(__xludf.dummyfunction("IF(F361 = H361,C361/FILTER('Base Stats'!$C$2:$C1000, LOWER('Base Stats'!$B$2:$B1000) = LOWER($A361)), """")"),"")</f>
        <v/>
      </c>
      <c r="K361" s="0" t="str">
        <f aca="false">IF(F361 = H361, C361/G361, "")</f>
        <v/>
      </c>
      <c r="L361" s="0" t="str">
        <f aca="false">IFERROR(__xludf.dummyfunction("IF(AND(NOT(K361 = """"), G361 &gt;= 15),K361/FILTER('Base Stats'!$C$2:$C1000, LOWER('Base Stats'!$B$2:$B1000) = LOWER($A361)), """")"),"")</f>
        <v/>
      </c>
      <c r="M361" s="0" t="str">
        <f aca="false">IFERROR(__xludf.dummyfunction("1.15 + 0.02 * FILTER('Base Stats'!$C$2:$C1000, LOWER('Base Stats'!$B$2:$B1000) = LOWER($A361))"),"2.25")</f>
        <v>2.25</v>
      </c>
      <c r="N361" s="0" t="e">
        <f aca="false">IFERROR(IF(AND(NOT(K361 = ""), G361 &gt;= 15),K361/M361, ""))</f>
        <v>#VALUE!</v>
      </c>
    </row>
    <row r="362" customFormat="false" ht="15.75" hidden="false" customHeight="false" outlineLevel="0" collapsed="false">
      <c r="A362" s="8" t="s">
        <v>561</v>
      </c>
      <c r="B362" s="8" t="n">
        <v>132</v>
      </c>
      <c r="C362" s="8" t="n">
        <v>31</v>
      </c>
      <c r="D362" s="8" t="n">
        <v>7.43</v>
      </c>
      <c r="E362" s="8" t="n">
        <v>0.29</v>
      </c>
      <c r="F362" s="8" t="n">
        <v>600</v>
      </c>
      <c r="G362" s="0" t="str">
        <f aca="false">IFERROR(__xludf.dummyfunction("ROUND(B362/ FILTER('Pokemon CP/HP'!$M$2:$M1000, LOWER('Pokemon CP/HP'!$B$2:$B1000)=LOWER(A362)))"),"8")</f>
        <v>8</v>
      </c>
      <c r="H362" s="0" t="str">
        <f aca="false">IFERROR(__xludf.dummyfunction("FILTER('Leveling Info'!$B$2:$B1000, 'Leveling Info'!$A$2:$A1000 =G362)"),"400")</f>
        <v>400</v>
      </c>
      <c r="I362" s="14" t="n">
        <f aca="false">SQRT(G362)</f>
        <v>2.82842712474619</v>
      </c>
      <c r="J362" s="14" t="str">
        <f aca="false">IFERROR(__xludf.dummyfunction("IF(F362 = H362,C362/FILTER('Base Stats'!$C$2:$C1000, LOWER('Base Stats'!$B$2:$B1000) = LOWER($A362)), """")"),"")</f>
        <v/>
      </c>
      <c r="K362" s="0" t="str">
        <f aca="false">IF(F362 = H362, C362/G362, "")</f>
        <v/>
      </c>
      <c r="L362" s="0" t="str">
        <f aca="false">IFERROR(__xludf.dummyfunction("IF(AND(NOT(K362 = """"), G362 &gt;= 15),K362/FILTER('Base Stats'!$C$2:$C1000, LOWER('Base Stats'!$B$2:$B1000) = LOWER($A362)), """")"),"")</f>
        <v/>
      </c>
      <c r="M362" s="0" t="str">
        <f aca="false">IFERROR(__xludf.dummyfunction("1.15 + 0.02 * FILTER('Base Stats'!$C$2:$C1000, LOWER('Base Stats'!$B$2:$B1000) = LOWER($A362))"),"2.25")</f>
        <v>2.25</v>
      </c>
      <c r="N362" s="0" t="e">
        <f aca="false">IFERROR(IF(AND(NOT(K362 = ""), G362 &gt;= 15),K362/M362, ""))</f>
        <v>#VALUE!</v>
      </c>
    </row>
    <row r="363" customFormat="false" ht="15.75" hidden="false" customHeight="false" outlineLevel="0" collapsed="false">
      <c r="A363" s="8" t="s">
        <v>561</v>
      </c>
      <c r="B363" s="8" t="n">
        <v>109</v>
      </c>
      <c r="C363" s="8" t="n">
        <v>31</v>
      </c>
      <c r="D363" s="8" t="n">
        <v>3.78</v>
      </c>
      <c r="E363" s="8" t="n">
        <v>0.25</v>
      </c>
      <c r="F363" s="8" t="n">
        <v>400</v>
      </c>
      <c r="G363" s="0" t="str">
        <f aca="false">IFERROR(__xludf.dummyfunction("ROUND(B363/ FILTER('Pokemon CP/HP'!$M$2:$M1000, LOWER('Pokemon CP/HP'!$B$2:$B1000)=LOWER(A363)))"),"7")</f>
        <v>7</v>
      </c>
      <c r="H363" s="0" t="str">
        <f aca="false">IFERROR(__xludf.dummyfunction("FILTER('Leveling Info'!$B$2:$B1000, 'Leveling Info'!$A$2:$A1000 =G363)"),"400")</f>
        <v>400</v>
      </c>
      <c r="I363" s="14" t="n">
        <f aca="false">SQRT(G363)</f>
        <v>2.64575131106459</v>
      </c>
      <c r="J363" s="14" t="str">
        <f aca="false">IFERROR(__xludf.dummyfunction("IF(F363 = H363,C363/FILTER('Base Stats'!$C$2:$C1000, LOWER('Base Stats'!$B$2:$B1000) = LOWER($A363)), """")"),"0.5636363636")</f>
        <v>0.5636363636</v>
      </c>
      <c r="K363" s="0" t="str">
        <f aca="false">IF(F363 = H363, C363/G363, "")</f>
        <v/>
      </c>
      <c r="L363" s="0" t="str">
        <f aca="false">IFERROR(__xludf.dummyfunction("IF(AND(NOT(K363 = """"), G363 &gt;= 15),K363/FILTER('Base Stats'!$C$2:$C1000, LOWER('Base Stats'!$B$2:$B1000) = LOWER($A363)), """")"),"")</f>
        <v/>
      </c>
      <c r="M363" s="0" t="str">
        <f aca="false">IFERROR(__xludf.dummyfunction("1.15 + 0.02 * FILTER('Base Stats'!$C$2:$C1000, LOWER('Base Stats'!$B$2:$B1000) = LOWER($A363))"),"2.25")</f>
        <v>2.25</v>
      </c>
      <c r="N363" s="0" t="e">
        <f aca="false">IFERROR(IF(AND(NOT(K363 = ""), G363 &gt;= 15),K363/M363, ""))</f>
        <v>#VALUE!</v>
      </c>
    </row>
    <row r="364" customFormat="false" ht="15.75" hidden="false" customHeight="false" outlineLevel="0" collapsed="false">
      <c r="A364" s="8" t="s">
        <v>561</v>
      </c>
      <c r="B364" s="8" t="n">
        <v>46</v>
      </c>
      <c r="C364" s="8" t="n">
        <v>20</v>
      </c>
      <c r="D364" s="8" t="n">
        <v>5.85</v>
      </c>
      <c r="E364" s="8" t="n">
        <v>0.27</v>
      </c>
      <c r="F364" s="8" t="n">
        <v>200</v>
      </c>
      <c r="G364" s="0" t="str">
        <f aca="false">IFERROR(__xludf.dummyfunction("ROUND(B364/ FILTER('Pokemon CP/HP'!$M$2:$M1000, LOWER('Pokemon CP/HP'!$B$2:$B1000)=LOWER(A364)))"),"3")</f>
        <v>3</v>
      </c>
      <c r="H364" s="0" t="str">
        <f aca="false">IFERROR(__xludf.dummyfunction("FILTER('Leveling Info'!$B$2:$B1000, 'Leveling Info'!$A$2:$A1000 =G364)"),"200")</f>
        <v>200</v>
      </c>
      <c r="I364" s="14" t="n">
        <f aca="false">SQRT(G364)</f>
        <v>1.73205080756888</v>
      </c>
      <c r="J364" s="14" t="str">
        <f aca="false">IFERROR(__xludf.dummyfunction("IF(F364 = H364,C364/FILTER('Base Stats'!$C$2:$C1000, LOWER('Base Stats'!$B$2:$B1000) = LOWER($A364)), """")"),"0.3636363636")</f>
        <v>0.3636363636</v>
      </c>
      <c r="K364" s="0" t="str">
        <f aca="false">IF(F364 = H364, C364/G364, "")</f>
        <v/>
      </c>
      <c r="L364" s="0" t="str">
        <f aca="false">IFERROR(__xludf.dummyfunction("IF(AND(NOT(K364 = """"), G364 &gt;= 15),K364/FILTER('Base Stats'!$C$2:$C1000, LOWER('Base Stats'!$B$2:$B1000) = LOWER($A364)), """")"),"")</f>
        <v/>
      </c>
      <c r="M364" s="0" t="str">
        <f aca="false">IFERROR(__xludf.dummyfunction("1.15 + 0.02 * FILTER('Base Stats'!$C$2:$C1000, LOWER('Base Stats'!$B$2:$B1000) = LOWER($A364))"),"2.25")</f>
        <v>2.25</v>
      </c>
      <c r="N364" s="0" t="e">
        <f aca="false">IFERROR(IF(AND(NOT(K364 = ""), G364 &gt;= 15),K364/M364, ""))</f>
        <v>#VALUE!</v>
      </c>
    </row>
    <row r="365" customFormat="false" ht="15.75" hidden="false" customHeight="false" outlineLevel="0" collapsed="false">
      <c r="A365" s="8" t="s">
        <v>561</v>
      </c>
      <c r="B365" s="8" t="n">
        <v>45</v>
      </c>
      <c r="C365" s="8" t="n">
        <v>20</v>
      </c>
      <c r="D365" s="8" t="n">
        <v>5.55</v>
      </c>
      <c r="E365" s="8" t="n">
        <v>0.31</v>
      </c>
      <c r="F365" s="8" t="n">
        <v>200</v>
      </c>
      <c r="G365" s="0" t="str">
        <f aca="false">IFERROR(__xludf.dummyfunction("ROUND(B365/ FILTER('Pokemon CP/HP'!$M$2:$M1000, LOWER('Pokemon CP/HP'!$B$2:$B1000)=LOWER(A365)))"),"3")</f>
        <v>3</v>
      </c>
      <c r="H365" s="0" t="str">
        <f aca="false">IFERROR(__xludf.dummyfunction("FILTER('Leveling Info'!$B$2:$B1000, 'Leveling Info'!$A$2:$A1000 =G365)"),"200")</f>
        <v>200</v>
      </c>
      <c r="I365" s="14" t="n">
        <f aca="false">SQRT(G365)</f>
        <v>1.73205080756888</v>
      </c>
      <c r="J365" s="14" t="str">
        <f aca="false">IFERROR(__xludf.dummyfunction("IF(F365 = H365,C365/FILTER('Base Stats'!$C$2:$C1000, LOWER('Base Stats'!$B$2:$B1000) = LOWER($A365)), """")"),"0.3636363636")</f>
        <v>0.3636363636</v>
      </c>
      <c r="K365" s="0" t="str">
        <f aca="false">IF(F365 = H365, C365/G365, "")</f>
        <v/>
      </c>
      <c r="L365" s="0" t="str">
        <f aca="false">IFERROR(__xludf.dummyfunction("IF(AND(NOT(K365 = """"), G365 &gt;= 15),K365/FILTER('Base Stats'!$C$2:$C1000, LOWER('Base Stats'!$B$2:$B1000) = LOWER($A365)), """")"),"")</f>
        <v/>
      </c>
      <c r="M365" s="0" t="str">
        <f aca="false">IFERROR(__xludf.dummyfunction("1.15 + 0.02 * FILTER('Base Stats'!$C$2:$C1000, LOWER('Base Stats'!$B$2:$B1000) = LOWER($A365))"),"2.25")</f>
        <v>2.25</v>
      </c>
      <c r="N365" s="0" t="e">
        <f aca="false">IFERROR(IF(AND(NOT(K365 = ""), G365 &gt;= 15),K365/M365, ""))</f>
        <v>#VALUE!</v>
      </c>
    </row>
    <row r="366" customFormat="false" ht="15.75" hidden="false" customHeight="false" outlineLevel="0" collapsed="false">
      <c r="A366" s="8" t="s">
        <v>561</v>
      </c>
      <c r="B366" s="8" t="n">
        <v>45</v>
      </c>
      <c r="C366" s="8" t="n">
        <v>19</v>
      </c>
      <c r="D366" s="8" t="n">
        <v>7.72</v>
      </c>
      <c r="E366" s="8" t="n">
        <v>0.31</v>
      </c>
      <c r="F366" s="8" t="n">
        <v>200</v>
      </c>
      <c r="G366" s="0" t="str">
        <f aca="false">IFERROR(__xludf.dummyfunction("ROUND(B366/ FILTER('Pokemon CP/HP'!$M$2:$M1000, LOWER('Pokemon CP/HP'!$B$2:$B1000)=LOWER(A366)))"),"3")</f>
        <v>3</v>
      </c>
      <c r="H366" s="0" t="str">
        <f aca="false">IFERROR(__xludf.dummyfunction("FILTER('Leveling Info'!$B$2:$B1000, 'Leveling Info'!$A$2:$A1000 =G366)"),"200")</f>
        <v>200</v>
      </c>
      <c r="I366" s="14" t="n">
        <f aca="false">SQRT(G366)</f>
        <v>1.73205080756888</v>
      </c>
      <c r="J366" s="14" t="str">
        <f aca="false">IFERROR(__xludf.dummyfunction("IF(F366 = H366,C366/FILTER('Base Stats'!$C$2:$C1000, LOWER('Base Stats'!$B$2:$B1000) = LOWER($A366)), """")"),"0.3454545455")</f>
        <v>0.3454545455</v>
      </c>
      <c r="K366" s="0" t="str">
        <f aca="false">IF(F366 = H366, C366/G366, "")</f>
        <v/>
      </c>
      <c r="L366" s="0" t="str">
        <f aca="false">IFERROR(__xludf.dummyfunction("IF(AND(NOT(K366 = """"), G366 &gt;= 15),K366/FILTER('Base Stats'!$C$2:$C1000, LOWER('Base Stats'!$B$2:$B1000) = LOWER($A366)), """")"),"")</f>
        <v/>
      </c>
      <c r="M366" s="0" t="str">
        <f aca="false">IFERROR(__xludf.dummyfunction("1.15 + 0.02 * FILTER('Base Stats'!$C$2:$C1000, LOWER('Base Stats'!$B$2:$B1000) = LOWER($A366))"),"2.25")</f>
        <v>2.25</v>
      </c>
      <c r="N366" s="0" t="e">
        <f aca="false">IFERROR(IF(AND(NOT(K366 = ""), G366 &gt;= 15),K366/M366, ""))</f>
        <v>#VALUE!</v>
      </c>
    </row>
    <row r="367" customFormat="false" ht="15.75" hidden="false" customHeight="false" outlineLevel="0" collapsed="false">
      <c r="A367" s="8" t="s">
        <v>561</v>
      </c>
      <c r="B367" s="8" t="n">
        <v>44</v>
      </c>
      <c r="C367" s="8" t="n">
        <v>18</v>
      </c>
      <c r="D367" s="8" t="n">
        <v>8.91</v>
      </c>
      <c r="E367" s="8" t="n">
        <v>0.36</v>
      </c>
      <c r="F367" s="8" t="n">
        <v>200</v>
      </c>
      <c r="G367" s="0" t="str">
        <f aca="false">IFERROR(__xludf.dummyfunction("ROUND(B367/ FILTER('Pokemon CP/HP'!$M$2:$M1000, LOWER('Pokemon CP/HP'!$B$2:$B1000)=LOWER(A367)))"),"3")</f>
        <v>3</v>
      </c>
      <c r="H367" s="0" t="str">
        <f aca="false">IFERROR(__xludf.dummyfunction("FILTER('Leveling Info'!$B$2:$B1000, 'Leveling Info'!$A$2:$A1000 =G367)"),"200")</f>
        <v>200</v>
      </c>
      <c r="I367" s="14" t="n">
        <f aca="false">SQRT(G367)</f>
        <v>1.73205080756888</v>
      </c>
      <c r="J367" s="14" t="str">
        <f aca="false">IFERROR(__xludf.dummyfunction("IF(F367 = H367,C367/FILTER('Base Stats'!$C$2:$C1000, LOWER('Base Stats'!$B$2:$B1000) = LOWER($A367)), """")"),"0.3272727273")</f>
        <v>0.3272727273</v>
      </c>
      <c r="K367" s="0" t="str">
        <f aca="false">IF(F367 = H367, C367/G367, "")</f>
        <v/>
      </c>
      <c r="L367" s="0" t="str">
        <f aca="false">IFERROR(__xludf.dummyfunction("IF(AND(NOT(K367 = """"), G367 &gt;= 15),K367/FILTER('Base Stats'!$C$2:$C1000, LOWER('Base Stats'!$B$2:$B1000) = LOWER($A367)), """")"),"")</f>
        <v/>
      </c>
      <c r="M367" s="0" t="str">
        <f aca="false">IFERROR(__xludf.dummyfunction("1.15 + 0.02 * FILTER('Base Stats'!$C$2:$C1000, LOWER('Base Stats'!$B$2:$B1000) = LOWER($A367))"),"2.25")</f>
        <v>2.25</v>
      </c>
      <c r="N367" s="0" t="e">
        <f aca="false">IFERROR(IF(AND(NOT(K367 = ""), G367 &gt;= 15),K367/M367, ""))</f>
        <v>#VALUE!</v>
      </c>
    </row>
    <row r="368" customFormat="false" ht="15.75" hidden="false" customHeight="false" outlineLevel="0" collapsed="false">
      <c r="A368" s="8" t="s">
        <v>561</v>
      </c>
      <c r="B368" s="8" t="n">
        <v>13</v>
      </c>
      <c r="C368" s="8" t="n">
        <v>10</v>
      </c>
      <c r="D368" s="8" t="n">
        <v>6.19</v>
      </c>
      <c r="E368" s="8" t="n">
        <v>0.31</v>
      </c>
      <c r="F368" s="8" t="n">
        <v>200</v>
      </c>
      <c r="G368" s="0" t="str">
        <f aca="false">IFERROR(__xludf.dummyfunction("ROUND(B368/ FILTER('Pokemon CP/HP'!$M$2:$M1000, LOWER('Pokemon CP/HP'!$B$2:$B1000)=LOWER(A368)))"),"1")</f>
        <v>1</v>
      </c>
      <c r="H368" s="0" t="str">
        <f aca="false">IFERROR(__xludf.dummyfunction("FILTER('Leveling Info'!$B$2:$B1000, 'Leveling Info'!$A$2:$A1000 =G368)"),"200")</f>
        <v>200</v>
      </c>
      <c r="I368" s="14" t="n">
        <f aca="false">SQRT(G368)</f>
        <v>1</v>
      </c>
      <c r="J368" s="14" t="str">
        <f aca="false">IFERROR(__xludf.dummyfunction("IF(F368 = H368,C368/FILTER('Base Stats'!$C$2:$C1000, LOWER('Base Stats'!$B$2:$B1000) = LOWER($A368)), """")"),"0.1818181818")</f>
        <v>0.1818181818</v>
      </c>
      <c r="K368" s="0" t="str">
        <f aca="false">IF(F368 = H368, C368/G368, "")</f>
        <v/>
      </c>
      <c r="L368" s="0" t="str">
        <f aca="false">IFERROR(__xludf.dummyfunction("IF(AND(NOT(K368 = """"), G368 &gt;= 15),K368/FILTER('Base Stats'!$C$2:$C1000, LOWER('Base Stats'!$B$2:$B1000) = LOWER($A368)), """")"),"")</f>
        <v/>
      </c>
      <c r="M368" s="0" t="str">
        <f aca="false">IFERROR(__xludf.dummyfunction("1.15 + 0.02 * FILTER('Base Stats'!$C$2:$C1000, LOWER('Base Stats'!$B$2:$B1000) = LOWER($A368))"),"2.25")</f>
        <v>2.25</v>
      </c>
      <c r="N368" s="0" t="e">
        <f aca="false">IFERROR(IF(AND(NOT(K368 = ""), G368 &gt;= 15),K368/M368, ""))</f>
        <v>#VALUE!</v>
      </c>
    </row>
    <row r="369" customFormat="false" ht="15.75" hidden="false" customHeight="false" outlineLevel="0" collapsed="false">
      <c r="A369" s="8" t="s">
        <v>562</v>
      </c>
      <c r="B369" s="8" t="n">
        <v>1014</v>
      </c>
      <c r="C369" s="8" t="n">
        <v>125</v>
      </c>
      <c r="D369" s="8" t="n">
        <v>5.2</v>
      </c>
      <c r="E369" s="8" t="n">
        <v>1.06</v>
      </c>
      <c r="F369" s="8" t="n">
        <v>1600</v>
      </c>
      <c r="G369" s="0" t="str">
        <f aca="false">IFERROR(__xludf.dummyfunction("ROUND(B369/ FILTER('Pokemon CP/HP'!$M$2:$M1000, LOWER('Pokemon CP/HP'!$B$2:$B1000)=LOWER(A369)))"),"26")</f>
        <v>26</v>
      </c>
      <c r="H369" s="0" t="str">
        <f aca="false">IFERROR(__xludf.dummyfunction("FILTER('Leveling Info'!$B$2:$B1000, 'Leveling Info'!$A$2:$A1000 =G369)"),"1600")</f>
        <v>1600</v>
      </c>
      <c r="I369" s="14" t="n">
        <f aca="false">SQRT(G369)</f>
        <v>5.09901951359278</v>
      </c>
      <c r="J369" s="14" t="str">
        <f aca="false">IFERROR(__xludf.dummyfunction("IF(F369 = H369,C369/FILTER('Base Stats'!$C$2:$C1000, LOWER('Base Stats'!$B$2:$B1000) = LOWER($A369)), """")"),"0.9615384615")</f>
        <v>0.9615384615</v>
      </c>
      <c r="K369" s="0" t="str">
        <f aca="false">IF(F369 = H369, C369/G369, "")</f>
        <v/>
      </c>
      <c r="L369" s="0" t="str">
        <f aca="false">IFERROR(__xludf.dummyfunction("IF(AND(NOT(K369 = """"), G369 &gt;= 15),K369/FILTER('Base Stats'!$C$2:$C1000, LOWER('Base Stats'!$B$2:$B1000) = LOWER($A369)), """")"),"0.03698224852")</f>
        <v>0.03698224852</v>
      </c>
      <c r="M369" s="0" t="str">
        <f aca="false">IFERROR(__xludf.dummyfunction("1.15 + 0.02 * FILTER('Base Stats'!$C$2:$C1000, LOWER('Base Stats'!$B$2:$B1000) = LOWER($A369))"),"3.75")</f>
        <v>3.75</v>
      </c>
      <c r="N369" s="0" t="e">
        <f aca="false">IFERROR(IF(AND(NOT(K369 = ""), G369 &gt;= 15),K369/M369, ""))</f>
        <v>#VALUE!</v>
      </c>
    </row>
    <row r="370" customFormat="false" ht="15.75" hidden="false" customHeight="false" outlineLevel="0" collapsed="false">
      <c r="A370" s="8" t="s">
        <v>563</v>
      </c>
      <c r="B370" s="8" t="n">
        <v>788</v>
      </c>
      <c r="C370" s="8" t="n">
        <v>70</v>
      </c>
      <c r="D370" s="8" t="n">
        <v>7.12</v>
      </c>
      <c r="E370" s="8" t="n">
        <v>0.87</v>
      </c>
      <c r="F370" s="8" t="n">
        <v>1600</v>
      </c>
      <c r="G370" s="0" t="str">
        <f aca="false">IFERROR(__xludf.dummyfunction("ROUND(B370/ FILTER('Pokemon CP/HP'!$M$2:$M1000, LOWER('Pokemon CP/HP'!$B$2:$B1000)=LOWER(A370)))"),"26")</f>
        <v>26</v>
      </c>
      <c r="H370" s="0" t="str">
        <f aca="false">IFERROR(__xludf.dummyfunction("FILTER('Leveling Info'!$B$2:$B1000, 'Leveling Info'!$A$2:$A1000 =G370)"),"1600")</f>
        <v>1600</v>
      </c>
      <c r="I370" s="14" t="n">
        <f aca="false">SQRT(G370)</f>
        <v>5.09901951359278</v>
      </c>
      <c r="J370" s="14" t="str">
        <f aca="false">IFERROR(__xludf.dummyfunction("IF(F370 = H370,C370/FILTER('Base Stats'!$C$2:$C1000, LOWER('Base Stats'!$B$2:$B1000) = LOWER($A370)), """")"),"1.076923077")</f>
        <v>1.076923077</v>
      </c>
      <c r="K370" s="0" t="str">
        <f aca="false">IF(F370 = H370, C370/G370, "")</f>
        <v/>
      </c>
      <c r="L370" s="0" t="str">
        <f aca="false">IFERROR(__xludf.dummyfunction("IF(AND(NOT(K370 = """"), G370 &gt;= 15),K370/FILTER('Base Stats'!$C$2:$C1000, LOWER('Base Stats'!$B$2:$B1000) = LOWER($A370)), """")"),"0.04142011834")</f>
        <v>0.04142011834</v>
      </c>
      <c r="M370" s="0" t="str">
        <f aca="false">IFERROR(__xludf.dummyfunction("1.15 + 0.02 * FILTER('Base Stats'!$C$2:$C1000, LOWER('Base Stats'!$B$2:$B1000) = LOWER($A370))"),"2.45")</f>
        <v>2.45</v>
      </c>
      <c r="N370" s="0" t="e">
        <f aca="false">IFERROR(IF(AND(NOT(K370 = ""), G370 &gt;= 15),K370/M370, ""))</f>
        <v>#VALUE!</v>
      </c>
    </row>
    <row r="371" customFormat="false" ht="15.75" hidden="false" customHeight="false" outlineLevel="0" collapsed="false">
      <c r="A371" s="8" t="s">
        <v>564</v>
      </c>
      <c r="B371" s="8" t="n">
        <v>1217</v>
      </c>
      <c r="C371" s="8" t="n">
        <v>76</v>
      </c>
      <c r="D371" s="8" t="n">
        <v>0.82</v>
      </c>
      <c r="E371" s="8" t="n">
        <v>0.49</v>
      </c>
      <c r="F371" s="8" t="n">
        <v>2200</v>
      </c>
      <c r="G371" s="0" t="str">
        <f aca="false">IFERROR(__xludf.dummyfunction("ROUND(B371/ FILTER('Pokemon CP/HP'!$M$2:$M1000, LOWER('Pokemon CP/HP'!$B$2:$B1000)=LOWER(A371)))"),"33")</f>
        <v>33</v>
      </c>
      <c r="H371" s="0" t="str">
        <f aca="false">IFERROR(__xludf.dummyfunction("FILTER('Leveling Info'!$B$2:$B1000, 'Leveling Info'!$A$2:$A1000 =G371)"),"2200")</f>
        <v>2200</v>
      </c>
      <c r="I371" s="14" t="n">
        <f aca="false">SQRT(G371)</f>
        <v>5.74456264653803</v>
      </c>
      <c r="J371" s="14" t="str">
        <f aca="false">IFERROR(__xludf.dummyfunction("IF(F371 = H371,C371/FILTER('Base Stats'!$C$2:$C1000, LOWER('Base Stats'!$B$2:$B1000) = LOWER($A371)), """")"),"1.169230769")</f>
        <v>1.169230769</v>
      </c>
      <c r="K371" s="0" t="str">
        <f aca="false">IF(F371 = H371, C371/G371, "")</f>
        <v/>
      </c>
      <c r="L371" s="0" t="str">
        <f aca="false">IFERROR(__xludf.dummyfunction("IF(AND(NOT(K371 = """"), G371 &gt;= 15),K371/FILTER('Base Stats'!$C$2:$C1000, LOWER('Base Stats'!$B$2:$B1000) = LOWER($A371)), """")"),"0.03543123543")</f>
        <v>0.03543123543</v>
      </c>
      <c r="M371" s="0" t="str">
        <f aca="false">IFERROR(__xludf.dummyfunction("1.15 + 0.02 * FILTER('Base Stats'!$C$2:$C1000, LOWER('Base Stats'!$B$2:$B1000) = LOWER($A371))"),"2.45")</f>
        <v>2.45</v>
      </c>
      <c r="N371" s="0" t="e">
        <f aca="false">IFERROR(IF(AND(NOT(K371 = ""), G371 &gt;= 15),K371/M371, ""))</f>
        <v>#VALUE!</v>
      </c>
    </row>
    <row r="372" customFormat="false" ht="15.75" hidden="false" customHeight="false" outlineLevel="0" collapsed="false">
      <c r="A372" s="8" t="s">
        <v>564</v>
      </c>
      <c r="B372" s="8" t="n">
        <v>767</v>
      </c>
      <c r="C372" s="8" t="n">
        <v>58</v>
      </c>
      <c r="D372" s="8" t="n">
        <v>3.9</v>
      </c>
      <c r="E372" s="8" t="n">
        <v>0.83</v>
      </c>
      <c r="F372" s="8" t="n">
        <v>1300</v>
      </c>
      <c r="G372" s="0" t="str">
        <f aca="false">IFERROR(__xludf.dummyfunction("ROUND(B372/ FILTER('Pokemon CP/HP'!$M$2:$M1000, LOWER('Pokemon CP/HP'!$B$2:$B1000)=LOWER(A372)))"),"21")</f>
        <v>21</v>
      </c>
      <c r="H372" s="0" t="str">
        <f aca="false">IFERROR(__xludf.dummyfunction("FILTER('Leveling Info'!$B$2:$B1000, 'Leveling Info'!$A$2:$A1000 =G372)"),"1300")</f>
        <v>1300</v>
      </c>
      <c r="I372" s="14" t="n">
        <f aca="false">SQRT(G372)</f>
        <v>4.58257569495584</v>
      </c>
      <c r="J372" s="14" t="str">
        <f aca="false">IFERROR(__xludf.dummyfunction("IF(F372 = H372,C372/FILTER('Base Stats'!$C$2:$C1000, LOWER('Base Stats'!$B$2:$B1000) = LOWER($A372)), """")"),"0.8923076923")</f>
        <v>0.8923076923</v>
      </c>
      <c r="K372" s="0" t="str">
        <f aca="false">IF(F372 = H372, C372/G372, "")</f>
        <v/>
      </c>
      <c r="L372" s="0" t="str">
        <f aca="false">IFERROR(__xludf.dummyfunction("IF(AND(NOT(K372 = """"), G372 &gt;= 15),K372/FILTER('Base Stats'!$C$2:$C1000, LOWER('Base Stats'!$B$2:$B1000) = LOWER($A372)), """")"),"0.04249084249")</f>
        <v>0.04249084249</v>
      </c>
      <c r="M372" s="0" t="str">
        <f aca="false">IFERROR(__xludf.dummyfunction("1.15 + 0.02 * FILTER('Base Stats'!$C$2:$C1000, LOWER('Base Stats'!$B$2:$B1000) = LOWER($A372))"),"2.45")</f>
        <v>2.45</v>
      </c>
      <c r="N372" s="0" t="e">
        <f aca="false">IFERROR(IF(AND(NOT(K372 = ""), G372 &gt;= 15),K372/M372, ""))</f>
        <v>#VALUE!</v>
      </c>
    </row>
    <row r="373" customFormat="false" ht="15.75" hidden="false" customHeight="false" outlineLevel="0" collapsed="false">
      <c r="A373" s="8" t="s">
        <v>564</v>
      </c>
      <c r="B373" s="8" t="n">
        <v>634</v>
      </c>
      <c r="C373" s="8" t="n">
        <v>53</v>
      </c>
      <c r="D373" s="8" t="n">
        <v>1.27</v>
      </c>
      <c r="E373" s="8" t="n">
        <v>0.7</v>
      </c>
      <c r="F373" s="8" t="n">
        <v>1000</v>
      </c>
      <c r="G373" s="0" t="str">
        <f aca="false">IFERROR(__xludf.dummyfunction("ROUND(B373/ FILTER('Pokemon CP/HP'!$M$2:$M1000, LOWER('Pokemon CP/HP'!$B$2:$B1000)=LOWER(A373)))"),"17")</f>
        <v>17</v>
      </c>
      <c r="H373" s="0" t="str">
        <f aca="false">IFERROR(__xludf.dummyfunction("FILTER('Leveling Info'!$B$2:$B1000, 'Leveling Info'!$A$2:$A1000 =G373)"),"1000")</f>
        <v>1000</v>
      </c>
      <c r="I373" s="14" t="n">
        <f aca="false">SQRT(G373)</f>
        <v>4.12310562561766</v>
      </c>
      <c r="J373" s="14" t="str">
        <f aca="false">IFERROR(__xludf.dummyfunction("IF(F373 = H373,C373/FILTER('Base Stats'!$C$2:$C1000, LOWER('Base Stats'!$B$2:$B1000) = LOWER($A373)), """")"),"0.8153846154")</f>
        <v>0.8153846154</v>
      </c>
      <c r="K373" s="0" t="str">
        <f aca="false">IF(F373 = H373, C373/G373, "")</f>
        <v/>
      </c>
      <c r="L373" s="0" t="str">
        <f aca="false">IFERROR(__xludf.dummyfunction("IF(AND(NOT(K373 = """"), G373 &gt;= 15),K373/FILTER('Base Stats'!$C$2:$C1000, LOWER('Base Stats'!$B$2:$B1000) = LOWER($A373)), """")"),"0.0479638009")</f>
        <v>0.0479638009</v>
      </c>
      <c r="M373" s="0" t="str">
        <f aca="false">IFERROR(__xludf.dummyfunction("1.15 + 0.02 * FILTER('Base Stats'!$C$2:$C1000, LOWER('Base Stats'!$B$2:$B1000) = LOWER($A373))"),"2.45")</f>
        <v>2.45</v>
      </c>
      <c r="N373" s="0" t="e">
        <f aca="false">IFERROR(IF(AND(NOT(K373 = ""), G373 &gt;= 15),K373/M373, ""))</f>
        <v>#VALUE!</v>
      </c>
    </row>
    <row r="374" customFormat="false" ht="15.75" hidden="false" customHeight="false" outlineLevel="0" collapsed="false">
      <c r="A374" s="8" t="s">
        <v>565</v>
      </c>
      <c r="B374" s="8" t="n">
        <v>347</v>
      </c>
      <c r="C374" s="8" t="n">
        <v>43</v>
      </c>
      <c r="D374" s="8" t="n">
        <v>2.06</v>
      </c>
      <c r="E374" s="8" t="n">
        <v>1.39</v>
      </c>
      <c r="F374" s="8" t="n">
        <v>1600</v>
      </c>
      <c r="G374" s="0" t="str">
        <f aca="false">IFERROR(__xludf.dummyfunction("ROUND(B374/ FILTER('Pokemon CP/HP'!$M$2:$M1000, LOWER('Pokemon CP/HP'!$B$2:$B1000)=LOWER(A374)))"),"27")</f>
        <v>27</v>
      </c>
      <c r="H374" s="0" t="str">
        <f aca="false">IFERROR(__xludf.dummyfunction("FILTER('Leveling Info'!$B$2:$B1000, 'Leveling Info'!$A$2:$A1000 =G374)"),"1600")</f>
        <v>1600</v>
      </c>
      <c r="I374" s="14" t="n">
        <f aca="false">SQRT(G374)</f>
        <v>5.19615242270663</v>
      </c>
      <c r="J374" s="14" t="str">
        <f aca="false">IFERROR(__xludf.dummyfunction("IF(F374 = H374,C374/FILTER('Base Stats'!$C$2:$C1000, LOWER('Base Stats'!$B$2:$B1000) = LOWER($A374)), """")"),"1.048780488")</f>
        <v>1.048780488</v>
      </c>
      <c r="K374" s="0" t="str">
        <f aca="false">IF(F374 = H374, C374/G374, "")</f>
        <v/>
      </c>
      <c r="L374" s="0" t="str">
        <f aca="false">IFERROR(__xludf.dummyfunction("IF(AND(NOT(K374 = """"), G374 &gt;= 15),K374/FILTER('Base Stats'!$C$2:$C1000, LOWER('Base Stats'!$B$2:$B1000) = LOWER($A374)), """")"),"0.03884372177")</f>
        <v>0.03884372177</v>
      </c>
      <c r="M374" s="0" t="str">
        <f aca="false">IFERROR(__xludf.dummyfunction("1.15 + 0.02 * FILTER('Base Stats'!$C$2:$C1000, LOWER('Base Stats'!$B$2:$B1000) = LOWER($A374))"),"1.97")</f>
        <v>1.97</v>
      </c>
      <c r="N374" s="0" t="e">
        <f aca="false">IFERROR(IF(AND(NOT(K374 = ""), G374 &gt;= 15),K374/M374, ""))</f>
        <v>#VALUE!</v>
      </c>
    </row>
    <row r="375" customFormat="false" ht="15.75" hidden="false" customHeight="false" outlineLevel="0" collapsed="false">
      <c r="A375" s="8" t="s">
        <v>566</v>
      </c>
      <c r="B375" s="8" t="n">
        <v>1513</v>
      </c>
      <c r="C375" s="8" t="n">
        <v>99</v>
      </c>
      <c r="D375" s="8" t="n">
        <v>267.97</v>
      </c>
      <c r="E375" s="8" t="n">
        <v>2.5</v>
      </c>
      <c r="F375" s="8" t="n">
        <v>1900</v>
      </c>
      <c r="G375" s="0" t="str">
        <f aca="false">IFERROR(__xludf.dummyfunction("ROUND(B375/ FILTER('Pokemon CP/HP'!$M$2:$M1000, LOWER('Pokemon CP/HP'!$B$2:$B1000)=LOWER(A375)))"),"34")</f>
        <v>34</v>
      </c>
      <c r="H375" s="0" t="str">
        <f aca="false">IFERROR(__xludf.dummyfunction("FILTER('Leveling Info'!$B$2:$B1000, 'Leveling Info'!$A$2:$A1000 =G375)"),"2200")</f>
        <v>2200</v>
      </c>
      <c r="I375" s="14" t="n">
        <f aca="false">SQRT(G375)</f>
        <v>5.8309518948453</v>
      </c>
      <c r="J375" s="14" t="str">
        <f aca="false">IFERROR(__xludf.dummyfunction("IF(F375 = H375,C375/FILTER('Base Stats'!$C$2:$C1000, LOWER('Base Stats'!$B$2:$B1000) = LOWER($A375)), """")"),"")</f>
        <v/>
      </c>
      <c r="K375" s="0" t="str">
        <f aca="false">IF(F375 = H375, C375/G375, "")</f>
        <v/>
      </c>
      <c r="L375" s="0" t="str">
        <f aca="false">IFERROR(__xludf.dummyfunction("IF(AND(NOT(K375 = """"), G375 &gt;= 15),K375/FILTER('Base Stats'!$C$2:$C1000, LOWER('Base Stats'!$B$2:$B1000) = LOWER($A375)), """")"),"")</f>
        <v/>
      </c>
      <c r="M375" s="0" t="str">
        <f aca="false">IFERROR(__xludf.dummyfunction("1.15 + 0.02 * FILTER('Base Stats'!$C$2:$C1000, LOWER('Base Stats'!$B$2:$B1000) = LOWER($A375))"),"2.97")</f>
        <v>2.97</v>
      </c>
      <c r="N375" s="0" t="e">
        <f aca="false">IFERROR(IF(AND(NOT(K375 = ""), G375 &gt;= 15),K375/M375, ""))</f>
        <v>#VALUE!</v>
      </c>
    </row>
    <row r="376" customFormat="false" ht="15.75" hidden="false" customHeight="false" outlineLevel="0" collapsed="false">
      <c r="A376" s="8" t="s">
        <v>122</v>
      </c>
      <c r="B376" s="8" t="n">
        <v>1733</v>
      </c>
      <c r="C376" s="8" t="n">
        <v>123</v>
      </c>
      <c r="F376" s="8" t="n">
        <v>3000</v>
      </c>
      <c r="G376" s="0" t="str">
        <f aca="false">IFERROR(__xludf.dummyfunction("ROUND(B376/ FILTER('Pokemon CP/HP'!$M$2:$M1000, LOWER('Pokemon CP/HP'!$B$2:$B1000)=LOWER(A376)))"),"43")</f>
        <v>43</v>
      </c>
      <c r="H376" s="0" t="str">
        <f aca="false">IFERROR(__xludf.dummyfunction("FILTER('Leveling Info'!$B$2:$B1000, 'Leveling Info'!$A$2:$A1000 =G376)"),"3000")</f>
        <v>3000</v>
      </c>
      <c r="I376" s="14" t="n">
        <f aca="false">SQRT(G376)</f>
        <v>6.557438524302</v>
      </c>
      <c r="J376" s="14" t="str">
        <f aca="false">IFERROR(__xludf.dummyfunction("IF(F376 = H376,C376/FILTER('Base Stats'!$C$2:$C1000, LOWER('Base Stats'!$B$2:$B1000) = LOWER($A376)), """")"),"1.294736842")</f>
        <v>1.294736842</v>
      </c>
      <c r="K376" s="0" t="str">
        <f aca="false">IF(F376 = H376, C376/G376, "")</f>
        <v/>
      </c>
      <c r="L376" s="0" t="str">
        <f aca="false">IFERROR(__xludf.dummyfunction("IF(AND(NOT(K376 = """"), G376 &gt;= 15),K376/FILTER('Base Stats'!$C$2:$C1000, LOWER('Base Stats'!$B$2:$B1000) = LOWER($A376)), """")"),"0.03011015912")</f>
        <v>0.03011015912</v>
      </c>
      <c r="M376" s="0" t="str">
        <f aca="false">IFERROR(__xludf.dummyfunction("1.15 + 0.02 * FILTER('Base Stats'!$C$2:$C1000, LOWER('Base Stats'!$B$2:$B1000) = LOWER($A376))"),"3.05")</f>
        <v>3.05</v>
      </c>
      <c r="N376" s="0" t="e">
        <f aca="false">IFERROR(IF(AND(NOT(K376 = ""), G376 &gt;= 15),K376/M376, ""))</f>
        <v>#VALUE!</v>
      </c>
    </row>
    <row r="377" customFormat="false" ht="15.75" hidden="false" customHeight="false" outlineLevel="0" collapsed="false">
      <c r="A377" s="8" t="s">
        <v>132</v>
      </c>
      <c r="B377" s="8" t="n">
        <v>211</v>
      </c>
      <c r="C377" s="8" t="n">
        <v>227</v>
      </c>
      <c r="F377" s="8" t="n">
        <v>1300</v>
      </c>
      <c r="G377" s="0" t="str">
        <f aca="false">IFERROR(__xludf.dummyfunction("ROUND(B377/ FILTER('Pokemon CP/HP'!$M$2:$M1000, LOWER('Pokemon CP/HP'!$B$2:$B1000)=LOWER(A377)))"),"22")</f>
        <v>22</v>
      </c>
      <c r="H377" s="0" t="str">
        <f aca="false">IFERROR(__xludf.dummyfunction("FILTER('Leveling Info'!$B$2:$B1000, 'Leveling Info'!$A$2:$A1000 =G377)"),"1300")</f>
        <v>1300</v>
      </c>
      <c r="I377" s="14" t="n">
        <f aca="false">SQRT(G377)</f>
        <v>4.69041575982343</v>
      </c>
      <c r="J377" s="14" t="str">
        <f aca="false">IFERROR(__xludf.dummyfunction("IF(F377 = H377,C377/FILTER('Base Stats'!$C$2:$C1000, LOWER('Base Stats'!$B$2:$B1000) = LOWER($A377)), """")"),"0.908")</f>
        <v>0.908</v>
      </c>
      <c r="K377" s="0" t="str">
        <f aca="false">IF(F377 = H377, C377/G377, "")</f>
        <v/>
      </c>
      <c r="L377" s="0" t="str">
        <f aca="false">IFERROR(__xludf.dummyfunction("IF(AND(NOT(K377 = """"), G377 &gt;= 15),K377/FILTER('Base Stats'!$C$2:$C1000, LOWER('Base Stats'!$B$2:$B1000) = LOWER($A377)), """")"),"0.04127272727")</f>
        <v>0.04127272727</v>
      </c>
      <c r="M377" s="0" t="str">
        <f aca="false">IFERROR(__xludf.dummyfunction("1.15 + 0.02 * FILTER('Base Stats'!$C$2:$C1000, LOWER('Base Stats'!$B$2:$B1000) = LOWER($A377))"),"6.15")</f>
        <v>6.15</v>
      </c>
      <c r="N377" s="0" t="e">
        <f aca="false">IFERROR(IF(AND(NOT(K377 = ""), G377 &gt;= 15),K377/M377, ""))</f>
        <v>#VALUE!</v>
      </c>
    </row>
    <row r="378" customFormat="false" ht="15.75" hidden="false" customHeight="false" outlineLevel="0" collapsed="false">
      <c r="A378" s="0" t="str">
        <f aca="false">'Form Responses (Pokemon Stats)'!B2</f>
        <v>Blastoise</v>
      </c>
      <c r="B378" s="0" t="str">
        <f aca="false">'Form Responses (Pokemon Stats)'!D2</f>
        <v>557</v>
      </c>
      <c r="C378" s="0" t="str">
        <f aca="false">'Form Responses (Pokemon Stats)'!C2</f>
        <v>65</v>
      </c>
      <c r="F378" s="0" t="str">
        <f aca="false">'Form Responses (Pokemon Stats)'!E2</f>
        <v>800</v>
      </c>
      <c r="G378" s="0" t="str">
        <f aca="false">IFERROR(__xludf.dummyfunction("ROUND(B378/ FILTER('Pokemon CP/HP'!$M$2:$M1000, LOWER('Pokemon CP/HP'!$B$2:$B1000)=LOWER(A378)))"),"18")</f>
        <v>18</v>
      </c>
      <c r="H378" s="0" t="str">
        <f aca="false">IFERROR(__xludf.dummyfunction("FILTER('Leveling Info'!$B$2:$B1000, 'Leveling Info'!$A$2:$A1000 =G378)"),"1000")</f>
        <v>1000</v>
      </c>
      <c r="I378" s="14" t="n">
        <f aca="false">SQRT(G378)</f>
        <v>4.24264068711929</v>
      </c>
      <c r="J378" s="14" t="str">
        <f aca="false">IFERROR(__xludf.dummyfunction("IF(F378 = H378,C378/FILTER('Base Stats'!$C$2:$C1000, LOWER('Base Stats'!$B$2:$B1000) = LOWER($A378)), """")"),"")</f>
        <v/>
      </c>
      <c r="K378" s="0" t="str">
        <f aca="false">IF(F378 = H378, C378/G378, "")</f>
        <v/>
      </c>
      <c r="L378" s="0" t="str">
        <f aca="false">IFERROR(__xludf.dummyfunction("IF(AND(NOT(K378 = """"), G378 &gt;= 15),K378/FILTER('Base Stats'!$C$2:$C1000, LOWER('Base Stats'!$B$2:$B1000) = LOWER($A378)), """")"),"")</f>
        <v/>
      </c>
      <c r="M378" s="0" t="str">
        <f aca="false">IFERROR(__xludf.dummyfunction("1.15 + 0.02 * FILTER('Base Stats'!$C$2:$C1000, LOWER('Base Stats'!$B$2:$B1000) = LOWER($A378))"),"2.73")</f>
        <v>2.73</v>
      </c>
      <c r="N378" s="0" t="e">
        <f aca="false">IFERROR(IF(AND(NOT(K378 = ""), G378 &gt;= 15),K378/M378, ""))</f>
        <v>#VALUE!</v>
      </c>
    </row>
    <row r="379" customFormat="false" ht="15.75" hidden="false" customHeight="false" outlineLevel="0" collapsed="false">
      <c r="A379" s="0" t="str">
        <f aca="false">'Form Responses (Pokemon Stats)'!B3</f>
        <v>Pidgeot</v>
      </c>
      <c r="B379" s="0" t="str">
        <f aca="false">'Form Responses (Pokemon Stats)'!D3</f>
        <v>856</v>
      </c>
      <c r="C379" s="0" t="str">
        <f aca="false">'Form Responses (Pokemon Stats)'!C3</f>
        <v>92</v>
      </c>
      <c r="F379" s="0" t="str">
        <f aca="false">'Form Responses (Pokemon Stats)'!E3</f>
        <v>1900</v>
      </c>
      <c r="G379" s="0" t="str">
        <f aca="false">IFERROR(__xludf.dummyfunction("ROUND(B379/ FILTER('Pokemon CP/HP'!$M$2:$M1000, LOWER('Pokemon CP/HP'!$B$2:$B1000)=LOWER(A379)))"),"31")</f>
        <v>31</v>
      </c>
      <c r="H379" s="0" t="str">
        <f aca="false">IFERROR(__xludf.dummyfunction("FILTER('Leveling Info'!$B$2:$B1000, 'Leveling Info'!$A$2:$A1000 =G379)"),"1900")</f>
        <v>1900</v>
      </c>
      <c r="I379" s="14" t="n">
        <f aca="false">SQRT(G379)</f>
        <v>5.56776436283002</v>
      </c>
      <c r="J379" s="14" t="str">
        <f aca="false">IFERROR(__xludf.dummyfunction("IF(F379 = H379,C379/FILTER('Base Stats'!$C$2:$C1000, LOWER('Base Stats'!$B$2:$B1000) = LOWER($A379)), """")"),"1.108433735")</f>
        <v>1.108433735</v>
      </c>
      <c r="K379" s="0" t="n">
        <f aca="false">IF(F379 = H379, C379/G379, "")</f>
        <v>2.96774193548387</v>
      </c>
      <c r="L379" s="0" t="str">
        <f aca="false">IFERROR(__xludf.dummyfunction("IF(AND(NOT(K379 = """"), G379 &gt;= 15),K379/FILTER('Base Stats'!$C$2:$C1000, LOWER('Base Stats'!$B$2:$B1000) = LOWER($A379)), """")"),"0.03575592693")</f>
        <v>0.03575592693</v>
      </c>
      <c r="M379" s="0" t="str">
        <f aca="false">IFERROR(__xludf.dummyfunction("1.15 + 0.02 * FILTER('Base Stats'!$C$2:$C1000, LOWER('Base Stats'!$B$2:$B1000) = LOWER($A379))"),"2.81")</f>
        <v>2.81</v>
      </c>
      <c r="N379" s="0" t="e">
        <f aca="false">IFERROR(IF(AND(NOT(K379 = ""), G379 &gt;= 15),K379/M379, ""))</f>
        <v>#VALUE!</v>
      </c>
    </row>
    <row r="380" customFormat="false" ht="15.75" hidden="false" customHeight="false" outlineLevel="0" collapsed="false">
      <c r="A380" s="0" t="str">
        <f aca="false">'Form Responses (Pokemon Stats)'!B4</f>
        <v>Bulbasaur</v>
      </c>
      <c r="B380" s="0" t="str">
        <f aca="false">'Form Responses (Pokemon Stats)'!D4</f>
        <v>14</v>
      </c>
      <c r="C380" s="0" t="str">
        <f aca="false">'Form Responses (Pokemon Stats)'!C4</f>
        <v>10</v>
      </c>
      <c r="F380" s="0" t="str">
        <f aca="false">'Form Responses (Pokemon Stats)'!E4</f>
        <v>200</v>
      </c>
      <c r="G380" s="0" t="str">
        <f aca="false">IFERROR(__xludf.dummyfunction("ROUND(B380/ FILTER('Pokemon CP/HP'!$M$2:$M1000, LOWER('Pokemon CP/HP'!$B$2:$B1000)=LOWER(A380)))"),"1")</f>
        <v>1</v>
      </c>
      <c r="H380" s="0" t="str">
        <f aca="false">IFERROR(__xludf.dummyfunction("FILTER('Leveling Info'!$B$2:$B1000, 'Leveling Info'!$A$2:$A1000 =G380)"),"200")</f>
        <v>200</v>
      </c>
      <c r="I380" s="14" t="n">
        <f aca="false">SQRT(G380)</f>
        <v>1</v>
      </c>
      <c r="J380" s="14" t="str">
        <f aca="false">IFERROR(__xludf.dummyfunction("IF(F380 = H380,C380/FILTER('Base Stats'!$C$2:$C1000, LOWER('Base Stats'!$B$2:$B1000) = LOWER($A380)), """")"),"0.2222222222")</f>
        <v>0.2222222222</v>
      </c>
      <c r="K380" s="0" t="n">
        <f aca="false">IF(F380 = H380, C380/G380, "")</f>
        <v>10</v>
      </c>
      <c r="L380" s="0" t="str">
        <f aca="false">IFERROR(__xludf.dummyfunction("IF(AND(NOT(K380 = """"), G380 &gt;= 15),K380/FILTER('Base Stats'!$C$2:$C1000, LOWER('Base Stats'!$B$2:$B1000) = LOWER($A380)), """")"),"")</f>
        <v/>
      </c>
      <c r="M380" s="0" t="str">
        <f aca="false">IFERROR(__xludf.dummyfunction("1.15 + 0.02 * FILTER('Base Stats'!$C$2:$C1000, LOWER('Base Stats'!$B$2:$B1000) = LOWER($A380))"),"2.05")</f>
        <v>2.05</v>
      </c>
      <c r="N380" s="0" t="e">
        <f aca="false">IFERROR(IF(AND(NOT(K380 = ""), G380 &gt;= 15),K380/M380, ""))</f>
        <v>#VALUE!</v>
      </c>
    </row>
    <row r="381" customFormat="false" ht="15.75" hidden="false" customHeight="false" outlineLevel="0" collapsed="false">
      <c r="A381" s="0" t="str">
        <f aca="false">'Form Responses (Pokemon Stats)'!B5</f>
        <v>Caterpie</v>
      </c>
      <c r="B381" s="0" t="str">
        <f aca="false">'Form Responses (Pokemon Stats)'!D5</f>
        <v>17</v>
      </c>
      <c r="C381" s="0" t="str">
        <f aca="false">'Form Responses (Pokemon Stats)'!C5</f>
        <v>17</v>
      </c>
      <c r="F381" s="0" t="str">
        <f aca="false">'Form Responses (Pokemon Stats)'!E5</f>
        <v>200</v>
      </c>
      <c r="G381" s="0" t="str">
        <f aca="false">IFERROR(__xludf.dummyfunction("ROUND(B381/ FILTER('Pokemon CP/HP'!$M$2:$M1000, LOWER('Pokemon CP/HP'!$B$2:$B1000)=LOWER(A381)))"),"3")</f>
        <v>3</v>
      </c>
      <c r="H381" s="0" t="str">
        <f aca="false">IFERROR(__xludf.dummyfunction("FILTER('Leveling Info'!$B$2:$B1000, 'Leveling Info'!$A$2:$A1000 =G381)"),"200")</f>
        <v>200</v>
      </c>
      <c r="I381" s="14" t="n">
        <f aca="false">SQRT(G381)</f>
        <v>1.73205080756888</v>
      </c>
      <c r="J381" s="14" t="str">
        <f aca="false">IFERROR(__xludf.dummyfunction("IF(F381 = H381,C381/FILTER('Base Stats'!$C$2:$C1000, LOWER('Base Stats'!$B$2:$B1000) = LOWER($A381)), """")"),"0.3777777778")</f>
        <v>0.3777777778</v>
      </c>
      <c r="K381" s="0" t="n">
        <f aca="false">IF(F381 = H381, C381/G381, "")</f>
        <v>5.66666666666667</v>
      </c>
      <c r="L381" s="0" t="str">
        <f aca="false">IFERROR(__xludf.dummyfunction("IF(AND(NOT(K381 = """"), G381 &gt;= 15),K381/FILTER('Base Stats'!$C$2:$C1000, LOWER('Base Stats'!$B$2:$B1000) = LOWER($A381)), """")"),"")</f>
        <v/>
      </c>
      <c r="M381" s="0" t="str">
        <f aca="false">IFERROR(__xludf.dummyfunction("1.15 + 0.02 * FILTER('Base Stats'!$C$2:$C1000, LOWER('Base Stats'!$B$2:$B1000) = LOWER($A381))"),"2.05")</f>
        <v>2.05</v>
      </c>
      <c r="N381" s="0" t="e">
        <f aca="false">IFERROR(IF(AND(NOT(K381 = ""), G381 &gt;= 15),K381/M381, ""))</f>
        <v>#VALUE!</v>
      </c>
    </row>
    <row r="382" customFormat="false" ht="15.75" hidden="false" customHeight="false" outlineLevel="0" collapsed="false">
      <c r="A382" s="0" t="str">
        <f aca="false">'Form Responses (Pokemon Stats)'!B6</f>
        <v>Drowzee</v>
      </c>
      <c r="B382" s="0" t="str">
        <f aca="false">'Form Responses (Pokemon Stats)'!D6</f>
        <v>164</v>
      </c>
      <c r="C382" s="0" t="str">
        <f aca="false">'Form Responses (Pokemon Stats)'!C6</f>
        <v>42</v>
      </c>
      <c r="F382" s="0" t="str">
        <f aca="false">'Form Responses (Pokemon Stats)'!E6</f>
        <v>600</v>
      </c>
      <c r="G382" s="0" t="str">
        <f aca="false">IFERROR(__xludf.dummyfunction("ROUND(B382/ FILTER('Pokemon CP/HP'!$M$2:$M1000, LOWER('Pokemon CP/HP'!$B$2:$B1000)=LOWER(A382)))"),"11")</f>
        <v>11</v>
      </c>
      <c r="H382" s="0" t="str">
        <f aca="false">IFERROR(__xludf.dummyfunction("FILTER('Leveling Info'!$B$2:$B1000, 'Leveling Info'!$A$2:$A1000 =G382)"),"600")</f>
        <v>600</v>
      </c>
      <c r="I382" s="14" t="n">
        <f aca="false">SQRT(G382)</f>
        <v>3.3166247903554</v>
      </c>
      <c r="J382" s="14" t="str">
        <f aca="false">IFERROR(__xludf.dummyfunction("IF(F382 = H382,C382/FILTER('Base Stats'!$C$2:$C1000, LOWER('Base Stats'!$B$2:$B1000) = LOWER($A382)), """")"),"0.7")</f>
        <v>0.7</v>
      </c>
      <c r="K382" s="0" t="n">
        <f aca="false">IF(F382 = H382, C382/G382, "")</f>
        <v>3.81818181818182</v>
      </c>
      <c r="L382" s="0" t="str">
        <f aca="false">IFERROR(__xludf.dummyfunction("IF(AND(NOT(K382 = """"), G382 &gt;= 15),K382/FILTER('Base Stats'!$C$2:$C1000, LOWER('Base Stats'!$B$2:$B1000) = LOWER($A382)), """")"),"")</f>
        <v/>
      </c>
      <c r="M382" s="0" t="str">
        <f aca="false">IFERROR(__xludf.dummyfunction("1.15 + 0.02 * FILTER('Base Stats'!$C$2:$C1000, LOWER('Base Stats'!$B$2:$B1000) = LOWER($A382))"),"2.35")</f>
        <v>2.35</v>
      </c>
      <c r="N382" s="0" t="e">
        <f aca="false">IFERROR(IF(AND(NOT(K382 = ""), G382 &gt;= 15),K382/M382, ""))</f>
        <v>#VALUE!</v>
      </c>
    </row>
    <row r="383" customFormat="false" ht="15.75" hidden="false" customHeight="false" outlineLevel="0" collapsed="false">
      <c r="A383" s="0" t="str">
        <f aca="false">'Form Responses (Pokemon Stats)'!B7</f>
        <v>Drowzee</v>
      </c>
      <c r="B383" s="0" t="str">
        <f aca="false">'Form Responses (Pokemon Stats)'!D7</f>
        <v>77</v>
      </c>
      <c r="C383" s="0" t="str">
        <f aca="false">'Form Responses (Pokemon Stats)'!C7</f>
        <v>28</v>
      </c>
      <c r="F383" s="0" t="str">
        <f aca="false">'Form Responses (Pokemon Stats)'!E7</f>
        <v>400</v>
      </c>
      <c r="G383" s="0" t="str">
        <f aca="false">IFERROR(__xludf.dummyfunction("ROUND(B383/ FILTER('Pokemon CP/HP'!$M$2:$M1000, LOWER('Pokemon CP/HP'!$B$2:$B1000)=LOWER(A383)))"),"5")</f>
        <v>5</v>
      </c>
      <c r="H383" s="0" t="str">
        <f aca="false">IFERROR(__xludf.dummyfunction("FILTER('Leveling Info'!$B$2:$B1000, 'Leveling Info'!$A$2:$A1000 =G383)"),"400")</f>
        <v>400</v>
      </c>
      <c r="I383" s="14" t="n">
        <f aca="false">SQRT(G383)</f>
        <v>2.23606797749979</v>
      </c>
      <c r="J383" s="14" t="str">
        <f aca="false">IFERROR(__xludf.dummyfunction("IF(F383 = H383,C383/FILTER('Base Stats'!$C$2:$C1000, LOWER('Base Stats'!$B$2:$B1000) = LOWER($A383)), """")"),"0.4666666667")</f>
        <v>0.4666666667</v>
      </c>
      <c r="K383" s="0" t="n">
        <f aca="false">IF(F383 = H383, C383/G383, "")</f>
        <v>5.6</v>
      </c>
      <c r="L383" s="0" t="str">
        <f aca="false">IFERROR(__xludf.dummyfunction("IF(AND(NOT(K383 = """"), G383 &gt;= 15),K383/FILTER('Base Stats'!$C$2:$C1000, LOWER('Base Stats'!$B$2:$B1000) = LOWER($A383)), """")"),"")</f>
        <v/>
      </c>
      <c r="M383" s="0" t="str">
        <f aca="false">IFERROR(__xludf.dummyfunction("1.15 + 0.02 * FILTER('Base Stats'!$C$2:$C1000, LOWER('Base Stats'!$B$2:$B1000) = LOWER($A383))"),"2.35")</f>
        <v>2.35</v>
      </c>
      <c r="N383" s="0" t="e">
        <f aca="false">IFERROR(IF(AND(NOT(K383 = ""), G383 &gt;= 15),K383/M383, ""))</f>
        <v>#VALUE!</v>
      </c>
    </row>
    <row r="384" customFormat="false" ht="15.75" hidden="false" customHeight="false" outlineLevel="0" collapsed="false">
      <c r="A384" s="0" t="str">
        <f aca="false">'Form Responses (Pokemon Stats)'!B8</f>
        <v>Drowzee</v>
      </c>
      <c r="B384" s="0" t="str">
        <f aca="false">'Form Responses (Pokemon Stats)'!D8</f>
        <v>12</v>
      </c>
      <c r="C384" s="0" t="str">
        <f aca="false">'Form Responses (Pokemon Stats)'!C8</f>
        <v>11</v>
      </c>
      <c r="F384" s="0" t="str">
        <f aca="false">'Form Responses (Pokemon Stats)'!E8</f>
        <v>200</v>
      </c>
      <c r="G384" s="0" t="str">
        <f aca="false">IFERROR(__xludf.dummyfunction("ROUND(B384/ FILTER('Pokemon CP/HP'!$M$2:$M1000, LOWER('Pokemon CP/HP'!$B$2:$B1000)=LOWER(A384)))"),"1")</f>
        <v>1</v>
      </c>
      <c r="H384" s="0" t="str">
        <f aca="false">IFERROR(__xludf.dummyfunction("FILTER('Leveling Info'!$B$2:$B1000, 'Leveling Info'!$A$2:$A1000 =G384)"),"200")</f>
        <v>200</v>
      </c>
      <c r="I384" s="14" t="n">
        <f aca="false">SQRT(G384)</f>
        <v>1</v>
      </c>
      <c r="J384" s="14" t="str">
        <f aca="false">IFERROR(__xludf.dummyfunction("IF(F384 = H384,C384/FILTER('Base Stats'!$C$2:$C1000, LOWER('Base Stats'!$B$2:$B1000) = LOWER($A384)), """")"),"0.1833333333")</f>
        <v>0.1833333333</v>
      </c>
      <c r="K384" s="0" t="n">
        <f aca="false">IF(F384 = H384, C384/G384, "")</f>
        <v>11</v>
      </c>
      <c r="L384" s="0" t="str">
        <f aca="false">IFERROR(__xludf.dummyfunction("IF(AND(NOT(K384 = """"), G384 &gt;= 15),K384/FILTER('Base Stats'!$C$2:$C1000, LOWER('Base Stats'!$B$2:$B1000) = LOWER($A384)), """")"),"")</f>
        <v/>
      </c>
      <c r="M384" s="0" t="str">
        <f aca="false">IFERROR(__xludf.dummyfunction("1.15 + 0.02 * FILTER('Base Stats'!$C$2:$C1000, LOWER('Base Stats'!$B$2:$B1000) = LOWER($A384))"),"2.35")</f>
        <v>2.35</v>
      </c>
      <c r="N384" s="0" t="e">
        <f aca="false">IFERROR(IF(AND(NOT(K384 = ""), G384 &gt;= 15),K384/M384, ""))</f>
        <v>#VALUE!</v>
      </c>
    </row>
    <row r="385" customFormat="false" ht="15.75" hidden="false" customHeight="false" outlineLevel="0" collapsed="false">
      <c r="A385" s="0" t="str">
        <f aca="false">'Form Responses (Pokemon Stats)'!B9</f>
        <v>Eevee</v>
      </c>
      <c r="B385" s="0" t="str">
        <f aca="false">'Form Responses (Pokemon Stats)'!D9</f>
        <v>74</v>
      </c>
      <c r="C385" s="0" t="str">
        <f aca="false">'Form Responses (Pokemon Stats)'!C9</f>
        <v>25</v>
      </c>
      <c r="F385" s="0" t="str">
        <f aca="false">'Form Responses (Pokemon Stats)'!E9</f>
        <v>400</v>
      </c>
      <c r="G385" s="0" t="str">
        <f aca="false">IFERROR(__xludf.dummyfunction("ROUND(B385/ FILTER('Pokemon CP/HP'!$M$2:$M1000, LOWER('Pokemon CP/HP'!$B$2:$B1000)=LOWER(A385)))"),"5")</f>
        <v>5</v>
      </c>
      <c r="H385" s="0" t="str">
        <f aca="false">IFERROR(__xludf.dummyfunction("FILTER('Leveling Info'!$B$2:$B1000, 'Leveling Info'!$A$2:$A1000 =G385)"),"400")</f>
        <v>400</v>
      </c>
      <c r="I385" s="14" t="n">
        <f aca="false">SQRT(G385)</f>
        <v>2.23606797749979</v>
      </c>
      <c r="J385" s="14" t="str">
        <f aca="false">IFERROR(__xludf.dummyfunction("IF(F385 = H385,C385/FILTER('Base Stats'!$C$2:$C1000, LOWER('Base Stats'!$B$2:$B1000) = LOWER($A385)), """")"),"0.4545454545")</f>
        <v>0.4545454545</v>
      </c>
      <c r="K385" s="0" t="n">
        <f aca="false">IF(F385 = H385, C385/G385, "")</f>
        <v>5</v>
      </c>
      <c r="L385" s="0" t="str">
        <f aca="false">IFERROR(__xludf.dummyfunction("IF(AND(NOT(K385 = """"), G385 &gt;= 15),K385/FILTER('Base Stats'!$C$2:$C1000, LOWER('Base Stats'!$B$2:$B1000) = LOWER($A385)), """")"),"")</f>
        <v/>
      </c>
      <c r="M385" s="0" t="str">
        <f aca="false">IFERROR(__xludf.dummyfunction("1.15 + 0.02 * FILTER('Base Stats'!$C$2:$C1000, LOWER('Base Stats'!$B$2:$B1000) = LOWER($A385))"),"2.25")</f>
        <v>2.25</v>
      </c>
      <c r="N385" s="0" t="e">
        <f aca="false">IFERROR(IF(AND(NOT(K385 = ""), G385 &gt;= 15),K385/M385, ""))</f>
        <v>#VALUE!</v>
      </c>
    </row>
    <row r="386" customFormat="false" ht="15.75" hidden="false" customHeight="false" outlineLevel="0" collapsed="false">
      <c r="A386" s="0" t="str">
        <f aca="false">'Form Responses (Pokemon Stats)'!B10</f>
        <v>Electabuzz</v>
      </c>
      <c r="B386" s="0" t="str">
        <f aca="false">'Form Responses (Pokemon Stats)'!D10</f>
        <v>27</v>
      </c>
      <c r="C386" s="0" t="str">
        <f aca="false">'Form Responses (Pokemon Stats)'!C10</f>
        <v>12</v>
      </c>
      <c r="F386" s="0" t="str">
        <f aca="false">'Form Responses (Pokemon Stats)'!E10</f>
        <v>200</v>
      </c>
      <c r="G386" s="0" t="str">
        <f aca="false">IFERROR(__xludf.dummyfunction("ROUND(B386/ FILTER('Pokemon CP/HP'!$M$2:$M1000, LOWER('Pokemon CP/HP'!$B$2:$B1000)=LOWER(A386)))"),"1")</f>
        <v>1</v>
      </c>
      <c r="H386" s="0" t="str">
        <f aca="false">IFERROR(__xludf.dummyfunction("FILTER('Leveling Info'!$B$2:$B1000, 'Leveling Info'!$A$2:$A1000 =G386)"),"200")</f>
        <v>200</v>
      </c>
      <c r="I386" s="14" t="n">
        <f aca="false">SQRT(G386)</f>
        <v>1</v>
      </c>
      <c r="J386" s="14" t="str">
        <f aca="false">IFERROR(__xludf.dummyfunction("IF(F386 = H386,C386/FILTER('Base Stats'!$C$2:$C1000, LOWER('Base Stats'!$B$2:$B1000) = LOWER($A386)), """")"),"0.1846153846")</f>
        <v>0.1846153846</v>
      </c>
      <c r="K386" s="0" t="n">
        <f aca="false">IF(F386 = H386, C386/G386, "")</f>
        <v>12</v>
      </c>
      <c r="L386" s="0" t="str">
        <f aca="false">IFERROR(__xludf.dummyfunction("IF(AND(NOT(K386 = """"), G386 &gt;= 15),K386/FILTER('Base Stats'!$C$2:$C1000, LOWER('Base Stats'!$B$2:$B1000) = LOWER($A386)), """")"),"")</f>
        <v/>
      </c>
      <c r="M386" s="0" t="str">
        <f aca="false">IFERROR(__xludf.dummyfunction("1.15 + 0.02 * FILTER('Base Stats'!$C$2:$C1000, LOWER('Base Stats'!$B$2:$B1000) = LOWER($A386))"),"2.45")</f>
        <v>2.45</v>
      </c>
      <c r="N386" s="0" t="e">
        <f aca="false">IFERROR(IF(AND(NOT(K386 = ""), G386 &gt;= 15),K386/M386, ""))</f>
        <v>#VALUE!</v>
      </c>
    </row>
    <row r="387" customFormat="false" ht="15.75" hidden="false" customHeight="false" outlineLevel="0" collapsed="false">
      <c r="A387" s="0" t="str">
        <f aca="false">'Form Responses (Pokemon Stats)'!B11</f>
        <v>Ekans</v>
      </c>
      <c r="B387" s="0" t="str">
        <f aca="false">'Form Responses (Pokemon Stats)'!D11</f>
        <v>32</v>
      </c>
      <c r="C387" s="0" t="str">
        <f aca="false">'Form Responses (Pokemon Stats)'!C11</f>
        <v>13</v>
      </c>
      <c r="F387" s="0" t="str">
        <f aca="false">'Form Responses (Pokemon Stats)'!E11</f>
        <v>200</v>
      </c>
      <c r="G387" s="0" t="str">
        <f aca="false">IFERROR(__xludf.dummyfunction("ROUND(B387/ FILTER('Pokemon CP/HP'!$M$2:$M1000, LOWER('Pokemon CP/HP'!$B$2:$B1000)=LOWER(A387)))"),"3")</f>
        <v>3</v>
      </c>
      <c r="H387" s="0" t="str">
        <f aca="false">IFERROR(__xludf.dummyfunction("FILTER('Leveling Info'!$B$2:$B1000, 'Leveling Info'!$A$2:$A1000 =G387)"),"200")</f>
        <v>200</v>
      </c>
      <c r="I387" s="14" t="n">
        <f aca="false">SQRT(G387)</f>
        <v>1.73205080756888</v>
      </c>
      <c r="J387" s="14" t="str">
        <f aca="false">IFERROR(__xludf.dummyfunction("IF(F387 = H387,C387/FILTER('Base Stats'!$C$2:$C1000, LOWER('Base Stats'!$B$2:$B1000) = LOWER($A387)), """")"),"0.3714285714")</f>
        <v>0.3714285714</v>
      </c>
      <c r="K387" s="0" t="n">
        <f aca="false">IF(F387 = H387, C387/G387, "")</f>
        <v>4.33333333333333</v>
      </c>
      <c r="L387" s="0" t="str">
        <f aca="false">IFERROR(__xludf.dummyfunction("IF(AND(NOT(K387 = """"), G387 &gt;= 15),K387/FILTER('Base Stats'!$C$2:$C1000, LOWER('Base Stats'!$B$2:$B1000) = LOWER($A387)), """")"),"")</f>
        <v/>
      </c>
      <c r="M387" s="0" t="str">
        <f aca="false">IFERROR(__xludf.dummyfunction("1.15 + 0.02 * FILTER('Base Stats'!$C$2:$C1000, LOWER('Base Stats'!$B$2:$B1000) = LOWER($A387))"),"1.85")</f>
        <v>1.85</v>
      </c>
      <c r="N387" s="0" t="e">
        <f aca="false">IFERROR(IF(AND(NOT(K387 = ""), G387 &gt;= 15),K387/M387, ""))</f>
        <v>#VALUE!</v>
      </c>
    </row>
    <row r="388" customFormat="false" ht="15.75" hidden="false" customHeight="false" outlineLevel="0" collapsed="false">
      <c r="A388" s="0" t="str">
        <f aca="false">'Form Responses (Pokemon Stats)'!B12</f>
        <v>Electrode</v>
      </c>
      <c r="B388" s="0" t="str">
        <f aca="false">'Form Responses (Pokemon Stats)'!D12</f>
        <v>165</v>
      </c>
      <c r="C388" s="0" t="str">
        <f aca="false">'Form Responses (Pokemon Stats)'!C12</f>
        <v>34</v>
      </c>
      <c r="F388" s="0" t="str">
        <f aca="false">'Form Responses (Pokemon Stats)'!E12</f>
        <v>400</v>
      </c>
      <c r="G388" s="0" t="str">
        <f aca="false">IFERROR(__xludf.dummyfunction("ROUND(B388/ FILTER('Pokemon CP/HP'!$M$2:$M1000, LOWER('Pokemon CP/HP'!$B$2:$B1000)=LOWER(A388)))"),"7")</f>
        <v>7</v>
      </c>
      <c r="H388" s="0" t="str">
        <f aca="false">IFERROR(__xludf.dummyfunction("FILTER('Leveling Info'!$B$2:$B1000, 'Leveling Info'!$A$2:$A1000 =G388)"),"400")</f>
        <v>400</v>
      </c>
      <c r="I388" s="14" t="n">
        <f aca="false">SQRT(G388)</f>
        <v>2.64575131106459</v>
      </c>
      <c r="J388" s="14" t="str">
        <f aca="false">IFERROR(__xludf.dummyfunction("IF(F388 = H388,C388/FILTER('Base Stats'!$C$2:$C1000, LOWER('Base Stats'!$B$2:$B1000) = LOWER($A388)), """")"),"0.5666666667")</f>
        <v>0.5666666667</v>
      </c>
      <c r="K388" s="0" t="n">
        <f aca="false">IF(F388 = H388, C388/G388, "")</f>
        <v>4.85714285714286</v>
      </c>
      <c r="L388" s="0" t="str">
        <f aca="false">IFERROR(__xludf.dummyfunction("IF(AND(NOT(K388 = """"), G388 &gt;= 15),K388/FILTER('Base Stats'!$C$2:$C1000, LOWER('Base Stats'!$B$2:$B1000) = LOWER($A388)), """")"),"")</f>
        <v/>
      </c>
      <c r="M388" s="0" t="str">
        <f aca="false">IFERROR(__xludf.dummyfunction("1.15 + 0.02 * FILTER('Base Stats'!$C$2:$C1000, LOWER('Base Stats'!$B$2:$B1000) = LOWER($A388))"),"2.35")</f>
        <v>2.35</v>
      </c>
      <c r="N388" s="0" t="e">
        <f aca="false">IFERROR(IF(AND(NOT(K388 = ""), G388 &gt;= 15),K388/M388, ""))</f>
        <v>#VALUE!</v>
      </c>
    </row>
    <row r="389" customFormat="false" ht="15.75" hidden="false" customHeight="false" outlineLevel="0" collapsed="false">
      <c r="A389" s="0" t="str">
        <f aca="false">'Form Responses (Pokemon Stats)'!B13</f>
        <v>Jigglypuff</v>
      </c>
      <c r="B389" s="0" t="str">
        <f aca="false">'Form Responses (Pokemon Stats)'!D13</f>
        <v>81</v>
      </c>
      <c r="C389" s="0" t="str">
        <f aca="false">'Form Responses (Pokemon Stats)'!C13</f>
        <v>61</v>
      </c>
      <c r="F389" s="0" t="str">
        <f aca="false">'Form Responses (Pokemon Stats)'!E13</f>
        <v>400</v>
      </c>
      <c r="G389" s="0" t="str">
        <f aca="false">IFERROR(__xludf.dummyfunction("ROUND(B389/ FILTER('Pokemon CP/HP'!$M$2:$M1000, LOWER('Pokemon CP/HP'!$B$2:$B1000)=LOWER(A389)))"),"7")</f>
        <v>7</v>
      </c>
      <c r="H389" s="0" t="str">
        <f aca="false">IFERROR(__xludf.dummyfunction("FILTER('Leveling Info'!$B$2:$B1000, 'Leveling Info'!$A$2:$A1000 =G389)"),"400")</f>
        <v>400</v>
      </c>
      <c r="I389" s="14" t="n">
        <f aca="false">SQRT(G389)</f>
        <v>2.64575131106459</v>
      </c>
      <c r="J389" s="14" t="str">
        <f aca="false">IFERROR(__xludf.dummyfunction("IF(F389 = H389,C389/FILTER('Base Stats'!$C$2:$C1000, LOWER('Base Stats'!$B$2:$B1000) = LOWER($A389)), """")"),"0.5304347826")</f>
        <v>0.5304347826</v>
      </c>
      <c r="K389" s="0" t="n">
        <f aca="false">IF(F389 = H389, C389/G389, "")</f>
        <v>8.71428571428571</v>
      </c>
      <c r="L389" s="0" t="str">
        <f aca="false">IFERROR(__xludf.dummyfunction("IF(AND(NOT(K389 = """"), G389 &gt;= 15),K389/FILTER('Base Stats'!$C$2:$C1000, LOWER('Base Stats'!$B$2:$B1000) = LOWER($A389)), """")"),"")</f>
        <v/>
      </c>
      <c r="M389" s="0" t="str">
        <f aca="false">IFERROR(__xludf.dummyfunction("1.15 + 0.02 * FILTER('Base Stats'!$C$2:$C1000, LOWER('Base Stats'!$B$2:$B1000) = LOWER($A389))"),"3.45")</f>
        <v>3.45</v>
      </c>
      <c r="N389" s="0" t="e">
        <f aca="false">IFERROR(IF(AND(NOT(K389 = ""), G389 &gt;= 15),K389/M389, ""))</f>
        <v>#VALUE!</v>
      </c>
    </row>
    <row r="390" customFormat="false" ht="15.75" hidden="false" customHeight="false" outlineLevel="0" collapsed="false">
      <c r="A390" s="0" t="str">
        <f aca="false">'Form Responses (Pokemon Stats)'!B14</f>
        <v>Magnemite</v>
      </c>
      <c r="B390" s="0" t="str">
        <f aca="false">'Form Responses (Pokemon Stats)'!D14</f>
        <v>78</v>
      </c>
      <c r="C390" s="0" t="str">
        <f aca="false">'Form Responses (Pokemon Stats)'!C14</f>
        <v>13</v>
      </c>
      <c r="F390" s="0" t="str">
        <f aca="false">'Form Responses (Pokemon Stats)'!E14</f>
        <v>400</v>
      </c>
      <c r="G390" s="0" t="str">
        <f aca="false">IFERROR(__xludf.dummyfunction("ROUND(B390/ FILTER('Pokemon CP/HP'!$M$2:$M1000, LOWER('Pokemon CP/HP'!$B$2:$B1000)=LOWER(A390)))"),"7")</f>
        <v>7</v>
      </c>
      <c r="H390" s="0" t="str">
        <f aca="false">IFERROR(__xludf.dummyfunction("FILTER('Leveling Info'!$B$2:$B1000, 'Leveling Info'!$A$2:$A1000 =G390)"),"400")</f>
        <v>400</v>
      </c>
      <c r="I390" s="14" t="n">
        <f aca="false">SQRT(G390)</f>
        <v>2.64575131106459</v>
      </c>
      <c r="J390" s="14" t="str">
        <f aca="false">IFERROR(__xludf.dummyfunction("IF(F390 = H390,C390/FILTER('Base Stats'!$C$2:$C1000, LOWER('Base Stats'!$B$2:$B1000) = LOWER($A390)), """")"),"0.52")</f>
        <v>0.52</v>
      </c>
      <c r="K390" s="0" t="n">
        <f aca="false">IF(F390 = H390, C390/G390, "")</f>
        <v>1.85714285714286</v>
      </c>
      <c r="L390" s="0" t="str">
        <f aca="false">IFERROR(__xludf.dummyfunction("IF(AND(NOT(K390 = """"), G390 &gt;= 15),K390/FILTER('Base Stats'!$C$2:$C1000, LOWER('Base Stats'!$B$2:$B1000) = LOWER($A390)), """")"),"")</f>
        <v/>
      </c>
      <c r="M390" s="0" t="str">
        <f aca="false">IFERROR(__xludf.dummyfunction("1.15 + 0.02 * FILTER('Base Stats'!$C$2:$C1000, LOWER('Base Stats'!$B$2:$B1000) = LOWER($A390))"),"1.65")</f>
        <v>1.65</v>
      </c>
      <c r="N390" s="0" t="e">
        <f aca="false">IFERROR(IF(AND(NOT(K390 = ""), G390 &gt;= 15),K390/M390, ""))</f>
        <v>#VALUE!</v>
      </c>
    </row>
    <row r="391" customFormat="false" ht="15.75" hidden="false" customHeight="false" outlineLevel="0" collapsed="false">
      <c r="A391" s="0" t="str">
        <f aca="false">'Form Responses (Pokemon Stats)'!B15</f>
        <v>Magnemite</v>
      </c>
      <c r="B391" s="0" t="str">
        <f aca="false">'Form Responses (Pokemon Stats)'!D15</f>
        <v>61</v>
      </c>
      <c r="C391" s="0" t="str">
        <f aca="false">'Form Responses (Pokemon Stats)'!C15</f>
        <v>13</v>
      </c>
      <c r="F391" s="0" t="str">
        <f aca="false">'Form Responses (Pokemon Stats)'!E15</f>
        <v>400</v>
      </c>
      <c r="G391" s="0" t="str">
        <f aca="false">IFERROR(__xludf.dummyfunction("ROUND(B391/ FILTER('Pokemon CP/HP'!$M$2:$M1000, LOWER('Pokemon CP/HP'!$B$2:$B1000)=LOWER(A391)))"),"5")</f>
        <v>5</v>
      </c>
      <c r="H391" s="0" t="str">
        <f aca="false">IFERROR(__xludf.dummyfunction("FILTER('Leveling Info'!$B$2:$B1000, 'Leveling Info'!$A$2:$A1000 =G391)"),"400")</f>
        <v>400</v>
      </c>
      <c r="I391" s="14" t="n">
        <f aca="false">SQRT(G391)</f>
        <v>2.23606797749979</v>
      </c>
      <c r="J391" s="14" t="str">
        <f aca="false">IFERROR(__xludf.dummyfunction("IF(F391 = H391,C391/FILTER('Base Stats'!$C$2:$C1000, LOWER('Base Stats'!$B$2:$B1000) = LOWER($A391)), """")"),"0.52")</f>
        <v>0.52</v>
      </c>
      <c r="K391" s="0" t="n">
        <f aca="false">IF(F391 = H391, C391/G391, "")</f>
        <v>2.6</v>
      </c>
      <c r="L391" s="0" t="str">
        <f aca="false">IFERROR(__xludf.dummyfunction("IF(AND(NOT(K391 = """"), G391 &gt;= 15),K391/FILTER('Base Stats'!$C$2:$C1000, LOWER('Base Stats'!$B$2:$B1000) = LOWER($A391)), """")"),"")</f>
        <v/>
      </c>
      <c r="M391" s="0" t="str">
        <f aca="false">IFERROR(__xludf.dummyfunction("1.15 + 0.02 * FILTER('Base Stats'!$C$2:$C1000, LOWER('Base Stats'!$B$2:$B1000) = LOWER($A391))"),"1.65")</f>
        <v>1.65</v>
      </c>
      <c r="N391" s="0" t="e">
        <f aca="false">IFERROR(IF(AND(NOT(K391 = ""), G391 &gt;= 15),K391/M391, ""))</f>
        <v>#VALUE!</v>
      </c>
    </row>
    <row r="392" customFormat="false" ht="15.75" hidden="false" customHeight="false" outlineLevel="0" collapsed="false">
      <c r="A392" s="0" t="str">
        <f aca="false">'Form Responses (Pokemon Stats)'!B16</f>
        <v>Magnemite</v>
      </c>
      <c r="B392" s="0" t="str">
        <f aca="false">'Form Responses (Pokemon Stats)'!D16</f>
        <v>34</v>
      </c>
      <c r="C392" s="0" t="str">
        <f aca="false">'Form Responses (Pokemon Stats)'!C16</f>
        <v>10</v>
      </c>
      <c r="F392" s="0" t="str">
        <f aca="false">'Form Responses (Pokemon Stats)'!E16</f>
        <v>200</v>
      </c>
      <c r="G392" s="0" t="str">
        <f aca="false">IFERROR(__xludf.dummyfunction("ROUND(B392/ FILTER('Pokemon CP/HP'!$M$2:$M1000, LOWER('Pokemon CP/HP'!$B$2:$B1000)=LOWER(A392)))"),"3")</f>
        <v>3</v>
      </c>
      <c r="H392" s="0" t="str">
        <f aca="false">IFERROR(__xludf.dummyfunction("FILTER('Leveling Info'!$B$2:$B1000, 'Leveling Info'!$A$2:$A1000 =G392)"),"200")</f>
        <v>200</v>
      </c>
      <c r="I392" s="14" t="n">
        <f aca="false">SQRT(G392)</f>
        <v>1.73205080756888</v>
      </c>
      <c r="J392" s="14" t="str">
        <f aca="false">IFERROR(__xludf.dummyfunction("IF(F392 = H392,C392/FILTER('Base Stats'!$C$2:$C1000, LOWER('Base Stats'!$B$2:$B1000) = LOWER($A392)), """")"),"0.4")</f>
        <v>0.4</v>
      </c>
      <c r="K392" s="0" t="n">
        <f aca="false">IF(F392 = H392, C392/G392, "")</f>
        <v>3.33333333333333</v>
      </c>
      <c r="L392" s="0" t="str">
        <f aca="false">IFERROR(__xludf.dummyfunction("IF(AND(NOT(K392 = """"), G392 &gt;= 15),K392/FILTER('Base Stats'!$C$2:$C1000, LOWER('Base Stats'!$B$2:$B1000) = LOWER($A392)), """")"),"")</f>
        <v/>
      </c>
      <c r="M392" s="0" t="str">
        <f aca="false">IFERROR(__xludf.dummyfunction("1.15 + 0.02 * FILTER('Base Stats'!$C$2:$C1000, LOWER('Base Stats'!$B$2:$B1000) = LOWER($A392))"),"1.65")</f>
        <v>1.65</v>
      </c>
      <c r="N392" s="0" t="e">
        <f aca="false">IFERROR(IF(AND(NOT(K392 = ""), G392 &gt;= 15),K392/M392, ""))</f>
        <v>#VALUE!</v>
      </c>
    </row>
    <row r="393" customFormat="false" ht="15.75" hidden="false" customHeight="false" outlineLevel="0" collapsed="false">
      <c r="A393" s="0" t="str">
        <f aca="false">'Form Responses (Pokemon Stats)'!B17</f>
        <v>Oddish</v>
      </c>
      <c r="B393" s="0" t="str">
        <f aca="false">'Form Responses (Pokemon Stats)'!D17</f>
        <v>80</v>
      </c>
      <c r="C393" s="0" t="str">
        <f aca="false">'Form Responses (Pokemon Stats)'!C17</f>
        <v>22</v>
      </c>
      <c r="F393" s="0" t="str">
        <f aca="false">'Form Responses (Pokemon Stats)'!E17</f>
        <v>400</v>
      </c>
      <c r="G393" s="0" t="str">
        <f aca="false">IFERROR(__xludf.dummyfunction("ROUND(B393/ FILTER('Pokemon CP/HP'!$M$2:$M1000, LOWER('Pokemon CP/HP'!$B$2:$B1000)=LOWER(A393)))"),"5")</f>
        <v>5</v>
      </c>
      <c r="H393" s="0" t="str">
        <f aca="false">IFERROR(__xludf.dummyfunction("FILTER('Leveling Info'!$B$2:$B1000, 'Leveling Info'!$A$2:$A1000 =G393)"),"400")</f>
        <v>400</v>
      </c>
      <c r="I393" s="14" t="n">
        <f aca="false">SQRT(G393)</f>
        <v>2.23606797749979</v>
      </c>
      <c r="J393" s="14" t="str">
        <f aca="false">IFERROR(__xludf.dummyfunction("IF(F393 = H393,C393/FILTER('Base Stats'!$C$2:$C1000, LOWER('Base Stats'!$B$2:$B1000) = LOWER($A393)), """")"),"0.4888888889")</f>
        <v>0.4888888889</v>
      </c>
      <c r="K393" s="0" t="n">
        <f aca="false">IF(F393 = H393, C393/G393, "")</f>
        <v>4.4</v>
      </c>
      <c r="L393" s="0" t="str">
        <f aca="false">IFERROR(__xludf.dummyfunction("IF(AND(NOT(K393 = """"), G393 &gt;= 15),K393/FILTER('Base Stats'!$C$2:$C1000, LOWER('Base Stats'!$B$2:$B1000) = LOWER($A393)), """")"),"")</f>
        <v/>
      </c>
      <c r="M393" s="0" t="str">
        <f aca="false">IFERROR(__xludf.dummyfunction("1.15 + 0.02 * FILTER('Base Stats'!$C$2:$C1000, LOWER('Base Stats'!$B$2:$B1000) = LOWER($A393))"),"2.05")</f>
        <v>2.05</v>
      </c>
      <c r="N393" s="0" t="e">
        <f aca="false">IFERROR(IF(AND(NOT(K393 = ""), G393 &gt;= 15),K393/M393, ""))</f>
        <v>#VALUE!</v>
      </c>
    </row>
    <row r="394" customFormat="false" ht="15.75" hidden="false" customHeight="false" outlineLevel="0" collapsed="false">
      <c r="A394" s="0" t="str">
        <f aca="false">'Form Responses (Pokemon Stats)'!B18</f>
        <v>Pidgeot</v>
      </c>
      <c r="B394" s="0" t="str">
        <f aca="false">'Form Responses (Pokemon Stats)'!D18</f>
        <v>196</v>
      </c>
      <c r="C394" s="0" t="str">
        <f aca="false">'Form Responses (Pokemon Stats)'!C18</f>
        <v>43</v>
      </c>
      <c r="F394" s="0" t="str">
        <f aca="false">'Form Responses (Pokemon Stats)'!E18</f>
        <v>400</v>
      </c>
      <c r="G394" s="0" t="str">
        <f aca="false">IFERROR(__xludf.dummyfunction("ROUND(B394/ FILTER('Pokemon CP/HP'!$M$2:$M1000, LOWER('Pokemon CP/HP'!$B$2:$B1000)=LOWER(A394)))"),"7")</f>
        <v>7</v>
      </c>
      <c r="H394" s="0" t="str">
        <f aca="false">IFERROR(__xludf.dummyfunction("FILTER('Leveling Info'!$B$2:$B1000, 'Leveling Info'!$A$2:$A1000 =G394)"),"400")</f>
        <v>400</v>
      </c>
      <c r="I394" s="14" t="n">
        <f aca="false">SQRT(G394)</f>
        <v>2.64575131106459</v>
      </c>
      <c r="J394" s="14" t="str">
        <f aca="false">IFERROR(__xludf.dummyfunction("IF(F394 = H394,C394/FILTER('Base Stats'!$C$2:$C1000, LOWER('Base Stats'!$B$2:$B1000) = LOWER($A394)), """")"),"0.5180722892")</f>
        <v>0.5180722892</v>
      </c>
      <c r="K394" s="0" t="n">
        <f aca="false">IF(F394 = H394, C394/G394, "")</f>
        <v>6.14285714285714</v>
      </c>
      <c r="L394" s="0" t="str">
        <f aca="false">IFERROR(__xludf.dummyfunction("IF(AND(NOT(K394 = """"), G394 &gt;= 15),K394/FILTER('Base Stats'!$C$2:$C1000, LOWER('Base Stats'!$B$2:$B1000) = LOWER($A394)), """")"),"")</f>
        <v/>
      </c>
      <c r="M394" s="0" t="str">
        <f aca="false">IFERROR(__xludf.dummyfunction("1.15 + 0.02 * FILTER('Base Stats'!$C$2:$C1000, LOWER('Base Stats'!$B$2:$B1000) = LOWER($A394))"),"2.81")</f>
        <v>2.81</v>
      </c>
      <c r="N394" s="0" t="e">
        <f aca="false">IFERROR(IF(AND(NOT(K394 = ""), G394 &gt;= 15),K394/M394, ""))</f>
        <v>#VALUE!</v>
      </c>
    </row>
    <row r="395" customFormat="false" ht="15.75" hidden="false" customHeight="false" outlineLevel="0" collapsed="false">
      <c r="A395" s="0" t="str">
        <f aca="false">'Form Responses (Pokemon Stats)'!B19</f>
        <v>Pidgeotto</v>
      </c>
      <c r="B395" s="0" t="str">
        <f aca="false">'Form Responses (Pokemon Stats)'!D19</f>
        <v>86</v>
      </c>
      <c r="C395" s="0" t="str">
        <f aca="false">'Form Responses (Pokemon Stats)'!C19</f>
        <v>29</v>
      </c>
      <c r="F395" s="0" t="str">
        <f aca="false">'Form Responses (Pokemon Stats)'!E19</f>
        <v>400</v>
      </c>
      <c r="G395" s="0" t="str">
        <f aca="false">IFERROR(__xludf.dummyfunction("ROUND(B395/ FILTER('Pokemon CP/HP'!$M$2:$M1000, LOWER('Pokemon CP/HP'!$B$2:$B1000)=LOWER(A395)))"),"5")</f>
        <v>5</v>
      </c>
      <c r="H395" s="0" t="str">
        <f aca="false">IFERROR(__xludf.dummyfunction("FILTER('Leveling Info'!$B$2:$B1000, 'Leveling Info'!$A$2:$A1000 =G395)"),"400")</f>
        <v>400</v>
      </c>
      <c r="I395" s="14" t="n">
        <f aca="false">SQRT(G395)</f>
        <v>2.23606797749979</v>
      </c>
      <c r="J395" s="14" t="str">
        <f aca="false">IFERROR(__xludf.dummyfunction("IF(F395 = H395,C395/FILTER('Base Stats'!$C$2:$C1000, LOWER('Base Stats'!$B$2:$B1000) = LOWER($A395)), """")"),"0.4603174603")</f>
        <v>0.4603174603</v>
      </c>
      <c r="K395" s="0" t="n">
        <f aca="false">IF(F395 = H395, C395/G395, "")</f>
        <v>5.8</v>
      </c>
      <c r="L395" s="0" t="str">
        <f aca="false">IFERROR(__xludf.dummyfunction("IF(AND(NOT(K395 = """"), G395 &gt;= 15),K395/FILTER('Base Stats'!$C$2:$C1000, LOWER('Base Stats'!$B$2:$B1000) = LOWER($A395)), """")"),"")</f>
        <v/>
      </c>
      <c r="M395" s="0" t="str">
        <f aca="false">IFERROR(__xludf.dummyfunction("1.15 + 0.02 * FILTER('Base Stats'!$C$2:$C1000, LOWER('Base Stats'!$B$2:$B1000) = LOWER($A395))"),"2.41")</f>
        <v>2.41</v>
      </c>
      <c r="N395" s="0" t="e">
        <f aca="false">IFERROR(IF(AND(NOT(K395 = ""), G395 &gt;= 15),K395/M395, ""))</f>
        <v>#VALUE!</v>
      </c>
    </row>
    <row r="396" customFormat="false" ht="15.75" hidden="false" customHeight="false" outlineLevel="0" collapsed="false">
      <c r="A396" s="0" t="str">
        <f aca="false">'Form Responses (Pokemon Stats)'!B20</f>
        <v>Pidgey</v>
      </c>
      <c r="B396" s="0" t="str">
        <f aca="false">'Form Responses (Pokemon Stats)'!D20</f>
        <v>94</v>
      </c>
      <c r="C396" s="0" t="str">
        <f aca="false">'Form Responses (Pokemon Stats)'!C20</f>
        <v>29</v>
      </c>
      <c r="F396" s="0" t="str">
        <f aca="false">'Form Responses (Pokemon Stats)'!E20</f>
        <v>600</v>
      </c>
      <c r="G396" s="0" t="str">
        <f aca="false">IFERROR(__xludf.dummyfunction("ROUND(B396/ FILTER('Pokemon CP/HP'!$M$2:$M1000, LOWER('Pokemon CP/HP'!$B$2:$B1000)=LOWER(A396)))"),"9")</f>
        <v>9</v>
      </c>
      <c r="H396" s="0" t="str">
        <f aca="false">IFERROR(__xludf.dummyfunction("FILTER('Leveling Info'!$B$2:$B1000, 'Leveling Info'!$A$2:$A1000 =G396)"),"600")</f>
        <v>600</v>
      </c>
      <c r="I396" s="14" t="n">
        <f aca="false">SQRT(G396)</f>
        <v>3</v>
      </c>
      <c r="J396" s="14" t="str">
        <f aca="false">IFERROR(__xludf.dummyfunction("IF(F396 = H396,C396/FILTER('Base Stats'!$C$2:$C1000, LOWER('Base Stats'!$B$2:$B1000) = LOWER($A396)), """")"),"0.725")</f>
        <v>0.725</v>
      </c>
      <c r="K396" s="0" t="n">
        <f aca="false">IF(F396 = H396, C396/G396, "")</f>
        <v>3.22222222222222</v>
      </c>
      <c r="L396" s="0" t="str">
        <f aca="false">IFERROR(__xludf.dummyfunction("IF(AND(NOT(K396 = """"), G396 &gt;= 15),K396/FILTER('Base Stats'!$C$2:$C1000, LOWER('Base Stats'!$B$2:$B1000) = LOWER($A396)), """")"),"")</f>
        <v/>
      </c>
      <c r="M396" s="0" t="str">
        <f aca="false">IFERROR(__xludf.dummyfunction("1.15 + 0.02 * FILTER('Base Stats'!$C$2:$C1000, LOWER('Base Stats'!$B$2:$B1000) = LOWER($A396))"),"1.95")</f>
        <v>1.95</v>
      </c>
      <c r="N396" s="0" t="e">
        <f aca="false">IFERROR(IF(AND(NOT(K396 = ""), G396 &gt;= 15),K396/M396, ""))</f>
        <v>#VALUE!</v>
      </c>
    </row>
    <row r="397" customFormat="false" ht="15.75" hidden="false" customHeight="false" outlineLevel="0" collapsed="false">
      <c r="A397" s="0" t="str">
        <f aca="false">'Form Responses (Pokemon Stats)'!B21</f>
        <v>Pidgey</v>
      </c>
      <c r="B397" s="0" t="str">
        <f aca="false">'Form Responses (Pokemon Stats)'!D21</f>
        <v>81</v>
      </c>
      <c r="C397" s="0" t="str">
        <f aca="false">'Form Responses (Pokemon Stats)'!C21</f>
        <v>26</v>
      </c>
      <c r="F397" s="0" t="str">
        <f aca="false">'Form Responses (Pokemon Stats)'!E21</f>
        <v>600</v>
      </c>
      <c r="G397" s="0" t="str">
        <f aca="false">IFERROR(__xludf.dummyfunction("ROUND(B397/ FILTER('Pokemon CP/HP'!$M$2:$M1000, LOWER('Pokemon CP/HP'!$B$2:$B1000)=LOWER(A397)))"),"8")</f>
        <v>8</v>
      </c>
      <c r="H397" s="0" t="str">
        <f aca="false">IFERROR(__xludf.dummyfunction("FILTER('Leveling Info'!$B$2:$B1000, 'Leveling Info'!$A$2:$A1000 =G397)"),"400")</f>
        <v>400</v>
      </c>
      <c r="I397" s="14" t="n">
        <f aca="false">SQRT(G397)</f>
        <v>2.82842712474619</v>
      </c>
      <c r="J397" s="14" t="str">
        <f aca="false">IFERROR(__xludf.dummyfunction("IF(F397 = H397,C397/FILTER('Base Stats'!$C$2:$C1000, LOWER('Base Stats'!$B$2:$B1000) = LOWER($A397)), """")"),"")</f>
        <v/>
      </c>
      <c r="K397" s="0" t="str">
        <f aca="false">IF(F397 = H397, C397/G397, "")</f>
        <v/>
      </c>
      <c r="L397" s="0" t="str">
        <f aca="false">IFERROR(__xludf.dummyfunction("IF(AND(NOT(K397 = """"), G397 &gt;= 15),K397/FILTER('Base Stats'!$C$2:$C1000, LOWER('Base Stats'!$B$2:$B1000) = LOWER($A397)), """")"),"")</f>
        <v/>
      </c>
      <c r="M397" s="0" t="str">
        <f aca="false">IFERROR(__xludf.dummyfunction("1.15 + 0.02 * FILTER('Base Stats'!$C$2:$C1000, LOWER('Base Stats'!$B$2:$B1000) = LOWER($A397))"),"1.95")</f>
        <v>1.95</v>
      </c>
      <c r="N397" s="0" t="e">
        <f aca="false">IFERROR(IF(AND(NOT(K397 = ""), G397 &gt;= 15),K397/M397, ""))</f>
        <v>#VALUE!</v>
      </c>
    </row>
    <row r="398" customFormat="false" ht="15.75" hidden="false" customHeight="false" outlineLevel="0" collapsed="false">
      <c r="A398" s="0" t="str">
        <f aca="false">'Form Responses (Pokemon Stats)'!B22</f>
        <v>Pidgey</v>
      </c>
      <c r="B398" s="0" t="str">
        <f aca="false">'Form Responses (Pokemon Stats)'!D22</f>
        <v>42</v>
      </c>
      <c r="C398" s="0" t="str">
        <f aca="false">'Form Responses (Pokemon Stats)'!C22</f>
        <v>18</v>
      </c>
      <c r="F398" s="0" t="str">
        <f aca="false">'Form Responses (Pokemon Stats)'!E22</f>
        <v>400</v>
      </c>
      <c r="G398" s="0" t="str">
        <f aca="false">IFERROR(__xludf.dummyfunction("ROUND(B398/ FILTER('Pokemon CP/HP'!$M$2:$M1000, LOWER('Pokemon CP/HP'!$B$2:$B1000)=LOWER(A398)))"),"4")</f>
        <v>4</v>
      </c>
      <c r="H398" s="0" t="str">
        <f aca="false">IFERROR(__xludf.dummyfunction("FILTER('Leveling Info'!$B$2:$B1000, 'Leveling Info'!$A$2:$A1000 =G398)"),"200")</f>
        <v>200</v>
      </c>
      <c r="I398" s="14" t="n">
        <f aca="false">SQRT(G398)</f>
        <v>2</v>
      </c>
      <c r="J398" s="14" t="str">
        <f aca="false">IFERROR(__xludf.dummyfunction("IF(F398 = H398,C398/FILTER('Base Stats'!$C$2:$C1000, LOWER('Base Stats'!$B$2:$B1000) = LOWER($A398)), """")"),"")</f>
        <v/>
      </c>
      <c r="K398" s="0" t="str">
        <f aca="false">IF(F398 = H398, C398/G398, "")</f>
        <v/>
      </c>
      <c r="L398" s="0" t="str">
        <f aca="false">IFERROR(__xludf.dummyfunction("IF(AND(NOT(K398 = """"), G398 &gt;= 15),K398/FILTER('Base Stats'!$C$2:$C1000, LOWER('Base Stats'!$B$2:$B1000) = LOWER($A398)), """")"),"")</f>
        <v/>
      </c>
      <c r="M398" s="0" t="str">
        <f aca="false">IFERROR(__xludf.dummyfunction("1.15 + 0.02 * FILTER('Base Stats'!$C$2:$C1000, LOWER('Base Stats'!$B$2:$B1000) = LOWER($A398))"),"1.95")</f>
        <v>1.95</v>
      </c>
      <c r="N398" s="0" t="e">
        <f aca="false">IFERROR(IF(AND(NOT(K398 = ""), G398 &gt;= 15),K398/M398, ""))</f>
        <v>#VALUE!</v>
      </c>
    </row>
    <row r="399" customFormat="false" ht="15.75" hidden="false" customHeight="false" outlineLevel="0" collapsed="false">
      <c r="A399" s="0" t="str">
        <f aca="false">'Form Responses (Pokemon Stats)'!B23</f>
        <v>Pidgey</v>
      </c>
      <c r="B399" s="0" t="str">
        <f aca="false">'Form Responses (Pokemon Stats)'!D23</f>
        <v>40</v>
      </c>
      <c r="C399" s="0" t="str">
        <f aca="false">'Form Responses (Pokemon Stats)'!C23</f>
        <v>19</v>
      </c>
      <c r="F399" s="0" t="str">
        <f aca="false">'Form Responses (Pokemon Stats)'!E23</f>
        <v>400</v>
      </c>
      <c r="G399" s="0" t="str">
        <f aca="false">IFERROR(__xludf.dummyfunction("ROUND(B399/ FILTER('Pokemon CP/HP'!$M$2:$M1000, LOWER('Pokemon CP/HP'!$B$2:$B1000)=LOWER(A399)))"),"4")</f>
        <v>4</v>
      </c>
      <c r="H399" s="0" t="str">
        <f aca="false">IFERROR(__xludf.dummyfunction("FILTER('Leveling Info'!$B$2:$B1000, 'Leveling Info'!$A$2:$A1000 =G399)"),"200")</f>
        <v>200</v>
      </c>
      <c r="I399" s="14" t="n">
        <f aca="false">SQRT(G399)</f>
        <v>2</v>
      </c>
      <c r="J399" s="14" t="str">
        <f aca="false">IFERROR(__xludf.dummyfunction("IF(F399 = H399,C399/FILTER('Base Stats'!$C$2:$C1000, LOWER('Base Stats'!$B$2:$B1000) = LOWER($A399)), """")"),"")</f>
        <v/>
      </c>
      <c r="K399" s="0" t="str">
        <f aca="false">IF(F399 = H399, C399/G399, "")</f>
        <v/>
      </c>
      <c r="L399" s="0" t="str">
        <f aca="false">IFERROR(__xludf.dummyfunction("IF(AND(NOT(K399 = """"), G399 &gt;= 15),K399/FILTER('Base Stats'!$C$2:$C1000, LOWER('Base Stats'!$B$2:$B1000) = LOWER($A399)), """")"),"")</f>
        <v/>
      </c>
      <c r="M399" s="0" t="str">
        <f aca="false">IFERROR(__xludf.dummyfunction("1.15 + 0.02 * FILTER('Base Stats'!$C$2:$C1000, LOWER('Base Stats'!$B$2:$B1000) = LOWER($A399))"),"1.95")</f>
        <v>1.95</v>
      </c>
      <c r="N399" s="0" t="e">
        <f aca="false">IFERROR(IF(AND(NOT(K399 = ""), G399 &gt;= 15),K399/M399, ""))</f>
        <v>#VALUE!</v>
      </c>
    </row>
    <row r="400" customFormat="false" ht="15.75" hidden="false" customHeight="false" outlineLevel="0" collapsed="false">
      <c r="A400" s="0" t="str">
        <f aca="false">'Form Responses (Pokemon Stats)'!B24</f>
        <v>Pidgey</v>
      </c>
      <c r="B400" s="0" t="str">
        <f aca="false">'Form Responses (Pokemon Stats)'!D24</f>
        <v>26</v>
      </c>
      <c r="C400" s="0" t="str">
        <f aca="false">'Form Responses (Pokemon Stats)'!C24</f>
        <v>15</v>
      </c>
      <c r="F400" s="0" t="str">
        <f aca="false">'Form Responses (Pokemon Stats)'!E24</f>
        <v>200</v>
      </c>
      <c r="G400" s="0" t="str">
        <f aca="false">IFERROR(__xludf.dummyfunction("ROUND(B400/ FILTER('Pokemon CP/HP'!$M$2:$M1000, LOWER('Pokemon CP/HP'!$B$2:$B1000)=LOWER(A400)))"),"3")</f>
        <v>3</v>
      </c>
      <c r="H400" s="0" t="str">
        <f aca="false">IFERROR(__xludf.dummyfunction("FILTER('Leveling Info'!$B$2:$B1000, 'Leveling Info'!$A$2:$A1000 =G400)"),"200")</f>
        <v>200</v>
      </c>
      <c r="I400" s="14" t="n">
        <f aca="false">SQRT(G400)</f>
        <v>1.73205080756888</v>
      </c>
      <c r="J400" s="14" t="str">
        <f aca="false">IFERROR(__xludf.dummyfunction("IF(F400 = H400,C400/FILTER('Base Stats'!$C$2:$C1000, LOWER('Base Stats'!$B$2:$B1000) = LOWER($A400)), """")"),"0.375")</f>
        <v>0.375</v>
      </c>
      <c r="K400" s="0" t="n">
        <f aca="false">IF(F400 = H400, C400/G400, "")</f>
        <v>5</v>
      </c>
      <c r="L400" s="0" t="str">
        <f aca="false">IFERROR(__xludf.dummyfunction("IF(AND(NOT(K400 = """"), G400 &gt;= 15),K400/FILTER('Base Stats'!$C$2:$C1000, LOWER('Base Stats'!$B$2:$B1000) = LOWER($A400)), """")"),"")</f>
        <v/>
      </c>
      <c r="M400" s="0" t="str">
        <f aca="false">IFERROR(__xludf.dummyfunction("1.15 + 0.02 * FILTER('Base Stats'!$C$2:$C1000, LOWER('Base Stats'!$B$2:$B1000) = LOWER($A400))"),"1.95")</f>
        <v>1.95</v>
      </c>
      <c r="N400" s="0" t="e">
        <f aca="false">IFERROR(IF(AND(NOT(K400 = ""), G400 &gt;= 15),K400/M400, ""))</f>
        <v>#VALUE!</v>
      </c>
    </row>
    <row r="401" customFormat="false" ht="15.75" hidden="false" customHeight="false" outlineLevel="0" collapsed="false">
      <c r="A401" s="0" t="str">
        <f aca="false">'Form Responses (Pokemon Stats)'!B25</f>
        <v>Pidgey</v>
      </c>
      <c r="B401" s="0" t="str">
        <f aca="false">'Form Responses (Pokemon Stats)'!D25</f>
        <v>10</v>
      </c>
      <c r="C401" s="0" t="str">
        <f aca="false">'Form Responses (Pokemon Stats)'!C25</f>
        <v>10</v>
      </c>
      <c r="F401" s="0" t="str">
        <f aca="false">'Form Responses (Pokemon Stats)'!E25</f>
        <v>200</v>
      </c>
      <c r="G401" s="0" t="str">
        <f aca="false">IFERROR(__xludf.dummyfunction("ROUND(B401/ FILTER('Pokemon CP/HP'!$M$2:$M1000, LOWER('Pokemon CP/HP'!$B$2:$B1000)=LOWER(A401)))"),"1")</f>
        <v>1</v>
      </c>
      <c r="H401" s="0" t="str">
        <f aca="false">IFERROR(__xludf.dummyfunction("FILTER('Leveling Info'!$B$2:$B1000, 'Leveling Info'!$A$2:$A1000 =G401)"),"200")</f>
        <v>200</v>
      </c>
      <c r="I401" s="14" t="n">
        <f aca="false">SQRT(G401)</f>
        <v>1</v>
      </c>
      <c r="J401" s="14" t="str">
        <f aca="false">IFERROR(__xludf.dummyfunction("IF(F401 = H401,C401/FILTER('Base Stats'!$C$2:$C1000, LOWER('Base Stats'!$B$2:$B1000) = LOWER($A401)), """")"),"0.25")</f>
        <v>0.25</v>
      </c>
      <c r="K401" s="0" t="n">
        <f aca="false">IF(F401 = H401, C401/G401, "")</f>
        <v>10</v>
      </c>
      <c r="L401" s="0" t="str">
        <f aca="false">IFERROR(__xludf.dummyfunction("IF(AND(NOT(K401 = """"), G401 &gt;= 15),K401/FILTER('Base Stats'!$C$2:$C1000, LOWER('Base Stats'!$B$2:$B1000) = LOWER($A401)), """")"),"")</f>
        <v/>
      </c>
      <c r="M401" s="0" t="str">
        <f aca="false">IFERROR(__xludf.dummyfunction("1.15 + 0.02 * FILTER('Base Stats'!$C$2:$C1000, LOWER('Base Stats'!$B$2:$B1000) = LOWER($A401))"),"1.95")</f>
        <v>1.95</v>
      </c>
      <c r="N401" s="0" t="e">
        <f aca="false">IFERROR(IF(AND(NOT(K401 = ""), G401 &gt;= 15),K401/M401, ""))</f>
        <v>#VALUE!</v>
      </c>
    </row>
    <row r="402" customFormat="false" ht="15.75" hidden="false" customHeight="false" outlineLevel="0" collapsed="false">
      <c r="A402" s="0" t="str">
        <f aca="false">'Form Responses (Pokemon Stats)'!B26</f>
        <v>Rattata</v>
      </c>
      <c r="B402" s="0" t="str">
        <f aca="false">'Form Responses (Pokemon Stats)'!D26</f>
        <v>80</v>
      </c>
      <c r="C402" s="0" t="str">
        <f aca="false">'Form Responses (Pokemon Stats)'!C26</f>
        <v>24</v>
      </c>
      <c r="F402" s="0" t="str">
        <f aca="false">'Form Responses (Pokemon Stats)'!E26</f>
        <v>600</v>
      </c>
      <c r="G402" s="0" t="str">
        <f aca="false">IFERROR(__xludf.dummyfunction("ROUND(B402/ FILTER('Pokemon CP/HP'!$M$2:$M1000, LOWER('Pokemon CP/HP'!$B$2:$B1000)=LOWER(A402)))"),"11")</f>
        <v>11</v>
      </c>
      <c r="H402" s="0" t="str">
        <f aca="false">IFERROR(__xludf.dummyfunction("FILTER('Leveling Info'!$B$2:$B1000, 'Leveling Info'!$A$2:$A1000 =G402)"),"600")</f>
        <v>600</v>
      </c>
      <c r="I402" s="14" t="n">
        <f aca="false">SQRT(G402)</f>
        <v>3.3166247903554</v>
      </c>
      <c r="J402" s="14" t="str">
        <f aca="false">IFERROR(__xludf.dummyfunction("IF(F402 = H402,C402/FILTER('Base Stats'!$C$2:$C1000, LOWER('Base Stats'!$B$2:$B1000) = LOWER($A402)), """")"),"0.8")</f>
        <v>0.8</v>
      </c>
      <c r="K402" s="0" t="n">
        <f aca="false">IF(F402 = H402, C402/G402, "")</f>
        <v>2.18181818181818</v>
      </c>
      <c r="L402" s="0" t="str">
        <f aca="false">IFERROR(__xludf.dummyfunction("IF(AND(NOT(K402 = """"), G402 &gt;= 15),K402/FILTER('Base Stats'!$C$2:$C1000, LOWER('Base Stats'!$B$2:$B1000) = LOWER($A402)), """")"),"")</f>
        <v/>
      </c>
      <c r="M402" s="0" t="str">
        <f aca="false">IFERROR(__xludf.dummyfunction("1.15 + 0.02 * FILTER('Base Stats'!$C$2:$C1000, LOWER('Base Stats'!$B$2:$B1000) = LOWER($A402))"),"1.75")</f>
        <v>1.75</v>
      </c>
      <c r="N402" s="0" t="e">
        <f aca="false">IFERROR(IF(AND(NOT(K402 = ""), G402 &gt;= 15),K402/M402, ""))</f>
        <v>#VALUE!</v>
      </c>
    </row>
    <row r="403" customFormat="false" ht="15.75" hidden="false" customHeight="false" outlineLevel="0" collapsed="false">
      <c r="A403" s="0" t="str">
        <f aca="false">'Form Responses (Pokemon Stats)'!B27</f>
        <v>Rattata</v>
      </c>
      <c r="B403" s="0" t="str">
        <f aca="false">'Form Responses (Pokemon Stats)'!D27</f>
        <v>64</v>
      </c>
      <c r="C403" s="0" t="str">
        <f aca="false">'Form Responses (Pokemon Stats)'!C27</f>
        <v>18</v>
      </c>
      <c r="F403" s="0" t="str">
        <f aca="false">'Form Responses (Pokemon Stats)'!E27</f>
        <v>600</v>
      </c>
      <c r="G403" s="0" t="str">
        <f aca="false">IFERROR(__xludf.dummyfunction("ROUND(B403/ FILTER('Pokemon CP/HP'!$M$2:$M1000, LOWER('Pokemon CP/HP'!$B$2:$B1000)=LOWER(A403)))"),"9")</f>
        <v>9</v>
      </c>
      <c r="H403" s="0" t="str">
        <f aca="false">IFERROR(__xludf.dummyfunction("FILTER('Leveling Info'!$B$2:$B1000, 'Leveling Info'!$A$2:$A1000 =G403)"),"600")</f>
        <v>600</v>
      </c>
      <c r="I403" s="14" t="n">
        <f aca="false">SQRT(G403)</f>
        <v>3</v>
      </c>
      <c r="J403" s="14" t="str">
        <f aca="false">IFERROR(__xludf.dummyfunction("IF(F403 = H403,C403/FILTER('Base Stats'!$C$2:$C1000, LOWER('Base Stats'!$B$2:$B1000) = LOWER($A403)), """")"),"0.6")</f>
        <v>0.6</v>
      </c>
      <c r="K403" s="0" t="n">
        <f aca="false">IF(F403 = H403, C403/G403, "")</f>
        <v>2</v>
      </c>
      <c r="L403" s="0" t="str">
        <f aca="false">IFERROR(__xludf.dummyfunction("IF(AND(NOT(K403 = """"), G403 &gt;= 15),K403/FILTER('Base Stats'!$C$2:$C1000, LOWER('Base Stats'!$B$2:$B1000) = LOWER($A403)), """")"),"")</f>
        <v/>
      </c>
      <c r="M403" s="0" t="str">
        <f aca="false">IFERROR(__xludf.dummyfunction("1.15 + 0.02 * FILTER('Base Stats'!$C$2:$C1000, LOWER('Base Stats'!$B$2:$B1000) = LOWER($A403))"),"1.75")</f>
        <v>1.75</v>
      </c>
      <c r="N403" s="0" t="e">
        <f aca="false">IFERROR(IF(AND(NOT(K403 = ""), G403 &gt;= 15),K403/M403, ""))</f>
        <v>#VALUE!</v>
      </c>
    </row>
    <row r="404" customFormat="false" ht="15.75" hidden="false" customHeight="false" outlineLevel="0" collapsed="false">
      <c r="A404" s="0" t="str">
        <f aca="false">'Form Responses (Pokemon Stats)'!B28</f>
        <v>Rattata</v>
      </c>
      <c r="B404" s="0" t="str">
        <f aca="false">'Form Responses (Pokemon Stats)'!D28</f>
        <v>37</v>
      </c>
      <c r="C404" s="0" t="str">
        <f aca="false">'Form Responses (Pokemon Stats)'!C28</f>
        <v>13</v>
      </c>
      <c r="F404" s="0" t="str">
        <f aca="false">'Form Responses (Pokemon Stats)'!E28</f>
        <v>400</v>
      </c>
      <c r="G404" s="0" t="str">
        <f aca="false">IFERROR(__xludf.dummyfunction("ROUND(B404/ FILTER('Pokemon CP/HP'!$M$2:$M1000, LOWER('Pokemon CP/HP'!$B$2:$B1000)=LOWER(A404)))"),"5")</f>
        <v>5</v>
      </c>
      <c r="H404" s="0" t="str">
        <f aca="false">IFERROR(__xludf.dummyfunction("FILTER('Leveling Info'!$B$2:$B1000, 'Leveling Info'!$A$2:$A1000 =G404)"),"400")</f>
        <v>400</v>
      </c>
      <c r="I404" s="14" t="n">
        <f aca="false">SQRT(G404)</f>
        <v>2.23606797749979</v>
      </c>
      <c r="J404" s="14" t="str">
        <f aca="false">IFERROR(__xludf.dummyfunction("IF(F404 = H404,C404/FILTER('Base Stats'!$C$2:$C1000, LOWER('Base Stats'!$B$2:$B1000) = LOWER($A404)), """")"),"0.4333333333")</f>
        <v>0.4333333333</v>
      </c>
      <c r="K404" s="0" t="n">
        <f aca="false">IF(F404 = H404, C404/G404, "")</f>
        <v>2.6</v>
      </c>
      <c r="L404" s="0" t="str">
        <f aca="false">IFERROR(__xludf.dummyfunction("IF(AND(NOT(K404 = """"), G404 &gt;= 15),K404/FILTER('Base Stats'!$C$2:$C1000, LOWER('Base Stats'!$B$2:$B1000) = LOWER($A404)), """")"),"")</f>
        <v/>
      </c>
      <c r="M404" s="0" t="str">
        <f aca="false">IFERROR(__xludf.dummyfunction("1.15 + 0.02 * FILTER('Base Stats'!$C$2:$C1000, LOWER('Base Stats'!$B$2:$B1000) = LOWER($A404))"),"1.75")</f>
        <v>1.75</v>
      </c>
      <c r="N404" s="0" t="e">
        <f aca="false">IFERROR(IF(AND(NOT(K404 = ""), G404 &gt;= 15),K404/M404, ""))</f>
        <v>#VALUE!</v>
      </c>
    </row>
    <row r="405" customFormat="false" ht="15.75" hidden="false" customHeight="false" outlineLevel="0" collapsed="false">
      <c r="A405" s="0" t="str">
        <f aca="false">'Form Responses (Pokemon Stats)'!B29</f>
        <v>Rattata</v>
      </c>
      <c r="B405" s="0" t="str">
        <f aca="false">'Form Responses (Pokemon Stats)'!D29</f>
        <v>23</v>
      </c>
      <c r="C405" s="0" t="str">
        <f aca="false">'Form Responses (Pokemon Stats)'!C29</f>
        <v>11</v>
      </c>
      <c r="F405" s="0" t="str">
        <f aca="false">'Form Responses (Pokemon Stats)'!E29</f>
        <v>200</v>
      </c>
      <c r="G405" s="0" t="str">
        <f aca="false">IFERROR(__xludf.dummyfunction("ROUND(B405/ FILTER('Pokemon CP/HP'!$M$2:$M1000, LOWER('Pokemon CP/HP'!$B$2:$B1000)=LOWER(A405)))"),"3")</f>
        <v>3</v>
      </c>
      <c r="H405" s="0" t="str">
        <f aca="false">IFERROR(__xludf.dummyfunction("FILTER('Leveling Info'!$B$2:$B1000, 'Leveling Info'!$A$2:$A1000 =G405)"),"200")</f>
        <v>200</v>
      </c>
      <c r="I405" s="14" t="n">
        <f aca="false">SQRT(G405)</f>
        <v>1.73205080756888</v>
      </c>
      <c r="J405" s="14" t="str">
        <f aca="false">IFERROR(__xludf.dummyfunction("IF(F405 = H405,C405/FILTER('Base Stats'!$C$2:$C1000, LOWER('Base Stats'!$B$2:$B1000) = LOWER($A405)), """")"),"0.3666666667")</f>
        <v>0.3666666667</v>
      </c>
      <c r="K405" s="0" t="n">
        <f aca="false">IF(F405 = H405, C405/G405, "")</f>
        <v>3.66666666666667</v>
      </c>
      <c r="L405" s="0" t="str">
        <f aca="false">IFERROR(__xludf.dummyfunction("IF(AND(NOT(K405 = """"), G405 &gt;= 15),K405/FILTER('Base Stats'!$C$2:$C1000, LOWER('Base Stats'!$B$2:$B1000) = LOWER($A405)), """")"),"")</f>
        <v/>
      </c>
      <c r="M405" s="0" t="str">
        <f aca="false">IFERROR(__xludf.dummyfunction("1.15 + 0.02 * FILTER('Base Stats'!$C$2:$C1000, LOWER('Base Stats'!$B$2:$B1000) = LOWER($A405))"),"1.75")</f>
        <v>1.75</v>
      </c>
      <c r="N405" s="0" t="e">
        <f aca="false">IFERROR(IF(AND(NOT(K405 = ""), G405 &gt;= 15),K405/M405, ""))</f>
        <v>#VALUE!</v>
      </c>
    </row>
    <row r="406" customFormat="false" ht="15.75" hidden="false" customHeight="false" outlineLevel="0" collapsed="false">
      <c r="A406" s="0" t="str">
        <f aca="false">'Form Responses (Pokemon Stats)'!B30</f>
        <v>Rattata</v>
      </c>
      <c r="B406" s="0" t="str">
        <f aca="false">'Form Responses (Pokemon Stats)'!D30</f>
        <v>10</v>
      </c>
      <c r="C406" s="0" t="str">
        <f aca="false">'Form Responses (Pokemon Stats)'!C30</f>
        <v>10</v>
      </c>
      <c r="F406" s="0" t="str">
        <f aca="false">'Form Responses (Pokemon Stats)'!E30</f>
        <v>200</v>
      </c>
      <c r="G406" s="0" t="str">
        <f aca="false">IFERROR(__xludf.dummyfunction("ROUND(B406/ FILTER('Pokemon CP/HP'!$M$2:$M1000, LOWER('Pokemon CP/HP'!$B$2:$B1000)=LOWER(A406)))"),"1")</f>
        <v>1</v>
      </c>
      <c r="H406" s="0" t="str">
        <f aca="false">IFERROR(__xludf.dummyfunction("FILTER('Leveling Info'!$B$2:$B1000, 'Leveling Info'!$A$2:$A1000 =G406)"),"200")</f>
        <v>200</v>
      </c>
      <c r="I406" s="14" t="n">
        <f aca="false">SQRT(G406)</f>
        <v>1</v>
      </c>
      <c r="J406" s="14" t="str">
        <f aca="false">IFERROR(__xludf.dummyfunction("IF(F406 = H406,C406/FILTER('Base Stats'!$C$2:$C1000, LOWER('Base Stats'!$B$2:$B1000) = LOWER($A406)), """")"),"0.3333333333")</f>
        <v>0.3333333333</v>
      </c>
      <c r="K406" s="0" t="n">
        <f aca="false">IF(F406 = H406, C406/G406, "")</f>
        <v>10</v>
      </c>
      <c r="L406" s="0" t="str">
        <f aca="false">IFERROR(__xludf.dummyfunction("IF(AND(NOT(K406 = """"), G406 &gt;= 15),K406/FILTER('Base Stats'!$C$2:$C1000, LOWER('Base Stats'!$B$2:$B1000) = LOWER($A406)), """")"),"")</f>
        <v/>
      </c>
      <c r="M406" s="0" t="str">
        <f aca="false">IFERROR(__xludf.dummyfunction("1.15 + 0.02 * FILTER('Base Stats'!$C$2:$C1000, LOWER('Base Stats'!$B$2:$B1000) = LOWER($A406))"),"1.75")</f>
        <v>1.75</v>
      </c>
      <c r="N406" s="0" t="e">
        <f aca="false">IFERROR(IF(AND(NOT(K406 = ""), G406 &gt;= 15),K406/M406, ""))</f>
        <v>#VALUE!</v>
      </c>
    </row>
    <row r="407" customFormat="false" ht="15.75" hidden="false" customHeight="false" outlineLevel="0" collapsed="false">
      <c r="A407" s="0" t="str">
        <f aca="false">'Form Responses (Pokemon Stats)'!B31</f>
        <v>Rattata</v>
      </c>
      <c r="B407" s="0" t="str">
        <f aca="false">'Form Responses (Pokemon Stats)'!D31</f>
        <v>48</v>
      </c>
      <c r="C407" s="0" t="str">
        <f aca="false">'Form Responses (Pokemon Stats)'!C31</f>
        <v>18</v>
      </c>
      <c r="F407" s="0" t="str">
        <f aca="false">'Form Responses (Pokemon Stats)'!E31</f>
        <v>400</v>
      </c>
      <c r="G407" s="0" t="str">
        <f aca="false">IFERROR(__xludf.dummyfunction("ROUND(B407/ FILTER('Pokemon CP/HP'!$M$2:$M1000, LOWER('Pokemon CP/HP'!$B$2:$B1000)=LOWER(A407)))"),"6")</f>
        <v>6</v>
      </c>
      <c r="H407" s="0" t="str">
        <f aca="false">IFERROR(__xludf.dummyfunction("FILTER('Leveling Info'!$B$2:$B1000, 'Leveling Info'!$A$2:$A1000 =G407)"),"400")</f>
        <v>400</v>
      </c>
      <c r="I407" s="14" t="n">
        <f aca="false">SQRT(G407)</f>
        <v>2.44948974278318</v>
      </c>
      <c r="J407" s="14" t="str">
        <f aca="false">IFERROR(__xludf.dummyfunction("IF(F407 = H407,C407/FILTER('Base Stats'!$C$2:$C1000, LOWER('Base Stats'!$B$2:$B1000) = LOWER($A407)), """")"),"0.6")</f>
        <v>0.6</v>
      </c>
      <c r="K407" s="0" t="n">
        <f aca="false">IF(F407 = H407, C407/G407, "")</f>
        <v>3</v>
      </c>
      <c r="L407" s="0" t="str">
        <f aca="false">IFERROR(__xludf.dummyfunction("IF(AND(NOT(K407 = """"), G407 &gt;= 15),K407/FILTER('Base Stats'!$C$2:$C1000, LOWER('Base Stats'!$B$2:$B1000) = LOWER($A407)), """")"),"")</f>
        <v/>
      </c>
      <c r="M407" s="0" t="str">
        <f aca="false">IFERROR(__xludf.dummyfunction("1.15 + 0.02 * FILTER('Base Stats'!$C$2:$C1000, LOWER('Base Stats'!$B$2:$B1000) = LOWER($A407))"),"1.75")</f>
        <v>1.75</v>
      </c>
      <c r="N407" s="0" t="e">
        <f aca="false">IFERROR(IF(AND(NOT(K407 = ""), G407 &gt;= 15),K407/M407, ""))</f>
        <v>#VALUE!</v>
      </c>
    </row>
    <row r="408" customFormat="false" ht="15.75" hidden="false" customHeight="false" outlineLevel="0" collapsed="false">
      <c r="A408" s="0" t="str">
        <f aca="false">'Form Responses (Pokemon Stats)'!B32</f>
        <v>Spearow</v>
      </c>
      <c r="B408" s="0" t="str">
        <f aca="false">'Form Responses (Pokemon Stats)'!D32</f>
        <v>42</v>
      </c>
      <c r="C408" s="0" t="str">
        <f aca="false">'Form Responses (Pokemon Stats)'!C32</f>
        <v>18</v>
      </c>
      <c r="F408" s="0" t="str">
        <f aca="false">'Form Responses (Pokemon Stats)'!E32</f>
        <v>400</v>
      </c>
      <c r="G408" s="0" t="str">
        <f aca="false">IFERROR(__xludf.dummyfunction("ROUND(B408/ FILTER('Pokemon CP/HP'!$M$2:$M1000, LOWER('Pokemon CP/HP'!$B$2:$B1000)=LOWER(A408)))"),"5")</f>
        <v>5</v>
      </c>
      <c r="H408" s="0" t="str">
        <f aca="false">IFERROR(__xludf.dummyfunction("FILTER('Leveling Info'!$B$2:$B1000, 'Leveling Info'!$A$2:$A1000 =G408)"),"400")</f>
        <v>400</v>
      </c>
      <c r="I408" s="14" t="n">
        <f aca="false">SQRT(G408)</f>
        <v>2.23606797749979</v>
      </c>
      <c r="J408" s="14" t="str">
        <f aca="false">IFERROR(__xludf.dummyfunction("IF(F408 = H408,C408/FILTER('Base Stats'!$C$2:$C1000, LOWER('Base Stats'!$B$2:$B1000) = LOWER($A408)), """")"),"0.45")</f>
        <v>0.45</v>
      </c>
      <c r="K408" s="0" t="n">
        <f aca="false">IF(F408 = H408, C408/G408, "")</f>
        <v>3.6</v>
      </c>
      <c r="L408" s="0" t="str">
        <f aca="false">IFERROR(__xludf.dummyfunction("IF(AND(NOT(K408 = """"), G408 &gt;= 15),K408/FILTER('Base Stats'!$C$2:$C1000, LOWER('Base Stats'!$B$2:$B1000) = LOWER($A408)), """")"),"")</f>
        <v/>
      </c>
      <c r="M408" s="0" t="str">
        <f aca="false">IFERROR(__xludf.dummyfunction("1.15 + 0.02 * FILTER('Base Stats'!$C$2:$C1000, LOWER('Base Stats'!$B$2:$B1000) = LOWER($A408))"),"1.95")</f>
        <v>1.95</v>
      </c>
      <c r="N408" s="0" t="e">
        <f aca="false">IFERROR(IF(AND(NOT(K408 = ""), G408 &gt;= 15),K408/M408, ""))</f>
        <v>#VALUE!</v>
      </c>
    </row>
    <row r="409" customFormat="false" ht="15.75" hidden="false" customHeight="false" outlineLevel="0" collapsed="false">
      <c r="A409" s="0" t="str">
        <f aca="false">'Form Responses (Pokemon Stats)'!B33</f>
        <v>Venonat</v>
      </c>
      <c r="B409" s="0" t="str">
        <f aca="false">'Form Responses (Pokemon Stats)'!D33</f>
        <v>41</v>
      </c>
      <c r="C409" s="0" t="str">
        <f aca="false">'Form Responses (Pokemon Stats)'!C33</f>
        <v>19</v>
      </c>
      <c r="F409" s="0" t="str">
        <f aca="false">'Form Responses (Pokemon Stats)'!E33</f>
        <v>200</v>
      </c>
      <c r="G409" s="0" t="str">
        <f aca="false">IFERROR(__xludf.dummyfunction("ROUND(B409/ FILTER('Pokemon CP/HP'!$M$2:$M1000, LOWER('Pokemon CP/HP'!$B$2:$B1000)=LOWER(A409)))"),"3")</f>
        <v>3</v>
      </c>
      <c r="H409" s="0" t="str">
        <f aca="false">IFERROR(__xludf.dummyfunction("FILTER('Leveling Info'!$B$2:$B1000, 'Leveling Info'!$A$2:$A1000 =G409)"),"200")</f>
        <v>200</v>
      </c>
      <c r="I409" s="14" t="n">
        <f aca="false">SQRT(G409)</f>
        <v>1.73205080756888</v>
      </c>
      <c r="J409" s="14" t="str">
        <f aca="false">IFERROR(__xludf.dummyfunction("IF(F409 = H409,C409/FILTER('Base Stats'!$C$2:$C1000, LOWER('Base Stats'!$B$2:$B1000) = LOWER($A409)), """")"),"0.3166666667")</f>
        <v>0.3166666667</v>
      </c>
      <c r="K409" s="0" t="n">
        <f aca="false">IF(F409 = H409, C409/G409, "")</f>
        <v>6.33333333333333</v>
      </c>
      <c r="L409" s="0" t="str">
        <f aca="false">IFERROR(__xludf.dummyfunction("IF(AND(NOT(K409 = """"), G409 &gt;= 15),K409/FILTER('Base Stats'!$C$2:$C1000, LOWER('Base Stats'!$B$2:$B1000) = LOWER($A409)), """")"),"")</f>
        <v/>
      </c>
      <c r="M409" s="0" t="str">
        <f aca="false">IFERROR(__xludf.dummyfunction("1.15 + 0.02 * FILTER('Base Stats'!$C$2:$C1000, LOWER('Base Stats'!$B$2:$B1000) = LOWER($A409))"),"2.35")</f>
        <v>2.35</v>
      </c>
      <c r="N409" s="0" t="e">
        <f aca="false">IFERROR(IF(AND(NOT(K409 = ""), G409 &gt;= 15),K409/M409, ""))</f>
        <v>#VALUE!</v>
      </c>
    </row>
    <row r="410" customFormat="false" ht="15.75" hidden="false" customHeight="false" outlineLevel="0" collapsed="false">
      <c r="A410" s="0" t="str">
        <f aca="false">'Form Responses (Pokemon Stats)'!B34</f>
        <v>Weedle</v>
      </c>
      <c r="B410" s="0" t="str">
        <f aca="false">'Form Responses (Pokemon Stats)'!D34</f>
        <v>45</v>
      </c>
      <c r="C410" s="0" t="str">
        <f aca="false">'Form Responses (Pokemon Stats)'!C34</f>
        <v>25</v>
      </c>
      <c r="F410" s="0" t="str">
        <f aca="false">'Form Responses (Pokemon Stats)'!E34</f>
        <v>600</v>
      </c>
      <c r="G410" s="0" t="str">
        <f aca="false">IFERROR(__xludf.dummyfunction("ROUND(B410/ FILTER('Pokemon CP/HP'!$M$2:$M1000, LOWER('Pokemon CP/HP'!$B$2:$B1000)=LOWER(A410)))"),"8")</f>
        <v>8</v>
      </c>
      <c r="H410" s="0" t="str">
        <f aca="false">IFERROR(__xludf.dummyfunction("FILTER('Leveling Info'!$B$2:$B1000, 'Leveling Info'!$A$2:$A1000 =G410)"),"400")</f>
        <v>400</v>
      </c>
      <c r="I410" s="14" t="n">
        <f aca="false">SQRT(G410)</f>
        <v>2.82842712474619</v>
      </c>
      <c r="J410" s="14" t="str">
        <f aca="false">IFERROR(__xludf.dummyfunction("IF(F410 = H410,C410/FILTER('Base Stats'!$C$2:$C1000, LOWER('Base Stats'!$B$2:$B1000) = LOWER($A410)), """")"),"")</f>
        <v/>
      </c>
      <c r="K410" s="0" t="str">
        <f aca="false">IF(F410 = H410, C410/G410, "")</f>
        <v/>
      </c>
      <c r="L410" s="0" t="str">
        <f aca="false">IFERROR(__xludf.dummyfunction("IF(AND(NOT(K410 = """"), G410 &gt;= 15),K410/FILTER('Base Stats'!$C$2:$C1000, LOWER('Base Stats'!$B$2:$B1000) = LOWER($A410)), """")"),"")</f>
        <v/>
      </c>
      <c r="M410" s="0" t="str">
        <f aca="false">IFERROR(__xludf.dummyfunction("1.15 + 0.02 * FILTER('Base Stats'!$C$2:$C1000, LOWER('Base Stats'!$B$2:$B1000) = LOWER($A410))"),"1.95")</f>
        <v>1.95</v>
      </c>
      <c r="N410" s="0" t="e">
        <f aca="false">IFERROR(IF(AND(NOT(K410 = ""), G410 &gt;= 15),K410/M410, ""))</f>
        <v>#VALUE!</v>
      </c>
    </row>
    <row r="411" customFormat="false" ht="15.75" hidden="false" customHeight="false" outlineLevel="0" collapsed="false">
      <c r="A411" s="0" t="str">
        <f aca="false">'Form Responses (Pokemon Stats)'!B35</f>
        <v>Weedle</v>
      </c>
      <c r="B411" s="0" t="str">
        <f aca="false">'Form Responses (Pokemon Stats)'!D35</f>
        <v>28</v>
      </c>
      <c r="C411" s="0" t="str">
        <f aca="false">'Form Responses (Pokemon Stats)'!C35</f>
        <v>17</v>
      </c>
      <c r="F411" s="0" t="str">
        <f aca="false">'Form Responses (Pokemon Stats)'!E35</f>
        <v>400</v>
      </c>
      <c r="G411" s="0" t="str">
        <f aca="false">IFERROR(__xludf.dummyfunction("ROUND(B411/ FILTER('Pokemon CP/HP'!$M$2:$M1000, LOWER('Pokemon CP/HP'!$B$2:$B1000)=LOWER(A411)))"),"5")</f>
        <v>5</v>
      </c>
      <c r="H411" s="0" t="str">
        <f aca="false">IFERROR(__xludf.dummyfunction("FILTER('Leveling Info'!$B$2:$B1000, 'Leveling Info'!$A$2:$A1000 =G411)"),"400")</f>
        <v>400</v>
      </c>
      <c r="I411" s="14" t="n">
        <f aca="false">SQRT(G411)</f>
        <v>2.23606797749979</v>
      </c>
      <c r="J411" s="14" t="str">
        <f aca="false">IFERROR(__xludf.dummyfunction("IF(F411 = H411,C411/FILTER('Base Stats'!$C$2:$C1000, LOWER('Base Stats'!$B$2:$B1000) = LOWER($A411)), """")"),"0.425")</f>
        <v>0.425</v>
      </c>
      <c r="K411" s="0" t="n">
        <f aca="false">IF(F411 = H411, C411/G411, "")</f>
        <v>3.4</v>
      </c>
      <c r="L411" s="0" t="str">
        <f aca="false">IFERROR(__xludf.dummyfunction("IF(AND(NOT(K411 = """"), G411 &gt;= 15),K411/FILTER('Base Stats'!$C$2:$C1000, LOWER('Base Stats'!$B$2:$B1000) = LOWER($A411)), """")"),"")</f>
        <v/>
      </c>
      <c r="M411" s="0" t="str">
        <f aca="false">IFERROR(__xludf.dummyfunction("1.15 + 0.02 * FILTER('Base Stats'!$C$2:$C1000, LOWER('Base Stats'!$B$2:$B1000) = LOWER($A411))"),"1.95")</f>
        <v>1.95</v>
      </c>
      <c r="N411" s="0" t="e">
        <f aca="false">IFERROR(IF(AND(NOT(K411 = ""), G411 &gt;= 15),K411/M411, ""))</f>
        <v>#VALUE!</v>
      </c>
    </row>
    <row r="412" customFormat="false" ht="15.75" hidden="false" customHeight="false" outlineLevel="0" collapsed="false">
      <c r="A412" s="0" t="str">
        <f aca="false">'Form Responses (Pokemon Stats)'!B36</f>
        <v>Weedle</v>
      </c>
      <c r="B412" s="0" t="str">
        <f aca="false">'Form Responses (Pokemon Stats)'!D36</f>
        <v>10</v>
      </c>
      <c r="C412" s="0" t="str">
        <f aca="false">'Form Responses (Pokemon Stats)'!C36</f>
        <v>10</v>
      </c>
      <c r="F412" s="0" t="str">
        <f aca="false">'Form Responses (Pokemon Stats)'!E36</f>
        <v>200</v>
      </c>
      <c r="G412" s="0" t="str">
        <f aca="false">IFERROR(__xludf.dummyfunction("ROUND(B412/ FILTER('Pokemon CP/HP'!$M$2:$M1000, LOWER('Pokemon CP/HP'!$B$2:$B1000)=LOWER(A412)))"),"2")</f>
        <v>2</v>
      </c>
      <c r="H412" s="0" t="str">
        <f aca="false">IFERROR(__xludf.dummyfunction("FILTER('Leveling Info'!$B$2:$B1000, 'Leveling Info'!$A$2:$A1000 =G412)"),"200")</f>
        <v>200</v>
      </c>
      <c r="I412" s="14" t="n">
        <f aca="false">SQRT(G412)</f>
        <v>1.4142135623731</v>
      </c>
      <c r="J412" s="14" t="str">
        <f aca="false">IFERROR(__xludf.dummyfunction("IF(F412 = H412,C412/FILTER('Base Stats'!$C$2:$C1000, LOWER('Base Stats'!$B$2:$B1000) = LOWER($A412)), """")"),"0.25")</f>
        <v>0.25</v>
      </c>
      <c r="K412" s="0" t="n">
        <f aca="false">IF(F412 = H412, C412/G412, "")</f>
        <v>5</v>
      </c>
      <c r="L412" s="0" t="str">
        <f aca="false">IFERROR(__xludf.dummyfunction("IF(AND(NOT(K412 = """"), G412 &gt;= 15),K412/FILTER('Base Stats'!$C$2:$C1000, LOWER('Base Stats'!$B$2:$B1000) = LOWER($A412)), """")"),"")</f>
        <v/>
      </c>
      <c r="M412" s="0" t="str">
        <f aca="false">IFERROR(__xludf.dummyfunction("1.15 + 0.02 * FILTER('Base Stats'!$C$2:$C1000, LOWER('Base Stats'!$B$2:$B1000) = LOWER($A412))"),"1.95")</f>
        <v>1.95</v>
      </c>
      <c r="N412" s="0" t="e">
        <f aca="false">IFERROR(IF(AND(NOT(K412 = ""), G412 &gt;= 15),K412/M412, ""))</f>
        <v>#VALUE!</v>
      </c>
    </row>
    <row r="413" customFormat="false" ht="15.75" hidden="false" customHeight="false" outlineLevel="0" collapsed="false">
      <c r="A413" s="0" t="str">
        <f aca="false">'Form Responses (Pokemon Stats)'!B37</f>
        <v>Weepinbell</v>
      </c>
      <c r="B413" s="0" t="str">
        <f aca="false">'Form Responses (Pokemon Stats)'!D37</f>
        <v>70</v>
      </c>
      <c r="C413" s="0" t="str">
        <f aca="false">'Form Responses (Pokemon Stats)'!C37</f>
        <v>22</v>
      </c>
      <c r="F413" s="0" t="str">
        <f aca="false">'Form Responses (Pokemon Stats)'!E37</f>
        <v>200</v>
      </c>
      <c r="G413" s="0" t="str">
        <f aca="false">IFERROR(__xludf.dummyfunction("ROUND(B413/ FILTER('Pokemon CP/HP'!$M$2:$M1000, LOWER('Pokemon CP/HP'!$B$2:$B1000)=LOWER(A413)))"),"3")</f>
        <v>3</v>
      </c>
      <c r="H413" s="0" t="str">
        <f aca="false">IFERROR(__xludf.dummyfunction("FILTER('Leveling Info'!$B$2:$B1000, 'Leveling Info'!$A$2:$A1000 =G413)"),"200")</f>
        <v>200</v>
      </c>
      <c r="I413" s="14" t="n">
        <f aca="false">SQRT(G413)</f>
        <v>1.73205080756888</v>
      </c>
      <c r="J413" s="14" t="str">
        <f aca="false">IFERROR(__xludf.dummyfunction("IF(F413 = H413,C413/FILTER('Base Stats'!$C$2:$C1000, LOWER('Base Stats'!$B$2:$B1000) = LOWER($A413)), """")"),"0.3384615385")</f>
        <v>0.3384615385</v>
      </c>
      <c r="K413" s="0" t="n">
        <f aca="false">IF(F413 = H413, C413/G413, "")</f>
        <v>7.33333333333333</v>
      </c>
      <c r="L413" s="0" t="str">
        <f aca="false">IFERROR(__xludf.dummyfunction("IF(AND(NOT(K413 = """"), G413 &gt;= 15),K413/FILTER('Base Stats'!$C$2:$C1000, LOWER('Base Stats'!$B$2:$B1000) = LOWER($A413)), """")"),"")</f>
        <v/>
      </c>
      <c r="M413" s="0" t="str">
        <f aca="false">IFERROR(__xludf.dummyfunction("1.15 + 0.02 * FILTER('Base Stats'!$C$2:$C1000, LOWER('Base Stats'!$B$2:$B1000) = LOWER($A413))"),"2.45")</f>
        <v>2.45</v>
      </c>
      <c r="N413" s="0" t="e">
        <f aca="false">IFERROR(IF(AND(NOT(K413 = ""), G413 &gt;= 15),K413/M413, ""))</f>
        <v>#VALUE!</v>
      </c>
    </row>
    <row r="414" customFormat="false" ht="15.75" hidden="false" customHeight="false" outlineLevel="0" collapsed="false">
      <c r="A414" s="0" t="str">
        <f aca="false">'Form Responses (Pokemon Stats)'!B38</f>
        <v>Zubat</v>
      </c>
      <c r="B414" s="0" t="str">
        <f aca="false">'Form Responses (Pokemon Stats)'!D38</f>
        <v>58</v>
      </c>
      <c r="C414" s="0" t="str">
        <f aca="false">'Form Responses (Pokemon Stats)'!C38</f>
        <v>24</v>
      </c>
      <c r="F414" s="0" t="str">
        <f aca="false">'Form Responses (Pokemon Stats)'!E38</f>
        <v>400</v>
      </c>
      <c r="G414" s="0" t="str">
        <f aca="false">IFERROR(__xludf.dummyfunction("ROUND(B414/ FILTER('Pokemon CP/HP'!$M$2:$M1000, LOWER('Pokemon CP/HP'!$B$2:$B1000)=LOWER(A414)))"),"7")</f>
        <v>7</v>
      </c>
      <c r="H414" s="0" t="str">
        <f aca="false">IFERROR(__xludf.dummyfunction("FILTER('Leveling Info'!$B$2:$B1000, 'Leveling Info'!$A$2:$A1000 =G414)"),"400")</f>
        <v>400</v>
      </c>
      <c r="I414" s="14" t="n">
        <f aca="false">SQRT(G414)</f>
        <v>2.64575131106459</v>
      </c>
      <c r="J414" s="14" t="str">
        <f aca="false">IFERROR(__xludf.dummyfunction("IF(F414 = H414,C414/FILTER('Base Stats'!$C$2:$C1000, LOWER('Base Stats'!$B$2:$B1000) = LOWER($A414)), """")"),"0.6")</f>
        <v>0.6</v>
      </c>
      <c r="K414" s="0" t="n">
        <f aca="false">IF(F414 = H414, C414/G414, "")</f>
        <v>3.42857142857143</v>
      </c>
      <c r="L414" s="0" t="str">
        <f aca="false">IFERROR(__xludf.dummyfunction("IF(AND(NOT(K414 = """"), G414 &gt;= 15),K414/FILTER('Base Stats'!$C$2:$C1000, LOWER('Base Stats'!$B$2:$B1000) = LOWER($A414)), """")"),"")</f>
        <v/>
      </c>
      <c r="M414" s="0" t="str">
        <f aca="false">IFERROR(__xludf.dummyfunction("1.15 + 0.02 * FILTER('Base Stats'!$C$2:$C1000, LOWER('Base Stats'!$B$2:$B1000) = LOWER($A414))"),"1.95")</f>
        <v>1.95</v>
      </c>
      <c r="N414" s="0" t="e">
        <f aca="false">IFERROR(IF(AND(NOT(K414 = ""), G414 &gt;= 15),K414/M414, ""))</f>
        <v>#VALUE!</v>
      </c>
    </row>
    <row r="415" customFormat="false" ht="15.75" hidden="false" customHeight="false" outlineLevel="0" collapsed="false">
      <c r="A415" s="0" t="str">
        <f aca="false">'Form Responses (Pokemon Stats)'!B39</f>
        <v>Zubat</v>
      </c>
      <c r="B415" s="0" t="str">
        <f aca="false">'Form Responses (Pokemon Stats)'!D39</f>
        <v>23</v>
      </c>
      <c r="C415" s="0" t="str">
        <f aca="false">'Form Responses (Pokemon Stats)'!C39</f>
        <v>13</v>
      </c>
      <c r="F415" s="0" t="str">
        <f aca="false">'Form Responses (Pokemon Stats)'!E39</f>
        <v>200</v>
      </c>
      <c r="G415" s="0" t="str">
        <f aca="false">IFERROR(__xludf.dummyfunction("ROUND(B415/ FILTER('Pokemon CP/HP'!$M$2:$M1000, LOWER('Pokemon CP/HP'!$B$2:$B1000)=LOWER(A415)))"),"3")</f>
        <v>3</v>
      </c>
      <c r="H415" s="0" t="str">
        <f aca="false">IFERROR(__xludf.dummyfunction("FILTER('Leveling Info'!$B$2:$B1000, 'Leveling Info'!$A$2:$A1000 =G415)"),"200")</f>
        <v>200</v>
      </c>
      <c r="I415" s="14" t="n">
        <f aca="false">SQRT(G415)</f>
        <v>1.73205080756888</v>
      </c>
      <c r="J415" s="14" t="str">
        <f aca="false">IFERROR(__xludf.dummyfunction("IF(F415 = H415,C415/FILTER('Base Stats'!$C$2:$C1000, LOWER('Base Stats'!$B$2:$B1000) = LOWER($A415)), """")"),"0.325")</f>
        <v>0.325</v>
      </c>
      <c r="K415" s="0" t="n">
        <f aca="false">IF(F415 = H415, C415/G415, "")</f>
        <v>4.33333333333333</v>
      </c>
      <c r="L415" s="0" t="str">
        <f aca="false">IFERROR(__xludf.dummyfunction("IF(AND(NOT(K415 = """"), G415 &gt;= 15),K415/FILTER('Base Stats'!$C$2:$C1000, LOWER('Base Stats'!$B$2:$B1000) = LOWER($A415)), """")"),"")</f>
        <v/>
      </c>
      <c r="M415" s="0" t="str">
        <f aca="false">IFERROR(__xludf.dummyfunction("1.15 + 0.02 * FILTER('Base Stats'!$C$2:$C1000, LOWER('Base Stats'!$B$2:$B1000) = LOWER($A415))"),"1.95")</f>
        <v>1.95</v>
      </c>
      <c r="N415" s="0" t="e">
        <f aca="false">IFERROR(IF(AND(NOT(K415 = ""), G415 &gt;= 15),K415/M415, ""))</f>
        <v>#VALUE!</v>
      </c>
    </row>
    <row r="416" customFormat="false" ht="15.75" hidden="false" customHeight="false" outlineLevel="0" collapsed="false">
      <c r="A416" s="0" t="str">
        <f aca="false">'Form Responses (Pokemon Stats)'!B40</f>
        <v>Zubat</v>
      </c>
      <c r="B416" s="0" t="str">
        <f aca="false">'Form Responses (Pokemon Stats)'!D40</f>
        <v>10</v>
      </c>
      <c r="C416" s="0" t="str">
        <f aca="false">'Form Responses (Pokemon Stats)'!C40</f>
        <v>10</v>
      </c>
      <c r="F416" s="0" t="str">
        <f aca="false">'Form Responses (Pokemon Stats)'!E40</f>
        <v>200</v>
      </c>
      <c r="G416" s="0" t="str">
        <f aca="false">IFERROR(__xludf.dummyfunction("ROUND(B416/ FILTER('Pokemon CP/HP'!$M$2:$M1000, LOWER('Pokemon CP/HP'!$B$2:$B1000)=LOWER(A416)))"),"1")</f>
        <v>1</v>
      </c>
      <c r="H416" s="0" t="str">
        <f aca="false">IFERROR(__xludf.dummyfunction("FILTER('Leveling Info'!$B$2:$B1000, 'Leveling Info'!$A$2:$A1000 =G416)"),"200")</f>
        <v>200</v>
      </c>
      <c r="I416" s="14" t="n">
        <f aca="false">SQRT(G416)</f>
        <v>1</v>
      </c>
      <c r="J416" s="14" t="str">
        <f aca="false">IFERROR(__xludf.dummyfunction("IF(F416 = H416,C416/FILTER('Base Stats'!$C$2:$C1000, LOWER('Base Stats'!$B$2:$B1000) = LOWER($A416)), """")"),"0.25")</f>
        <v>0.25</v>
      </c>
      <c r="K416" s="0" t="n">
        <f aca="false">IF(F416 = H416, C416/G416, "")</f>
        <v>10</v>
      </c>
      <c r="L416" s="0" t="str">
        <f aca="false">IFERROR(__xludf.dummyfunction("IF(AND(NOT(K416 = """"), G416 &gt;= 15),K416/FILTER('Base Stats'!$C$2:$C1000, LOWER('Base Stats'!$B$2:$B1000) = LOWER($A416)), """")"),"")</f>
        <v/>
      </c>
      <c r="M416" s="0" t="str">
        <f aca="false">IFERROR(__xludf.dummyfunction("1.15 + 0.02 * FILTER('Base Stats'!$C$2:$C1000, LOWER('Base Stats'!$B$2:$B1000) = LOWER($A416))"),"1.95")</f>
        <v>1.95</v>
      </c>
      <c r="N416" s="0" t="e">
        <f aca="false">IFERROR(IF(AND(NOT(K416 = ""), G416 &gt;= 15),K416/M416, ""))</f>
        <v>#VALUE!</v>
      </c>
    </row>
    <row r="417" customFormat="false" ht="15.75" hidden="false" customHeight="false" outlineLevel="0" collapsed="false">
      <c r="A417" s="0" t="str">
        <f aca="false">'Form Responses (Pokemon Stats)'!B41</f>
        <v>Machop</v>
      </c>
      <c r="B417" s="0" t="str">
        <f aca="false">'Form Responses (Pokemon Stats)'!D41</f>
        <v>367</v>
      </c>
      <c r="C417" s="0" t="str">
        <f aca="false">'Form Responses (Pokemon Stats)'!C41</f>
        <v>69</v>
      </c>
      <c r="F417" s="0" t="str">
        <f aca="false">'Form Responses (Pokemon Stats)'!E41</f>
        <v>1300</v>
      </c>
      <c r="G417" s="0" t="str">
        <f aca="false">IFERROR(__xludf.dummyfunction("ROUND(B417/ FILTER('Pokemon CP/HP'!$M$2:$M1000, LOWER('Pokemon CP/HP'!$B$2:$B1000)=LOWER(A417)))"),"25")</f>
        <v>25</v>
      </c>
      <c r="H417" s="0" t="str">
        <f aca="false">IFERROR(__xludf.dummyfunction("FILTER('Leveling Info'!$B$2:$B1000, 'Leveling Info'!$A$2:$A1000 =G417)"),"1600")</f>
        <v>1600</v>
      </c>
      <c r="I417" s="14" t="n">
        <f aca="false">SQRT(G417)</f>
        <v>5</v>
      </c>
      <c r="J417" s="14" t="str">
        <f aca="false">IFERROR(__xludf.dummyfunction("IF(F417 = H417,C417/FILTER('Base Stats'!$C$2:$C1000, LOWER('Base Stats'!$B$2:$B1000) = LOWER($A417)), """")"),"")</f>
        <v/>
      </c>
      <c r="K417" s="0" t="str">
        <f aca="false">IF(F417 = H417, C417/G417, "")</f>
        <v/>
      </c>
      <c r="L417" s="0" t="str">
        <f aca="false">IFERROR(__xludf.dummyfunction("IF(AND(NOT(K417 = """"), G417 &gt;= 15),K417/FILTER('Base Stats'!$C$2:$C1000, LOWER('Base Stats'!$B$2:$B1000) = LOWER($A417)), """")"),"")</f>
        <v/>
      </c>
      <c r="M417" s="0" t="str">
        <f aca="false">IFERROR(__xludf.dummyfunction("1.15 + 0.02 * FILTER('Base Stats'!$C$2:$C1000, LOWER('Base Stats'!$B$2:$B1000) = LOWER($A417))"),"2.55")</f>
        <v>2.55</v>
      </c>
      <c r="N417" s="0" t="e">
        <f aca="false">IFERROR(IF(AND(NOT(K417 = ""), G417 &gt;= 15),K417/M417, ""))</f>
        <v>#VALUE!</v>
      </c>
    </row>
    <row r="418" customFormat="false" ht="15.75" hidden="false" customHeight="false" outlineLevel="0" collapsed="false">
      <c r="A418" s="0" t="str">
        <f aca="false">'Form Responses (Pokemon Stats)'!B42</f>
        <v>Pinsir</v>
      </c>
      <c r="B418" s="0" t="str">
        <f aca="false">'Form Responses (Pokemon Stats)'!D42</f>
        <v>760</v>
      </c>
      <c r="C418" s="0" t="str">
        <f aca="false">'Form Responses (Pokemon Stats)'!C42</f>
        <v>65</v>
      </c>
      <c r="F418" s="0" t="str">
        <f aca="false">'Form Responses (Pokemon Stats)'!E42</f>
        <v>1600</v>
      </c>
      <c r="G418" s="0" t="str">
        <f aca="false">IFERROR(__xludf.dummyfunction("ROUND(B418/ FILTER('Pokemon CP/HP'!$M$2:$M1000, LOWER('Pokemon CP/HP'!$B$2:$B1000)=LOWER(A418)))"),"26")</f>
        <v>26</v>
      </c>
      <c r="H418" s="0" t="str">
        <f aca="false">IFERROR(__xludf.dummyfunction("FILTER('Leveling Info'!$B$2:$B1000, 'Leveling Info'!$A$2:$A1000 =G418)"),"1600")</f>
        <v>1600</v>
      </c>
      <c r="I418" s="14" t="n">
        <f aca="false">SQRT(G418)</f>
        <v>5.09901951359278</v>
      </c>
      <c r="J418" s="14" t="str">
        <f aca="false">IFERROR(__xludf.dummyfunction("IF(F418 = H418,C418/FILTER('Base Stats'!$C$2:$C1000, LOWER('Base Stats'!$B$2:$B1000) = LOWER($A418)), """")"),"1")</f>
        <v>1</v>
      </c>
      <c r="K418" s="0" t="n">
        <f aca="false">IF(F418 = H418, C418/G418, "")</f>
        <v>2.5</v>
      </c>
      <c r="L418" s="0" t="str">
        <f aca="false">IFERROR(__xludf.dummyfunction("IF(AND(NOT(K418 = """"), G418 &gt;= 15),K418/FILTER('Base Stats'!$C$2:$C1000, LOWER('Base Stats'!$B$2:$B1000) = LOWER($A418)), """")"),"0.03846153846")</f>
        <v>0.03846153846</v>
      </c>
      <c r="M418" s="0" t="str">
        <f aca="false">IFERROR(__xludf.dummyfunction("1.15 + 0.02 * FILTER('Base Stats'!$C$2:$C1000, LOWER('Base Stats'!$B$2:$B1000) = LOWER($A418))"),"2.45")</f>
        <v>2.45</v>
      </c>
      <c r="N418" s="0" t="e">
        <f aca="false">IFERROR(IF(AND(NOT(K418 = ""), G418 &gt;= 15),K418/M418, ""))</f>
        <v>#VALUE!</v>
      </c>
    </row>
    <row r="419" customFormat="false" ht="15.75" hidden="false" customHeight="false" outlineLevel="0" collapsed="false">
      <c r="A419" s="0" t="str">
        <f aca="false">'Form Responses (Pokemon Stats)'!B43</f>
        <v>Scyther</v>
      </c>
      <c r="B419" s="0" t="str">
        <f aca="false">'Form Responses (Pokemon Stats)'!D43</f>
        <v>213</v>
      </c>
      <c r="C419" s="0" t="str">
        <f aca="false">'Form Responses (Pokemon Stats)'!C43</f>
        <v>39</v>
      </c>
      <c r="F419" s="0" t="str">
        <f aca="false">'Form Responses (Pokemon Stats)'!E43</f>
        <v>400</v>
      </c>
      <c r="G419" s="0" t="str">
        <f aca="false">IFERROR(__xludf.dummyfunction("ROUND(B419/ FILTER('Pokemon CP/HP'!$M$2:$M1000, LOWER('Pokemon CP/HP'!$B$2:$B1000)=LOWER(A419)))"),"7")</f>
        <v>7</v>
      </c>
      <c r="H419" s="0" t="str">
        <f aca="false">IFERROR(__xludf.dummyfunction("FILTER('Leveling Info'!$B$2:$B1000, 'Leveling Info'!$A$2:$A1000 =G419)"),"400")</f>
        <v>400</v>
      </c>
      <c r="I419" s="14" t="n">
        <f aca="false">SQRT(G419)</f>
        <v>2.64575131106459</v>
      </c>
      <c r="J419" s="14" t="str">
        <f aca="false">IFERROR(__xludf.dummyfunction("IF(F419 = H419,C419/FILTER('Base Stats'!$C$2:$C1000, LOWER('Base Stats'!$B$2:$B1000) = LOWER($A419)), """")"),"0.5571428571")</f>
        <v>0.5571428571</v>
      </c>
      <c r="K419" s="0" t="n">
        <f aca="false">IF(F419 = H419, C419/G419, "")</f>
        <v>5.57142857142857</v>
      </c>
      <c r="L419" s="0" t="str">
        <f aca="false">IFERROR(__xludf.dummyfunction("IF(AND(NOT(K419 = """"), G419 &gt;= 15),K419/FILTER('Base Stats'!$C$2:$C1000, LOWER('Base Stats'!$B$2:$B1000) = LOWER($A419)), """")"),"")</f>
        <v/>
      </c>
      <c r="M419" s="0" t="str">
        <f aca="false">IFERROR(__xludf.dummyfunction("1.15 + 0.02 * FILTER('Base Stats'!$C$2:$C1000, LOWER('Base Stats'!$B$2:$B1000) = LOWER($A419))"),"2.55")</f>
        <v>2.55</v>
      </c>
      <c r="N419" s="0" t="e">
        <f aca="false">IFERROR(IF(AND(NOT(K419 = ""), G419 &gt;= 15),K419/M419, ""))</f>
        <v>#VALUE!</v>
      </c>
    </row>
    <row r="420" customFormat="false" ht="15.75" hidden="false" customHeight="false" outlineLevel="0" collapsed="false">
      <c r="A420" s="0" t="str">
        <f aca="false">'Form Responses (Pokemon Stats)'!B44</f>
        <v>Pidgeot</v>
      </c>
      <c r="B420" s="0" t="str">
        <f aca="false">'Form Responses (Pokemon Stats)'!D44</f>
        <v>670</v>
      </c>
      <c r="C420" s="0" t="str">
        <f aca="false">'Form Responses (Pokemon Stats)'!C44</f>
        <v>82</v>
      </c>
      <c r="F420" s="0" t="str">
        <f aca="false">'Form Responses (Pokemon Stats)'!E44</f>
        <v>1300</v>
      </c>
      <c r="G420" s="0" t="str">
        <f aca="false">IFERROR(__xludf.dummyfunction("ROUND(B420/ FILTER('Pokemon CP/HP'!$M$2:$M1000, LOWER('Pokemon CP/HP'!$B$2:$B1000)=LOWER(A420)))"),"24")</f>
        <v>24</v>
      </c>
      <c r="H420" s="0" t="str">
        <f aca="false">IFERROR(__xludf.dummyfunction("FILTER('Leveling Info'!$B$2:$B1000, 'Leveling Info'!$A$2:$A1000 =G420)"),"1300")</f>
        <v>1300</v>
      </c>
      <c r="I420" s="14" t="n">
        <f aca="false">SQRT(G420)</f>
        <v>4.89897948556636</v>
      </c>
      <c r="J420" s="14" t="str">
        <f aca="false">IFERROR(__xludf.dummyfunction("IF(F420 = H420,C420/FILTER('Base Stats'!$C$2:$C1000, LOWER('Base Stats'!$B$2:$B1000) = LOWER($A420)), """")"),"0.9879518072")</f>
        <v>0.9879518072</v>
      </c>
      <c r="K420" s="0" t="n">
        <f aca="false">IF(F420 = H420, C420/G420, "")</f>
        <v>3.41666666666667</v>
      </c>
      <c r="L420" s="0" t="str">
        <f aca="false">IFERROR(__xludf.dummyfunction("IF(AND(NOT(K420 = """"), G420 &gt;= 15),K420/FILTER('Base Stats'!$C$2:$C1000, LOWER('Base Stats'!$B$2:$B1000) = LOWER($A420)), """")"),"0.04116465863")</f>
        <v>0.04116465863</v>
      </c>
      <c r="M420" s="0" t="str">
        <f aca="false">IFERROR(__xludf.dummyfunction("1.15 + 0.02 * FILTER('Base Stats'!$C$2:$C1000, LOWER('Base Stats'!$B$2:$B1000) = LOWER($A420))"),"2.81")</f>
        <v>2.81</v>
      </c>
      <c r="N420" s="0" t="e">
        <f aca="false">IFERROR(IF(AND(NOT(K420 = ""), G420 &gt;= 15),K420/M420, ""))</f>
        <v>#VALUE!</v>
      </c>
    </row>
    <row r="421" customFormat="false" ht="15.75" hidden="false" customHeight="false" outlineLevel="0" collapsed="false">
      <c r="A421" s="0" t="str">
        <f aca="false">'Form Responses (Pokemon Stats)'!B45</f>
        <v>Slowpoke</v>
      </c>
      <c r="B421" s="0" t="str">
        <f aca="false">'Form Responses (Pokemon Stats)'!D45</f>
        <v>301</v>
      </c>
      <c r="C421" s="0" t="str">
        <f aca="false">'Form Responses (Pokemon Stats)'!C45</f>
        <v>81</v>
      </c>
      <c r="F421" s="0" t="str">
        <f aca="false">'Form Responses (Pokemon Stats)'!E45</f>
        <v>1000</v>
      </c>
      <c r="G421" s="0" t="str">
        <f aca="false">IFERROR(__xludf.dummyfunction("ROUND(B421/ FILTER('Pokemon CP/HP'!$M$2:$M1000, LOWER('Pokemon CP/HP'!$B$2:$B1000)=LOWER(A421)))"),"19")</f>
        <v>19</v>
      </c>
      <c r="H421" s="0" t="str">
        <f aca="false">IFERROR(__xludf.dummyfunction("FILTER('Leveling Info'!$B$2:$B1000, 'Leveling Info'!$A$2:$A1000 =G421)"),"1000")</f>
        <v>1000</v>
      </c>
      <c r="I421" s="14" t="n">
        <f aca="false">SQRT(G421)</f>
        <v>4.35889894354067</v>
      </c>
      <c r="J421" s="14" t="str">
        <f aca="false">IFERROR(__xludf.dummyfunction("IF(F421 = H421,C421/FILTER('Base Stats'!$C$2:$C1000, LOWER('Base Stats'!$B$2:$B1000) = LOWER($A421)), """")"),"0.9")</f>
        <v>0.9</v>
      </c>
      <c r="K421" s="0" t="n">
        <f aca="false">IF(F421 = H421, C421/G421, "")</f>
        <v>4.26315789473684</v>
      </c>
      <c r="L421" s="0" t="str">
        <f aca="false">IFERROR(__xludf.dummyfunction("IF(AND(NOT(K421 = """"), G421 &gt;= 15),K421/FILTER('Base Stats'!$C$2:$C1000, LOWER('Base Stats'!$B$2:$B1000) = LOWER($A421)), """")"),"0.04736842105")</f>
        <v>0.04736842105</v>
      </c>
      <c r="M421" s="0" t="str">
        <f aca="false">IFERROR(__xludf.dummyfunction("1.15 + 0.02 * FILTER('Base Stats'!$C$2:$C1000, LOWER('Base Stats'!$B$2:$B1000) = LOWER($A421))"),"2.95")</f>
        <v>2.95</v>
      </c>
      <c r="N421" s="0" t="e">
        <f aca="false">IFERROR(IF(AND(NOT(K421 = ""), G421 &gt;= 15),K421/M421, ""))</f>
        <v>#VALUE!</v>
      </c>
    </row>
    <row r="422" customFormat="false" ht="15.75" hidden="false" customHeight="false" outlineLevel="0" collapsed="false">
      <c r="A422" s="0" t="str">
        <f aca="false">'Form Responses (Pokemon Stats)'!B46</f>
        <v>Golduck</v>
      </c>
      <c r="B422" s="0" t="str">
        <f aca="false">'Form Responses (Pokemon Stats)'!D46</f>
        <v>426</v>
      </c>
      <c r="C422" s="0" t="str">
        <f aca="false">'Form Responses (Pokemon Stats)'!C46</f>
        <v>60</v>
      </c>
      <c r="F422" s="0" t="str">
        <f aca="false">'Form Responses (Pokemon Stats)'!E46</f>
        <v>800</v>
      </c>
      <c r="G422" s="0" t="str">
        <f aca="false">IFERROR(__xludf.dummyfunction("ROUND(B422/ FILTER('Pokemon CP/HP'!$M$2:$M1000, LOWER('Pokemon CP/HP'!$B$2:$B1000)=LOWER(A422)))"),"13")</f>
        <v>13</v>
      </c>
      <c r="H422" s="0" t="str">
        <f aca="false">IFERROR(__xludf.dummyfunction("FILTER('Leveling Info'!$B$2:$B1000, 'Leveling Info'!$A$2:$A1000 =G422)"),"800")</f>
        <v>800</v>
      </c>
      <c r="I422" s="14" t="n">
        <f aca="false">SQRT(G422)</f>
        <v>3.60555127546399</v>
      </c>
      <c r="J422" s="14" t="str">
        <f aca="false">IFERROR(__xludf.dummyfunction("IF(F422 = H422,C422/FILTER('Base Stats'!$C$2:$C1000, LOWER('Base Stats'!$B$2:$B1000) = LOWER($A422)), """")"),"0.75")</f>
        <v>0.75</v>
      </c>
      <c r="K422" s="0" t="n">
        <f aca="false">IF(F422 = H422, C422/G422, "")</f>
        <v>4.61538461538462</v>
      </c>
      <c r="L422" s="0" t="str">
        <f aca="false">IFERROR(__xludf.dummyfunction("IF(AND(NOT(K422 = """"), G422 &gt;= 15),K422/FILTER('Base Stats'!$C$2:$C1000, LOWER('Base Stats'!$B$2:$B1000) = LOWER($A422)), """")"),"")</f>
        <v/>
      </c>
      <c r="M422" s="0" t="str">
        <f aca="false">IFERROR(__xludf.dummyfunction("1.15 + 0.02 * FILTER('Base Stats'!$C$2:$C1000, LOWER('Base Stats'!$B$2:$B1000) = LOWER($A422))"),"2.75")</f>
        <v>2.75</v>
      </c>
      <c r="N422" s="0" t="e">
        <f aca="false">IFERROR(IF(AND(NOT(K422 = ""), G422 &gt;= 15),K422/M422, ""))</f>
        <v>#VALUE!</v>
      </c>
    </row>
    <row r="423" customFormat="false" ht="15.75" hidden="false" customHeight="false" outlineLevel="0" collapsed="false">
      <c r="A423" s="0" t="str">
        <f aca="false">'Form Responses (Pokemon Stats)'!B47</f>
        <v>Weepinbell</v>
      </c>
      <c r="B423" s="0" t="str">
        <f aca="false">'Form Responses (Pokemon Stats)'!D47</f>
        <v>219</v>
      </c>
      <c r="C423" s="0" t="str">
        <f aca="false">'Form Responses (Pokemon Stats)'!C47</f>
        <v>39</v>
      </c>
      <c r="F423" s="0" t="str">
        <f aca="false">'Form Responses (Pokemon Stats)'!E47</f>
        <v>600</v>
      </c>
      <c r="G423" s="0" t="str">
        <f aca="false">IFERROR(__xludf.dummyfunction("ROUND(B423/ FILTER('Pokemon CP/HP'!$M$2:$M1000, LOWER('Pokemon CP/HP'!$B$2:$B1000)=LOWER(A423)))"),"10")</f>
        <v>10</v>
      </c>
      <c r="H423" s="0" t="str">
        <f aca="false">IFERROR(__xludf.dummyfunction("FILTER('Leveling Info'!$B$2:$B1000, 'Leveling Info'!$A$2:$A1000 =G423)"),"600")</f>
        <v>600</v>
      </c>
      <c r="I423" s="14" t="n">
        <f aca="false">SQRT(G423)</f>
        <v>3.16227766016838</v>
      </c>
      <c r="J423" s="14" t="str">
        <f aca="false">IFERROR(__xludf.dummyfunction("IF(F423 = H423,C423/FILTER('Base Stats'!$C$2:$C1000, LOWER('Base Stats'!$B$2:$B1000) = LOWER($A423)), """")"),"0.6")</f>
        <v>0.6</v>
      </c>
      <c r="K423" s="0" t="n">
        <f aca="false">IF(F423 = H423, C423/G423, "")</f>
        <v>3.9</v>
      </c>
      <c r="L423" s="0" t="str">
        <f aca="false">IFERROR(__xludf.dummyfunction("IF(AND(NOT(K423 = """"), G423 &gt;= 15),K423/FILTER('Base Stats'!$C$2:$C1000, LOWER('Base Stats'!$B$2:$B1000) = LOWER($A423)), """")"),"")</f>
        <v/>
      </c>
      <c r="M423" s="0" t="str">
        <f aca="false">IFERROR(__xludf.dummyfunction("1.15 + 0.02 * FILTER('Base Stats'!$C$2:$C1000, LOWER('Base Stats'!$B$2:$B1000) = LOWER($A423))"),"2.45")</f>
        <v>2.45</v>
      </c>
      <c r="N423" s="0" t="e">
        <f aca="false">IFERROR(IF(AND(NOT(K423 = ""), G423 &gt;= 15),K423/M423, ""))</f>
        <v>#VALUE!</v>
      </c>
    </row>
    <row r="424" customFormat="false" ht="15.75" hidden="false" customHeight="false" outlineLevel="0" collapsed="false">
      <c r="A424" s="0" t="str">
        <f aca="false">'Form Responses (Pokemon Stats)'!B48</f>
        <v>Bellsprout</v>
      </c>
      <c r="B424" s="0" t="str">
        <f aca="false">'Form Responses (Pokemon Stats)'!D48</f>
        <v>334</v>
      </c>
      <c r="C424" s="0" t="str">
        <f aca="false">'Form Responses (Pokemon Stats)'!C48</f>
        <v>50</v>
      </c>
      <c r="F424" s="0" t="str">
        <f aca="false">'Form Responses (Pokemon Stats)'!E48</f>
        <v>1300</v>
      </c>
      <c r="G424" s="0" t="str">
        <f aca="false">IFERROR(__xludf.dummyfunction("ROUND(B424/ FILTER('Pokemon CP/HP'!$M$2:$M1000, LOWER('Pokemon CP/HP'!$B$2:$B1000)=LOWER(A424)))"),"26")</f>
        <v>26</v>
      </c>
      <c r="H424" s="0" t="str">
        <f aca="false">IFERROR(__xludf.dummyfunction("FILTER('Leveling Info'!$B$2:$B1000, 'Leveling Info'!$A$2:$A1000 =G424)"),"1600")</f>
        <v>1600</v>
      </c>
      <c r="I424" s="14" t="n">
        <f aca="false">SQRT(G424)</f>
        <v>5.09901951359278</v>
      </c>
      <c r="J424" s="14" t="str">
        <f aca="false">IFERROR(__xludf.dummyfunction("IF(F424 = H424,C424/FILTER('Base Stats'!$C$2:$C1000, LOWER('Base Stats'!$B$2:$B1000) = LOWER($A424)), """")"),"")</f>
        <v/>
      </c>
      <c r="K424" s="0" t="str">
        <f aca="false">IF(F424 = H424, C424/G424, "")</f>
        <v/>
      </c>
      <c r="L424" s="0" t="str">
        <f aca="false">IFERROR(__xludf.dummyfunction("IF(AND(NOT(K424 = """"), G424 &gt;= 15),K424/FILTER('Base Stats'!$C$2:$C1000, LOWER('Base Stats'!$B$2:$B1000) = LOWER($A424)), """")"),"")</f>
        <v/>
      </c>
      <c r="M424" s="0" t="str">
        <f aca="false">IFERROR(__xludf.dummyfunction("1.15 + 0.02 * FILTER('Base Stats'!$C$2:$C1000, LOWER('Base Stats'!$B$2:$B1000) = LOWER($A424))"),"2.15")</f>
        <v>2.15</v>
      </c>
      <c r="N424" s="0" t="e">
        <f aca="false">IFERROR(IF(AND(NOT(K424 = ""), G424 &gt;= 15),K424/M424, ""))</f>
        <v>#VALUE!</v>
      </c>
    </row>
    <row r="425" customFormat="false" ht="15.75" hidden="false" customHeight="false" outlineLevel="0" collapsed="false">
      <c r="A425" s="0" t="str">
        <f aca="false">'Form Responses (Pokemon Stats)'!B49</f>
        <v>Oddish</v>
      </c>
      <c r="B425" s="0" t="str">
        <f aca="false">'Form Responses (Pokemon Stats)'!D49</f>
        <v>294</v>
      </c>
      <c r="C425" s="0" t="str">
        <f aca="false">'Form Responses (Pokemon Stats)'!C49</f>
        <v>38</v>
      </c>
      <c r="F425" s="0" t="str">
        <f aca="false">'Form Responses (Pokemon Stats)'!E49</f>
        <v>1000</v>
      </c>
      <c r="G425" s="0" t="str">
        <f aca="false">IFERROR(__xludf.dummyfunction("ROUND(B425/ FILTER('Pokemon CP/HP'!$M$2:$M1000, LOWER('Pokemon CP/HP'!$B$2:$B1000)=LOWER(A425)))"),"20")</f>
        <v>20</v>
      </c>
      <c r="H425" s="0" t="str">
        <f aca="false">IFERROR(__xludf.dummyfunction("FILTER('Leveling Info'!$B$2:$B1000, 'Leveling Info'!$A$2:$A1000 =G425)"),"1000")</f>
        <v>1000</v>
      </c>
      <c r="I425" s="14" t="n">
        <f aca="false">SQRT(G425)</f>
        <v>4.47213595499958</v>
      </c>
      <c r="J425" s="14" t="str">
        <f aca="false">IFERROR(__xludf.dummyfunction("IF(F425 = H425,C425/FILTER('Base Stats'!$C$2:$C1000, LOWER('Base Stats'!$B$2:$B1000) = LOWER($A425)), """")"),"0.8444444444")</f>
        <v>0.8444444444</v>
      </c>
      <c r="K425" s="0" t="n">
        <f aca="false">IF(F425 = H425, C425/G425, "")</f>
        <v>1.9</v>
      </c>
      <c r="L425" s="0" t="str">
        <f aca="false">IFERROR(__xludf.dummyfunction("IF(AND(NOT(K425 = """"), G425 &gt;= 15),K425/FILTER('Base Stats'!$C$2:$C1000, LOWER('Base Stats'!$B$2:$B1000) = LOWER($A425)), """")"),"0.04222222222")</f>
        <v>0.04222222222</v>
      </c>
      <c r="M425" s="0" t="str">
        <f aca="false">IFERROR(__xludf.dummyfunction("1.15 + 0.02 * FILTER('Base Stats'!$C$2:$C1000, LOWER('Base Stats'!$B$2:$B1000) = LOWER($A425))"),"2.05")</f>
        <v>2.05</v>
      </c>
      <c r="N425" s="0" t="e">
        <f aca="false">IFERROR(IF(AND(NOT(K425 = ""), G425 &gt;= 15),K425/M425, ""))</f>
        <v>#VALUE!</v>
      </c>
    </row>
    <row r="426" customFormat="false" ht="15.75" hidden="false" customHeight="false" outlineLevel="0" collapsed="false">
      <c r="A426" s="0" t="str">
        <f aca="false">'Form Responses (Pokemon Stats)'!B50</f>
        <v>Beedrill</v>
      </c>
      <c r="B426" s="0" t="str">
        <f aca="false">'Form Responses (Pokemon Stats)'!D50</f>
        <v>296</v>
      </c>
      <c r="C426" s="0" t="str">
        <f aca="false">'Form Responses (Pokemon Stats)'!C50</f>
        <v>51</v>
      </c>
      <c r="F426" s="0" t="str">
        <f aca="false">'Form Responses (Pokemon Stats)'!E50</f>
        <v>800</v>
      </c>
      <c r="G426" s="0" t="str">
        <f aca="false">IFERROR(__xludf.dummyfunction("ROUND(B426/ FILTER('Pokemon CP/HP'!$M$2:$M1000, LOWER('Pokemon CP/HP'!$B$2:$B1000)=LOWER(A426)))"),"15")</f>
        <v>15</v>
      </c>
      <c r="H426" s="0" t="str">
        <f aca="false">IFERROR(__xludf.dummyfunction("FILTER('Leveling Info'!$B$2:$B1000, 'Leveling Info'!$A$2:$A1000 =G426)"),"800")</f>
        <v>800</v>
      </c>
      <c r="I426" s="14" t="n">
        <f aca="false">SQRT(G426)</f>
        <v>3.87298334620742</v>
      </c>
      <c r="J426" s="14" t="str">
        <f aca="false">IFERROR(__xludf.dummyfunction("IF(F426 = H426,C426/FILTER('Base Stats'!$C$2:$C1000, LOWER('Base Stats'!$B$2:$B1000) = LOWER($A426)), """")"),"0.7846153846")</f>
        <v>0.7846153846</v>
      </c>
      <c r="K426" s="0" t="n">
        <f aca="false">IF(F426 = H426, C426/G426, "")</f>
        <v>3.4</v>
      </c>
      <c r="L426" s="0" t="str">
        <f aca="false">IFERROR(__xludf.dummyfunction("IF(AND(NOT(K426 = """"), G426 &gt;= 15),K426/FILTER('Base Stats'!$C$2:$C1000, LOWER('Base Stats'!$B$2:$B1000) = LOWER($A426)), """")"),"0.05230769231")</f>
        <v>0.05230769231</v>
      </c>
      <c r="M426" s="0" t="str">
        <f aca="false">IFERROR(__xludf.dummyfunction("1.15 + 0.02 * FILTER('Base Stats'!$C$2:$C1000, LOWER('Base Stats'!$B$2:$B1000) = LOWER($A426))"),"2.45")</f>
        <v>2.45</v>
      </c>
      <c r="N426" s="0" t="e">
        <f aca="false">IFERROR(IF(AND(NOT(K426 = ""), G426 &gt;= 15),K426/M426, ""))</f>
        <v>#VALUE!</v>
      </c>
    </row>
    <row r="427" customFormat="false" ht="15.75" hidden="false" customHeight="false" outlineLevel="0" collapsed="false">
      <c r="A427" s="0" t="str">
        <f aca="false">'Form Responses (Pokemon Stats)'!B51</f>
        <v>Jolteon</v>
      </c>
      <c r="B427" s="0" t="str">
        <f aca="false">'Form Responses (Pokemon Stats)'!D51</f>
        <v>585</v>
      </c>
      <c r="C427" s="0" t="str">
        <f aca="false">'Form Responses (Pokemon Stats)'!C51</f>
        <v>57</v>
      </c>
      <c r="F427" s="0" t="str">
        <f aca="false">'Form Responses (Pokemon Stats)'!E51</f>
        <v>1000</v>
      </c>
      <c r="G427" s="0" t="str">
        <f aca="false">IFERROR(__xludf.dummyfunction("ROUND(B427/ FILTER('Pokemon CP/HP'!$M$2:$M1000, LOWER('Pokemon CP/HP'!$B$2:$B1000)=LOWER(A427)))"),"19")</f>
        <v>19</v>
      </c>
      <c r="H427" s="0" t="str">
        <f aca="false">IFERROR(__xludf.dummyfunction("FILTER('Leveling Info'!$B$2:$B1000, 'Leveling Info'!$A$2:$A1000 =G427)"),"1000")</f>
        <v>1000</v>
      </c>
      <c r="I427" s="14" t="n">
        <f aca="false">SQRT(G427)</f>
        <v>4.35889894354067</v>
      </c>
      <c r="J427" s="14" t="str">
        <f aca="false">IFERROR(__xludf.dummyfunction("IF(F427 = H427,C427/FILTER('Base Stats'!$C$2:$C1000, LOWER('Base Stats'!$B$2:$B1000) = LOWER($A427)), """")"),"0.8769230769")</f>
        <v>0.8769230769</v>
      </c>
      <c r="K427" s="0" t="n">
        <f aca="false">IF(F427 = H427, C427/G427, "")</f>
        <v>3</v>
      </c>
      <c r="L427" s="0" t="str">
        <f aca="false">IFERROR(__xludf.dummyfunction("IF(AND(NOT(K427 = """"), G427 &gt;= 15),K427/FILTER('Base Stats'!$C$2:$C1000, LOWER('Base Stats'!$B$2:$B1000) = LOWER($A427)), """")"),"0.04615384615")</f>
        <v>0.04615384615</v>
      </c>
      <c r="M427" s="0" t="str">
        <f aca="false">IFERROR(__xludf.dummyfunction("1.15 + 0.02 * FILTER('Base Stats'!$C$2:$C1000, LOWER('Base Stats'!$B$2:$B1000) = LOWER($A427))"),"2.45")</f>
        <v>2.45</v>
      </c>
      <c r="N427" s="0" t="e">
        <f aca="false">IFERROR(IF(AND(NOT(K427 = ""), G427 &gt;= 15),K427/M427, ""))</f>
        <v>#VALUE!</v>
      </c>
    </row>
    <row r="428" customFormat="false" ht="15.75" hidden="false" customHeight="false" outlineLevel="0" collapsed="false">
      <c r="A428" s="0" t="str">
        <f aca="false">'Form Responses (Pokemon Stats)'!B52</f>
        <v>Pinsir</v>
      </c>
      <c r="B428" s="0" t="str">
        <f aca="false">'Form Responses (Pokemon Stats)'!D52</f>
        <v>573</v>
      </c>
      <c r="C428" s="0" t="str">
        <f aca="false">'Form Responses (Pokemon Stats)'!C52</f>
        <v>61</v>
      </c>
      <c r="F428" s="0" t="str">
        <f aca="false">'Form Responses (Pokemon Stats)'!E52</f>
        <v>1000</v>
      </c>
      <c r="G428" s="0" t="str">
        <f aca="false">IFERROR(__xludf.dummyfunction("ROUND(B428/ FILTER('Pokemon CP/HP'!$M$2:$M1000, LOWER('Pokemon CP/HP'!$B$2:$B1000)=LOWER(A428)))"),"19")</f>
        <v>19</v>
      </c>
      <c r="H428" s="0" t="str">
        <f aca="false">IFERROR(__xludf.dummyfunction("FILTER('Leveling Info'!$B$2:$B1000, 'Leveling Info'!$A$2:$A1000 =G428)"),"1000")</f>
        <v>1000</v>
      </c>
      <c r="I428" s="14" t="n">
        <f aca="false">SQRT(G428)</f>
        <v>4.35889894354067</v>
      </c>
      <c r="J428" s="14" t="str">
        <f aca="false">IFERROR(__xludf.dummyfunction("IF(F428 = H428,C428/FILTER('Base Stats'!$C$2:$C1000, LOWER('Base Stats'!$B$2:$B1000) = LOWER($A428)), """")"),"0.9384615385")</f>
        <v>0.9384615385</v>
      </c>
      <c r="K428" s="0" t="n">
        <f aca="false">IF(F428 = H428, C428/G428, "")</f>
        <v>3.21052631578947</v>
      </c>
      <c r="L428" s="0" t="str">
        <f aca="false">IFERROR(__xludf.dummyfunction("IF(AND(NOT(K428 = """"), G428 &gt;= 15),K428/FILTER('Base Stats'!$C$2:$C1000, LOWER('Base Stats'!$B$2:$B1000) = LOWER($A428)), """")"),"0.04939271255")</f>
        <v>0.04939271255</v>
      </c>
      <c r="M428" s="0" t="str">
        <f aca="false">IFERROR(__xludf.dummyfunction("1.15 + 0.02 * FILTER('Base Stats'!$C$2:$C1000, LOWER('Base Stats'!$B$2:$B1000) = LOWER($A428))"),"2.45")</f>
        <v>2.45</v>
      </c>
      <c r="N428" s="0" t="e">
        <f aca="false">IFERROR(IF(AND(NOT(K428 = ""), G428 &gt;= 15),K428/M428, ""))</f>
        <v>#VALUE!</v>
      </c>
    </row>
    <row r="429" customFormat="false" ht="15.75" hidden="false" customHeight="false" outlineLevel="0" collapsed="false">
      <c r="A429" s="0" t="str">
        <f aca="false">'Form Responses (Pokemon Stats)'!B53</f>
        <v>Arbok</v>
      </c>
      <c r="B429" s="0" t="str">
        <f aca="false">'Form Responses (Pokemon Stats)'!D53</f>
        <v>532</v>
      </c>
      <c r="C429" s="0" t="str">
        <f aca="false">'Form Responses (Pokemon Stats)'!C53</f>
        <v>58</v>
      </c>
      <c r="F429" s="0" t="str">
        <f aca="false">'Form Responses (Pokemon Stats)'!E53</f>
        <v>1300</v>
      </c>
      <c r="G429" s="0" t="str">
        <f aca="false">IFERROR(__xludf.dummyfunction("ROUND(B429/ FILTER('Pokemon CP/HP'!$M$2:$M1000, LOWER('Pokemon CP/HP'!$B$2:$B1000)=LOWER(A429)))"),"23")</f>
        <v>23</v>
      </c>
      <c r="H429" s="0" t="str">
        <f aca="false">IFERROR(__xludf.dummyfunction("FILTER('Leveling Info'!$B$2:$B1000, 'Leveling Info'!$A$2:$A1000 =G429)"),"1300")</f>
        <v>1300</v>
      </c>
      <c r="I429" s="14" t="n">
        <f aca="false">SQRT(G429)</f>
        <v>4.79583152331272</v>
      </c>
      <c r="J429" s="14" t="str">
        <f aca="false">IFERROR(__xludf.dummyfunction("IF(F429 = H429,C429/FILTER('Base Stats'!$C$2:$C1000, LOWER('Base Stats'!$B$2:$B1000) = LOWER($A429)), """")"),"0.9666666667")</f>
        <v>0.9666666667</v>
      </c>
      <c r="K429" s="0" t="n">
        <f aca="false">IF(F429 = H429, C429/G429, "")</f>
        <v>2.52173913043478</v>
      </c>
      <c r="L429" s="0" t="str">
        <f aca="false">IFERROR(__xludf.dummyfunction("IF(AND(NOT(K429 = """"), G429 &gt;= 15),K429/FILTER('Base Stats'!$C$2:$C1000, LOWER('Base Stats'!$B$2:$B1000) = LOWER($A429)), """")"),"0.04202898551")</f>
        <v>0.04202898551</v>
      </c>
      <c r="M429" s="0" t="str">
        <f aca="false">IFERROR(__xludf.dummyfunction("1.15 + 0.02 * FILTER('Base Stats'!$C$2:$C1000, LOWER('Base Stats'!$B$2:$B1000) = LOWER($A429))"),"2.35")</f>
        <v>2.35</v>
      </c>
      <c r="N429" s="0" t="e">
        <f aca="false">IFERROR(IF(AND(NOT(K429 = ""), G429 &gt;= 15),K429/M429, ""))</f>
        <v>#VALUE!</v>
      </c>
    </row>
    <row r="430" customFormat="false" ht="15.75" hidden="false" customHeight="false" outlineLevel="0" collapsed="false">
      <c r="A430" s="0" t="str">
        <f aca="false">'Form Responses (Pokemon Stats)'!B54</f>
        <v>Golbat</v>
      </c>
      <c r="B430" s="0" t="str">
        <f aca="false">'Form Responses (Pokemon Stats)'!D54</f>
        <v>527</v>
      </c>
      <c r="C430" s="0" t="str">
        <f aca="false">'Form Responses (Pokemon Stats)'!C54</f>
        <v>68</v>
      </c>
      <c r="F430" s="0" t="str">
        <f aca="false">'Form Responses (Pokemon Stats)'!E54</f>
        <v>1000</v>
      </c>
      <c r="G430" s="0" t="str">
        <f aca="false">IFERROR(__xludf.dummyfunction("ROUND(B430/ FILTER('Pokemon CP/HP'!$M$2:$M1000, LOWER('Pokemon CP/HP'!$B$2:$B1000)=LOWER(A430)))"),"20")</f>
        <v>20</v>
      </c>
      <c r="H430" s="0" t="str">
        <f aca="false">IFERROR(__xludf.dummyfunction("FILTER('Leveling Info'!$B$2:$B1000, 'Leveling Info'!$A$2:$A1000 =G430)"),"1000")</f>
        <v>1000</v>
      </c>
      <c r="I430" s="14" t="n">
        <f aca="false">SQRT(G430)</f>
        <v>4.47213595499958</v>
      </c>
      <c r="J430" s="14" t="str">
        <f aca="false">IFERROR(__xludf.dummyfunction("IF(F430 = H430,C430/FILTER('Base Stats'!$C$2:$C1000, LOWER('Base Stats'!$B$2:$B1000) = LOWER($A430)), """")"),"0.9066666667")</f>
        <v>0.9066666667</v>
      </c>
      <c r="K430" s="0" t="n">
        <f aca="false">IF(F430 = H430, C430/G430, "")</f>
        <v>3.4</v>
      </c>
      <c r="L430" s="0" t="str">
        <f aca="false">IFERROR(__xludf.dummyfunction("IF(AND(NOT(K430 = """"), G430 &gt;= 15),K430/FILTER('Base Stats'!$C$2:$C1000, LOWER('Base Stats'!$B$2:$B1000) = LOWER($A430)), """")"),"0.04533333333")</f>
        <v>0.04533333333</v>
      </c>
      <c r="M430" s="0" t="str">
        <f aca="false">IFERROR(__xludf.dummyfunction("1.15 + 0.02 * FILTER('Base Stats'!$C$2:$C1000, LOWER('Base Stats'!$B$2:$B1000) = LOWER($A430))"),"2.65")</f>
        <v>2.65</v>
      </c>
      <c r="N430" s="0" t="e">
        <f aca="false">IFERROR(IF(AND(NOT(K430 = ""), G430 &gt;= 15),K430/M430, ""))</f>
        <v>#VALUE!</v>
      </c>
    </row>
    <row r="431" customFormat="false" ht="15.75" hidden="false" customHeight="false" outlineLevel="0" collapsed="false">
      <c r="A431" s="0" t="str">
        <f aca="false">'Form Responses (Pokemon Stats)'!B55</f>
        <v>Ponyta</v>
      </c>
      <c r="B431" s="0" t="str">
        <f aca="false">'Form Responses (Pokemon Stats)'!D55</f>
        <v>502</v>
      </c>
      <c r="C431" s="0" t="str">
        <f aca="false">'Form Responses (Pokemon Stats)'!C55</f>
        <v>51</v>
      </c>
      <c r="F431" s="0" t="str">
        <f aca="false">'Form Responses (Pokemon Stats)'!E55</f>
        <v>1300</v>
      </c>
      <c r="G431" s="0" t="str">
        <f aca="false">IFERROR(__xludf.dummyfunction("ROUND(B431/ FILTER('Pokemon CP/HP'!$M$2:$M1000, LOWER('Pokemon CP/HP'!$B$2:$B1000)=LOWER(A431)))"),"24")</f>
        <v>24</v>
      </c>
      <c r="H431" s="0" t="str">
        <f aca="false">IFERROR(__xludf.dummyfunction("FILTER('Leveling Info'!$B$2:$B1000, 'Leveling Info'!$A$2:$A1000 =G431)"),"1300")</f>
        <v>1300</v>
      </c>
      <c r="I431" s="14" t="n">
        <f aca="false">SQRT(G431)</f>
        <v>4.89897948556636</v>
      </c>
      <c r="J431" s="14" t="str">
        <f aca="false">IFERROR(__xludf.dummyfunction("IF(F431 = H431,C431/FILTER('Base Stats'!$C$2:$C1000, LOWER('Base Stats'!$B$2:$B1000) = LOWER($A431)), """")"),"1.02")</f>
        <v>1.02</v>
      </c>
      <c r="K431" s="0" t="n">
        <f aca="false">IF(F431 = H431, C431/G431, "")</f>
        <v>2.125</v>
      </c>
      <c r="L431" s="0" t="str">
        <f aca="false">IFERROR(__xludf.dummyfunction("IF(AND(NOT(K431 = """"), G431 &gt;= 15),K431/FILTER('Base Stats'!$C$2:$C1000, LOWER('Base Stats'!$B$2:$B1000) = LOWER($A431)), """")"),"0.0425")</f>
        <v>0.0425</v>
      </c>
      <c r="M431" s="0" t="str">
        <f aca="false">IFERROR(__xludf.dummyfunction("1.15 + 0.02 * FILTER('Base Stats'!$C$2:$C1000, LOWER('Base Stats'!$B$2:$B1000) = LOWER($A431))"),"2.15")</f>
        <v>2.15</v>
      </c>
      <c r="N431" s="0" t="e">
        <f aca="false">IFERROR(IF(AND(NOT(K431 = ""), G431 &gt;= 15),K431/M431, ""))</f>
        <v>#VALUE!</v>
      </c>
    </row>
    <row r="432" customFormat="false" ht="15.75" hidden="false" customHeight="false" outlineLevel="0" collapsed="false">
      <c r="A432" s="0" t="str">
        <f aca="false">'Form Responses (Pokemon Stats)'!B56</f>
        <v>Scyther</v>
      </c>
      <c r="B432" s="0" t="str">
        <f aca="false">'Form Responses (Pokemon Stats)'!D56</f>
        <v>487</v>
      </c>
      <c r="C432" s="0" t="str">
        <f aca="false">'Form Responses (Pokemon Stats)'!C56</f>
        <v>59</v>
      </c>
      <c r="F432" s="0" t="str">
        <f aca="false">'Form Responses (Pokemon Stats)'!E56</f>
        <v>800</v>
      </c>
      <c r="G432" s="0" t="str">
        <f aca="false">IFERROR(__xludf.dummyfunction("ROUND(B432/ FILTER('Pokemon CP/HP'!$M$2:$M1000, LOWER('Pokemon CP/HP'!$B$2:$B1000)=LOWER(A432)))"),"16")</f>
        <v>16</v>
      </c>
      <c r="H432" s="0" t="str">
        <f aca="false">IFERROR(__xludf.dummyfunction("FILTER('Leveling Info'!$B$2:$B1000, 'Leveling Info'!$A$2:$A1000 =G432)"),"800")</f>
        <v>800</v>
      </c>
      <c r="I432" s="14" t="n">
        <f aca="false">SQRT(G432)</f>
        <v>4</v>
      </c>
      <c r="J432" s="14" t="str">
        <f aca="false">IFERROR(__xludf.dummyfunction("IF(F432 = H432,C432/FILTER('Base Stats'!$C$2:$C1000, LOWER('Base Stats'!$B$2:$B1000) = LOWER($A432)), """")"),"0.8428571429")</f>
        <v>0.8428571429</v>
      </c>
      <c r="K432" s="0" t="n">
        <f aca="false">IF(F432 = H432, C432/G432, "")</f>
        <v>3.6875</v>
      </c>
      <c r="L432" s="0" t="str">
        <f aca="false">IFERROR(__xludf.dummyfunction("IF(AND(NOT(K432 = """"), G432 &gt;= 15),K432/FILTER('Base Stats'!$C$2:$C1000, LOWER('Base Stats'!$B$2:$B1000) = LOWER($A432)), """")"),"0.05267857143")</f>
        <v>0.05267857143</v>
      </c>
      <c r="M432" s="0" t="str">
        <f aca="false">IFERROR(__xludf.dummyfunction("1.15 + 0.02 * FILTER('Base Stats'!$C$2:$C1000, LOWER('Base Stats'!$B$2:$B1000) = LOWER($A432))"),"2.55")</f>
        <v>2.55</v>
      </c>
      <c r="N432" s="0" t="e">
        <f aca="false">IFERROR(IF(AND(NOT(K432 = ""), G432 &gt;= 15),K432/M432, ""))</f>
        <v>#VALUE!</v>
      </c>
    </row>
    <row r="433" customFormat="false" ht="15.75" hidden="false" customHeight="false" outlineLevel="0" collapsed="false">
      <c r="A433" s="0" t="str">
        <f aca="false">'Form Responses (Pokemon Stats)'!B57</f>
        <v>Pinsir</v>
      </c>
      <c r="B433" s="0" t="str">
        <f aca="false">'Form Responses (Pokemon Stats)'!D57</f>
        <v>446</v>
      </c>
      <c r="C433" s="0" t="str">
        <f aca="false">'Form Responses (Pokemon Stats)'!C57</f>
        <v>49</v>
      </c>
      <c r="F433" s="0" t="str">
        <f aca="false">'Form Responses (Pokemon Stats)'!E57</f>
        <v>800</v>
      </c>
      <c r="G433" s="0" t="str">
        <f aca="false">IFERROR(__xludf.dummyfunction("ROUND(B433/ FILTER('Pokemon CP/HP'!$M$2:$M1000, LOWER('Pokemon CP/HP'!$B$2:$B1000)=LOWER(A433)))"),"15")</f>
        <v>15</v>
      </c>
      <c r="H433" s="0" t="str">
        <f aca="false">IFERROR(__xludf.dummyfunction("FILTER('Leveling Info'!$B$2:$B1000, 'Leveling Info'!$A$2:$A1000 =G433)"),"800")</f>
        <v>800</v>
      </c>
      <c r="I433" s="14" t="n">
        <f aca="false">SQRT(G433)</f>
        <v>3.87298334620742</v>
      </c>
      <c r="J433" s="14" t="str">
        <f aca="false">IFERROR(__xludf.dummyfunction("IF(F433 = H433,C433/FILTER('Base Stats'!$C$2:$C1000, LOWER('Base Stats'!$B$2:$B1000) = LOWER($A433)), """")"),"0.7538461538")</f>
        <v>0.7538461538</v>
      </c>
      <c r="K433" s="0" t="n">
        <f aca="false">IF(F433 = H433, C433/G433, "")</f>
        <v>3.26666666666667</v>
      </c>
      <c r="L433" s="0" t="str">
        <f aca="false">IFERROR(__xludf.dummyfunction("IF(AND(NOT(K433 = """"), G433 &gt;= 15),K433/FILTER('Base Stats'!$C$2:$C1000, LOWER('Base Stats'!$B$2:$B1000) = LOWER($A433)), """")"),"0.05025641026")</f>
        <v>0.05025641026</v>
      </c>
      <c r="M433" s="0" t="str">
        <f aca="false">IFERROR(__xludf.dummyfunction("1.15 + 0.02 * FILTER('Base Stats'!$C$2:$C1000, LOWER('Base Stats'!$B$2:$B1000) = LOWER($A433))"),"2.45")</f>
        <v>2.45</v>
      </c>
      <c r="N433" s="0" t="e">
        <f aca="false">IFERROR(IF(AND(NOT(K433 = ""), G433 &gt;= 15),K433/M433, ""))</f>
        <v>#VALUE!</v>
      </c>
    </row>
    <row r="434" customFormat="false" ht="15.75" hidden="false" customHeight="false" outlineLevel="0" collapsed="false">
      <c r="A434" s="0" t="str">
        <f aca="false">'Form Responses (Pokemon Stats)'!B58</f>
        <v>Grimer</v>
      </c>
      <c r="B434" s="0" t="str">
        <f aca="false">'Form Responses (Pokemon Stats)'!D58</f>
        <v>384</v>
      </c>
      <c r="C434" s="0" t="str">
        <f aca="false">'Form Responses (Pokemon Stats)'!C58</f>
        <v>77</v>
      </c>
      <c r="F434" s="0" t="str">
        <f aca="false">'Form Responses (Pokemon Stats)'!E58</f>
        <v>1300</v>
      </c>
      <c r="G434" s="0" t="str">
        <f aca="false">IFERROR(__xludf.dummyfunction("ROUND(B434/ FILTER('Pokemon CP/HP'!$M$2:$M1000, LOWER('Pokemon CP/HP'!$B$2:$B1000)=LOWER(A434)))"),"23")</f>
        <v>23</v>
      </c>
      <c r="H434" s="0" t="str">
        <f aca="false">IFERROR(__xludf.dummyfunction("FILTER('Leveling Info'!$B$2:$B1000, 'Leveling Info'!$A$2:$A1000 =G434)"),"1300")</f>
        <v>1300</v>
      </c>
      <c r="I434" s="14" t="n">
        <f aca="false">SQRT(G434)</f>
        <v>4.79583152331272</v>
      </c>
      <c r="J434" s="14" t="str">
        <f aca="false">IFERROR(__xludf.dummyfunction("IF(F434 = H434,C434/FILTER('Base Stats'!$C$2:$C1000, LOWER('Base Stats'!$B$2:$B1000) = LOWER($A434)), """")"),"0.9625")</f>
        <v>0.9625</v>
      </c>
      <c r="K434" s="0" t="n">
        <f aca="false">IF(F434 = H434, C434/G434, "")</f>
        <v>3.34782608695652</v>
      </c>
      <c r="L434" s="0" t="str">
        <f aca="false">IFERROR(__xludf.dummyfunction("IF(AND(NOT(K434 = """"), G434 &gt;= 15),K434/FILTER('Base Stats'!$C$2:$C1000, LOWER('Base Stats'!$B$2:$B1000) = LOWER($A434)), """")"),"0.04184782609")</f>
        <v>0.04184782609</v>
      </c>
      <c r="M434" s="0" t="str">
        <f aca="false">IFERROR(__xludf.dummyfunction("1.15 + 0.02 * FILTER('Base Stats'!$C$2:$C1000, LOWER('Base Stats'!$B$2:$B1000) = LOWER($A434))"),"2.75")</f>
        <v>2.75</v>
      </c>
      <c r="N434" s="0" t="e">
        <f aca="false">IFERROR(IF(AND(NOT(K434 = ""), G434 &gt;= 15),K434/M434, ""))</f>
        <v>#VALUE!</v>
      </c>
    </row>
    <row r="435" customFormat="false" ht="15.75" hidden="false" customHeight="false" outlineLevel="0" collapsed="false">
      <c r="A435" s="0" t="str">
        <f aca="false">'Form Responses (Pokemon Stats)'!B59</f>
        <v>Venonat</v>
      </c>
      <c r="B435" s="0" t="str">
        <f aca="false">'Form Responses (Pokemon Stats)'!D59</f>
        <v>370</v>
      </c>
      <c r="C435" s="0" t="str">
        <f aca="false">'Form Responses (Pokemon Stats)'!C59</f>
        <v>64</v>
      </c>
      <c r="F435" s="0" t="str">
        <f aca="false">'Form Responses (Pokemon Stats)'!E59</f>
        <v>1600</v>
      </c>
      <c r="G435" s="0" t="str">
        <f aca="false">IFERROR(__xludf.dummyfunction("ROUND(B435/ FILTER('Pokemon CP/HP'!$M$2:$M1000, LOWER('Pokemon CP/HP'!$B$2:$B1000)=LOWER(A435)))"),"26")</f>
        <v>26</v>
      </c>
      <c r="H435" s="0" t="str">
        <f aca="false">IFERROR(__xludf.dummyfunction("FILTER('Leveling Info'!$B$2:$B1000, 'Leveling Info'!$A$2:$A1000 =G435)"),"1600")</f>
        <v>1600</v>
      </c>
      <c r="I435" s="14" t="n">
        <f aca="false">SQRT(G435)</f>
        <v>5.09901951359278</v>
      </c>
      <c r="J435" s="14" t="str">
        <f aca="false">IFERROR(__xludf.dummyfunction("IF(F435 = H435,C435/FILTER('Base Stats'!$C$2:$C1000, LOWER('Base Stats'!$B$2:$B1000) = LOWER($A435)), """")"),"1.066666667")</f>
        <v>1.066666667</v>
      </c>
      <c r="K435" s="0" t="n">
        <f aca="false">IF(F435 = H435, C435/G435, "")</f>
        <v>2.46153846153846</v>
      </c>
      <c r="L435" s="0" t="str">
        <f aca="false">IFERROR(__xludf.dummyfunction("IF(AND(NOT(K435 = """"), G435 &gt;= 15),K435/FILTER('Base Stats'!$C$2:$C1000, LOWER('Base Stats'!$B$2:$B1000) = LOWER($A435)), """")"),"0.04102564103")</f>
        <v>0.04102564103</v>
      </c>
      <c r="M435" s="0" t="str">
        <f aca="false">IFERROR(__xludf.dummyfunction("1.15 + 0.02 * FILTER('Base Stats'!$C$2:$C1000, LOWER('Base Stats'!$B$2:$B1000) = LOWER($A435))"),"2.35")</f>
        <v>2.35</v>
      </c>
      <c r="N435" s="0" t="e">
        <f aca="false">IFERROR(IF(AND(NOT(K435 = ""), G435 &gt;= 15),K435/M435, ""))</f>
        <v>#VALUE!</v>
      </c>
    </row>
    <row r="436" customFormat="false" ht="15.75" hidden="false" customHeight="false" outlineLevel="0" collapsed="false">
      <c r="A436" s="0" t="str">
        <f aca="false">'Form Responses (Pokemon Stats)'!B60</f>
        <v>Pidgeotto</v>
      </c>
      <c r="B436" s="0" t="str">
        <f aca="false">'Form Responses (Pokemon Stats)'!D60</f>
        <v>345</v>
      </c>
      <c r="C436" s="0" t="str">
        <f aca="false">'Form Responses (Pokemon Stats)'!C60</f>
        <v>59</v>
      </c>
      <c r="F436" s="0" t="str">
        <f aca="false">'Form Responses (Pokemon Stats)'!E60</f>
        <v>1300</v>
      </c>
      <c r="G436" s="0" t="str">
        <f aca="false">IFERROR(__xludf.dummyfunction("ROUND(B436/ FILTER('Pokemon CP/HP'!$M$2:$M1000, LOWER('Pokemon CP/HP'!$B$2:$B1000)=LOWER(A436)))"),"19")</f>
        <v>19</v>
      </c>
      <c r="H436" s="0" t="str">
        <f aca="false">IFERROR(__xludf.dummyfunction("FILTER('Leveling Info'!$B$2:$B1000, 'Leveling Info'!$A$2:$A1000 =G436)"),"1000")</f>
        <v>1000</v>
      </c>
      <c r="I436" s="14" t="n">
        <f aca="false">SQRT(G436)</f>
        <v>4.35889894354067</v>
      </c>
      <c r="J436" s="14" t="str">
        <f aca="false">IFERROR(__xludf.dummyfunction("IF(F436 = H436,C436/FILTER('Base Stats'!$C$2:$C1000, LOWER('Base Stats'!$B$2:$B1000) = LOWER($A436)), """")"),"")</f>
        <v/>
      </c>
      <c r="K436" s="0" t="str">
        <f aca="false">IF(F436 = H436, C436/G436, "")</f>
        <v/>
      </c>
      <c r="L436" s="0" t="str">
        <f aca="false">IFERROR(__xludf.dummyfunction("IF(AND(NOT(K436 = """"), G436 &gt;= 15),K436/FILTER('Base Stats'!$C$2:$C1000, LOWER('Base Stats'!$B$2:$B1000) = LOWER($A436)), """")"),"")</f>
        <v/>
      </c>
      <c r="M436" s="0" t="str">
        <f aca="false">IFERROR(__xludf.dummyfunction("1.15 + 0.02 * FILTER('Base Stats'!$C$2:$C1000, LOWER('Base Stats'!$B$2:$B1000) = LOWER($A436))"),"2.41")</f>
        <v>2.41</v>
      </c>
      <c r="N436" s="0" t="e">
        <f aca="false">IFERROR(IF(AND(NOT(K436 = ""), G436 &gt;= 15),K436/M436, ""))</f>
        <v>#VALUE!</v>
      </c>
    </row>
    <row r="437" customFormat="false" ht="15.75" hidden="false" customHeight="false" outlineLevel="0" collapsed="false">
      <c r="A437" s="0" t="str">
        <f aca="false">'Form Responses (Pokemon Stats)'!B61</f>
        <v>Seel</v>
      </c>
      <c r="B437" s="0" t="str">
        <f aca="false">'Form Responses (Pokemon Stats)'!D61</f>
        <v>330</v>
      </c>
      <c r="C437" s="0" t="str">
        <f aca="false">'Form Responses (Pokemon Stats)'!C61</f>
        <v>64</v>
      </c>
      <c r="F437" s="0" t="str">
        <f aca="false">'Form Responses (Pokemon Stats)'!E61</f>
        <v>1300</v>
      </c>
      <c r="G437" s="0" t="str">
        <f aca="false">IFERROR(__xludf.dummyfunction("ROUND(B437/ FILTER('Pokemon CP/HP'!$M$2:$M1000, LOWER('Pokemon CP/HP'!$B$2:$B1000)=LOWER(A437)))"),"21")</f>
        <v>21</v>
      </c>
      <c r="H437" s="0" t="str">
        <f aca="false">IFERROR(__xludf.dummyfunction("FILTER('Leveling Info'!$B$2:$B1000, 'Leveling Info'!$A$2:$A1000 =G437)"),"1300")</f>
        <v>1300</v>
      </c>
      <c r="I437" s="14" t="n">
        <f aca="false">SQRT(G437)</f>
        <v>4.58257569495584</v>
      </c>
      <c r="J437" s="14" t="str">
        <f aca="false">IFERROR(__xludf.dummyfunction("IF(F437 = H437,C437/FILTER('Base Stats'!$C$2:$C1000, LOWER('Base Stats'!$B$2:$B1000) = LOWER($A437)), """")"),"0.9846153846")</f>
        <v>0.9846153846</v>
      </c>
      <c r="K437" s="0" t="n">
        <f aca="false">IF(F437 = H437, C437/G437, "")</f>
        <v>3.04761904761905</v>
      </c>
      <c r="L437" s="0" t="str">
        <f aca="false">IFERROR(__xludf.dummyfunction("IF(AND(NOT(K437 = """"), G437 &gt;= 15),K437/FILTER('Base Stats'!$C$2:$C1000, LOWER('Base Stats'!$B$2:$B1000) = LOWER($A437)), """")"),"0.04688644689")</f>
        <v>0.04688644689</v>
      </c>
      <c r="M437" s="0" t="str">
        <f aca="false">IFERROR(__xludf.dummyfunction("1.15 + 0.02 * FILTER('Base Stats'!$C$2:$C1000, LOWER('Base Stats'!$B$2:$B1000) = LOWER($A437))"),"2.45")</f>
        <v>2.45</v>
      </c>
      <c r="N437" s="0" t="e">
        <f aca="false">IFERROR(IF(AND(NOT(K437 = ""), G437 &gt;= 15),K437/M437, ""))</f>
        <v>#VALUE!</v>
      </c>
    </row>
    <row r="438" customFormat="false" ht="15.75" hidden="false" customHeight="false" outlineLevel="0" collapsed="false">
      <c r="A438" s="0" t="str">
        <f aca="false">'Form Responses (Pokemon Stats)'!B62</f>
        <v>Vaporeon</v>
      </c>
      <c r="B438" s="0" t="str">
        <f aca="false">'Form Responses (Pokemon Stats)'!D62</f>
        <v>1782</v>
      </c>
      <c r="C438" s="0" t="str">
        <f aca="false">'Form Responses (Pokemon Stats)'!C62</f>
        <v>171</v>
      </c>
      <c r="F438" s="0" t="str">
        <f aca="false">'Form Responses (Pokemon Stats)'!E62</f>
        <v>3000</v>
      </c>
      <c r="G438" s="0" t="str">
        <f aca="false">IFERROR(__xludf.dummyfunction("ROUND(B438/ FILTER('Pokemon CP/HP'!$M$2:$M1000, LOWER('Pokemon CP/HP'!$B$2:$B1000)=LOWER(A438)))"),"45")</f>
        <v>45</v>
      </c>
      <c r="H438" s="0" t="str">
        <f aca="false">IFERROR(__xludf.dummyfunction("FILTER('Leveling Info'!$B$2:$B1000, 'Leveling Info'!$A$2:$A1000 =G438)"),"3500")</f>
        <v>3500</v>
      </c>
      <c r="I438" s="14" t="n">
        <f aca="false">SQRT(G438)</f>
        <v>6.70820393249937</v>
      </c>
      <c r="J438" s="14" t="str">
        <f aca="false">IFERROR(__xludf.dummyfunction("IF(F438 = H438,C438/FILTER('Base Stats'!$C$2:$C1000, LOWER('Base Stats'!$B$2:$B1000) = LOWER($A438)), """")"),"")</f>
        <v/>
      </c>
      <c r="K438" s="0" t="str">
        <f aca="false">IF(F438 = H438, C438/G438, "")</f>
        <v/>
      </c>
      <c r="L438" s="0" t="str">
        <f aca="false">IFERROR(__xludf.dummyfunction("IF(AND(NOT(K438 = """"), G438 &gt;= 15),K438/FILTER('Base Stats'!$C$2:$C1000, LOWER('Base Stats'!$B$2:$B1000) = LOWER($A438)), """")"),"")</f>
        <v/>
      </c>
      <c r="M438" s="0" t="str">
        <f aca="false">IFERROR(__xludf.dummyfunction("1.15 + 0.02 * FILTER('Base Stats'!$C$2:$C1000, LOWER('Base Stats'!$B$2:$B1000) = LOWER($A438))"),"3.75")</f>
        <v>3.75</v>
      </c>
      <c r="N438" s="0" t="e">
        <f aca="false">IFERROR(IF(AND(NOT(K438 = ""), G438 &gt;= 15),K438/M438, ""))</f>
        <v>#VALUE!</v>
      </c>
    </row>
    <row r="439" customFormat="false" ht="15.75" hidden="false" customHeight="false" outlineLevel="0" collapsed="false">
      <c r="A439" s="0" t="str">
        <f aca="false">'Form Responses (Pokemon Stats)'!B63</f>
        <v>Vaporeon</v>
      </c>
      <c r="B439" s="0" t="str">
        <f aca="false">'Form Responses (Pokemon Stats)'!D63</f>
        <v>1567</v>
      </c>
      <c r="C439" s="0" t="str">
        <f aca="false">'Form Responses (Pokemon Stats)'!C63</f>
        <v>165</v>
      </c>
      <c r="F439" s="0" t="str">
        <f aca="false">'Form Responses (Pokemon Stats)'!E63</f>
        <v>3000</v>
      </c>
      <c r="G439" s="0" t="str">
        <f aca="false">IFERROR(__xludf.dummyfunction("ROUND(B439/ FILTER('Pokemon CP/HP'!$M$2:$M1000, LOWER('Pokemon CP/HP'!$B$2:$B1000)=LOWER(A439)))"),"40")</f>
        <v>40</v>
      </c>
      <c r="H439" s="0" t="str">
        <f aca="false">IFERROR(__xludf.dummyfunction("FILTER('Leveling Info'!$B$2:$B1000, 'Leveling Info'!$A$2:$A1000 =G439)"),"2500")</f>
        <v>2500</v>
      </c>
      <c r="I439" s="14" t="n">
        <f aca="false">SQRT(G439)</f>
        <v>6.32455532033676</v>
      </c>
      <c r="J439" s="14" t="str">
        <f aca="false">IFERROR(__xludf.dummyfunction("IF(F439 = H439,C439/FILTER('Base Stats'!$C$2:$C1000, LOWER('Base Stats'!$B$2:$B1000) = LOWER($A439)), """")"),"")</f>
        <v/>
      </c>
      <c r="K439" s="0" t="str">
        <f aca="false">IF(F439 = H439, C439/G439, "")</f>
        <v/>
      </c>
      <c r="L439" s="0" t="str">
        <f aca="false">IFERROR(__xludf.dummyfunction("IF(AND(NOT(K439 = """"), G439 &gt;= 15),K439/FILTER('Base Stats'!$C$2:$C1000, LOWER('Base Stats'!$B$2:$B1000) = LOWER($A439)), """")"),"")</f>
        <v/>
      </c>
      <c r="M439" s="0" t="str">
        <f aca="false">IFERROR(__xludf.dummyfunction("1.15 + 0.02 * FILTER('Base Stats'!$C$2:$C1000, LOWER('Base Stats'!$B$2:$B1000) = LOWER($A439))"),"3.75")</f>
        <v>3.75</v>
      </c>
      <c r="N439" s="0" t="e">
        <f aca="false">IFERROR(IF(AND(NOT(K439 = ""), G439 &gt;= 15),K439/M439, ""))</f>
        <v>#VALUE!</v>
      </c>
    </row>
    <row r="440" customFormat="false" ht="15.75" hidden="false" customHeight="false" outlineLevel="0" collapsed="false">
      <c r="A440" s="0" t="str">
        <f aca="false">'Form Responses (Pokemon Stats)'!B64</f>
        <v>Blastoise</v>
      </c>
      <c r="B440" s="0" t="str">
        <f aca="false">'Form Responses (Pokemon Stats)'!D64</f>
        <v>1534</v>
      </c>
      <c r="C440" s="0" t="str">
        <f aca="false">'Form Responses (Pokemon Stats)'!C64</f>
        <v>106</v>
      </c>
      <c r="F440" s="0" t="str">
        <f aca="false">'Form Responses (Pokemon Stats)'!E64</f>
        <v>3500</v>
      </c>
      <c r="G440" s="0" t="str">
        <f aca="false">IFERROR(__xludf.dummyfunction("ROUND(B440/ FILTER('Pokemon CP/HP'!$M$2:$M1000, LOWER('Pokemon CP/HP'!$B$2:$B1000)=LOWER(A440)))"),"49")</f>
        <v>49</v>
      </c>
      <c r="H440" s="0" t="str">
        <f aca="false">IFERROR(__xludf.dummyfunction("FILTER('Leveling Info'!$B$2:$B1000, 'Leveling Info'!$A$2:$A1000 =G440)"),"4000")</f>
        <v>4000</v>
      </c>
      <c r="I440" s="14" t="n">
        <f aca="false">SQRT(G440)</f>
        <v>7</v>
      </c>
      <c r="J440" s="14" t="str">
        <f aca="false">IFERROR(__xludf.dummyfunction("IF(F440 = H440,C440/FILTER('Base Stats'!$C$2:$C1000, LOWER('Base Stats'!$B$2:$B1000) = LOWER($A440)), """")"),"")</f>
        <v/>
      </c>
      <c r="K440" s="0" t="str">
        <f aca="false">IF(F440 = H440, C440/G440, "")</f>
        <v/>
      </c>
      <c r="L440" s="0" t="str">
        <f aca="false">IFERROR(__xludf.dummyfunction("IF(AND(NOT(K440 = """"), G440 &gt;= 15),K440/FILTER('Base Stats'!$C$2:$C1000, LOWER('Base Stats'!$B$2:$B1000) = LOWER($A440)), """")"),"")</f>
        <v/>
      </c>
      <c r="M440" s="0" t="str">
        <f aca="false">IFERROR(__xludf.dummyfunction("1.15 + 0.02 * FILTER('Base Stats'!$C$2:$C1000, LOWER('Base Stats'!$B$2:$B1000) = LOWER($A440))"),"2.73")</f>
        <v>2.73</v>
      </c>
      <c r="N440" s="0" t="e">
        <f aca="false">IFERROR(IF(AND(NOT(K440 = ""), G440 &gt;= 15),K440/M440, ""))</f>
        <v>#VALUE!</v>
      </c>
    </row>
    <row r="441" customFormat="false" ht="15.75" hidden="false" customHeight="false" outlineLevel="0" collapsed="false">
      <c r="A441" s="0" t="str">
        <f aca="false">'Form Responses (Pokemon Stats)'!B65</f>
        <v>Flareon</v>
      </c>
      <c r="B441" s="0" t="str">
        <f aca="false">'Form Responses (Pokemon Stats)'!D65</f>
        <v>1451</v>
      </c>
      <c r="C441" s="0" t="str">
        <f aca="false">'Form Responses (Pokemon Stats)'!C65</f>
        <v>86</v>
      </c>
      <c r="F441" s="0" t="str">
        <f aca="false">'Form Responses (Pokemon Stats)'!E65</f>
        <v>2500</v>
      </c>
      <c r="G441" s="0" t="str">
        <f aca="false">IFERROR(__xludf.dummyfunction("ROUND(B441/ FILTER('Pokemon CP/HP'!$M$2:$M1000, LOWER('Pokemon CP/HP'!$B$2:$B1000)=LOWER(A441)))"),"39")</f>
        <v>39</v>
      </c>
      <c r="H441" s="0" t="str">
        <f aca="false">IFERROR(__xludf.dummyfunction("FILTER('Leveling Info'!$B$2:$B1000, 'Leveling Info'!$A$2:$A1000 =G441)"),"2500")</f>
        <v>2500</v>
      </c>
      <c r="I441" s="14" t="n">
        <f aca="false">SQRT(G441)</f>
        <v>6.2449979983984</v>
      </c>
      <c r="J441" s="14" t="str">
        <f aca="false">IFERROR(__xludf.dummyfunction("IF(F441 = H441,C441/FILTER('Base Stats'!$C$2:$C1000, LOWER('Base Stats'!$B$2:$B1000) = LOWER($A441)), """")"),"1.323076923")</f>
        <v>1.323076923</v>
      </c>
      <c r="K441" s="0" t="n">
        <f aca="false">IF(F441 = H441, C441/G441, "")</f>
        <v>2.20512820512821</v>
      </c>
      <c r="L441" s="0" t="str">
        <f aca="false">IFERROR(__xludf.dummyfunction("IF(AND(NOT(K441 = """"), G441 &gt;= 15),K441/FILTER('Base Stats'!$C$2:$C1000, LOWER('Base Stats'!$B$2:$B1000) = LOWER($A441)), """")"),"0.03392504931")</f>
        <v>0.03392504931</v>
      </c>
      <c r="M441" s="0" t="str">
        <f aca="false">IFERROR(__xludf.dummyfunction("1.15 + 0.02 * FILTER('Base Stats'!$C$2:$C1000, LOWER('Base Stats'!$B$2:$B1000) = LOWER($A441))"),"2.45")</f>
        <v>2.45</v>
      </c>
      <c r="N441" s="0" t="e">
        <f aca="false">IFERROR(IF(AND(NOT(K441 = ""), G441 &gt;= 15),K441/M441, ""))</f>
        <v>#VALUE!</v>
      </c>
    </row>
    <row r="442" customFormat="false" ht="15.75" hidden="false" customHeight="false" outlineLevel="0" collapsed="false">
      <c r="A442" s="0" t="str">
        <f aca="false">'Form Responses (Pokemon Stats)'!B66</f>
        <v>Nidoking</v>
      </c>
      <c r="B442" s="0" t="str">
        <f aca="false">'Form Responses (Pokemon Stats)'!D66</f>
        <v>1425</v>
      </c>
      <c r="C442" s="0" t="str">
        <f aca="false">'Form Responses (Pokemon Stats)'!C66</f>
        <v>105</v>
      </c>
      <c r="F442" s="0" t="str">
        <f aca="false">'Form Responses (Pokemon Stats)'!E66</f>
        <v>2500</v>
      </c>
      <c r="G442" s="0" t="str">
        <f aca="false">IFERROR(__xludf.dummyfunction("ROUND(B442/ FILTER('Pokemon CP/HP'!$M$2:$M1000, LOWER('Pokemon CP/HP'!$B$2:$B1000)=LOWER(A442)))"),"42")</f>
        <v>42</v>
      </c>
      <c r="H442" s="0" t="str">
        <f aca="false">IFERROR(__xludf.dummyfunction("FILTER('Leveling Info'!$B$2:$B1000, 'Leveling Info'!$A$2:$A1000 =G442)"),"3000")</f>
        <v>3000</v>
      </c>
      <c r="I442" s="14" t="n">
        <f aca="false">SQRT(G442)</f>
        <v>6.48074069840786</v>
      </c>
      <c r="J442" s="14" t="str">
        <f aca="false">IFERROR(__xludf.dummyfunction("IF(F442 = H442,C442/FILTER('Base Stats'!$C$2:$C1000, LOWER('Base Stats'!$B$2:$B1000) = LOWER($A442)), """")"),"")</f>
        <v/>
      </c>
      <c r="K442" s="0" t="str">
        <f aca="false">IF(F442 = H442, C442/G442, "")</f>
        <v/>
      </c>
      <c r="L442" s="0" t="str">
        <f aca="false">IFERROR(__xludf.dummyfunction("IF(AND(NOT(K442 = """"), G442 &gt;= 15),K442/FILTER('Base Stats'!$C$2:$C1000, LOWER('Base Stats'!$B$2:$B1000) = LOWER($A442)), """")"),"")</f>
        <v/>
      </c>
      <c r="M442" s="0" t="str">
        <f aca="false">IFERROR(__xludf.dummyfunction("1.15 + 0.02 * FILTER('Base Stats'!$C$2:$C1000, LOWER('Base Stats'!$B$2:$B1000) = LOWER($A442))"),"2.77")</f>
        <v>2.77</v>
      </c>
      <c r="N442" s="0" t="e">
        <f aca="false">IFERROR(IF(AND(NOT(K442 = ""), G442 &gt;= 15),K442/M442, ""))</f>
        <v>#VALUE!</v>
      </c>
    </row>
    <row r="443" customFormat="false" ht="15.75" hidden="false" customHeight="false" outlineLevel="0" collapsed="false">
      <c r="A443" s="0" t="str">
        <f aca="false">'Form Responses (Pokemon Stats)'!B67</f>
        <v>Flareon</v>
      </c>
      <c r="B443" s="0" t="str">
        <f aca="false">'Form Responses (Pokemon Stats)'!D67</f>
        <v>1369</v>
      </c>
      <c r="C443" s="0" t="str">
        <f aca="false">'Form Responses (Pokemon Stats)'!C67</f>
        <v>76</v>
      </c>
      <c r="F443" s="0" t="str">
        <f aca="false">'Form Responses (Pokemon Stats)'!E67</f>
        <v>2500</v>
      </c>
      <c r="G443" s="0" t="str">
        <f aca="false">IFERROR(__xludf.dummyfunction("ROUND(B443/ FILTER('Pokemon CP/HP'!$M$2:$M1000, LOWER('Pokemon CP/HP'!$B$2:$B1000)=LOWER(A443)))"),"37")</f>
        <v>37</v>
      </c>
      <c r="H443" s="0" t="str">
        <f aca="false">IFERROR(__xludf.dummyfunction("FILTER('Leveling Info'!$B$2:$B1000, 'Leveling Info'!$A$2:$A1000 =G443)"),"2500")</f>
        <v>2500</v>
      </c>
      <c r="I443" s="14" t="n">
        <f aca="false">SQRT(G443)</f>
        <v>6.08276253029822</v>
      </c>
      <c r="J443" s="14" t="str">
        <f aca="false">IFERROR(__xludf.dummyfunction("IF(F443 = H443,C443/FILTER('Base Stats'!$C$2:$C1000, LOWER('Base Stats'!$B$2:$B1000) = LOWER($A443)), """")"),"1.169230769")</f>
        <v>1.169230769</v>
      </c>
      <c r="K443" s="0" t="n">
        <f aca="false">IF(F443 = H443, C443/G443, "")</f>
        <v>2.05405405405405</v>
      </c>
      <c r="L443" s="0" t="str">
        <f aca="false">IFERROR(__xludf.dummyfunction("IF(AND(NOT(K443 = """"), G443 &gt;= 15),K443/FILTER('Base Stats'!$C$2:$C1000, LOWER('Base Stats'!$B$2:$B1000) = LOWER($A443)), """")"),"0.0316008316")</f>
        <v>0.0316008316</v>
      </c>
      <c r="M443" s="0" t="str">
        <f aca="false">IFERROR(__xludf.dummyfunction("1.15 + 0.02 * FILTER('Base Stats'!$C$2:$C1000, LOWER('Base Stats'!$B$2:$B1000) = LOWER($A443))"),"2.45")</f>
        <v>2.45</v>
      </c>
      <c r="N443" s="0" t="e">
        <f aca="false">IFERROR(IF(AND(NOT(K443 = ""), G443 &gt;= 15),K443/M443, ""))</f>
        <v>#VALUE!</v>
      </c>
    </row>
    <row r="444" customFormat="false" ht="15.75" hidden="false" customHeight="false" outlineLevel="0" collapsed="false">
      <c r="A444" s="0" t="str">
        <f aca="false">'Form Responses (Pokemon Stats)'!B68</f>
        <v>Tentacruel</v>
      </c>
      <c r="B444" s="0" t="str">
        <f aca="false">'Form Responses (Pokemon Stats)'!D68</f>
        <v>1316</v>
      </c>
      <c r="C444" s="0" t="str">
        <f aca="false">'Form Responses (Pokemon Stats)'!C68</f>
        <v>104</v>
      </c>
      <c r="F444" s="0" t="str">
        <f aca="false">'Form Responses (Pokemon Stats)'!E68</f>
        <v>3000</v>
      </c>
      <c r="G444" s="0" t="str">
        <f aca="false">IFERROR(__xludf.dummyfunction("ROUND(B444/ FILTER('Pokemon CP/HP'!$M$2:$M1000, LOWER('Pokemon CP/HP'!$B$2:$B1000)=LOWER(A444)))"),"44")</f>
        <v>44</v>
      </c>
      <c r="H444" s="0" t="str">
        <f aca="false">IFERROR(__xludf.dummyfunction("FILTER('Leveling Info'!$B$2:$B1000, 'Leveling Info'!$A$2:$A1000 =G444)"),"3000")</f>
        <v>3000</v>
      </c>
      <c r="I444" s="14" t="n">
        <f aca="false">SQRT(G444)</f>
        <v>6.6332495807108</v>
      </c>
      <c r="J444" s="14" t="str">
        <f aca="false">IFERROR(__xludf.dummyfunction("IF(F444 = H444,C444/FILTER('Base Stats'!$C$2:$C1000, LOWER('Base Stats'!$B$2:$B1000) = LOWER($A444)), """")"),"1.3")</f>
        <v>1.3</v>
      </c>
      <c r="K444" s="0" t="n">
        <f aca="false">IF(F444 = H444, C444/G444, "")</f>
        <v>2.36363636363636</v>
      </c>
      <c r="L444" s="0" t="str">
        <f aca="false">IFERROR(__xludf.dummyfunction("IF(AND(NOT(K444 = """"), G444 &gt;= 15),K444/FILTER('Base Stats'!$C$2:$C1000, LOWER('Base Stats'!$B$2:$B1000) = LOWER($A444)), """")"),"0.02954545455")</f>
        <v>0.02954545455</v>
      </c>
      <c r="M444" s="0" t="str">
        <f aca="false">IFERROR(__xludf.dummyfunction("1.15 + 0.02 * FILTER('Base Stats'!$C$2:$C1000, LOWER('Base Stats'!$B$2:$B1000) = LOWER($A444))"),"2.75")</f>
        <v>2.75</v>
      </c>
      <c r="N444" s="0" t="e">
        <f aca="false">IFERROR(IF(AND(NOT(K444 = ""), G444 &gt;= 15),K444/M444, ""))</f>
        <v>#VALUE!</v>
      </c>
    </row>
    <row r="445" customFormat="false" ht="15.75" hidden="false" customHeight="false" outlineLevel="0" collapsed="false">
      <c r="A445" s="0" t="str">
        <f aca="false">'Form Responses (Pokemon Stats)'!B69</f>
        <v>Jolteon</v>
      </c>
      <c r="B445" s="0" t="str">
        <f aca="false">'Form Responses (Pokemon Stats)'!D69</f>
        <v>1316</v>
      </c>
      <c r="C445" s="0" t="str">
        <f aca="false">'Form Responses (Pokemon Stats)'!C69</f>
        <v>90</v>
      </c>
      <c r="F445" s="0" t="str">
        <f aca="false">'Form Responses (Pokemon Stats)'!E69</f>
        <v>3000</v>
      </c>
      <c r="G445" s="0" t="str">
        <f aca="false">IFERROR(__xludf.dummyfunction("ROUND(B445/ FILTER('Pokemon CP/HP'!$M$2:$M1000, LOWER('Pokemon CP/HP'!$B$2:$B1000)=LOWER(A445)))"),"44")</f>
        <v>44</v>
      </c>
      <c r="H445" s="0" t="str">
        <f aca="false">IFERROR(__xludf.dummyfunction("FILTER('Leveling Info'!$B$2:$B1000, 'Leveling Info'!$A$2:$A1000 =G445)"),"3000")</f>
        <v>3000</v>
      </c>
      <c r="I445" s="14" t="n">
        <f aca="false">SQRT(G445)</f>
        <v>6.6332495807108</v>
      </c>
      <c r="J445" s="14" t="str">
        <f aca="false">IFERROR(__xludf.dummyfunction("IF(F445 = H445,C445/FILTER('Base Stats'!$C$2:$C1000, LOWER('Base Stats'!$B$2:$B1000) = LOWER($A445)), """")"),"1.384615385")</f>
        <v>1.384615385</v>
      </c>
      <c r="K445" s="0" t="n">
        <f aca="false">IF(F445 = H445, C445/G445, "")</f>
        <v>2.04545454545455</v>
      </c>
      <c r="L445" s="0" t="str">
        <f aca="false">IFERROR(__xludf.dummyfunction("IF(AND(NOT(K445 = """"), G445 &gt;= 15),K445/FILTER('Base Stats'!$C$2:$C1000, LOWER('Base Stats'!$B$2:$B1000) = LOWER($A445)), """")"),"0.03146853147")</f>
        <v>0.03146853147</v>
      </c>
      <c r="M445" s="0" t="str">
        <f aca="false">IFERROR(__xludf.dummyfunction("1.15 + 0.02 * FILTER('Base Stats'!$C$2:$C1000, LOWER('Base Stats'!$B$2:$B1000) = LOWER($A445))"),"2.45")</f>
        <v>2.45</v>
      </c>
      <c r="N445" s="0" t="e">
        <f aca="false">IFERROR(IF(AND(NOT(K445 = ""), G445 &gt;= 15),K445/M445, ""))</f>
        <v>#VALUE!</v>
      </c>
    </row>
    <row r="446" customFormat="false" ht="15.75" hidden="false" customHeight="false" outlineLevel="0" collapsed="false">
      <c r="A446" s="0" t="str">
        <f aca="false">'Form Responses (Pokemon Stats)'!B70</f>
        <v>Kangaskhan</v>
      </c>
      <c r="B446" s="0" t="str">
        <f aca="false">'Form Responses (Pokemon Stats)'!D70</f>
        <v>1141</v>
      </c>
      <c r="C446" s="0" t="str">
        <f aca="false">'Form Responses (Pokemon Stats)'!C70</f>
        <v>134</v>
      </c>
      <c r="F446" s="0" t="str">
        <f aca="false">'Form Responses (Pokemon Stats)'!E70</f>
        <v>2500</v>
      </c>
      <c r="G446" s="0" t="str">
        <f aca="false">IFERROR(__xludf.dummyfunction("ROUND(B446/ FILTER('Pokemon CP/HP'!$M$2:$M1000, LOWER('Pokemon CP/HP'!$B$2:$B1000)=LOWER(A446)))"),"39")</f>
        <v>39</v>
      </c>
      <c r="H446" s="0" t="str">
        <f aca="false">IFERROR(__xludf.dummyfunction("FILTER('Leveling Info'!$B$2:$B1000, 'Leveling Info'!$A$2:$A1000 =G446)"),"2500")</f>
        <v>2500</v>
      </c>
      <c r="I446" s="14" t="n">
        <f aca="false">SQRT(G446)</f>
        <v>6.2449979983984</v>
      </c>
      <c r="J446" s="14" t="str">
        <f aca="false">IFERROR(__xludf.dummyfunction("IF(F446 = H446,C446/FILTER('Base Stats'!$C$2:$C1000, LOWER('Base Stats'!$B$2:$B1000) = LOWER($A446)), """")"),"1.276190476")</f>
        <v>1.276190476</v>
      </c>
      <c r="K446" s="0" t="n">
        <f aca="false">IF(F446 = H446, C446/G446, "")</f>
        <v>3.43589743589744</v>
      </c>
      <c r="L446" s="0" t="str">
        <f aca="false">IFERROR(__xludf.dummyfunction("IF(AND(NOT(K446 = """"), G446 &gt;= 15),K446/FILTER('Base Stats'!$C$2:$C1000, LOWER('Base Stats'!$B$2:$B1000) = LOWER($A446)), """")"),"0.03272283272")</f>
        <v>0.03272283272</v>
      </c>
      <c r="M446" s="0" t="str">
        <f aca="false">IFERROR(__xludf.dummyfunction("1.15 + 0.02 * FILTER('Base Stats'!$C$2:$C1000, LOWER('Base Stats'!$B$2:$B1000) = LOWER($A446))"),"3.25")</f>
        <v>3.25</v>
      </c>
      <c r="N446" s="0" t="e">
        <f aca="false">IFERROR(IF(AND(NOT(K446 = ""), G446 &gt;= 15),K446/M446, ""))</f>
        <v>#VALUE!</v>
      </c>
    </row>
    <row r="447" customFormat="false" ht="15.75" hidden="false" customHeight="false" outlineLevel="0" collapsed="false">
      <c r="A447" s="0" t="str">
        <f aca="false">'Form Responses (Pokemon Stats)'!B71</f>
        <v>Tauros</v>
      </c>
      <c r="B447" s="0" t="str">
        <f aca="false">'Form Responses (Pokemon Stats)'!D71</f>
        <v>79</v>
      </c>
      <c r="C447" s="0" t="str">
        <f aca="false">'Form Responses (Pokemon Stats)'!C71</f>
        <v>25</v>
      </c>
      <c r="F447" s="0" t="str">
        <f aca="false">'Form Responses (Pokemon Stats)'!E71</f>
        <v>200</v>
      </c>
      <c r="G447" s="0" t="str">
        <f aca="false">IFERROR(__xludf.dummyfunction("ROUND(B447/ FILTER('Pokemon CP/HP'!$M$2:$M1000, LOWER('Pokemon CP/HP'!$B$2:$B1000)=LOWER(A447)))"),"3")</f>
        <v>3</v>
      </c>
      <c r="H447" s="0" t="str">
        <f aca="false">IFERROR(__xludf.dummyfunction("FILTER('Leveling Info'!$B$2:$B1000, 'Leveling Info'!$A$2:$A1000 =G447)"),"200")</f>
        <v>200</v>
      </c>
      <c r="I447" s="14" t="n">
        <f aca="false">SQRT(G447)</f>
        <v>1.73205080756888</v>
      </c>
      <c r="J447" s="14" t="str">
        <f aca="false">IFERROR(__xludf.dummyfunction("IF(F447 = H447,C447/FILTER('Base Stats'!$C$2:$C1000, LOWER('Base Stats'!$B$2:$B1000) = LOWER($A447)), """")"),"0.3333333333")</f>
        <v>0.3333333333</v>
      </c>
      <c r="K447" s="0" t="n">
        <f aca="false">IF(F447 = H447, C447/G447, "")</f>
        <v>8.33333333333333</v>
      </c>
      <c r="L447" s="0" t="str">
        <f aca="false">IFERROR(__xludf.dummyfunction("IF(AND(NOT(K447 = """"), G447 &gt;= 15),K447/FILTER('Base Stats'!$C$2:$C1000, LOWER('Base Stats'!$B$2:$B1000) = LOWER($A447)), """")"),"")</f>
        <v/>
      </c>
      <c r="M447" s="0" t="str">
        <f aca="false">IFERROR(__xludf.dummyfunction("1.15 + 0.02 * FILTER('Base Stats'!$C$2:$C1000, LOWER('Base Stats'!$B$2:$B1000) = LOWER($A447))"),"2.65")</f>
        <v>2.65</v>
      </c>
      <c r="N447" s="0" t="e">
        <f aca="false">IFERROR(IF(AND(NOT(K447 = ""), G447 &gt;= 15),K447/M447, ""))</f>
        <v>#VALUE!</v>
      </c>
    </row>
    <row r="448" customFormat="false" ht="15.75" hidden="false" customHeight="false" outlineLevel="0" collapsed="false">
      <c r="A448" s="0" t="n">
        <f aca="false">'Form Responses (Pokemon Stats)'!B342</f>
        <v>0</v>
      </c>
      <c r="B448" s="0" t="n">
        <f aca="false">'Form Responses (Pokemon Stats)'!D342</f>
        <v>0</v>
      </c>
      <c r="C448" s="0" t="n">
        <f aca="false">'Form Responses (Pokemon Stats)'!C342</f>
        <v>0</v>
      </c>
      <c r="F448" s="0" t="n">
        <f aca="false">'Form Responses (Pokemon Stats)'!E342</f>
        <v>0</v>
      </c>
      <c r="G448" s="0" t="str">
        <f aca="false">IFERROR(__xludf.dummyfunction("ROUND(B448/ FILTER('Pokemon CP/HP'!$M$2:$M1000, LOWER('Pokemon CP/HP'!$B$2:$B1000)=LOWER(A448)))"),"#DIV/0!")</f>
        <v>#DIV/0!</v>
      </c>
      <c r="H448" s="0" t="str">
        <f aca="false">IFERROR(__xludf.dummyfunction("FILTER('Leveling Info'!$B$2:$B1000, 'Leveling Info'!$A$2:$A1000 =G448)"),"#N/A")</f>
        <v>#N/A</v>
      </c>
      <c r="I448" s="14" t="e">
        <f aca="false">SQRT(G448)</f>
        <v>#VALUE!</v>
      </c>
      <c r="J448" s="14" t="str">
        <f aca="false">IFERROR(__xludf.dummyfunction("IF(F448 = H448,C448/FILTER('Base Stats'!$C$2:$C1000, LOWER('Base Stats'!$B$2:$B1000) = LOWER($A448)), """")"),"#N/A")</f>
        <v>#N/A</v>
      </c>
      <c r="K448" s="0" t="str">
        <f aca="false">IF(F448 = H448, C448/G448, "")</f>
        <v/>
      </c>
      <c r="L448" s="0" t="str">
        <f aca="false">IFERROR(__xludf.dummyfunction("IF(AND(NOT(K448 = """"), G448 &gt;= 15),K448/FILTER('Base Stats'!$C$2:$C1000, LOWER('Base Stats'!$B$2:$B1000) = LOWER($A448)), """")"),"#N/A")</f>
        <v>#N/A</v>
      </c>
      <c r="M448" s="0" t="str">
        <f aca="false">IFERROR(__xludf.dummyfunction("1.15 + 0.02 * FILTER('Base Stats'!$C$2:$C1000, LOWER('Base Stats'!$B$2:$B1000) = LOWER($A448))"),"1.15")</f>
        <v>1.15</v>
      </c>
      <c r="N448" s="0" t="e">
        <f aca="false">IFERROR(IF(AND(NOT(K448 = ""), G448 &gt;= 15),K448/M448, ""))</f>
        <v>#VALUE!</v>
      </c>
    </row>
    <row r="449" customFormat="false" ht="15.75" hidden="false" customHeight="false" outlineLevel="0" collapsed="false">
      <c r="A449" s="0" t="n">
        <f aca="false">'Form Responses (Pokemon Stats)'!B343</f>
        <v>0</v>
      </c>
      <c r="B449" s="0" t="n">
        <f aca="false">'Form Responses (Pokemon Stats)'!D343</f>
        <v>0</v>
      </c>
      <c r="C449" s="0" t="n">
        <f aca="false">'Form Responses (Pokemon Stats)'!C343</f>
        <v>0</v>
      </c>
      <c r="F449" s="0" t="n">
        <f aca="false">'Form Responses (Pokemon Stats)'!E343</f>
        <v>0</v>
      </c>
      <c r="G449" s="0" t="str">
        <f aca="false">IFERROR(__xludf.dummyfunction("ROUND(B449/ FILTER('Pokemon CP/HP'!$M$2:$M1000, LOWER('Pokemon CP/HP'!$B$2:$B1000)=LOWER(A449)))"),"#DIV/0!")</f>
        <v>#DIV/0!</v>
      </c>
      <c r="H449" s="0" t="str">
        <f aca="false">IFERROR(__xludf.dummyfunction("FILTER('Leveling Info'!$B$2:$B1000, 'Leveling Info'!$A$2:$A1000 =G449)"),"#N/A")</f>
        <v>#N/A</v>
      </c>
      <c r="I449" s="14" t="e">
        <f aca="false">SQRT(G449)</f>
        <v>#VALUE!</v>
      </c>
      <c r="J449" s="14" t="str">
        <f aca="false">IFERROR(__xludf.dummyfunction("IF(F449 = H449,C449/FILTER('Base Stats'!$C$2:$C1000, LOWER('Base Stats'!$B$2:$B1000) = LOWER($A449)), """")"),"#N/A")</f>
        <v>#N/A</v>
      </c>
      <c r="K449" s="0" t="str">
        <f aca="false">IF(F449 = H449, C449/G449, "")</f>
        <v/>
      </c>
      <c r="L449" s="0" t="str">
        <f aca="false">IFERROR(__xludf.dummyfunction("IF(AND(NOT(K449 = """"), G449 &gt;= 15),K449/FILTER('Base Stats'!$C$2:$C1000, LOWER('Base Stats'!$B$2:$B1000) = LOWER($A449)), """")"),"#N/A")</f>
        <v>#N/A</v>
      </c>
      <c r="M449" s="0" t="str">
        <f aca="false">IFERROR(__xludf.dummyfunction("1.15 + 0.02 * FILTER('Base Stats'!$C$2:$C1000, LOWER('Base Stats'!$B$2:$B1000) = LOWER($A449))"),"1.15")</f>
        <v>1.15</v>
      </c>
      <c r="N449" s="0" t="e">
        <f aca="false">IFERROR(IF(AND(NOT(K449 = ""), G449 &gt;= 15),K449/M449, ""))</f>
        <v>#VALUE!</v>
      </c>
    </row>
    <row r="450" customFormat="false" ht="15.75" hidden="false" customHeight="false" outlineLevel="0" collapsed="false">
      <c r="A450" s="0" t="n">
        <f aca="false">'Form Responses (Pokemon Stats)'!B344</f>
        <v>0</v>
      </c>
      <c r="B450" s="0" t="n">
        <f aca="false">'Form Responses (Pokemon Stats)'!D344</f>
        <v>0</v>
      </c>
      <c r="C450" s="0" t="n">
        <f aca="false">'Form Responses (Pokemon Stats)'!C344</f>
        <v>0</v>
      </c>
      <c r="F450" s="0" t="n">
        <f aca="false">'Form Responses (Pokemon Stats)'!E344</f>
        <v>0</v>
      </c>
      <c r="G450" s="0" t="str">
        <f aca="false">IFERROR(__xludf.dummyfunction("ROUND(B450/ FILTER('Pokemon CP/HP'!$M$2:$M1000, LOWER('Pokemon CP/HP'!$B$2:$B1000)=LOWER(A450)))"),"#DIV/0!")</f>
        <v>#DIV/0!</v>
      </c>
      <c r="H450" s="0" t="str">
        <f aca="false">IFERROR(__xludf.dummyfunction("FILTER('Leveling Info'!$B$2:$B1000, 'Leveling Info'!$A$2:$A1000 =G450)"),"#N/A")</f>
        <v>#N/A</v>
      </c>
      <c r="I450" s="14" t="e">
        <f aca="false">SQRT(G450)</f>
        <v>#VALUE!</v>
      </c>
      <c r="J450" s="14" t="str">
        <f aca="false">IFERROR(__xludf.dummyfunction("IF(F450 = H450,C450/FILTER('Base Stats'!$C$2:$C1000, LOWER('Base Stats'!$B$2:$B1000) = LOWER($A450)), """")"),"#N/A")</f>
        <v>#N/A</v>
      </c>
      <c r="K450" s="0" t="str">
        <f aca="false">IF(F450 = H450, C450/G450, "")</f>
        <v/>
      </c>
      <c r="L450" s="0" t="str">
        <f aca="false">IFERROR(__xludf.dummyfunction("IF(AND(NOT(K450 = """"), G450 &gt;= 15),K450/FILTER('Base Stats'!$C$2:$C1000, LOWER('Base Stats'!$B$2:$B1000) = LOWER($A450)), """")"),"#N/A")</f>
        <v>#N/A</v>
      </c>
      <c r="M450" s="0" t="str">
        <f aca="false">IFERROR(__xludf.dummyfunction("1.15 + 0.02 * FILTER('Base Stats'!$C$2:$C1000, LOWER('Base Stats'!$B$2:$B1000) = LOWER($A450))"),"1.15")</f>
        <v>1.15</v>
      </c>
      <c r="N450" s="0" t="e">
        <f aca="false">IFERROR(IF(AND(NOT(K450 = ""), G450 &gt;= 15),K450/M450, ""))</f>
        <v>#VALUE!</v>
      </c>
    </row>
    <row r="451" customFormat="false" ht="15.75" hidden="false" customHeight="false" outlineLevel="0" collapsed="false">
      <c r="A451" s="0" t="n">
        <f aca="false">'Form Responses (Pokemon Stats)'!B345</f>
        <v>0</v>
      </c>
      <c r="B451" s="0" t="n">
        <f aca="false">'Form Responses (Pokemon Stats)'!D345</f>
        <v>0</v>
      </c>
      <c r="C451" s="0" t="n">
        <f aca="false">'Form Responses (Pokemon Stats)'!C345</f>
        <v>0</v>
      </c>
      <c r="F451" s="0" t="n">
        <f aca="false">'Form Responses (Pokemon Stats)'!E345</f>
        <v>0</v>
      </c>
      <c r="G451" s="0" t="str">
        <f aca="false">IFERROR(__xludf.dummyfunction("ROUND(B451/ FILTER('Pokemon CP/HP'!$M$2:$M1000, LOWER('Pokemon CP/HP'!$B$2:$B1000)=LOWER(A451)))"),"#DIV/0!")</f>
        <v>#DIV/0!</v>
      </c>
      <c r="H451" s="0" t="str">
        <f aca="false">IFERROR(__xludf.dummyfunction("FILTER('Leveling Info'!$B$2:$B1000, 'Leveling Info'!$A$2:$A1000 =G451)"),"#N/A")</f>
        <v>#N/A</v>
      </c>
      <c r="I451" s="14" t="e">
        <f aca="false">SQRT(G451)</f>
        <v>#VALUE!</v>
      </c>
      <c r="J451" s="14" t="str">
        <f aca="false">IFERROR(__xludf.dummyfunction("IF(F451 = H451,C451/FILTER('Base Stats'!$C$2:$C1000, LOWER('Base Stats'!$B$2:$B1000) = LOWER($A451)), """")"),"#N/A")</f>
        <v>#N/A</v>
      </c>
      <c r="K451" s="0" t="str">
        <f aca="false">IF(F451 = H451, C451/G451, "")</f>
        <v/>
      </c>
      <c r="L451" s="0" t="str">
        <f aca="false">IFERROR(__xludf.dummyfunction("IF(AND(NOT(K451 = """"), G451 &gt;= 15),K451/FILTER('Base Stats'!$C$2:$C1000, LOWER('Base Stats'!$B$2:$B1000) = LOWER($A451)), """")"),"#N/A")</f>
        <v>#N/A</v>
      </c>
      <c r="M451" s="0" t="str">
        <f aca="false">IFERROR(__xludf.dummyfunction("1.15 + 0.02 * FILTER('Base Stats'!$C$2:$C1000, LOWER('Base Stats'!$B$2:$B1000) = LOWER($A451))"),"1.15")</f>
        <v>1.15</v>
      </c>
      <c r="N451" s="0" t="e">
        <f aca="false">IFERROR(IF(AND(NOT(K451 = ""), G451 &gt;= 15),K451/M451, ""))</f>
        <v>#VALUE!</v>
      </c>
    </row>
    <row r="452" customFormat="false" ht="15.75" hidden="false" customHeight="false" outlineLevel="0" collapsed="false">
      <c r="A452" s="0" t="n">
        <f aca="false">'Form Responses (Pokemon Stats)'!B346</f>
        <v>0</v>
      </c>
      <c r="B452" s="0" t="n">
        <f aca="false">'Form Responses (Pokemon Stats)'!D346</f>
        <v>0</v>
      </c>
      <c r="C452" s="0" t="n">
        <f aca="false">'Form Responses (Pokemon Stats)'!C346</f>
        <v>0</v>
      </c>
      <c r="F452" s="0" t="n">
        <f aca="false">'Form Responses (Pokemon Stats)'!E346</f>
        <v>0</v>
      </c>
      <c r="G452" s="0" t="str">
        <f aca="false">IFERROR(__xludf.dummyfunction("ROUND(B452/ FILTER('Pokemon CP/HP'!$M$2:$M1000, LOWER('Pokemon CP/HP'!$B$2:$B1000)=LOWER(A452)))"),"#DIV/0!")</f>
        <v>#DIV/0!</v>
      </c>
      <c r="H452" s="0" t="str">
        <f aca="false">IFERROR(__xludf.dummyfunction("FILTER('Leveling Info'!$B$2:$B1000, 'Leveling Info'!$A$2:$A1000 =G452)"),"#N/A")</f>
        <v>#N/A</v>
      </c>
      <c r="I452" s="14" t="e">
        <f aca="false">SQRT(G452)</f>
        <v>#VALUE!</v>
      </c>
      <c r="J452" s="14" t="str">
        <f aca="false">IFERROR(__xludf.dummyfunction("IF(F452 = H452,C452/FILTER('Base Stats'!$C$2:$C1000, LOWER('Base Stats'!$B$2:$B1000) = LOWER($A452)), """")"),"#N/A")</f>
        <v>#N/A</v>
      </c>
      <c r="K452" s="0" t="str">
        <f aca="false">IF(F452 = H452, C452/G452, "")</f>
        <v/>
      </c>
      <c r="L452" s="0" t="str">
        <f aca="false">IFERROR(__xludf.dummyfunction("IF(AND(NOT(K452 = """"), G452 &gt;= 15),K452/FILTER('Base Stats'!$C$2:$C1000, LOWER('Base Stats'!$B$2:$B1000) = LOWER($A452)), """")"),"#N/A")</f>
        <v>#N/A</v>
      </c>
      <c r="M452" s="0" t="str">
        <f aca="false">IFERROR(__xludf.dummyfunction("1.15 + 0.02 * FILTER('Base Stats'!$C$2:$C1000, LOWER('Base Stats'!$B$2:$B1000) = LOWER($A452))"),"1.15")</f>
        <v>1.15</v>
      </c>
      <c r="N452" s="0" t="e">
        <f aca="false">IFERROR(IF(AND(NOT(K452 = ""), G452 &gt;= 15),K452/M452, ""))</f>
        <v>#VALUE!</v>
      </c>
    </row>
    <row r="453" customFormat="false" ht="15.75" hidden="false" customHeight="false" outlineLevel="0" collapsed="false">
      <c r="A453" s="0" t="n">
        <f aca="false">'Form Responses (Pokemon Stats)'!B347</f>
        <v>0</v>
      </c>
      <c r="B453" s="0" t="n">
        <f aca="false">'Form Responses (Pokemon Stats)'!D347</f>
        <v>0</v>
      </c>
      <c r="C453" s="0" t="n">
        <f aca="false">'Form Responses (Pokemon Stats)'!C347</f>
        <v>0</v>
      </c>
      <c r="F453" s="0" t="n">
        <f aca="false">'Form Responses (Pokemon Stats)'!E347</f>
        <v>0</v>
      </c>
      <c r="G453" s="0" t="str">
        <f aca="false">IFERROR(__xludf.dummyfunction("ROUND(B453/ FILTER('Pokemon CP/HP'!$M$2:$M1000, LOWER('Pokemon CP/HP'!$B$2:$B1000)=LOWER(A453)))"),"#DIV/0!")</f>
        <v>#DIV/0!</v>
      </c>
      <c r="H453" s="0" t="str">
        <f aca="false">IFERROR(__xludf.dummyfunction("FILTER('Leveling Info'!$B$2:$B1000, 'Leveling Info'!$A$2:$A1000 =G453)"),"#N/A")</f>
        <v>#N/A</v>
      </c>
      <c r="I453" s="14" t="e">
        <f aca="false">SQRT(G453)</f>
        <v>#VALUE!</v>
      </c>
      <c r="J453" s="14" t="str">
        <f aca="false">IFERROR(__xludf.dummyfunction("IF(F453 = H453,C453/FILTER('Base Stats'!$C$2:$C1000, LOWER('Base Stats'!$B$2:$B1000) = LOWER($A453)), """")"),"#N/A")</f>
        <v>#N/A</v>
      </c>
      <c r="K453" s="0" t="str">
        <f aca="false">IF(F453 = H453, C453/G453, "")</f>
        <v/>
      </c>
      <c r="L453" s="0" t="str">
        <f aca="false">IFERROR(__xludf.dummyfunction("IF(AND(NOT(K453 = """"), G453 &gt;= 15),K453/FILTER('Base Stats'!$C$2:$C1000, LOWER('Base Stats'!$B$2:$B1000) = LOWER($A453)), """")"),"#N/A")</f>
        <v>#N/A</v>
      </c>
      <c r="M453" s="0" t="str">
        <f aca="false">IFERROR(__xludf.dummyfunction("1.15 + 0.02 * FILTER('Base Stats'!$C$2:$C1000, LOWER('Base Stats'!$B$2:$B1000) = LOWER($A453))"),"1.15")</f>
        <v>1.15</v>
      </c>
      <c r="N453" s="0" t="e">
        <f aca="false">IFERROR(IF(AND(NOT(K453 = ""), G453 &gt;= 15),K453/M453, ""))</f>
        <v>#VALUE!</v>
      </c>
    </row>
    <row r="454" customFormat="false" ht="15.75" hidden="false" customHeight="false" outlineLevel="0" collapsed="false">
      <c r="A454" s="0" t="n">
        <f aca="false">'Form Responses (Pokemon Stats)'!B348</f>
        <v>0</v>
      </c>
      <c r="B454" s="0" t="n">
        <f aca="false">'Form Responses (Pokemon Stats)'!D348</f>
        <v>0</v>
      </c>
      <c r="C454" s="0" t="n">
        <f aca="false">'Form Responses (Pokemon Stats)'!C348</f>
        <v>0</v>
      </c>
      <c r="F454" s="0" t="n">
        <f aca="false">'Form Responses (Pokemon Stats)'!E348</f>
        <v>0</v>
      </c>
      <c r="G454" s="0" t="str">
        <f aca="false">IFERROR(__xludf.dummyfunction("ROUND(B454/ FILTER('Pokemon CP/HP'!$M$2:$M1000, LOWER('Pokemon CP/HP'!$B$2:$B1000)=LOWER(A454)))"),"#DIV/0!")</f>
        <v>#DIV/0!</v>
      </c>
      <c r="H454" s="0" t="str">
        <f aca="false">IFERROR(__xludf.dummyfunction("FILTER('Leveling Info'!$B$2:$B1000, 'Leveling Info'!$A$2:$A1000 =G454)"),"#N/A")</f>
        <v>#N/A</v>
      </c>
      <c r="I454" s="14" t="e">
        <f aca="false">SQRT(G454)</f>
        <v>#VALUE!</v>
      </c>
      <c r="J454" s="14" t="str">
        <f aca="false">IFERROR(__xludf.dummyfunction("IF(F454 = H454,C454/FILTER('Base Stats'!$C$2:$C1000, LOWER('Base Stats'!$B$2:$B1000) = LOWER($A454)), """")"),"#N/A")</f>
        <v>#N/A</v>
      </c>
      <c r="K454" s="0" t="str">
        <f aca="false">IF(F454 = H454, C454/G454, "")</f>
        <v/>
      </c>
      <c r="L454" s="0" t="str">
        <f aca="false">IFERROR(__xludf.dummyfunction("IF(AND(NOT(K454 = """"), G454 &gt;= 15),K454/FILTER('Base Stats'!$C$2:$C1000, LOWER('Base Stats'!$B$2:$B1000) = LOWER($A454)), """")"),"#N/A")</f>
        <v>#N/A</v>
      </c>
      <c r="M454" s="0" t="str">
        <f aca="false">IFERROR(__xludf.dummyfunction("1.15 + 0.02 * FILTER('Base Stats'!$C$2:$C1000, LOWER('Base Stats'!$B$2:$B1000) = LOWER($A454))"),"1.15")</f>
        <v>1.15</v>
      </c>
      <c r="N454" s="0" t="e">
        <f aca="false">IFERROR(IF(AND(NOT(K454 = ""), G454 &gt;= 15),K454/M454, ""))</f>
        <v>#VALUE!</v>
      </c>
    </row>
    <row r="455" customFormat="false" ht="15.75" hidden="false" customHeight="false" outlineLevel="0" collapsed="false">
      <c r="A455" s="0" t="n">
        <f aca="false">'Form Responses (Pokemon Stats)'!B349</f>
        <v>0</v>
      </c>
      <c r="B455" s="0" t="n">
        <f aca="false">'Form Responses (Pokemon Stats)'!D349</f>
        <v>0</v>
      </c>
      <c r="C455" s="0" t="n">
        <f aca="false">'Form Responses (Pokemon Stats)'!C349</f>
        <v>0</v>
      </c>
      <c r="F455" s="0" t="n">
        <f aca="false">'Form Responses (Pokemon Stats)'!E349</f>
        <v>0</v>
      </c>
      <c r="G455" s="0" t="str">
        <f aca="false">IFERROR(__xludf.dummyfunction("ROUND(B455/ FILTER('Pokemon CP/HP'!$M$2:$M1000, LOWER('Pokemon CP/HP'!$B$2:$B1000)=LOWER(A455)))"),"#DIV/0!")</f>
        <v>#DIV/0!</v>
      </c>
      <c r="H455" s="0" t="str">
        <f aca="false">IFERROR(__xludf.dummyfunction("FILTER('Leveling Info'!$B$2:$B1000, 'Leveling Info'!$A$2:$A1000 =G455)"),"#N/A")</f>
        <v>#N/A</v>
      </c>
      <c r="I455" s="14" t="e">
        <f aca="false">SQRT(G455)</f>
        <v>#VALUE!</v>
      </c>
      <c r="J455" s="14" t="str">
        <f aca="false">IFERROR(__xludf.dummyfunction("IF(F455 = H455,C455/FILTER('Base Stats'!$C$2:$C1000, LOWER('Base Stats'!$B$2:$B1000) = LOWER($A455)), """")"),"#N/A")</f>
        <v>#N/A</v>
      </c>
      <c r="K455" s="0" t="str">
        <f aca="false">IF(F455 = H455, C455/G455, "")</f>
        <v/>
      </c>
      <c r="L455" s="0" t="str">
        <f aca="false">IFERROR(__xludf.dummyfunction("IF(AND(NOT(K455 = """"), G455 &gt;= 15),K455/FILTER('Base Stats'!$C$2:$C1000, LOWER('Base Stats'!$B$2:$B1000) = LOWER($A455)), """")"),"#N/A")</f>
        <v>#N/A</v>
      </c>
      <c r="M455" s="0" t="str">
        <f aca="false">IFERROR(__xludf.dummyfunction("1.15 + 0.02 * FILTER('Base Stats'!$C$2:$C1000, LOWER('Base Stats'!$B$2:$B1000) = LOWER($A455))"),"1.15")</f>
        <v>1.15</v>
      </c>
      <c r="N455" s="0" t="e">
        <f aca="false">IFERROR(IF(AND(NOT(K455 = ""), G455 &gt;= 15),K455/M455, ""))</f>
        <v>#VALUE!</v>
      </c>
    </row>
    <row r="456" customFormat="false" ht="15.75" hidden="false" customHeight="false" outlineLevel="0" collapsed="false">
      <c r="A456" s="0" t="n">
        <f aca="false">'Form Responses (Pokemon Stats)'!B350</f>
        <v>0</v>
      </c>
      <c r="B456" s="0" t="n">
        <f aca="false">'Form Responses (Pokemon Stats)'!D350</f>
        <v>0</v>
      </c>
      <c r="C456" s="0" t="n">
        <f aca="false">'Form Responses (Pokemon Stats)'!C350</f>
        <v>0</v>
      </c>
      <c r="F456" s="0" t="n">
        <f aca="false">'Form Responses (Pokemon Stats)'!E350</f>
        <v>0</v>
      </c>
      <c r="G456" s="0" t="str">
        <f aca="false">IFERROR(__xludf.dummyfunction("ROUND(B456/ FILTER('Pokemon CP/HP'!$M$2:$M1000, LOWER('Pokemon CP/HP'!$B$2:$B1000)=LOWER(A456)))"),"#DIV/0!")</f>
        <v>#DIV/0!</v>
      </c>
      <c r="H456" s="0" t="str">
        <f aca="false">IFERROR(__xludf.dummyfunction("FILTER('Leveling Info'!$B$2:$B1000, 'Leveling Info'!$A$2:$A1000 =G456)"),"#N/A")</f>
        <v>#N/A</v>
      </c>
      <c r="I456" s="14" t="e">
        <f aca="false">SQRT(G456)</f>
        <v>#VALUE!</v>
      </c>
      <c r="J456" s="14" t="str">
        <f aca="false">IFERROR(__xludf.dummyfunction("IF(F456 = H456,C456/FILTER('Base Stats'!$C$2:$C1000, LOWER('Base Stats'!$B$2:$B1000) = LOWER($A456)), """")"),"#N/A")</f>
        <v>#N/A</v>
      </c>
      <c r="K456" s="0" t="str">
        <f aca="false">IF(F456 = H456, C456/G456, "")</f>
        <v/>
      </c>
      <c r="L456" s="0" t="str">
        <f aca="false">IFERROR(__xludf.dummyfunction("IF(AND(NOT(K456 = """"), G456 &gt;= 15),K456/FILTER('Base Stats'!$C$2:$C1000, LOWER('Base Stats'!$B$2:$B1000) = LOWER($A456)), """")"),"#N/A")</f>
        <v>#N/A</v>
      </c>
      <c r="M456" s="0" t="str">
        <f aca="false">IFERROR(__xludf.dummyfunction("1.15 + 0.02 * FILTER('Base Stats'!$C$2:$C1000, LOWER('Base Stats'!$B$2:$B1000) = LOWER($A456))"),"1.15")</f>
        <v>1.15</v>
      </c>
      <c r="N456" s="0" t="e">
        <f aca="false">IFERROR(IF(AND(NOT(K456 = ""), G456 &gt;= 15),K456/M456, ""))</f>
        <v>#VALUE!</v>
      </c>
    </row>
    <row r="457" customFormat="false" ht="15.75" hidden="false" customHeight="false" outlineLevel="0" collapsed="false">
      <c r="A457" s="0" t="n">
        <f aca="false">'Form Responses (Pokemon Stats)'!B351</f>
        <v>0</v>
      </c>
      <c r="B457" s="0" t="n">
        <f aca="false">'Form Responses (Pokemon Stats)'!D351</f>
        <v>0</v>
      </c>
      <c r="C457" s="0" t="n">
        <f aca="false">'Form Responses (Pokemon Stats)'!C351</f>
        <v>0</v>
      </c>
      <c r="F457" s="0" t="n">
        <f aca="false">'Form Responses (Pokemon Stats)'!E351</f>
        <v>0</v>
      </c>
      <c r="G457" s="0" t="str">
        <f aca="false">IFERROR(__xludf.dummyfunction("ROUND(B457/ FILTER('Pokemon CP/HP'!$M$2:$M1000, LOWER('Pokemon CP/HP'!$B$2:$B1000)=LOWER(A457)))"),"#DIV/0!")</f>
        <v>#DIV/0!</v>
      </c>
      <c r="H457" s="0" t="str">
        <f aca="false">IFERROR(__xludf.dummyfunction("FILTER('Leveling Info'!$B$2:$B1000, 'Leveling Info'!$A$2:$A1000 =G457)"),"#N/A")</f>
        <v>#N/A</v>
      </c>
      <c r="I457" s="14" t="e">
        <f aca="false">SQRT(G457)</f>
        <v>#VALUE!</v>
      </c>
      <c r="J457" s="14" t="str">
        <f aca="false">IFERROR(__xludf.dummyfunction("IF(F457 = H457,C457/FILTER('Base Stats'!$C$2:$C1000, LOWER('Base Stats'!$B$2:$B1000) = LOWER($A457)), """")"),"#N/A")</f>
        <v>#N/A</v>
      </c>
      <c r="K457" s="0" t="str">
        <f aca="false">IF(F457 = H457, C457/G457, "")</f>
        <v/>
      </c>
      <c r="L457" s="0" t="str">
        <f aca="false">IFERROR(__xludf.dummyfunction("IF(AND(NOT(K457 = """"), G457 &gt;= 15),K457/FILTER('Base Stats'!$C$2:$C1000, LOWER('Base Stats'!$B$2:$B1000) = LOWER($A457)), """")"),"#N/A")</f>
        <v>#N/A</v>
      </c>
      <c r="M457" s="0" t="str">
        <f aca="false">IFERROR(__xludf.dummyfunction("1.15 + 0.02 * FILTER('Base Stats'!$C$2:$C1000, LOWER('Base Stats'!$B$2:$B1000) = LOWER($A457))"),"1.15")</f>
        <v>1.15</v>
      </c>
      <c r="N457" s="0" t="e">
        <f aca="false">IFERROR(IF(AND(NOT(K457 = ""), G457 &gt;= 15),K457/M457, ""))</f>
        <v>#VALUE!</v>
      </c>
    </row>
    <row r="458" customFormat="false" ht="15.75" hidden="false" customHeight="false" outlineLevel="0" collapsed="false">
      <c r="A458" s="0" t="n">
        <f aca="false">'Form Responses (Pokemon Stats)'!B352</f>
        <v>0</v>
      </c>
      <c r="B458" s="0" t="n">
        <f aca="false">'Form Responses (Pokemon Stats)'!D352</f>
        <v>0</v>
      </c>
      <c r="C458" s="0" t="n">
        <f aca="false">'Form Responses (Pokemon Stats)'!C352</f>
        <v>0</v>
      </c>
      <c r="F458" s="0" t="n">
        <f aca="false">'Form Responses (Pokemon Stats)'!E352</f>
        <v>0</v>
      </c>
      <c r="G458" s="0" t="str">
        <f aca="false">IFERROR(__xludf.dummyfunction("ROUND(B458/ FILTER('Pokemon CP/HP'!$M$2:$M1000, LOWER('Pokemon CP/HP'!$B$2:$B1000)=LOWER(A458)))"),"#DIV/0!")</f>
        <v>#DIV/0!</v>
      </c>
      <c r="H458" s="0" t="str">
        <f aca="false">IFERROR(__xludf.dummyfunction("FILTER('Leveling Info'!$B$2:$B1000, 'Leveling Info'!$A$2:$A1000 =G458)"),"#N/A")</f>
        <v>#N/A</v>
      </c>
      <c r="I458" s="14" t="e">
        <f aca="false">SQRT(G458)</f>
        <v>#VALUE!</v>
      </c>
      <c r="J458" s="14" t="str">
        <f aca="false">IFERROR(__xludf.dummyfunction("IF(F458 = H458,C458/FILTER('Base Stats'!$C$2:$C1000, LOWER('Base Stats'!$B$2:$B1000) = LOWER($A458)), """")"),"#N/A")</f>
        <v>#N/A</v>
      </c>
      <c r="K458" s="0" t="str">
        <f aca="false">IF(F458 = H458, C458/G458, "")</f>
        <v/>
      </c>
      <c r="L458" s="0" t="str">
        <f aca="false">IFERROR(__xludf.dummyfunction("IF(AND(NOT(K458 = """"), G458 &gt;= 15),K458/FILTER('Base Stats'!$C$2:$C1000, LOWER('Base Stats'!$B$2:$B1000) = LOWER($A458)), """")"),"#N/A")</f>
        <v>#N/A</v>
      </c>
      <c r="M458" s="0" t="str">
        <f aca="false">IFERROR(__xludf.dummyfunction("1.15 + 0.02 * FILTER('Base Stats'!$C$2:$C1000, LOWER('Base Stats'!$B$2:$B1000) = LOWER($A458))"),"1.15")</f>
        <v>1.15</v>
      </c>
      <c r="N458" s="0" t="e">
        <f aca="false">IFERROR(IF(AND(NOT(K458 = ""), G458 &gt;= 15),K458/M458, ""))</f>
        <v>#VALUE!</v>
      </c>
    </row>
    <row r="459" customFormat="false" ht="15.75" hidden="false" customHeight="false" outlineLevel="0" collapsed="false">
      <c r="A459" s="0" t="n">
        <f aca="false">'Form Responses (Pokemon Stats)'!B353</f>
        <v>0</v>
      </c>
      <c r="B459" s="0" t="n">
        <f aca="false">'Form Responses (Pokemon Stats)'!D353</f>
        <v>0</v>
      </c>
      <c r="C459" s="0" t="n">
        <f aca="false">'Form Responses (Pokemon Stats)'!C353</f>
        <v>0</v>
      </c>
      <c r="F459" s="0" t="n">
        <f aca="false">'Form Responses (Pokemon Stats)'!E353</f>
        <v>0</v>
      </c>
      <c r="G459" s="0" t="str">
        <f aca="false">IFERROR(__xludf.dummyfunction("ROUND(B459/ FILTER('Pokemon CP/HP'!$M$2:$M1000, LOWER('Pokemon CP/HP'!$B$2:$B1000)=LOWER(A459)))"),"#DIV/0!")</f>
        <v>#DIV/0!</v>
      </c>
      <c r="H459" s="0" t="str">
        <f aca="false">IFERROR(__xludf.dummyfunction("FILTER('Leveling Info'!$B$2:$B1000, 'Leveling Info'!$A$2:$A1000 =G459)"),"#N/A")</f>
        <v>#N/A</v>
      </c>
      <c r="I459" s="14" t="e">
        <f aca="false">SQRT(G459)</f>
        <v>#VALUE!</v>
      </c>
      <c r="J459" s="14" t="str">
        <f aca="false">IFERROR(__xludf.dummyfunction("IF(F459 = H459,C459/FILTER('Base Stats'!$C$2:$C1000, LOWER('Base Stats'!$B$2:$B1000) = LOWER($A459)), """")"),"#N/A")</f>
        <v>#N/A</v>
      </c>
      <c r="K459" s="0" t="str">
        <f aca="false">IF(F459 = H459, C459/G459, "")</f>
        <v/>
      </c>
      <c r="L459" s="0" t="str">
        <f aca="false">IFERROR(__xludf.dummyfunction("IF(AND(NOT(K459 = """"), G459 &gt;= 15),K459/FILTER('Base Stats'!$C$2:$C1000, LOWER('Base Stats'!$B$2:$B1000) = LOWER($A459)), """")"),"#N/A")</f>
        <v>#N/A</v>
      </c>
      <c r="M459" s="0" t="str">
        <f aca="false">IFERROR(__xludf.dummyfunction("1.15 + 0.02 * FILTER('Base Stats'!$C$2:$C1000, LOWER('Base Stats'!$B$2:$B1000) = LOWER($A459))"),"1.15")</f>
        <v>1.15</v>
      </c>
      <c r="N459" s="0" t="e">
        <f aca="false">IFERROR(IF(AND(NOT(K459 = ""), G459 &gt;= 15),K459/M459, ""))</f>
        <v>#VALUE!</v>
      </c>
    </row>
    <row r="460" customFormat="false" ht="15.75" hidden="false" customHeight="false" outlineLevel="0" collapsed="false">
      <c r="A460" s="0" t="n">
        <f aca="false">'Form Responses (Pokemon Stats)'!B354</f>
        <v>0</v>
      </c>
      <c r="B460" s="0" t="n">
        <f aca="false">'Form Responses (Pokemon Stats)'!D354</f>
        <v>0</v>
      </c>
      <c r="C460" s="0" t="n">
        <f aca="false">'Form Responses (Pokemon Stats)'!C354</f>
        <v>0</v>
      </c>
      <c r="F460" s="0" t="n">
        <f aca="false">'Form Responses (Pokemon Stats)'!E354</f>
        <v>0</v>
      </c>
      <c r="G460" s="0" t="str">
        <f aca="false">IFERROR(__xludf.dummyfunction("ROUND(B460/ FILTER('Pokemon CP/HP'!$M$2:$M1000, LOWER('Pokemon CP/HP'!$B$2:$B1000)=LOWER(A460)))"),"#DIV/0!")</f>
        <v>#DIV/0!</v>
      </c>
      <c r="H460" s="0" t="str">
        <f aca="false">IFERROR(__xludf.dummyfunction("FILTER('Leveling Info'!$B$2:$B1000, 'Leveling Info'!$A$2:$A1000 =G460)"),"#N/A")</f>
        <v>#N/A</v>
      </c>
      <c r="I460" s="14" t="e">
        <f aca="false">SQRT(G460)</f>
        <v>#VALUE!</v>
      </c>
      <c r="J460" s="14" t="str">
        <f aca="false">IFERROR(__xludf.dummyfunction("IF(F460 = H460,C460/FILTER('Base Stats'!$C$2:$C1000, LOWER('Base Stats'!$B$2:$B1000) = LOWER($A460)), """")"),"#N/A")</f>
        <v>#N/A</v>
      </c>
      <c r="K460" s="0" t="str">
        <f aca="false">IF(F460 = H460, C460/G460, "")</f>
        <v/>
      </c>
      <c r="L460" s="0" t="str">
        <f aca="false">IFERROR(__xludf.dummyfunction("IF(AND(NOT(K460 = """"), G460 &gt;= 15),K460/FILTER('Base Stats'!$C$2:$C1000, LOWER('Base Stats'!$B$2:$B1000) = LOWER($A460)), """")"),"#N/A")</f>
        <v>#N/A</v>
      </c>
      <c r="M460" s="0" t="str">
        <f aca="false">IFERROR(__xludf.dummyfunction("1.15 + 0.02 * FILTER('Base Stats'!$C$2:$C1000, LOWER('Base Stats'!$B$2:$B1000) = LOWER($A460))"),"1.15")</f>
        <v>1.15</v>
      </c>
      <c r="N460" s="0" t="e">
        <f aca="false">IFERROR(IF(AND(NOT(K460 = ""), G460 &gt;= 15),K460/M460, ""))</f>
        <v>#VALUE!</v>
      </c>
    </row>
    <row r="461" customFormat="false" ht="15.75" hidden="false" customHeight="false" outlineLevel="0" collapsed="false">
      <c r="A461" s="0" t="n">
        <f aca="false">'Form Responses (Pokemon Stats)'!B355</f>
        <v>0</v>
      </c>
      <c r="B461" s="0" t="n">
        <f aca="false">'Form Responses (Pokemon Stats)'!D355</f>
        <v>0</v>
      </c>
      <c r="C461" s="0" t="n">
        <f aca="false">'Form Responses (Pokemon Stats)'!C355</f>
        <v>0</v>
      </c>
      <c r="F461" s="0" t="n">
        <f aca="false">'Form Responses (Pokemon Stats)'!E355</f>
        <v>0</v>
      </c>
      <c r="G461" s="0" t="str">
        <f aca="false">IFERROR(__xludf.dummyfunction("ROUND(B461/ FILTER('Pokemon CP/HP'!$M$2:$M1000, LOWER('Pokemon CP/HP'!$B$2:$B1000)=LOWER(A461)))"),"#DIV/0!")</f>
        <v>#DIV/0!</v>
      </c>
      <c r="H461" s="0" t="str">
        <f aca="false">IFERROR(__xludf.dummyfunction("FILTER('Leveling Info'!$B$2:$B1000, 'Leveling Info'!$A$2:$A1000 =G461)"),"#N/A")</f>
        <v>#N/A</v>
      </c>
      <c r="I461" s="14" t="e">
        <f aca="false">SQRT(G461)</f>
        <v>#VALUE!</v>
      </c>
      <c r="J461" s="14" t="str">
        <f aca="false">IFERROR(__xludf.dummyfunction("IF(F461 = H461,C461/FILTER('Base Stats'!$C$2:$C1000, LOWER('Base Stats'!$B$2:$B1000) = LOWER($A461)), """")"),"#N/A")</f>
        <v>#N/A</v>
      </c>
      <c r="K461" s="0" t="str">
        <f aca="false">IF(F461 = H461, C461/G461, "")</f>
        <v/>
      </c>
      <c r="L461" s="0" t="str">
        <f aca="false">IFERROR(__xludf.dummyfunction("IF(AND(NOT(K461 = """"), G461 &gt;= 15),K461/FILTER('Base Stats'!$C$2:$C1000, LOWER('Base Stats'!$B$2:$B1000) = LOWER($A461)), """")"),"#N/A")</f>
        <v>#N/A</v>
      </c>
      <c r="M461" s="0" t="str">
        <f aca="false">IFERROR(__xludf.dummyfunction("1.15 + 0.02 * FILTER('Base Stats'!$C$2:$C1000, LOWER('Base Stats'!$B$2:$B1000) = LOWER($A461))"),"1.15")</f>
        <v>1.15</v>
      </c>
      <c r="N461" s="0" t="e">
        <f aca="false">IFERROR(IF(AND(NOT(K461 = ""), G461 &gt;= 15),K461/M461, ""))</f>
        <v>#VALUE!</v>
      </c>
    </row>
    <row r="462" customFormat="false" ht="15.75" hidden="false" customHeight="false" outlineLevel="0" collapsed="false">
      <c r="A462" s="0" t="n">
        <f aca="false">'Form Responses (Pokemon Stats)'!B356</f>
        <v>0</v>
      </c>
      <c r="B462" s="0" t="n">
        <f aca="false">'Form Responses (Pokemon Stats)'!D356</f>
        <v>0</v>
      </c>
      <c r="C462" s="0" t="n">
        <f aca="false">'Form Responses (Pokemon Stats)'!C356</f>
        <v>0</v>
      </c>
      <c r="F462" s="0" t="n">
        <f aca="false">'Form Responses (Pokemon Stats)'!E356</f>
        <v>0</v>
      </c>
      <c r="G462" s="0" t="str">
        <f aca="false">IFERROR(__xludf.dummyfunction("ROUND(B462/ FILTER('Pokemon CP/HP'!$M$2:$M1000, LOWER('Pokemon CP/HP'!$B$2:$B1000)=LOWER(A462)))"),"#DIV/0!")</f>
        <v>#DIV/0!</v>
      </c>
      <c r="H462" s="0" t="str">
        <f aca="false">IFERROR(__xludf.dummyfunction("FILTER('Leveling Info'!$B$2:$B1000, 'Leveling Info'!$A$2:$A1000 =G462)"),"#N/A")</f>
        <v>#N/A</v>
      </c>
      <c r="I462" s="14" t="e">
        <f aca="false">SQRT(G462)</f>
        <v>#VALUE!</v>
      </c>
      <c r="J462" s="14" t="str">
        <f aca="false">IFERROR(__xludf.dummyfunction("IF(F462 = H462,C462/FILTER('Base Stats'!$C$2:$C1000, LOWER('Base Stats'!$B$2:$B1000) = LOWER($A462)), """")"),"#N/A")</f>
        <v>#N/A</v>
      </c>
      <c r="K462" s="0" t="str">
        <f aca="false">IF(F462 = H462, C462/G462, "")</f>
        <v/>
      </c>
      <c r="L462" s="0" t="str">
        <f aca="false">IFERROR(__xludf.dummyfunction("IF(AND(NOT(K462 = """"), G462 &gt;= 15),K462/FILTER('Base Stats'!$C$2:$C1000, LOWER('Base Stats'!$B$2:$B1000) = LOWER($A462)), """")"),"#N/A")</f>
        <v>#N/A</v>
      </c>
      <c r="M462" s="0" t="str">
        <f aca="false">IFERROR(__xludf.dummyfunction("1.15 + 0.02 * FILTER('Base Stats'!$C$2:$C1000, LOWER('Base Stats'!$B$2:$B1000) = LOWER($A462))"),"1.15")</f>
        <v>1.15</v>
      </c>
      <c r="N462" s="0" t="e">
        <f aca="false">IFERROR(IF(AND(NOT(K462 = ""), G462 &gt;= 15),K462/M462, ""))</f>
        <v>#VALUE!</v>
      </c>
    </row>
    <row r="463" customFormat="false" ht="15.75" hidden="false" customHeight="false" outlineLevel="0" collapsed="false">
      <c r="A463" s="0" t="n">
        <f aca="false">'Form Responses (Pokemon Stats)'!B357</f>
        <v>0</v>
      </c>
      <c r="B463" s="0" t="n">
        <f aca="false">'Form Responses (Pokemon Stats)'!D357</f>
        <v>0</v>
      </c>
      <c r="C463" s="0" t="n">
        <f aca="false">'Form Responses (Pokemon Stats)'!C357</f>
        <v>0</v>
      </c>
      <c r="F463" s="0" t="n">
        <f aca="false">'Form Responses (Pokemon Stats)'!E357</f>
        <v>0</v>
      </c>
      <c r="G463" s="0" t="str">
        <f aca="false">IFERROR(__xludf.dummyfunction("ROUND(B463/ FILTER('Pokemon CP/HP'!$M$2:$M1000, LOWER('Pokemon CP/HP'!$B$2:$B1000)=LOWER(A463)))"),"#DIV/0!")</f>
        <v>#DIV/0!</v>
      </c>
      <c r="H463" s="0" t="str">
        <f aca="false">IFERROR(__xludf.dummyfunction("FILTER('Leveling Info'!$B$2:$B1000, 'Leveling Info'!$A$2:$A1000 =G463)"),"#N/A")</f>
        <v>#N/A</v>
      </c>
      <c r="I463" s="14" t="e">
        <f aca="false">SQRT(G463)</f>
        <v>#VALUE!</v>
      </c>
      <c r="J463" s="14" t="str">
        <f aca="false">IFERROR(__xludf.dummyfunction("IF(F463 = H463,C463/FILTER('Base Stats'!$C$2:$C1000, LOWER('Base Stats'!$B$2:$B1000) = LOWER($A463)), """")"),"#N/A")</f>
        <v>#N/A</v>
      </c>
      <c r="K463" s="0" t="str">
        <f aca="false">IF(F463 = H463, C463/G463, "")</f>
        <v/>
      </c>
      <c r="L463" s="0" t="str">
        <f aca="false">IFERROR(__xludf.dummyfunction("IF(AND(NOT(K463 = """"), G463 &gt;= 15),K463/FILTER('Base Stats'!$C$2:$C1000, LOWER('Base Stats'!$B$2:$B1000) = LOWER($A463)), """")"),"#N/A")</f>
        <v>#N/A</v>
      </c>
      <c r="M463" s="0" t="str">
        <f aca="false">IFERROR(__xludf.dummyfunction("1.15 + 0.02 * FILTER('Base Stats'!$C$2:$C1000, LOWER('Base Stats'!$B$2:$B1000) = LOWER($A463))"),"1.15")</f>
        <v>1.15</v>
      </c>
      <c r="N463" s="0" t="e">
        <f aca="false">IFERROR(IF(AND(NOT(K463 = ""), G463 &gt;= 15),K463/M463, ""))</f>
        <v>#VALUE!</v>
      </c>
    </row>
    <row r="464" customFormat="false" ht="15.75" hidden="false" customHeight="false" outlineLevel="0" collapsed="false">
      <c r="A464" s="0" t="n">
        <f aca="false">'Form Responses (Pokemon Stats)'!B358</f>
        <v>0</v>
      </c>
      <c r="B464" s="0" t="n">
        <f aca="false">'Form Responses (Pokemon Stats)'!D358</f>
        <v>0</v>
      </c>
      <c r="C464" s="0" t="n">
        <f aca="false">'Form Responses (Pokemon Stats)'!C358</f>
        <v>0</v>
      </c>
      <c r="F464" s="0" t="n">
        <f aca="false">'Form Responses (Pokemon Stats)'!E358</f>
        <v>0</v>
      </c>
      <c r="G464" s="0" t="str">
        <f aca="false">IFERROR(__xludf.dummyfunction("ROUND(B464/ FILTER('Pokemon CP/HP'!$M$2:$M1000, LOWER('Pokemon CP/HP'!$B$2:$B1000)=LOWER(A464)))"),"#DIV/0!")</f>
        <v>#DIV/0!</v>
      </c>
      <c r="H464" s="0" t="str">
        <f aca="false">IFERROR(__xludf.dummyfunction("FILTER('Leveling Info'!$B$2:$B1000, 'Leveling Info'!$A$2:$A1000 =G464)"),"#N/A")</f>
        <v>#N/A</v>
      </c>
      <c r="I464" s="14" t="e">
        <f aca="false">SQRT(G464)</f>
        <v>#VALUE!</v>
      </c>
      <c r="J464" s="14" t="str">
        <f aca="false">IFERROR(__xludf.dummyfunction("IF(F464 = H464,C464/FILTER('Base Stats'!$C$2:$C1000, LOWER('Base Stats'!$B$2:$B1000) = LOWER($A464)), """")"),"#N/A")</f>
        <v>#N/A</v>
      </c>
      <c r="K464" s="0" t="str">
        <f aca="false">IF(F464 = H464, C464/G464, "")</f>
        <v/>
      </c>
      <c r="L464" s="0" t="str">
        <f aca="false">IFERROR(__xludf.dummyfunction("IF(AND(NOT(K464 = """"), G464 &gt;= 15),K464/FILTER('Base Stats'!$C$2:$C1000, LOWER('Base Stats'!$B$2:$B1000) = LOWER($A464)), """")"),"#N/A")</f>
        <v>#N/A</v>
      </c>
      <c r="M464" s="0" t="str">
        <f aca="false">IFERROR(__xludf.dummyfunction("1.15 + 0.02 * FILTER('Base Stats'!$C$2:$C1000, LOWER('Base Stats'!$B$2:$B1000) = LOWER($A464))"),"1.15")</f>
        <v>1.15</v>
      </c>
      <c r="N464" s="0" t="e">
        <f aca="false">IFERROR(IF(AND(NOT(K464 = ""), G464 &gt;= 15),K464/M464, ""))</f>
        <v>#VALUE!</v>
      </c>
    </row>
    <row r="465" customFormat="false" ht="15.75" hidden="false" customHeight="false" outlineLevel="0" collapsed="false">
      <c r="A465" s="0" t="n">
        <f aca="false">'Form Responses (Pokemon Stats)'!B359</f>
        <v>0</v>
      </c>
      <c r="B465" s="0" t="n">
        <f aca="false">'Form Responses (Pokemon Stats)'!D359</f>
        <v>0</v>
      </c>
      <c r="C465" s="0" t="n">
        <f aca="false">'Form Responses (Pokemon Stats)'!C359</f>
        <v>0</v>
      </c>
      <c r="F465" s="0" t="n">
        <f aca="false">'Form Responses (Pokemon Stats)'!E359</f>
        <v>0</v>
      </c>
      <c r="G465" s="0" t="str">
        <f aca="false">IFERROR(__xludf.dummyfunction("ROUND(B465/ FILTER('Pokemon CP/HP'!$M$2:$M1000, LOWER('Pokemon CP/HP'!$B$2:$B1000)=LOWER(A465)))"),"#DIV/0!")</f>
        <v>#DIV/0!</v>
      </c>
      <c r="H465" s="0" t="str">
        <f aca="false">IFERROR(__xludf.dummyfunction("FILTER('Leveling Info'!$B$2:$B1000, 'Leveling Info'!$A$2:$A1000 =G465)"),"#N/A")</f>
        <v>#N/A</v>
      </c>
      <c r="I465" s="14" t="e">
        <f aca="false">SQRT(G465)</f>
        <v>#VALUE!</v>
      </c>
      <c r="J465" s="14" t="str">
        <f aca="false">IFERROR(__xludf.dummyfunction("IF(F465 = H465,C465/FILTER('Base Stats'!$C$2:$C1000, LOWER('Base Stats'!$B$2:$B1000) = LOWER($A465)), """")"),"#N/A")</f>
        <v>#N/A</v>
      </c>
      <c r="K465" s="0" t="str">
        <f aca="false">IF(F465 = H465, C465/G465, "")</f>
        <v/>
      </c>
      <c r="L465" s="0" t="str">
        <f aca="false">IFERROR(__xludf.dummyfunction("IF(AND(NOT(K465 = """"), G465 &gt;= 15),K465/FILTER('Base Stats'!$C$2:$C1000, LOWER('Base Stats'!$B$2:$B1000) = LOWER($A465)), """")"),"#N/A")</f>
        <v>#N/A</v>
      </c>
      <c r="M465" s="0" t="str">
        <f aca="false">IFERROR(__xludf.dummyfunction("1.15 + 0.02 * FILTER('Base Stats'!$C$2:$C1000, LOWER('Base Stats'!$B$2:$B1000) = LOWER($A465))"),"1.15")</f>
        <v>1.15</v>
      </c>
      <c r="N465" s="0" t="e">
        <f aca="false">IFERROR(IF(AND(NOT(K465 = ""), G465 &gt;= 15),K465/M465, ""))</f>
        <v>#VALUE!</v>
      </c>
    </row>
    <row r="466" customFormat="false" ht="15.75" hidden="false" customHeight="false" outlineLevel="0" collapsed="false">
      <c r="A466" s="0" t="n">
        <f aca="false">'Form Responses (Pokemon Stats)'!B360</f>
        <v>0</v>
      </c>
      <c r="B466" s="0" t="n">
        <f aca="false">'Form Responses (Pokemon Stats)'!D360</f>
        <v>0</v>
      </c>
      <c r="C466" s="0" t="n">
        <f aca="false">'Form Responses (Pokemon Stats)'!C360</f>
        <v>0</v>
      </c>
      <c r="F466" s="0" t="n">
        <f aca="false">'Form Responses (Pokemon Stats)'!E360</f>
        <v>0</v>
      </c>
      <c r="G466" s="0" t="str">
        <f aca="false">IFERROR(__xludf.dummyfunction("ROUND(B466/ FILTER('Pokemon CP/HP'!$M$2:$M1000, LOWER('Pokemon CP/HP'!$B$2:$B1000)=LOWER(A466)))"),"#DIV/0!")</f>
        <v>#DIV/0!</v>
      </c>
      <c r="H466" s="0" t="str">
        <f aca="false">IFERROR(__xludf.dummyfunction("FILTER('Leveling Info'!$B$2:$B1000, 'Leveling Info'!$A$2:$A1000 =G466)"),"#N/A")</f>
        <v>#N/A</v>
      </c>
      <c r="I466" s="14" t="e">
        <f aca="false">SQRT(G466)</f>
        <v>#VALUE!</v>
      </c>
      <c r="J466" s="14" t="str">
        <f aca="false">IFERROR(__xludf.dummyfunction("IF(F466 = H466,C466/FILTER('Base Stats'!$C$2:$C1000, LOWER('Base Stats'!$B$2:$B1000) = LOWER($A466)), """")"),"#N/A")</f>
        <v>#N/A</v>
      </c>
      <c r="K466" s="0" t="str">
        <f aca="false">IF(F466 = H466, C466/G466, "")</f>
        <v/>
      </c>
      <c r="L466" s="0" t="str">
        <f aca="false">IFERROR(__xludf.dummyfunction("IF(AND(NOT(K466 = """"), G466 &gt;= 15),K466/FILTER('Base Stats'!$C$2:$C1000, LOWER('Base Stats'!$B$2:$B1000) = LOWER($A466)), """")"),"#N/A")</f>
        <v>#N/A</v>
      </c>
      <c r="M466" s="0" t="str">
        <f aca="false">IFERROR(__xludf.dummyfunction("1.15 + 0.02 * FILTER('Base Stats'!$C$2:$C1000, LOWER('Base Stats'!$B$2:$B1000) = LOWER($A466))"),"1.15")</f>
        <v>1.15</v>
      </c>
      <c r="N466" s="0" t="e">
        <f aca="false">IFERROR(IF(AND(NOT(K466 = ""), G466 &gt;= 15),K466/M466, ""))</f>
        <v>#VALUE!</v>
      </c>
    </row>
    <row r="467" customFormat="false" ht="15.75" hidden="false" customHeight="false" outlineLevel="0" collapsed="false">
      <c r="A467" s="0" t="n">
        <f aca="false">'Form Responses (Pokemon Stats)'!B361</f>
        <v>0</v>
      </c>
      <c r="B467" s="0" t="n">
        <f aca="false">'Form Responses (Pokemon Stats)'!D361</f>
        <v>0</v>
      </c>
      <c r="C467" s="0" t="n">
        <f aca="false">'Form Responses (Pokemon Stats)'!C361</f>
        <v>0</v>
      </c>
      <c r="F467" s="0" t="n">
        <f aca="false">'Form Responses (Pokemon Stats)'!E361</f>
        <v>0</v>
      </c>
      <c r="G467" s="0" t="str">
        <f aca="false">IFERROR(__xludf.dummyfunction("ROUND(B467/ FILTER('Pokemon CP/HP'!$M$2:$M1000, LOWER('Pokemon CP/HP'!$B$2:$B1000)=LOWER(A467)))"),"#DIV/0!")</f>
        <v>#DIV/0!</v>
      </c>
      <c r="H467" s="0" t="str">
        <f aca="false">IFERROR(__xludf.dummyfunction("FILTER('Leveling Info'!$B$2:$B1000, 'Leveling Info'!$A$2:$A1000 =G467)"),"#N/A")</f>
        <v>#N/A</v>
      </c>
      <c r="I467" s="14" t="e">
        <f aca="false">SQRT(G467)</f>
        <v>#VALUE!</v>
      </c>
      <c r="J467" s="14" t="str">
        <f aca="false">IFERROR(__xludf.dummyfunction("IF(F467 = H467,C467/FILTER('Base Stats'!$C$2:$C1000, LOWER('Base Stats'!$B$2:$B1000) = LOWER($A467)), """")"),"#N/A")</f>
        <v>#N/A</v>
      </c>
      <c r="K467" s="0" t="str">
        <f aca="false">IF(F467 = H467, C467/G467, "")</f>
        <v/>
      </c>
      <c r="L467" s="0" t="str">
        <f aca="false">IFERROR(__xludf.dummyfunction("IF(AND(NOT(K467 = """"), G467 &gt;= 15),K467/FILTER('Base Stats'!$C$2:$C1000, LOWER('Base Stats'!$B$2:$B1000) = LOWER($A467)), """")"),"#N/A")</f>
        <v>#N/A</v>
      </c>
      <c r="M467" s="0" t="str">
        <f aca="false">IFERROR(__xludf.dummyfunction("1.15 + 0.02 * FILTER('Base Stats'!$C$2:$C1000, LOWER('Base Stats'!$B$2:$B1000) = LOWER($A467))"),"1.15")</f>
        <v>1.15</v>
      </c>
      <c r="N467" s="0" t="e">
        <f aca="false">IFERROR(IF(AND(NOT(K467 = ""), G467 &gt;= 15),K467/M467, ""))</f>
        <v>#VALUE!</v>
      </c>
    </row>
    <row r="468" customFormat="false" ht="15.75" hidden="false" customHeight="false" outlineLevel="0" collapsed="false">
      <c r="A468" s="0" t="n">
        <f aca="false">'Form Responses (Pokemon Stats)'!B362</f>
        <v>0</v>
      </c>
      <c r="B468" s="0" t="n">
        <f aca="false">'Form Responses (Pokemon Stats)'!D362</f>
        <v>0</v>
      </c>
      <c r="C468" s="0" t="n">
        <f aca="false">'Form Responses (Pokemon Stats)'!C362</f>
        <v>0</v>
      </c>
      <c r="F468" s="0" t="n">
        <f aca="false">'Form Responses (Pokemon Stats)'!E362</f>
        <v>0</v>
      </c>
      <c r="G468" s="0" t="str">
        <f aca="false">IFERROR(__xludf.dummyfunction("ROUND(B468/ FILTER('Pokemon CP/HP'!$M$2:$M1000, LOWER('Pokemon CP/HP'!$B$2:$B1000)=LOWER(A468)))"),"#DIV/0!")</f>
        <v>#DIV/0!</v>
      </c>
      <c r="H468" s="0" t="str">
        <f aca="false">IFERROR(__xludf.dummyfunction("FILTER('Leveling Info'!$B$2:$B1000, 'Leveling Info'!$A$2:$A1000 =G468)"),"#N/A")</f>
        <v>#N/A</v>
      </c>
      <c r="I468" s="14" t="e">
        <f aca="false">SQRT(G468)</f>
        <v>#VALUE!</v>
      </c>
      <c r="J468" s="14" t="str">
        <f aca="false">IFERROR(__xludf.dummyfunction("IF(F468 = H468,C468/FILTER('Base Stats'!$C$2:$C1000, LOWER('Base Stats'!$B$2:$B1000) = LOWER($A468)), """")"),"#N/A")</f>
        <v>#N/A</v>
      </c>
      <c r="K468" s="0" t="str">
        <f aca="false">IF(F468 = H468, C468/G468, "")</f>
        <v/>
      </c>
      <c r="L468" s="0" t="str">
        <f aca="false">IFERROR(__xludf.dummyfunction("IF(AND(NOT(K468 = """"), G468 &gt;= 15),K468/FILTER('Base Stats'!$C$2:$C1000, LOWER('Base Stats'!$B$2:$B1000) = LOWER($A468)), """")"),"#N/A")</f>
        <v>#N/A</v>
      </c>
      <c r="M468" s="0" t="str">
        <f aca="false">IFERROR(__xludf.dummyfunction("1.15 + 0.02 * FILTER('Base Stats'!$C$2:$C1000, LOWER('Base Stats'!$B$2:$B1000) = LOWER($A468))"),"1.15")</f>
        <v>1.15</v>
      </c>
      <c r="N468" s="0" t="e">
        <f aca="false">IFERROR(IF(AND(NOT(K468 = ""), G468 &gt;= 15),K468/M468, ""))</f>
        <v>#VALUE!</v>
      </c>
    </row>
    <row r="469" customFormat="false" ht="15.75" hidden="false" customHeight="false" outlineLevel="0" collapsed="false">
      <c r="A469" s="0" t="n">
        <f aca="false">'Form Responses (Pokemon Stats)'!B363</f>
        <v>0</v>
      </c>
      <c r="B469" s="0" t="n">
        <f aca="false">'Form Responses (Pokemon Stats)'!D363</f>
        <v>0</v>
      </c>
      <c r="C469" s="0" t="n">
        <f aca="false">'Form Responses (Pokemon Stats)'!C363</f>
        <v>0</v>
      </c>
      <c r="F469" s="0" t="n">
        <f aca="false">'Form Responses (Pokemon Stats)'!E363</f>
        <v>0</v>
      </c>
      <c r="G469" s="0" t="str">
        <f aca="false">IFERROR(__xludf.dummyfunction("ROUND(B469/ FILTER('Pokemon CP/HP'!$M$2:$M1000, LOWER('Pokemon CP/HP'!$B$2:$B1000)=LOWER(A469)))"),"#DIV/0!")</f>
        <v>#DIV/0!</v>
      </c>
      <c r="H469" s="0" t="str">
        <f aca="false">IFERROR(__xludf.dummyfunction("FILTER('Leveling Info'!$B$2:$B1000, 'Leveling Info'!$A$2:$A1000 =G469)"),"#N/A")</f>
        <v>#N/A</v>
      </c>
      <c r="I469" s="14" t="e">
        <f aca="false">SQRT(G469)</f>
        <v>#VALUE!</v>
      </c>
      <c r="J469" s="14" t="str">
        <f aca="false">IFERROR(__xludf.dummyfunction("IF(F469 = H469,C469/FILTER('Base Stats'!$C$2:$C1000, LOWER('Base Stats'!$B$2:$B1000) = LOWER($A469)), """")"),"#N/A")</f>
        <v>#N/A</v>
      </c>
      <c r="K469" s="0" t="str">
        <f aca="false">IF(F469 = H469, C469/G469, "")</f>
        <v/>
      </c>
      <c r="L469" s="0" t="str">
        <f aca="false">IFERROR(__xludf.dummyfunction("IF(AND(NOT(K469 = """"), G469 &gt;= 15),K469/FILTER('Base Stats'!$C$2:$C1000, LOWER('Base Stats'!$B$2:$B1000) = LOWER($A469)), """")"),"#N/A")</f>
        <v>#N/A</v>
      </c>
      <c r="M469" s="0" t="str">
        <f aca="false">IFERROR(__xludf.dummyfunction("1.15 + 0.02 * FILTER('Base Stats'!$C$2:$C1000, LOWER('Base Stats'!$B$2:$B1000) = LOWER($A469))"),"1.15")</f>
        <v>1.15</v>
      </c>
      <c r="N469" s="0" t="e">
        <f aca="false">IFERROR(IF(AND(NOT(K469 = ""), G469 &gt;= 15),K469/M469, ""))</f>
        <v>#VALUE!</v>
      </c>
    </row>
    <row r="470" customFormat="false" ht="15.75" hidden="false" customHeight="false" outlineLevel="0" collapsed="false">
      <c r="A470" s="0" t="n">
        <f aca="false">'Form Responses (Pokemon Stats)'!B364</f>
        <v>0</v>
      </c>
      <c r="B470" s="0" t="n">
        <f aca="false">'Form Responses (Pokemon Stats)'!D364</f>
        <v>0</v>
      </c>
      <c r="C470" s="0" t="n">
        <f aca="false">'Form Responses (Pokemon Stats)'!C364</f>
        <v>0</v>
      </c>
      <c r="F470" s="0" t="n">
        <f aca="false">'Form Responses (Pokemon Stats)'!E364</f>
        <v>0</v>
      </c>
      <c r="G470" s="0" t="str">
        <f aca="false">IFERROR(__xludf.dummyfunction("ROUND(B470/ FILTER('Pokemon CP/HP'!$M$2:$M1000, LOWER('Pokemon CP/HP'!$B$2:$B1000)=LOWER(A470)))"),"#DIV/0!")</f>
        <v>#DIV/0!</v>
      </c>
      <c r="H470" s="0" t="str">
        <f aca="false">IFERROR(__xludf.dummyfunction("FILTER('Leveling Info'!$B$2:$B1000, 'Leveling Info'!$A$2:$A1000 =G470)"),"#N/A")</f>
        <v>#N/A</v>
      </c>
      <c r="I470" s="14" t="e">
        <f aca="false">SQRT(G470)</f>
        <v>#VALUE!</v>
      </c>
      <c r="J470" s="14" t="str">
        <f aca="false">IFERROR(__xludf.dummyfunction("IF(F470 = H470,C470/FILTER('Base Stats'!$C$2:$C1000, LOWER('Base Stats'!$B$2:$B1000) = LOWER($A470)), """")"),"#N/A")</f>
        <v>#N/A</v>
      </c>
      <c r="K470" s="0" t="str">
        <f aca="false">IF(F470 = H470, C470/G470, "")</f>
        <v/>
      </c>
      <c r="L470" s="0" t="str">
        <f aca="false">IFERROR(__xludf.dummyfunction("IF(AND(NOT(K470 = """"), G470 &gt;= 15),K470/FILTER('Base Stats'!$C$2:$C1000, LOWER('Base Stats'!$B$2:$B1000) = LOWER($A470)), """")"),"#N/A")</f>
        <v>#N/A</v>
      </c>
      <c r="M470" s="0" t="str">
        <f aca="false">IFERROR(__xludf.dummyfunction("1.15 + 0.02 * FILTER('Base Stats'!$C$2:$C1000, LOWER('Base Stats'!$B$2:$B1000) = LOWER($A470))"),"1.15")</f>
        <v>1.15</v>
      </c>
      <c r="N470" s="0" t="e">
        <f aca="false">IFERROR(IF(AND(NOT(K470 = ""), G470 &gt;= 15),K470/M470, ""))</f>
        <v>#VALUE!</v>
      </c>
    </row>
    <row r="471" customFormat="false" ht="15.75" hidden="false" customHeight="false" outlineLevel="0" collapsed="false">
      <c r="A471" s="0" t="n">
        <f aca="false">'Form Responses (Pokemon Stats)'!B365</f>
        <v>0</v>
      </c>
      <c r="B471" s="0" t="n">
        <f aca="false">'Form Responses (Pokemon Stats)'!D365</f>
        <v>0</v>
      </c>
      <c r="C471" s="0" t="n">
        <f aca="false">'Form Responses (Pokemon Stats)'!C365</f>
        <v>0</v>
      </c>
      <c r="F471" s="0" t="n">
        <f aca="false">'Form Responses (Pokemon Stats)'!E365</f>
        <v>0</v>
      </c>
      <c r="G471" s="0" t="str">
        <f aca="false">IFERROR(__xludf.dummyfunction("ROUND(B471/ FILTER('Pokemon CP/HP'!$M$2:$M1000, LOWER('Pokemon CP/HP'!$B$2:$B1000)=LOWER(A471)))"),"#DIV/0!")</f>
        <v>#DIV/0!</v>
      </c>
      <c r="H471" s="0" t="str">
        <f aca="false">IFERROR(__xludf.dummyfunction("FILTER('Leveling Info'!$B$2:$B1000, 'Leveling Info'!$A$2:$A1000 =G471)"),"#N/A")</f>
        <v>#N/A</v>
      </c>
      <c r="I471" s="14" t="e">
        <f aca="false">SQRT(G471)</f>
        <v>#VALUE!</v>
      </c>
      <c r="J471" s="14" t="str">
        <f aca="false">IFERROR(__xludf.dummyfunction("IF(F471 = H471,C471/FILTER('Base Stats'!$C$2:$C1000, LOWER('Base Stats'!$B$2:$B1000) = LOWER($A471)), """")"),"#N/A")</f>
        <v>#N/A</v>
      </c>
      <c r="K471" s="0" t="str">
        <f aca="false">IF(F471 = H471, C471/G471, "")</f>
        <v/>
      </c>
      <c r="L471" s="0" t="str">
        <f aca="false">IFERROR(__xludf.dummyfunction("IF(AND(NOT(K471 = """"), G471 &gt;= 15),K471/FILTER('Base Stats'!$C$2:$C1000, LOWER('Base Stats'!$B$2:$B1000) = LOWER($A471)), """")"),"#N/A")</f>
        <v>#N/A</v>
      </c>
      <c r="M471" s="0" t="str">
        <f aca="false">IFERROR(__xludf.dummyfunction("1.15 + 0.02 * FILTER('Base Stats'!$C$2:$C1000, LOWER('Base Stats'!$B$2:$B1000) = LOWER($A471))"),"1.15")</f>
        <v>1.15</v>
      </c>
      <c r="N471" s="0" t="e">
        <f aca="false">IFERROR(IF(AND(NOT(K471 = ""), G471 &gt;= 15),K471/M471, ""))</f>
        <v>#VALUE!</v>
      </c>
    </row>
    <row r="472" customFormat="false" ht="15.75" hidden="false" customHeight="false" outlineLevel="0" collapsed="false">
      <c r="A472" s="0" t="n">
        <f aca="false">'Form Responses (Pokemon Stats)'!B366</f>
        <v>0</v>
      </c>
      <c r="B472" s="0" t="n">
        <f aca="false">'Form Responses (Pokemon Stats)'!D366</f>
        <v>0</v>
      </c>
      <c r="C472" s="0" t="n">
        <f aca="false">'Form Responses (Pokemon Stats)'!C366</f>
        <v>0</v>
      </c>
      <c r="F472" s="0" t="n">
        <f aca="false">'Form Responses (Pokemon Stats)'!E366</f>
        <v>0</v>
      </c>
      <c r="G472" s="0" t="str">
        <f aca="false">IFERROR(__xludf.dummyfunction("ROUND(B472/ FILTER('Pokemon CP/HP'!$M$2:$M1000, LOWER('Pokemon CP/HP'!$B$2:$B1000)=LOWER(A472)))"),"#DIV/0!")</f>
        <v>#DIV/0!</v>
      </c>
      <c r="H472" s="0" t="str">
        <f aca="false">IFERROR(__xludf.dummyfunction("FILTER('Leveling Info'!$B$2:$B1000, 'Leveling Info'!$A$2:$A1000 =G472)"),"#N/A")</f>
        <v>#N/A</v>
      </c>
      <c r="I472" s="14" t="e">
        <f aca="false">SQRT(G472)</f>
        <v>#VALUE!</v>
      </c>
      <c r="J472" s="14" t="str">
        <f aca="false">IFERROR(__xludf.dummyfunction("IF(F472 = H472,C472/FILTER('Base Stats'!$C$2:$C1000, LOWER('Base Stats'!$B$2:$B1000) = LOWER($A472)), """")"),"#N/A")</f>
        <v>#N/A</v>
      </c>
      <c r="K472" s="0" t="str">
        <f aca="false">IF(F472 = H472, C472/G472, "")</f>
        <v/>
      </c>
      <c r="L472" s="0" t="str">
        <f aca="false">IFERROR(__xludf.dummyfunction("IF(AND(NOT(K472 = """"), G472 &gt;= 15),K472/FILTER('Base Stats'!$C$2:$C1000, LOWER('Base Stats'!$B$2:$B1000) = LOWER($A472)), """")"),"#N/A")</f>
        <v>#N/A</v>
      </c>
      <c r="M472" s="0" t="str">
        <f aca="false">IFERROR(__xludf.dummyfunction("1.15 + 0.02 * FILTER('Base Stats'!$C$2:$C1000, LOWER('Base Stats'!$B$2:$B1000) = LOWER($A472))"),"1.15")</f>
        <v>1.15</v>
      </c>
      <c r="N472" s="0" t="e">
        <f aca="false">IFERROR(IF(AND(NOT(K472 = ""), G472 &gt;= 15),K472/M472, ""))</f>
        <v>#VALUE!</v>
      </c>
    </row>
    <row r="473" customFormat="false" ht="15.75" hidden="false" customHeight="false" outlineLevel="0" collapsed="false">
      <c r="A473" s="0" t="n">
        <f aca="false">'Form Responses (Pokemon Stats)'!B367</f>
        <v>0</v>
      </c>
      <c r="B473" s="0" t="n">
        <f aca="false">'Form Responses (Pokemon Stats)'!D367</f>
        <v>0</v>
      </c>
      <c r="C473" s="0" t="n">
        <f aca="false">'Form Responses (Pokemon Stats)'!C367</f>
        <v>0</v>
      </c>
      <c r="F473" s="0" t="n">
        <f aca="false">'Form Responses (Pokemon Stats)'!E367</f>
        <v>0</v>
      </c>
      <c r="G473" s="0" t="str">
        <f aca="false">IFERROR(__xludf.dummyfunction("ROUND(B473/ FILTER('Pokemon CP/HP'!$M$2:$M1000, LOWER('Pokemon CP/HP'!$B$2:$B1000)=LOWER(A473)))"),"#DIV/0!")</f>
        <v>#DIV/0!</v>
      </c>
      <c r="H473" s="0" t="str">
        <f aca="false">IFERROR(__xludf.dummyfunction("FILTER('Leveling Info'!$B$2:$B1000, 'Leveling Info'!$A$2:$A1000 =G473)"),"#N/A")</f>
        <v>#N/A</v>
      </c>
      <c r="I473" s="14" t="e">
        <f aca="false">SQRT(G473)</f>
        <v>#VALUE!</v>
      </c>
      <c r="J473" s="14" t="str">
        <f aca="false">IFERROR(__xludf.dummyfunction("IF(F473 = H473,C473/FILTER('Base Stats'!$C$2:$C1000, LOWER('Base Stats'!$B$2:$B1000) = LOWER($A473)), """")"),"#N/A")</f>
        <v>#N/A</v>
      </c>
      <c r="K473" s="0" t="str">
        <f aca="false">IF(F473 = H473, C473/G473, "")</f>
        <v/>
      </c>
      <c r="L473" s="0" t="str">
        <f aca="false">IFERROR(__xludf.dummyfunction("IF(AND(NOT(K473 = """"), G473 &gt;= 15),K473/FILTER('Base Stats'!$C$2:$C1000, LOWER('Base Stats'!$B$2:$B1000) = LOWER($A473)), """")"),"#N/A")</f>
        <v>#N/A</v>
      </c>
      <c r="M473" s="0" t="str">
        <f aca="false">IFERROR(__xludf.dummyfunction("1.15 + 0.02 * FILTER('Base Stats'!$C$2:$C1000, LOWER('Base Stats'!$B$2:$B1000) = LOWER($A473))"),"1.15")</f>
        <v>1.15</v>
      </c>
      <c r="N473" s="0" t="e">
        <f aca="false">IFERROR(IF(AND(NOT(K473 = ""), G473 &gt;= 15),K473/M473, ""))</f>
        <v>#VALUE!</v>
      </c>
    </row>
    <row r="474" customFormat="false" ht="15.75" hidden="false" customHeight="false" outlineLevel="0" collapsed="false">
      <c r="A474" s="0" t="n">
        <f aca="false">'Form Responses (Pokemon Stats)'!B368</f>
        <v>0</v>
      </c>
      <c r="B474" s="0" t="n">
        <f aca="false">'Form Responses (Pokemon Stats)'!D368</f>
        <v>0</v>
      </c>
      <c r="C474" s="0" t="n">
        <f aca="false">'Form Responses (Pokemon Stats)'!C368</f>
        <v>0</v>
      </c>
      <c r="F474" s="0" t="n">
        <f aca="false">'Form Responses (Pokemon Stats)'!E368</f>
        <v>0</v>
      </c>
      <c r="G474" s="0" t="str">
        <f aca="false">IFERROR(__xludf.dummyfunction("ROUND(B474/ FILTER('Pokemon CP/HP'!$M$2:$M1000, LOWER('Pokemon CP/HP'!$B$2:$B1000)=LOWER(A474)))"),"#DIV/0!")</f>
        <v>#DIV/0!</v>
      </c>
      <c r="H474" s="0" t="str">
        <f aca="false">IFERROR(__xludf.dummyfunction("FILTER('Leveling Info'!$B$2:$B1000, 'Leveling Info'!$A$2:$A1000 =G474)"),"#N/A")</f>
        <v>#N/A</v>
      </c>
      <c r="I474" s="14" t="e">
        <f aca="false">SQRT(G474)</f>
        <v>#VALUE!</v>
      </c>
      <c r="J474" s="14" t="str">
        <f aca="false">IFERROR(__xludf.dummyfunction("IF(F474 = H474,C474/FILTER('Base Stats'!$C$2:$C1000, LOWER('Base Stats'!$B$2:$B1000) = LOWER($A474)), """")"),"#N/A")</f>
        <v>#N/A</v>
      </c>
      <c r="K474" s="0" t="str">
        <f aca="false">IF(F474 = H474, C474/G474, "")</f>
        <v/>
      </c>
      <c r="L474" s="0" t="str">
        <f aca="false">IFERROR(__xludf.dummyfunction("IF(AND(NOT(K474 = """"), G474 &gt;= 15),K474/FILTER('Base Stats'!$C$2:$C1000, LOWER('Base Stats'!$B$2:$B1000) = LOWER($A474)), """")"),"#N/A")</f>
        <v>#N/A</v>
      </c>
      <c r="M474" s="0" t="str">
        <f aca="false">IFERROR(__xludf.dummyfunction("1.15 + 0.02 * FILTER('Base Stats'!$C$2:$C1000, LOWER('Base Stats'!$B$2:$B1000) = LOWER($A474))"),"1.15")</f>
        <v>1.15</v>
      </c>
      <c r="N474" s="0" t="e">
        <f aca="false">IFERROR(IF(AND(NOT(K474 = ""), G474 &gt;= 15),K474/M474, ""))</f>
        <v>#VALUE!</v>
      </c>
    </row>
    <row r="475" customFormat="false" ht="15.75" hidden="false" customHeight="false" outlineLevel="0" collapsed="false">
      <c r="A475" s="0" t="n">
        <f aca="false">'Form Responses (Pokemon Stats)'!B369</f>
        <v>0</v>
      </c>
      <c r="B475" s="0" t="n">
        <f aca="false">'Form Responses (Pokemon Stats)'!D369</f>
        <v>0</v>
      </c>
      <c r="C475" s="0" t="n">
        <f aca="false">'Form Responses (Pokemon Stats)'!C369</f>
        <v>0</v>
      </c>
      <c r="F475" s="0" t="n">
        <f aca="false">'Form Responses (Pokemon Stats)'!E369</f>
        <v>0</v>
      </c>
      <c r="G475" s="0" t="str">
        <f aca="false">IFERROR(__xludf.dummyfunction("ROUND(B475/ FILTER('Pokemon CP/HP'!$M$2:$M1000, LOWER('Pokemon CP/HP'!$B$2:$B1000)=LOWER(A475)))"),"#DIV/0!")</f>
        <v>#DIV/0!</v>
      </c>
      <c r="H475" s="0" t="str">
        <f aca="false">IFERROR(__xludf.dummyfunction("FILTER('Leveling Info'!$B$2:$B1000, 'Leveling Info'!$A$2:$A1000 =G475)"),"#N/A")</f>
        <v>#N/A</v>
      </c>
      <c r="I475" s="14" t="e">
        <f aca="false">SQRT(G475)</f>
        <v>#VALUE!</v>
      </c>
      <c r="J475" s="14" t="str">
        <f aca="false">IFERROR(__xludf.dummyfunction("IF(F475 = H475,C475/FILTER('Base Stats'!$C$2:$C1000, LOWER('Base Stats'!$B$2:$B1000) = LOWER($A475)), """")"),"#N/A")</f>
        <v>#N/A</v>
      </c>
      <c r="K475" s="0" t="str">
        <f aca="false">IF(F475 = H475, C475/G475, "")</f>
        <v/>
      </c>
      <c r="L475" s="0" t="str">
        <f aca="false">IFERROR(__xludf.dummyfunction("IF(AND(NOT(K475 = """"), G475 &gt;= 15),K475/FILTER('Base Stats'!$C$2:$C1000, LOWER('Base Stats'!$B$2:$B1000) = LOWER($A475)), """")"),"#N/A")</f>
        <v>#N/A</v>
      </c>
      <c r="M475" s="0" t="str">
        <f aca="false">IFERROR(__xludf.dummyfunction("1.15 + 0.02 * FILTER('Base Stats'!$C$2:$C1000, LOWER('Base Stats'!$B$2:$B1000) = LOWER($A475))"),"1.15")</f>
        <v>1.15</v>
      </c>
      <c r="N475" s="0" t="e">
        <f aca="false">IFERROR(IF(AND(NOT(K475 = ""), G475 &gt;= 15),K475/M475, ""))</f>
        <v>#VALUE!</v>
      </c>
    </row>
    <row r="476" customFormat="false" ht="15.75" hidden="false" customHeight="false" outlineLevel="0" collapsed="false">
      <c r="A476" s="0" t="n">
        <f aca="false">'Form Responses (Pokemon Stats)'!B370</f>
        <v>0</v>
      </c>
      <c r="B476" s="0" t="n">
        <f aca="false">'Form Responses (Pokemon Stats)'!D370</f>
        <v>0</v>
      </c>
      <c r="C476" s="0" t="n">
        <f aca="false">'Form Responses (Pokemon Stats)'!C370</f>
        <v>0</v>
      </c>
      <c r="F476" s="0" t="n">
        <f aca="false">'Form Responses (Pokemon Stats)'!E370</f>
        <v>0</v>
      </c>
      <c r="G476" s="0" t="str">
        <f aca="false">IFERROR(__xludf.dummyfunction("ROUND(B476/ FILTER('Pokemon CP/HP'!$M$2:$M1000, LOWER('Pokemon CP/HP'!$B$2:$B1000)=LOWER(A476)))"),"#DIV/0!")</f>
        <v>#DIV/0!</v>
      </c>
      <c r="H476" s="0" t="str">
        <f aca="false">IFERROR(__xludf.dummyfunction("FILTER('Leveling Info'!$B$2:$B1000, 'Leveling Info'!$A$2:$A1000 =G476)"),"#N/A")</f>
        <v>#N/A</v>
      </c>
      <c r="I476" s="14" t="e">
        <f aca="false">SQRT(G476)</f>
        <v>#VALUE!</v>
      </c>
      <c r="J476" s="14" t="str">
        <f aca="false">IFERROR(__xludf.dummyfunction("IF(F476 = H476,C476/FILTER('Base Stats'!$C$2:$C1000, LOWER('Base Stats'!$B$2:$B1000) = LOWER($A476)), """")"),"#N/A")</f>
        <v>#N/A</v>
      </c>
      <c r="K476" s="0" t="str">
        <f aca="false">IF(F476 = H476, C476/G476, "")</f>
        <v/>
      </c>
      <c r="L476" s="0" t="str">
        <f aca="false">IFERROR(__xludf.dummyfunction("IF(AND(NOT(K476 = """"), G476 &gt;= 15),K476/FILTER('Base Stats'!$C$2:$C1000, LOWER('Base Stats'!$B$2:$B1000) = LOWER($A476)), """")"),"#N/A")</f>
        <v>#N/A</v>
      </c>
      <c r="M476" s="0" t="str">
        <f aca="false">IFERROR(__xludf.dummyfunction("1.15 + 0.02 * FILTER('Base Stats'!$C$2:$C1000, LOWER('Base Stats'!$B$2:$B1000) = LOWER($A476))"),"1.15")</f>
        <v>1.15</v>
      </c>
      <c r="N476" s="0" t="e">
        <f aca="false">IFERROR(IF(AND(NOT(K476 = ""), G476 &gt;= 15),K476/M476, ""))</f>
        <v>#VALUE!</v>
      </c>
    </row>
    <row r="477" customFormat="false" ht="15.75" hidden="false" customHeight="false" outlineLevel="0" collapsed="false">
      <c r="A477" s="0" t="n">
        <f aca="false">'Form Responses (Pokemon Stats)'!B371</f>
        <v>0</v>
      </c>
      <c r="B477" s="0" t="n">
        <f aca="false">'Form Responses (Pokemon Stats)'!D371</f>
        <v>0</v>
      </c>
      <c r="C477" s="0" t="n">
        <f aca="false">'Form Responses (Pokemon Stats)'!C371</f>
        <v>0</v>
      </c>
      <c r="F477" s="0" t="n">
        <f aca="false">'Form Responses (Pokemon Stats)'!E371</f>
        <v>0</v>
      </c>
      <c r="G477" s="0" t="str">
        <f aca="false">IFERROR(__xludf.dummyfunction("ROUND(B477/ FILTER('Pokemon CP/HP'!$M$2:$M1000, LOWER('Pokemon CP/HP'!$B$2:$B1000)=LOWER(A477)))"),"#DIV/0!")</f>
        <v>#DIV/0!</v>
      </c>
      <c r="H477" s="0" t="str">
        <f aca="false">IFERROR(__xludf.dummyfunction("FILTER('Leveling Info'!$B$2:$B1000, 'Leveling Info'!$A$2:$A1000 =G477)"),"#N/A")</f>
        <v>#N/A</v>
      </c>
      <c r="I477" s="14" t="e">
        <f aca="false">SQRT(G477)</f>
        <v>#VALUE!</v>
      </c>
      <c r="J477" s="14" t="str">
        <f aca="false">IFERROR(__xludf.dummyfunction("IF(F477 = H477,C477/FILTER('Base Stats'!$C$2:$C1000, LOWER('Base Stats'!$B$2:$B1000) = LOWER($A477)), """")"),"#N/A")</f>
        <v>#N/A</v>
      </c>
      <c r="K477" s="0" t="str">
        <f aca="false">IF(F477 = H477, C477/G477, "")</f>
        <v/>
      </c>
      <c r="L477" s="0" t="str">
        <f aca="false">IFERROR(__xludf.dummyfunction("IF(AND(NOT(K477 = """"), G477 &gt;= 15),K477/FILTER('Base Stats'!$C$2:$C1000, LOWER('Base Stats'!$B$2:$B1000) = LOWER($A477)), """")"),"#N/A")</f>
        <v>#N/A</v>
      </c>
      <c r="M477" s="0" t="str">
        <f aca="false">IFERROR(__xludf.dummyfunction("1.15 + 0.02 * FILTER('Base Stats'!$C$2:$C1000, LOWER('Base Stats'!$B$2:$B1000) = LOWER($A477))"),"1.15")</f>
        <v>1.15</v>
      </c>
      <c r="N477" s="0" t="e">
        <f aca="false">IFERROR(IF(AND(NOT(K477 = ""), G477 &gt;= 15),K477/M477, ""))</f>
        <v>#VALUE!</v>
      </c>
    </row>
    <row r="478" customFormat="false" ht="15.75" hidden="false" customHeight="false" outlineLevel="0" collapsed="false">
      <c r="A478" s="0" t="n">
        <f aca="false">'Form Responses (Pokemon Stats)'!B372</f>
        <v>0</v>
      </c>
      <c r="B478" s="0" t="n">
        <f aca="false">'Form Responses (Pokemon Stats)'!D372</f>
        <v>0</v>
      </c>
      <c r="C478" s="0" t="n">
        <f aca="false">'Form Responses (Pokemon Stats)'!C372</f>
        <v>0</v>
      </c>
      <c r="F478" s="0" t="n">
        <f aca="false">'Form Responses (Pokemon Stats)'!E372</f>
        <v>0</v>
      </c>
      <c r="G478" s="0" t="str">
        <f aca="false">IFERROR(__xludf.dummyfunction("ROUND(B478/ FILTER('Pokemon CP/HP'!$M$2:$M1000, LOWER('Pokemon CP/HP'!$B$2:$B1000)=LOWER(A478)))"),"#DIV/0!")</f>
        <v>#DIV/0!</v>
      </c>
      <c r="H478" s="0" t="str">
        <f aca="false">IFERROR(__xludf.dummyfunction("FILTER('Leveling Info'!$B$2:$B1000, 'Leveling Info'!$A$2:$A1000 =G478)"),"#N/A")</f>
        <v>#N/A</v>
      </c>
      <c r="I478" s="14" t="e">
        <f aca="false">SQRT(G478)</f>
        <v>#VALUE!</v>
      </c>
      <c r="J478" s="14" t="str">
        <f aca="false">IFERROR(__xludf.dummyfunction("IF(F478 = H478,C478/FILTER('Base Stats'!$C$2:$C1000, LOWER('Base Stats'!$B$2:$B1000) = LOWER($A478)), """")"),"#N/A")</f>
        <v>#N/A</v>
      </c>
      <c r="K478" s="0" t="str">
        <f aca="false">IF(F478 = H478, C478/G478, "")</f>
        <v/>
      </c>
      <c r="L478" s="0" t="str">
        <f aca="false">IFERROR(__xludf.dummyfunction("IF(AND(NOT(K478 = """"), G478 &gt;= 15),K478/FILTER('Base Stats'!$C$2:$C1000, LOWER('Base Stats'!$B$2:$B1000) = LOWER($A478)), """")"),"#N/A")</f>
        <v>#N/A</v>
      </c>
      <c r="M478" s="0" t="str">
        <f aca="false">IFERROR(__xludf.dummyfunction("1.15 + 0.02 * FILTER('Base Stats'!$C$2:$C1000, LOWER('Base Stats'!$B$2:$B1000) = LOWER($A478))"),"1.15")</f>
        <v>1.15</v>
      </c>
      <c r="N478" s="0" t="e">
        <f aca="false">IFERROR(IF(AND(NOT(K478 = ""), G478 &gt;= 15),K478/M478, ""))</f>
        <v>#VALUE!</v>
      </c>
    </row>
    <row r="479" customFormat="false" ht="15.75" hidden="false" customHeight="false" outlineLevel="0" collapsed="false">
      <c r="A479" s="0" t="n">
        <f aca="false">'Form Responses (Pokemon Stats)'!B373</f>
        <v>0</v>
      </c>
      <c r="B479" s="0" t="n">
        <f aca="false">'Form Responses (Pokemon Stats)'!D373</f>
        <v>0</v>
      </c>
      <c r="C479" s="0" t="n">
        <f aca="false">'Form Responses (Pokemon Stats)'!C373</f>
        <v>0</v>
      </c>
      <c r="F479" s="0" t="n">
        <f aca="false">'Form Responses (Pokemon Stats)'!E373</f>
        <v>0</v>
      </c>
      <c r="G479" s="0" t="str">
        <f aca="false">IFERROR(__xludf.dummyfunction("ROUND(B479/ FILTER('Pokemon CP/HP'!$M$2:$M1000, LOWER('Pokemon CP/HP'!$B$2:$B1000)=LOWER(A479)))"),"#DIV/0!")</f>
        <v>#DIV/0!</v>
      </c>
      <c r="H479" s="0" t="str">
        <f aca="false">IFERROR(__xludf.dummyfunction("FILTER('Leveling Info'!$B$2:$B1000, 'Leveling Info'!$A$2:$A1000 =G479)"),"#N/A")</f>
        <v>#N/A</v>
      </c>
      <c r="I479" s="14" t="e">
        <f aca="false">SQRT(G479)</f>
        <v>#VALUE!</v>
      </c>
      <c r="J479" s="14" t="str">
        <f aca="false">IFERROR(__xludf.dummyfunction("IF(F479 = H479,C479/FILTER('Base Stats'!$C$2:$C1000, LOWER('Base Stats'!$B$2:$B1000) = LOWER($A479)), """")"),"#N/A")</f>
        <v>#N/A</v>
      </c>
      <c r="K479" s="0" t="str">
        <f aca="false">IF(F479 = H479, C479/G479, "")</f>
        <v/>
      </c>
      <c r="L479" s="0" t="str">
        <f aca="false">IFERROR(__xludf.dummyfunction("IF(AND(NOT(K479 = """"), G479 &gt;= 15),K479/FILTER('Base Stats'!$C$2:$C1000, LOWER('Base Stats'!$B$2:$B1000) = LOWER($A479)), """")"),"#N/A")</f>
        <v>#N/A</v>
      </c>
      <c r="M479" s="0" t="str">
        <f aca="false">IFERROR(__xludf.dummyfunction("1.15 + 0.02 * FILTER('Base Stats'!$C$2:$C1000, LOWER('Base Stats'!$B$2:$B1000) = LOWER($A479))"),"1.15")</f>
        <v>1.15</v>
      </c>
      <c r="N479" s="0" t="e">
        <f aca="false">IFERROR(IF(AND(NOT(K479 = ""), G479 &gt;= 15),K479/M479, ""))</f>
        <v>#VALUE!</v>
      </c>
    </row>
    <row r="480" customFormat="false" ht="15.75" hidden="false" customHeight="false" outlineLevel="0" collapsed="false">
      <c r="A480" s="0" t="n">
        <f aca="false">'Form Responses (Pokemon Stats)'!B374</f>
        <v>0</v>
      </c>
      <c r="B480" s="0" t="n">
        <f aca="false">'Form Responses (Pokemon Stats)'!D374</f>
        <v>0</v>
      </c>
      <c r="C480" s="0" t="n">
        <f aca="false">'Form Responses (Pokemon Stats)'!C374</f>
        <v>0</v>
      </c>
      <c r="F480" s="0" t="n">
        <f aca="false">'Form Responses (Pokemon Stats)'!E374</f>
        <v>0</v>
      </c>
      <c r="G480" s="0" t="str">
        <f aca="false">IFERROR(__xludf.dummyfunction("ROUND(B480/ FILTER('Pokemon CP/HP'!$M$2:$M1000, LOWER('Pokemon CP/HP'!$B$2:$B1000)=LOWER(A480)))"),"#DIV/0!")</f>
        <v>#DIV/0!</v>
      </c>
      <c r="H480" s="0" t="str">
        <f aca="false">IFERROR(__xludf.dummyfunction("FILTER('Leveling Info'!$B$2:$B1000, 'Leveling Info'!$A$2:$A1000 =G480)"),"#N/A")</f>
        <v>#N/A</v>
      </c>
      <c r="I480" s="14" t="e">
        <f aca="false">SQRT(G480)</f>
        <v>#VALUE!</v>
      </c>
      <c r="J480" s="14" t="str">
        <f aca="false">IFERROR(__xludf.dummyfunction("IF(F480 = H480,C480/FILTER('Base Stats'!$C$2:$C1000, LOWER('Base Stats'!$B$2:$B1000) = LOWER($A480)), """")"),"#N/A")</f>
        <v>#N/A</v>
      </c>
      <c r="K480" s="0" t="str">
        <f aca="false">IF(F480 = H480, C480/G480, "")</f>
        <v/>
      </c>
      <c r="L480" s="0" t="str">
        <f aca="false">IFERROR(__xludf.dummyfunction("IF(AND(NOT(K480 = """"), G480 &gt;= 15),K480/FILTER('Base Stats'!$C$2:$C1000, LOWER('Base Stats'!$B$2:$B1000) = LOWER($A480)), """")"),"#N/A")</f>
        <v>#N/A</v>
      </c>
      <c r="M480" s="0" t="str">
        <f aca="false">IFERROR(__xludf.dummyfunction("1.15 + 0.02 * FILTER('Base Stats'!$C$2:$C1000, LOWER('Base Stats'!$B$2:$B1000) = LOWER($A480))"),"1.15")</f>
        <v>1.15</v>
      </c>
      <c r="N480" s="0" t="e">
        <f aca="false">IFERROR(IF(AND(NOT(K480 = ""), G480 &gt;= 15),K480/M480, ""))</f>
        <v>#VALUE!</v>
      </c>
    </row>
    <row r="481" customFormat="false" ht="15.75" hidden="false" customHeight="false" outlineLevel="0" collapsed="false">
      <c r="A481" s="0" t="n">
        <f aca="false">'Form Responses (Pokemon Stats)'!B375</f>
        <v>0</v>
      </c>
      <c r="B481" s="0" t="n">
        <f aca="false">'Form Responses (Pokemon Stats)'!D375</f>
        <v>0</v>
      </c>
      <c r="C481" s="0" t="n">
        <f aca="false">'Form Responses (Pokemon Stats)'!C375</f>
        <v>0</v>
      </c>
      <c r="F481" s="0" t="n">
        <f aca="false">'Form Responses (Pokemon Stats)'!E375</f>
        <v>0</v>
      </c>
      <c r="G481" s="0" t="str">
        <f aca="false">IFERROR(__xludf.dummyfunction("ROUND(B481/ FILTER('Pokemon CP/HP'!$M$2:$M1000, LOWER('Pokemon CP/HP'!$B$2:$B1000)=LOWER(A481)))"),"#DIV/0!")</f>
        <v>#DIV/0!</v>
      </c>
      <c r="H481" s="0" t="str">
        <f aca="false">IFERROR(__xludf.dummyfunction("FILTER('Leveling Info'!$B$2:$B1000, 'Leveling Info'!$A$2:$A1000 =G481)"),"#N/A")</f>
        <v>#N/A</v>
      </c>
      <c r="I481" s="14" t="e">
        <f aca="false">SQRT(G481)</f>
        <v>#VALUE!</v>
      </c>
      <c r="J481" s="14" t="str">
        <f aca="false">IFERROR(__xludf.dummyfunction("IF(F481 = H481,C481/FILTER('Base Stats'!$C$2:$C1000, LOWER('Base Stats'!$B$2:$B1000) = LOWER($A481)), """")"),"#N/A")</f>
        <v>#N/A</v>
      </c>
      <c r="K481" s="0" t="str">
        <f aca="false">IF(F481 = H481, C481/G481, "")</f>
        <v/>
      </c>
      <c r="L481" s="0" t="str">
        <f aca="false">IFERROR(__xludf.dummyfunction("IF(AND(NOT(K481 = """"), G481 &gt;= 15),K481/FILTER('Base Stats'!$C$2:$C1000, LOWER('Base Stats'!$B$2:$B1000) = LOWER($A481)), """")"),"#N/A")</f>
        <v>#N/A</v>
      </c>
      <c r="M481" s="0" t="str">
        <f aca="false">IFERROR(__xludf.dummyfunction("1.15 + 0.02 * FILTER('Base Stats'!$C$2:$C1000, LOWER('Base Stats'!$B$2:$B1000) = LOWER($A481))"),"1.15")</f>
        <v>1.15</v>
      </c>
      <c r="N481" s="0" t="e">
        <f aca="false">IFERROR(IF(AND(NOT(K481 = ""), G481 &gt;= 15),K481/M481, ""))</f>
        <v>#VALUE!</v>
      </c>
    </row>
    <row r="482" customFormat="false" ht="15.75" hidden="false" customHeight="false" outlineLevel="0" collapsed="false">
      <c r="A482" s="0" t="n">
        <f aca="false">'Form Responses (Pokemon Stats)'!B376</f>
        <v>0</v>
      </c>
      <c r="B482" s="0" t="n">
        <f aca="false">'Form Responses (Pokemon Stats)'!D376</f>
        <v>0</v>
      </c>
      <c r="C482" s="0" t="n">
        <f aca="false">'Form Responses (Pokemon Stats)'!C376</f>
        <v>0</v>
      </c>
      <c r="F482" s="0" t="n">
        <f aca="false">'Form Responses (Pokemon Stats)'!E376</f>
        <v>0</v>
      </c>
      <c r="G482" s="0" t="str">
        <f aca="false">IFERROR(__xludf.dummyfunction("ROUND(B482/ FILTER('Pokemon CP/HP'!$M$2:$M1000, LOWER('Pokemon CP/HP'!$B$2:$B1000)=LOWER(A482)))"),"#DIV/0!")</f>
        <v>#DIV/0!</v>
      </c>
      <c r="H482" s="0" t="str">
        <f aca="false">IFERROR(__xludf.dummyfunction("FILTER('Leveling Info'!$B$2:$B1000, 'Leveling Info'!$A$2:$A1000 =G482)"),"#N/A")</f>
        <v>#N/A</v>
      </c>
      <c r="I482" s="14" t="e">
        <f aca="false">SQRT(G482)</f>
        <v>#VALUE!</v>
      </c>
      <c r="J482" s="14" t="str">
        <f aca="false">IFERROR(__xludf.dummyfunction("IF(F482 = H482,C482/FILTER('Base Stats'!$C$2:$C1000, LOWER('Base Stats'!$B$2:$B1000) = LOWER($A482)), """")"),"#N/A")</f>
        <v>#N/A</v>
      </c>
      <c r="K482" s="0" t="str">
        <f aca="false">IF(F482 = H482, C482/G482, "")</f>
        <v/>
      </c>
      <c r="L482" s="0" t="str">
        <f aca="false">IFERROR(__xludf.dummyfunction("IF(AND(NOT(K482 = """"), G482 &gt;= 15),K482/FILTER('Base Stats'!$C$2:$C1000, LOWER('Base Stats'!$B$2:$B1000) = LOWER($A482)), """")"),"#N/A")</f>
        <v>#N/A</v>
      </c>
      <c r="M482" s="0" t="str">
        <f aca="false">IFERROR(__xludf.dummyfunction("1.15 + 0.02 * FILTER('Base Stats'!$C$2:$C1000, LOWER('Base Stats'!$B$2:$B1000) = LOWER($A482))"),"1.15")</f>
        <v>1.15</v>
      </c>
      <c r="N482" s="0" t="e">
        <f aca="false">IFERROR(IF(AND(NOT(K482 = ""), G482 &gt;= 15),K482/M482, ""))</f>
        <v>#VALUE!</v>
      </c>
    </row>
    <row r="483" customFormat="false" ht="15.75" hidden="false" customHeight="false" outlineLevel="0" collapsed="false">
      <c r="A483" s="0" t="n">
        <f aca="false">'Form Responses (Pokemon Stats)'!B377</f>
        <v>0</v>
      </c>
      <c r="B483" s="0" t="n">
        <f aca="false">'Form Responses (Pokemon Stats)'!D377</f>
        <v>0</v>
      </c>
      <c r="C483" s="0" t="n">
        <f aca="false">'Form Responses (Pokemon Stats)'!C377</f>
        <v>0</v>
      </c>
      <c r="F483" s="0" t="n">
        <f aca="false">'Form Responses (Pokemon Stats)'!E377</f>
        <v>0</v>
      </c>
      <c r="G483" s="0" t="str">
        <f aca="false">IFERROR(__xludf.dummyfunction("ROUND(B483/ FILTER('Pokemon CP/HP'!$M$2:$M1000, LOWER('Pokemon CP/HP'!$B$2:$B1000)=LOWER(A483)))"),"#DIV/0!")</f>
        <v>#DIV/0!</v>
      </c>
      <c r="H483" s="0" t="str">
        <f aca="false">IFERROR(__xludf.dummyfunction("FILTER('Leveling Info'!$B$2:$B1000, 'Leveling Info'!$A$2:$A1000 =G483)"),"#N/A")</f>
        <v>#N/A</v>
      </c>
      <c r="I483" s="14" t="e">
        <f aca="false">SQRT(G483)</f>
        <v>#VALUE!</v>
      </c>
      <c r="J483" s="14" t="str">
        <f aca="false">IFERROR(__xludf.dummyfunction("IF(F483 = H483,C483/FILTER('Base Stats'!$C$2:$C1000, LOWER('Base Stats'!$B$2:$B1000) = LOWER($A483)), """")"),"#N/A")</f>
        <v>#N/A</v>
      </c>
      <c r="K483" s="0" t="str">
        <f aca="false">IF(F483 = H483, C483/G483, "")</f>
        <v/>
      </c>
      <c r="L483" s="0" t="str">
        <f aca="false">IFERROR(__xludf.dummyfunction("IF(AND(NOT(K483 = """"), G483 &gt;= 15),K483/FILTER('Base Stats'!$C$2:$C1000, LOWER('Base Stats'!$B$2:$B1000) = LOWER($A483)), """")"),"#N/A")</f>
        <v>#N/A</v>
      </c>
      <c r="M483" s="0" t="str">
        <f aca="false">IFERROR(__xludf.dummyfunction("1.15 + 0.02 * FILTER('Base Stats'!$C$2:$C1000, LOWER('Base Stats'!$B$2:$B1000) = LOWER($A483))"),"1.15")</f>
        <v>1.15</v>
      </c>
      <c r="N483" s="0" t="e">
        <f aca="false">IFERROR(IF(AND(NOT(K483 = ""), G483 &gt;= 15),K483/M483, ""))</f>
        <v>#VALUE!</v>
      </c>
    </row>
    <row r="484" customFormat="false" ht="15.75" hidden="false" customHeight="false" outlineLevel="0" collapsed="false">
      <c r="A484" s="0" t="n">
        <f aca="false">'Form Responses (Pokemon Stats)'!B378</f>
        <v>0</v>
      </c>
      <c r="B484" s="0" t="n">
        <f aca="false">'Form Responses (Pokemon Stats)'!D378</f>
        <v>0</v>
      </c>
      <c r="C484" s="0" t="n">
        <f aca="false">'Form Responses (Pokemon Stats)'!C378</f>
        <v>0</v>
      </c>
      <c r="F484" s="0" t="n">
        <f aca="false">'Form Responses (Pokemon Stats)'!E378</f>
        <v>0</v>
      </c>
      <c r="G484" s="0" t="str">
        <f aca="false">IFERROR(__xludf.dummyfunction("ROUND(B484/ FILTER('Pokemon CP/HP'!$M$2:$M1000, LOWER('Pokemon CP/HP'!$B$2:$B1000)=LOWER(A484)))"),"#DIV/0!")</f>
        <v>#DIV/0!</v>
      </c>
      <c r="H484" s="0" t="str">
        <f aca="false">IFERROR(__xludf.dummyfunction("FILTER('Leveling Info'!$B$2:$B1000, 'Leveling Info'!$A$2:$A1000 =G484)"),"#N/A")</f>
        <v>#N/A</v>
      </c>
      <c r="I484" s="14" t="e">
        <f aca="false">SQRT(G484)</f>
        <v>#VALUE!</v>
      </c>
      <c r="J484" s="14" t="str">
        <f aca="false">IFERROR(__xludf.dummyfunction("IF(F484 = H484,C484/FILTER('Base Stats'!$C$2:$C1000, LOWER('Base Stats'!$B$2:$B1000) = LOWER($A484)), """")"),"#N/A")</f>
        <v>#N/A</v>
      </c>
      <c r="K484" s="0" t="str">
        <f aca="false">IF(F484 = H484, C484/G484, "")</f>
        <v/>
      </c>
      <c r="L484" s="0" t="str">
        <f aca="false">IFERROR(__xludf.dummyfunction("IF(AND(NOT(K484 = """"), G484 &gt;= 15),K484/FILTER('Base Stats'!$C$2:$C1000, LOWER('Base Stats'!$B$2:$B1000) = LOWER($A484)), """")"),"#N/A")</f>
        <v>#N/A</v>
      </c>
      <c r="M484" s="0" t="str">
        <f aca="false">IFERROR(__xludf.dummyfunction("1.15 + 0.02 * FILTER('Base Stats'!$C$2:$C1000, LOWER('Base Stats'!$B$2:$B1000) = LOWER($A484))"),"1.15")</f>
        <v>1.15</v>
      </c>
      <c r="N484" s="0" t="e">
        <f aca="false">IFERROR(IF(AND(NOT(K484 = ""), G484 &gt;= 15),K484/M484, ""))</f>
        <v>#VALUE!</v>
      </c>
    </row>
    <row r="485" customFormat="false" ht="15.75" hidden="false" customHeight="false" outlineLevel="0" collapsed="false">
      <c r="A485" s="0" t="n">
        <f aca="false">'Form Responses (Pokemon Stats)'!B379</f>
        <v>0</v>
      </c>
      <c r="B485" s="0" t="n">
        <f aca="false">'Form Responses (Pokemon Stats)'!D379</f>
        <v>0</v>
      </c>
      <c r="C485" s="0" t="n">
        <f aca="false">'Form Responses (Pokemon Stats)'!C379</f>
        <v>0</v>
      </c>
      <c r="F485" s="0" t="n">
        <f aca="false">'Form Responses (Pokemon Stats)'!E379</f>
        <v>0</v>
      </c>
      <c r="G485" s="0" t="str">
        <f aca="false">IFERROR(__xludf.dummyfunction("ROUND(B485/ FILTER('Pokemon CP/HP'!$M$2:$M1000, LOWER('Pokemon CP/HP'!$B$2:$B1000)=LOWER(A485)))"),"#DIV/0!")</f>
        <v>#DIV/0!</v>
      </c>
      <c r="H485" s="0" t="str">
        <f aca="false">IFERROR(__xludf.dummyfunction("FILTER('Leveling Info'!$B$2:$B1000, 'Leveling Info'!$A$2:$A1000 =G485)"),"#N/A")</f>
        <v>#N/A</v>
      </c>
      <c r="I485" s="14" t="e">
        <f aca="false">SQRT(G485)</f>
        <v>#VALUE!</v>
      </c>
      <c r="J485" s="14" t="str">
        <f aca="false">IFERROR(__xludf.dummyfunction("IF(F485 = H485,C485/FILTER('Base Stats'!$C$2:$C1000, LOWER('Base Stats'!$B$2:$B1000) = LOWER($A485)), """")"),"#N/A")</f>
        <v>#N/A</v>
      </c>
      <c r="K485" s="0" t="str">
        <f aca="false">IF(F485 = H485, C485/G485, "")</f>
        <v/>
      </c>
      <c r="L485" s="0" t="str">
        <f aca="false">IFERROR(__xludf.dummyfunction("IF(AND(NOT(K485 = """"), G485 &gt;= 15),K485/FILTER('Base Stats'!$C$2:$C1000, LOWER('Base Stats'!$B$2:$B1000) = LOWER($A485)), """")"),"#N/A")</f>
        <v>#N/A</v>
      </c>
      <c r="M485" s="0" t="str">
        <f aca="false">IFERROR(__xludf.dummyfunction("1.15 + 0.02 * FILTER('Base Stats'!$C$2:$C1000, LOWER('Base Stats'!$B$2:$B1000) = LOWER($A485))"),"1.15")</f>
        <v>1.15</v>
      </c>
      <c r="N485" s="0" t="e">
        <f aca="false">IFERROR(IF(AND(NOT(K485 = ""), G485 &gt;= 15),K485/M485, ""))</f>
        <v>#VALUE!</v>
      </c>
    </row>
    <row r="486" customFormat="false" ht="15.75" hidden="false" customHeight="false" outlineLevel="0" collapsed="false">
      <c r="A486" s="0" t="n">
        <f aca="false">'Form Responses (Pokemon Stats)'!B380</f>
        <v>0</v>
      </c>
      <c r="B486" s="0" t="n">
        <f aca="false">'Form Responses (Pokemon Stats)'!D380</f>
        <v>0</v>
      </c>
      <c r="C486" s="0" t="n">
        <f aca="false">'Form Responses (Pokemon Stats)'!C380</f>
        <v>0</v>
      </c>
      <c r="F486" s="0" t="n">
        <f aca="false">'Form Responses (Pokemon Stats)'!E380</f>
        <v>0</v>
      </c>
      <c r="G486" s="0" t="str">
        <f aca="false">IFERROR(__xludf.dummyfunction("ROUND(B486/ FILTER('Pokemon CP/HP'!$M$2:$M1000, LOWER('Pokemon CP/HP'!$B$2:$B1000)=LOWER(A486)))"),"#DIV/0!")</f>
        <v>#DIV/0!</v>
      </c>
      <c r="H486" s="0" t="str">
        <f aca="false">IFERROR(__xludf.dummyfunction("FILTER('Leveling Info'!$B$2:$B1000, 'Leveling Info'!$A$2:$A1000 =G486)"),"#N/A")</f>
        <v>#N/A</v>
      </c>
      <c r="I486" s="14" t="e">
        <f aca="false">SQRT(G486)</f>
        <v>#VALUE!</v>
      </c>
      <c r="J486" s="14" t="str">
        <f aca="false">IFERROR(__xludf.dummyfunction("IF(F486 = H486,C486/FILTER('Base Stats'!$C$2:$C1000, LOWER('Base Stats'!$B$2:$B1000) = LOWER($A486)), """")"),"#N/A")</f>
        <v>#N/A</v>
      </c>
      <c r="K486" s="0" t="str">
        <f aca="false">IF(F486 = H486, C486/G486, "")</f>
        <v/>
      </c>
      <c r="L486" s="0" t="str">
        <f aca="false">IFERROR(__xludf.dummyfunction("IF(AND(NOT(K486 = """"), G486 &gt;= 15),K486/FILTER('Base Stats'!$C$2:$C1000, LOWER('Base Stats'!$B$2:$B1000) = LOWER($A486)), """")"),"#N/A")</f>
        <v>#N/A</v>
      </c>
      <c r="M486" s="0" t="str">
        <f aca="false">IFERROR(__xludf.dummyfunction("1.15 + 0.02 * FILTER('Base Stats'!$C$2:$C1000, LOWER('Base Stats'!$B$2:$B1000) = LOWER($A486))"),"1.15")</f>
        <v>1.15</v>
      </c>
      <c r="N486" s="0" t="e">
        <f aca="false">IFERROR(IF(AND(NOT(K486 = ""), G486 &gt;= 15),K486/M486, ""))</f>
        <v>#VALUE!</v>
      </c>
    </row>
    <row r="487" customFormat="false" ht="15.75" hidden="false" customHeight="false" outlineLevel="0" collapsed="false">
      <c r="A487" s="0" t="n">
        <f aca="false">'Form Responses (Pokemon Stats)'!B381</f>
        <v>0</v>
      </c>
      <c r="B487" s="0" t="n">
        <f aca="false">'Form Responses (Pokemon Stats)'!D381</f>
        <v>0</v>
      </c>
      <c r="C487" s="0" t="n">
        <f aca="false">'Form Responses (Pokemon Stats)'!C381</f>
        <v>0</v>
      </c>
      <c r="F487" s="0" t="n">
        <f aca="false">'Form Responses (Pokemon Stats)'!E381</f>
        <v>0</v>
      </c>
      <c r="G487" s="0" t="str">
        <f aca="false">IFERROR(__xludf.dummyfunction("ROUND(B487/ FILTER('Pokemon CP/HP'!$M$2:$M1000, LOWER('Pokemon CP/HP'!$B$2:$B1000)=LOWER(A487)))"),"#DIV/0!")</f>
        <v>#DIV/0!</v>
      </c>
      <c r="H487" s="0" t="str">
        <f aca="false">IFERROR(__xludf.dummyfunction("FILTER('Leveling Info'!$B$2:$B1000, 'Leveling Info'!$A$2:$A1000 =G487)"),"#N/A")</f>
        <v>#N/A</v>
      </c>
      <c r="I487" s="14" t="e">
        <f aca="false">SQRT(G487)</f>
        <v>#VALUE!</v>
      </c>
      <c r="J487" s="14" t="str">
        <f aca="false">IFERROR(__xludf.dummyfunction("IF(F487 = H487,C487/FILTER('Base Stats'!$C$2:$C1000, LOWER('Base Stats'!$B$2:$B1000) = LOWER($A487)), """")"),"#N/A")</f>
        <v>#N/A</v>
      </c>
      <c r="K487" s="0" t="str">
        <f aca="false">IF(F487 = H487, C487/G487, "")</f>
        <v/>
      </c>
      <c r="L487" s="0" t="str">
        <f aca="false">IFERROR(__xludf.dummyfunction("IF(AND(NOT(K487 = """"), G487 &gt;= 15),K487/FILTER('Base Stats'!$C$2:$C1000, LOWER('Base Stats'!$B$2:$B1000) = LOWER($A487)), """")"),"#N/A")</f>
        <v>#N/A</v>
      </c>
      <c r="M487" s="0" t="str">
        <f aca="false">IFERROR(__xludf.dummyfunction("1.15 + 0.02 * FILTER('Base Stats'!$C$2:$C1000, LOWER('Base Stats'!$B$2:$B1000) = LOWER($A487))"),"1.15")</f>
        <v>1.15</v>
      </c>
      <c r="N487" s="0" t="e">
        <f aca="false">IFERROR(IF(AND(NOT(K487 = ""), G487 &gt;= 15),K487/M487, ""))</f>
        <v>#VALUE!</v>
      </c>
    </row>
    <row r="488" customFormat="false" ht="15.75" hidden="false" customHeight="false" outlineLevel="0" collapsed="false">
      <c r="A488" s="0" t="n">
        <f aca="false">'Form Responses (Pokemon Stats)'!B382</f>
        <v>0</v>
      </c>
      <c r="B488" s="0" t="n">
        <f aca="false">'Form Responses (Pokemon Stats)'!D382</f>
        <v>0</v>
      </c>
      <c r="C488" s="0" t="n">
        <f aca="false">'Form Responses (Pokemon Stats)'!C382</f>
        <v>0</v>
      </c>
      <c r="F488" s="0" t="n">
        <f aca="false">'Form Responses (Pokemon Stats)'!E382</f>
        <v>0</v>
      </c>
      <c r="G488" s="0" t="str">
        <f aca="false">IFERROR(__xludf.dummyfunction("ROUND(B488/ FILTER('Pokemon CP/HP'!$M$2:$M1000, LOWER('Pokemon CP/HP'!$B$2:$B1000)=LOWER(A488)))"),"#DIV/0!")</f>
        <v>#DIV/0!</v>
      </c>
      <c r="H488" s="0" t="str">
        <f aca="false">IFERROR(__xludf.dummyfunction("FILTER('Leveling Info'!$B$2:$B1000, 'Leveling Info'!$A$2:$A1000 =G488)"),"#N/A")</f>
        <v>#N/A</v>
      </c>
      <c r="I488" s="14" t="e">
        <f aca="false">SQRT(G488)</f>
        <v>#VALUE!</v>
      </c>
      <c r="J488" s="14" t="str">
        <f aca="false">IFERROR(__xludf.dummyfunction("IF(F488 = H488,C488/FILTER('Base Stats'!$C$2:$C1000, LOWER('Base Stats'!$B$2:$B1000) = LOWER($A488)), """")"),"#N/A")</f>
        <v>#N/A</v>
      </c>
      <c r="K488" s="0" t="str">
        <f aca="false">IF(F488 = H488, C488/G488, "")</f>
        <v/>
      </c>
      <c r="L488" s="0" t="str">
        <f aca="false">IFERROR(__xludf.dummyfunction("IF(AND(NOT(K488 = """"), G488 &gt;= 15),K488/FILTER('Base Stats'!$C$2:$C1000, LOWER('Base Stats'!$B$2:$B1000) = LOWER($A488)), """")"),"#N/A")</f>
        <v>#N/A</v>
      </c>
      <c r="M488" s="0" t="str">
        <f aca="false">IFERROR(__xludf.dummyfunction("1.15 + 0.02 * FILTER('Base Stats'!$C$2:$C1000, LOWER('Base Stats'!$B$2:$B1000) = LOWER($A488))"),"1.15")</f>
        <v>1.15</v>
      </c>
      <c r="N488" s="0" t="e">
        <f aca="false">IFERROR(IF(AND(NOT(K488 = ""), G488 &gt;= 15),K488/M488, ""))</f>
        <v>#VALUE!</v>
      </c>
    </row>
    <row r="489" customFormat="false" ht="15.75" hidden="false" customHeight="false" outlineLevel="0" collapsed="false">
      <c r="A489" s="0" t="n">
        <f aca="false">'Form Responses (Pokemon Stats)'!B383</f>
        <v>0</v>
      </c>
      <c r="B489" s="0" t="n">
        <f aca="false">'Form Responses (Pokemon Stats)'!D383</f>
        <v>0</v>
      </c>
      <c r="C489" s="0" t="n">
        <f aca="false">'Form Responses (Pokemon Stats)'!C383</f>
        <v>0</v>
      </c>
      <c r="F489" s="0" t="n">
        <f aca="false">'Form Responses (Pokemon Stats)'!E383</f>
        <v>0</v>
      </c>
      <c r="G489" s="0" t="str">
        <f aca="false">IFERROR(__xludf.dummyfunction("ROUND(B489/ FILTER('Pokemon CP/HP'!$M$2:$M1000, LOWER('Pokemon CP/HP'!$B$2:$B1000)=LOWER(A489)))"),"#DIV/0!")</f>
        <v>#DIV/0!</v>
      </c>
      <c r="H489" s="0" t="str">
        <f aca="false">IFERROR(__xludf.dummyfunction("FILTER('Leveling Info'!$B$2:$B1000, 'Leveling Info'!$A$2:$A1000 =G489)"),"#N/A")</f>
        <v>#N/A</v>
      </c>
      <c r="I489" s="14" t="e">
        <f aca="false">SQRT(G489)</f>
        <v>#VALUE!</v>
      </c>
      <c r="J489" s="14" t="str">
        <f aca="false">IFERROR(__xludf.dummyfunction("IF(F489 = H489,C489/FILTER('Base Stats'!$C$2:$C1000, LOWER('Base Stats'!$B$2:$B1000) = LOWER($A489)), """")"),"#N/A")</f>
        <v>#N/A</v>
      </c>
      <c r="K489" s="0" t="str">
        <f aca="false">IF(F489 = H489, C489/G489, "")</f>
        <v/>
      </c>
      <c r="L489" s="0" t="str">
        <f aca="false">IFERROR(__xludf.dummyfunction("IF(AND(NOT(K489 = """"), G489 &gt;= 15),K489/FILTER('Base Stats'!$C$2:$C1000, LOWER('Base Stats'!$B$2:$B1000) = LOWER($A489)), """")"),"#N/A")</f>
        <v>#N/A</v>
      </c>
      <c r="M489" s="0" t="str">
        <f aca="false">IFERROR(__xludf.dummyfunction("1.15 + 0.02 * FILTER('Base Stats'!$C$2:$C1000, LOWER('Base Stats'!$B$2:$B1000) = LOWER($A489))"),"1.15")</f>
        <v>1.15</v>
      </c>
      <c r="N489" s="0" t="e">
        <f aca="false">IFERROR(IF(AND(NOT(K489 = ""), G489 &gt;= 15),K489/M489, ""))</f>
        <v>#VALUE!</v>
      </c>
    </row>
    <row r="490" customFormat="false" ht="15.75" hidden="false" customHeight="false" outlineLevel="0" collapsed="false">
      <c r="A490" s="0" t="n">
        <f aca="false">'Form Responses (Pokemon Stats)'!B384</f>
        <v>0</v>
      </c>
      <c r="B490" s="0" t="n">
        <f aca="false">'Form Responses (Pokemon Stats)'!D384</f>
        <v>0</v>
      </c>
      <c r="C490" s="0" t="n">
        <f aca="false">'Form Responses (Pokemon Stats)'!C384</f>
        <v>0</v>
      </c>
      <c r="F490" s="0" t="n">
        <f aca="false">'Form Responses (Pokemon Stats)'!E384</f>
        <v>0</v>
      </c>
      <c r="G490" s="0" t="str">
        <f aca="false">IFERROR(__xludf.dummyfunction("ROUND(B490/ FILTER('Pokemon CP/HP'!$M$2:$M1000, LOWER('Pokemon CP/HP'!$B$2:$B1000)=LOWER(A490)))"),"#DIV/0!")</f>
        <v>#DIV/0!</v>
      </c>
      <c r="H490" s="0" t="str">
        <f aca="false">IFERROR(__xludf.dummyfunction("FILTER('Leveling Info'!$B$2:$B1000, 'Leveling Info'!$A$2:$A1000 =G490)"),"#N/A")</f>
        <v>#N/A</v>
      </c>
      <c r="I490" s="14" t="e">
        <f aca="false">SQRT(G490)</f>
        <v>#VALUE!</v>
      </c>
      <c r="J490" s="14" t="str">
        <f aca="false">IFERROR(__xludf.dummyfunction("IF(F490 = H490,C490/FILTER('Base Stats'!$C$2:$C1000, LOWER('Base Stats'!$B$2:$B1000) = LOWER($A490)), """")"),"#N/A")</f>
        <v>#N/A</v>
      </c>
      <c r="K490" s="0" t="str">
        <f aca="false">IF(F490 = H490, C490/G490, "")</f>
        <v/>
      </c>
      <c r="L490" s="0" t="str">
        <f aca="false">IFERROR(__xludf.dummyfunction("IF(AND(NOT(K490 = """"), G490 &gt;= 15),K490/FILTER('Base Stats'!$C$2:$C1000, LOWER('Base Stats'!$B$2:$B1000) = LOWER($A490)), """")"),"#N/A")</f>
        <v>#N/A</v>
      </c>
      <c r="M490" s="0" t="str">
        <f aca="false">IFERROR(__xludf.dummyfunction("1.15 + 0.02 * FILTER('Base Stats'!$C$2:$C1000, LOWER('Base Stats'!$B$2:$B1000) = LOWER($A490))"),"1.15")</f>
        <v>1.15</v>
      </c>
      <c r="N490" s="0" t="e">
        <f aca="false">IFERROR(IF(AND(NOT(K490 = ""), G490 &gt;= 15),K490/M490, ""))</f>
        <v>#VALUE!</v>
      </c>
    </row>
    <row r="491" customFormat="false" ht="15.75" hidden="false" customHeight="false" outlineLevel="0" collapsed="false">
      <c r="A491" s="0" t="n">
        <f aca="false">'Form Responses (Pokemon Stats)'!B385</f>
        <v>0</v>
      </c>
      <c r="B491" s="0" t="n">
        <f aca="false">'Form Responses (Pokemon Stats)'!D385</f>
        <v>0</v>
      </c>
      <c r="C491" s="0" t="n">
        <f aca="false">'Form Responses (Pokemon Stats)'!C385</f>
        <v>0</v>
      </c>
      <c r="F491" s="0" t="n">
        <f aca="false">'Form Responses (Pokemon Stats)'!E385</f>
        <v>0</v>
      </c>
      <c r="G491" s="0" t="str">
        <f aca="false">IFERROR(__xludf.dummyfunction("ROUND(B491/ FILTER('Pokemon CP/HP'!$M$2:$M1000, LOWER('Pokemon CP/HP'!$B$2:$B1000)=LOWER(A491)))"),"#DIV/0!")</f>
        <v>#DIV/0!</v>
      </c>
      <c r="H491" s="0" t="str">
        <f aca="false">IFERROR(__xludf.dummyfunction("FILTER('Leveling Info'!$B$2:$B1000, 'Leveling Info'!$A$2:$A1000 =G491)"),"#N/A")</f>
        <v>#N/A</v>
      </c>
      <c r="I491" s="14" t="e">
        <f aca="false">SQRT(G491)</f>
        <v>#VALUE!</v>
      </c>
      <c r="J491" s="14" t="str">
        <f aca="false">IFERROR(__xludf.dummyfunction("IF(F491 = H491,C491/FILTER('Base Stats'!$C$2:$C1000, LOWER('Base Stats'!$B$2:$B1000) = LOWER($A491)), """")"),"#N/A")</f>
        <v>#N/A</v>
      </c>
      <c r="K491" s="0" t="str">
        <f aca="false">IF(F491 = H491, C491/G491, "")</f>
        <v/>
      </c>
      <c r="L491" s="0" t="str">
        <f aca="false">IFERROR(__xludf.dummyfunction("IF(AND(NOT(K491 = """"), G491 &gt;= 15),K491/FILTER('Base Stats'!$C$2:$C1000, LOWER('Base Stats'!$B$2:$B1000) = LOWER($A491)), """")"),"#N/A")</f>
        <v>#N/A</v>
      </c>
      <c r="M491" s="0" t="str">
        <f aca="false">IFERROR(__xludf.dummyfunction("1.15 + 0.02 * FILTER('Base Stats'!$C$2:$C1000, LOWER('Base Stats'!$B$2:$B1000) = LOWER($A491))"),"1.15")</f>
        <v>1.15</v>
      </c>
      <c r="N491" s="0" t="e">
        <f aca="false">IFERROR(IF(AND(NOT(K491 = ""), G491 &gt;= 15),K491/M491, ""))</f>
        <v>#VALUE!</v>
      </c>
    </row>
    <row r="492" customFormat="false" ht="15.75" hidden="false" customHeight="false" outlineLevel="0" collapsed="false">
      <c r="A492" s="0" t="n">
        <f aca="false">'Form Responses (Pokemon Stats)'!B386</f>
        <v>0</v>
      </c>
      <c r="B492" s="0" t="n">
        <f aca="false">'Form Responses (Pokemon Stats)'!D386</f>
        <v>0</v>
      </c>
      <c r="C492" s="0" t="n">
        <f aca="false">'Form Responses (Pokemon Stats)'!C386</f>
        <v>0</v>
      </c>
      <c r="F492" s="0" t="n">
        <f aca="false">'Form Responses (Pokemon Stats)'!E386</f>
        <v>0</v>
      </c>
      <c r="G492" s="0" t="str">
        <f aca="false">IFERROR(__xludf.dummyfunction("ROUND(B492/ FILTER('Pokemon CP/HP'!$M$2:$M1000, LOWER('Pokemon CP/HP'!$B$2:$B1000)=LOWER(A492)))"),"#DIV/0!")</f>
        <v>#DIV/0!</v>
      </c>
      <c r="H492" s="0" t="str">
        <f aca="false">IFERROR(__xludf.dummyfunction("FILTER('Leveling Info'!$B$2:$B1000, 'Leveling Info'!$A$2:$A1000 =G492)"),"#N/A")</f>
        <v>#N/A</v>
      </c>
      <c r="I492" s="14" t="e">
        <f aca="false">SQRT(G492)</f>
        <v>#VALUE!</v>
      </c>
      <c r="J492" s="14" t="str">
        <f aca="false">IFERROR(__xludf.dummyfunction("IF(F492 = H492,C492/FILTER('Base Stats'!$C$2:$C1000, LOWER('Base Stats'!$B$2:$B1000) = LOWER($A492)), """")"),"#N/A")</f>
        <v>#N/A</v>
      </c>
      <c r="K492" s="0" t="str">
        <f aca="false">IF(F492 = H492, C492/G492, "")</f>
        <v/>
      </c>
      <c r="L492" s="0" t="str">
        <f aca="false">IFERROR(__xludf.dummyfunction("IF(AND(NOT(K492 = """"), G492 &gt;= 15),K492/FILTER('Base Stats'!$C$2:$C1000, LOWER('Base Stats'!$B$2:$B1000) = LOWER($A492)), """")"),"#N/A")</f>
        <v>#N/A</v>
      </c>
      <c r="M492" s="0" t="str">
        <f aca="false">IFERROR(__xludf.dummyfunction("1.15 + 0.02 * FILTER('Base Stats'!$C$2:$C1000, LOWER('Base Stats'!$B$2:$B1000) = LOWER($A492))"),"1.15")</f>
        <v>1.15</v>
      </c>
      <c r="N492" s="0" t="e">
        <f aca="false">IFERROR(IF(AND(NOT(K492 = ""), G492 &gt;= 15),K492/M492, ""))</f>
        <v>#VALUE!</v>
      </c>
    </row>
    <row r="493" customFormat="false" ht="15.75" hidden="false" customHeight="false" outlineLevel="0" collapsed="false">
      <c r="A493" s="0" t="n">
        <f aca="false">'Form Responses (Pokemon Stats)'!B387</f>
        <v>0</v>
      </c>
      <c r="B493" s="0" t="n">
        <f aca="false">'Form Responses (Pokemon Stats)'!D387</f>
        <v>0</v>
      </c>
      <c r="C493" s="0" t="n">
        <f aca="false">'Form Responses (Pokemon Stats)'!C387</f>
        <v>0</v>
      </c>
      <c r="F493" s="0" t="n">
        <f aca="false">'Form Responses (Pokemon Stats)'!E387</f>
        <v>0</v>
      </c>
      <c r="G493" s="0" t="str">
        <f aca="false">IFERROR(__xludf.dummyfunction("ROUND(B493/ FILTER('Pokemon CP/HP'!$M$2:$M1000, LOWER('Pokemon CP/HP'!$B$2:$B1000)=LOWER(A493)))"),"#DIV/0!")</f>
        <v>#DIV/0!</v>
      </c>
      <c r="H493" s="0" t="str">
        <f aca="false">IFERROR(__xludf.dummyfunction("FILTER('Leveling Info'!$B$2:$B1000, 'Leveling Info'!$A$2:$A1000 =G493)"),"#N/A")</f>
        <v>#N/A</v>
      </c>
      <c r="I493" s="14" t="e">
        <f aca="false">SQRT(G493)</f>
        <v>#VALUE!</v>
      </c>
      <c r="J493" s="14" t="str">
        <f aca="false">IFERROR(__xludf.dummyfunction("IF(F493 = H493,C493/FILTER('Base Stats'!$C$2:$C1000, LOWER('Base Stats'!$B$2:$B1000) = LOWER($A493)), """")"),"#N/A")</f>
        <v>#N/A</v>
      </c>
      <c r="K493" s="0" t="str">
        <f aca="false">IF(F493 = H493, C493/G493, "")</f>
        <v/>
      </c>
      <c r="L493" s="0" t="str">
        <f aca="false">IFERROR(__xludf.dummyfunction("IF(AND(NOT(K493 = """"), G493 &gt;= 15),K493/FILTER('Base Stats'!$C$2:$C1000, LOWER('Base Stats'!$B$2:$B1000) = LOWER($A493)), """")"),"#N/A")</f>
        <v>#N/A</v>
      </c>
      <c r="M493" s="0" t="str">
        <f aca="false">IFERROR(__xludf.dummyfunction("1.15 + 0.02 * FILTER('Base Stats'!$C$2:$C1000, LOWER('Base Stats'!$B$2:$B1000) = LOWER($A493))"),"1.15")</f>
        <v>1.15</v>
      </c>
      <c r="N493" s="0" t="e">
        <f aca="false">IFERROR(IF(AND(NOT(K493 = ""), G493 &gt;= 15),K493/M493, ""))</f>
        <v>#VALUE!</v>
      </c>
    </row>
    <row r="494" customFormat="false" ht="15.75" hidden="false" customHeight="false" outlineLevel="0" collapsed="false">
      <c r="A494" s="0" t="n">
        <f aca="false">'Form Responses (Pokemon Stats)'!B388</f>
        <v>0</v>
      </c>
      <c r="B494" s="0" t="n">
        <f aca="false">'Form Responses (Pokemon Stats)'!D388</f>
        <v>0</v>
      </c>
      <c r="C494" s="0" t="n">
        <f aca="false">'Form Responses (Pokemon Stats)'!C388</f>
        <v>0</v>
      </c>
      <c r="F494" s="0" t="n">
        <f aca="false">'Form Responses (Pokemon Stats)'!E388</f>
        <v>0</v>
      </c>
      <c r="G494" s="0" t="str">
        <f aca="false">IFERROR(__xludf.dummyfunction("ROUND(B494/ FILTER('Pokemon CP/HP'!$M$2:$M1000, LOWER('Pokemon CP/HP'!$B$2:$B1000)=LOWER(A494)))"),"#DIV/0!")</f>
        <v>#DIV/0!</v>
      </c>
      <c r="H494" s="0" t="str">
        <f aca="false">IFERROR(__xludf.dummyfunction("FILTER('Leveling Info'!$B$2:$B1000, 'Leveling Info'!$A$2:$A1000 =G494)"),"#N/A")</f>
        <v>#N/A</v>
      </c>
      <c r="I494" s="14" t="e">
        <f aca="false">SQRT(G494)</f>
        <v>#VALUE!</v>
      </c>
      <c r="J494" s="14" t="str">
        <f aca="false">IFERROR(__xludf.dummyfunction("IF(F494 = H494,C494/FILTER('Base Stats'!$C$2:$C1000, LOWER('Base Stats'!$B$2:$B1000) = LOWER($A494)), """")"),"#N/A")</f>
        <v>#N/A</v>
      </c>
      <c r="K494" s="0" t="str">
        <f aca="false">IF(F494 = H494, C494/G494, "")</f>
        <v/>
      </c>
      <c r="L494" s="0" t="str">
        <f aca="false">IFERROR(__xludf.dummyfunction("IF(AND(NOT(K494 = """"), G494 &gt;= 15),K494/FILTER('Base Stats'!$C$2:$C1000, LOWER('Base Stats'!$B$2:$B1000) = LOWER($A494)), """")"),"#N/A")</f>
        <v>#N/A</v>
      </c>
      <c r="M494" s="0" t="str">
        <f aca="false">IFERROR(__xludf.dummyfunction("1.15 + 0.02 * FILTER('Base Stats'!$C$2:$C1000, LOWER('Base Stats'!$B$2:$B1000) = LOWER($A494))"),"1.15")</f>
        <v>1.15</v>
      </c>
      <c r="N494" s="0" t="e">
        <f aca="false">IFERROR(IF(AND(NOT(K494 = ""), G494 &gt;= 15),K494/M494, ""))</f>
        <v>#VALUE!</v>
      </c>
    </row>
    <row r="495" customFormat="false" ht="15.75" hidden="false" customHeight="false" outlineLevel="0" collapsed="false">
      <c r="A495" s="0" t="n">
        <f aca="false">'Form Responses (Pokemon Stats)'!B389</f>
        <v>0</v>
      </c>
      <c r="B495" s="0" t="n">
        <f aca="false">'Form Responses (Pokemon Stats)'!D389</f>
        <v>0</v>
      </c>
      <c r="C495" s="0" t="n">
        <f aca="false">'Form Responses (Pokemon Stats)'!C389</f>
        <v>0</v>
      </c>
      <c r="F495" s="0" t="n">
        <f aca="false">'Form Responses (Pokemon Stats)'!E389</f>
        <v>0</v>
      </c>
      <c r="G495" s="0" t="str">
        <f aca="false">IFERROR(__xludf.dummyfunction("ROUND(B495/ FILTER('Pokemon CP/HP'!$M$2:$M1000, LOWER('Pokemon CP/HP'!$B$2:$B1000)=LOWER(A495)))"),"#DIV/0!")</f>
        <v>#DIV/0!</v>
      </c>
      <c r="H495" s="0" t="str">
        <f aca="false">IFERROR(__xludf.dummyfunction("FILTER('Leveling Info'!$B$2:$B1000, 'Leveling Info'!$A$2:$A1000 =G495)"),"#N/A")</f>
        <v>#N/A</v>
      </c>
      <c r="I495" s="14" t="e">
        <f aca="false">SQRT(G495)</f>
        <v>#VALUE!</v>
      </c>
      <c r="J495" s="14" t="str">
        <f aca="false">IFERROR(__xludf.dummyfunction("IF(F495 = H495,C495/FILTER('Base Stats'!$C$2:$C1000, LOWER('Base Stats'!$B$2:$B1000) = LOWER($A495)), """")"),"#N/A")</f>
        <v>#N/A</v>
      </c>
      <c r="K495" s="0" t="str">
        <f aca="false">IF(F495 = H495, C495/G495, "")</f>
        <v/>
      </c>
      <c r="L495" s="0" t="str">
        <f aca="false">IFERROR(__xludf.dummyfunction("IF(AND(NOT(K495 = """"), G495 &gt;= 15),K495/FILTER('Base Stats'!$C$2:$C1000, LOWER('Base Stats'!$B$2:$B1000) = LOWER($A495)), """")"),"#N/A")</f>
        <v>#N/A</v>
      </c>
      <c r="M495" s="0" t="str">
        <f aca="false">IFERROR(__xludf.dummyfunction("1.15 + 0.02 * FILTER('Base Stats'!$C$2:$C1000, LOWER('Base Stats'!$B$2:$B1000) = LOWER($A495))"),"1.15")</f>
        <v>1.15</v>
      </c>
      <c r="N495" s="0" t="e">
        <f aca="false">IFERROR(IF(AND(NOT(K495 = ""), G495 &gt;= 15),K495/M495, ""))</f>
        <v>#VALUE!</v>
      </c>
    </row>
    <row r="496" customFormat="false" ht="15.75" hidden="false" customHeight="false" outlineLevel="0" collapsed="false">
      <c r="A496" s="0" t="n">
        <f aca="false">'Form Responses (Pokemon Stats)'!B390</f>
        <v>0</v>
      </c>
      <c r="B496" s="0" t="n">
        <f aca="false">'Form Responses (Pokemon Stats)'!D390</f>
        <v>0</v>
      </c>
      <c r="C496" s="0" t="n">
        <f aca="false">'Form Responses (Pokemon Stats)'!C390</f>
        <v>0</v>
      </c>
      <c r="F496" s="0" t="n">
        <f aca="false">'Form Responses (Pokemon Stats)'!E390</f>
        <v>0</v>
      </c>
      <c r="G496" s="0" t="str">
        <f aca="false">IFERROR(__xludf.dummyfunction("ROUND(B496/ FILTER('Pokemon CP/HP'!$M$2:$M1000, LOWER('Pokemon CP/HP'!$B$2:$B1000)=LOWER(A496)))"),"#DIV/0!")</f>
        <v>#DIV/0!</v>
      </c>
      <c r="H496" s="0" t="str">
        <f aca="false">IFERROR(__xludf.dummyfunction("FILTER('Leveling Info'!$B$2:$B1000, 'Leveling Info'!$A$2:$A1000 =G496)"),"#N/A")</f>
        <v>#N/A</v>
      </c>
      <c r="I496" s="14" t="e">
        <f aca="false">SQRT(G496)</f>
        <v>#VALUE!</v>
      </c>
      <c r="J496" s="14" t="str">
        <f aca="false">IFERROR(__xludf.dummyfunction("IF(F496 = H496,C496/FILTER('Base Stats'!$C$2:$C1000, LOWER('Base Stats'!$B$2:$B1000) = LOWER($A496)), """")"),"#N/A")</f>
        <v>#N/A</v>
      </c>
      <c r="K496" s="0" t="str">
        <f aca="false">IF(F496 = H496, C496/G496, "")</f>
        <v/>
      </c>
      <c r="L496" s="0" t="str">
        <f aca="false">IFERROR(__xludf.dummyfunction("IF(AND(NOT(K496 = """"), G496 &gt;= 15),K496/FILTER('Base Stats'!$C$2:$C1000, LOWER('Base Stats'!$B$2:$B1000) = LOWER($A496)), """")"),"#N/A")</f>
        <v>#N/A</v>
      </c>
      <c r="M496" s="0" t="str">
        <f aca="false">IFERROR(__xludf.dummyfunction("1.15 + 0.02 * FILTER('Base Stats'!$C$2:$C1000, LOWER('Base Stats'!$B$2:$B1000) = LOWER($A496))"),"1.15")</f>
        <v>1.15</v>
      </c>
      <c r="N496" s="0" t="e">
        <f aca="false">IFERROR(IF(AND(NOT(K496 = ""), G496 &gt;= 15),K496/M496, ""))</f>
        <v>#VALUE!</v>
      </c>
    </row>
    <row r="497" customFormat="false" ht="15.75" hidden="false" customHeight="false" outlineLevel="0" collapsed="false">
      <c r="A497" s="0" t="n">
        <f aca="false">'Form Responses (Pokemon Stats)'!B391</f>
        <v>0</v>
      </c>
      <c r="B497" s="0" t="n">
        <f aca="false">'Form Responses (Pokemon Stats)'!D391</f>
        <v>0</v>
      </c>
      <c r="C497" s="0" t="n">
        <f aca="false">'Form Responses (Pokemon Stats)'!C391</f>
        <v>0</v>
      </c>
      <c r="F497" s="0" t="n">
        <f aca="false">'Form Responses (Pokemon Stats)'!E391</f>
        <v>0</v>
      </c>
      <c r="G497" s="0" t="str">
        <f aca="false">IFERROR(__xludf.dummyfunction("ROUND(B497/ FILTER('Pokemon CP/HP'!$M$2:$M1000, LOWER('Pokemon CP/HP'!$B$2:$B1000)=LOWER(A497)))"),"#DIV/0!")</f>
        <v>#DIV/0!</v>
      </c>
      <c r="H497" s="0" t="str">
        <f aca="false">IFERROR(__xludf.dummyfunction("FILTER('Leveling Info'!$B$2:$B1000, 'Leveling Info'!$A$2:$A1000 =G497)"),"#N/A")</f>
        <v>#N/A</v>
      </c>
      <c r="I497" s="14" t="e">
        <f aca="false">SQRT(G497)</f>
        <v>#VALUE!</v>
      </c>
      <c r="J497" s="14" t="str">
        <f aca="false">IFERROR(__xludf.dummyfunction("IF(F497 = H497,C497/FILTER('Base Stats'!$C$2:$C1000, LOWER('Base Stats'!$B$2:$B1000) = LOWER($A497)), """")"),"#N/A")</f>
        <v>#N/A</v>
      </c>
      <c r="K497" s="0" t="str">
        <f aca="false">IF(F497 = H497, C497/G497, "")</f>
        <v/>
      </c>
      <c r="L497" s="0" t="str">
        <f aca="false">IFERROR(__xludf.dummyfunction("IF(AND(NOT(K497 = """"), G497 &gt;= 15),K497/FILTER('Base Stats'!$C$2:$C1000, LOWER('Base Stats'!$B$2:$B1000) = LOWER($A497)), """")"),"#N/A")</f>
        <v>#N/A</v>
      </c>
      <c r="M497" s="0" t="str">
        <f aca="false">IFERROR(__xludf.dummyfunction("1.15 + 0.02 * FILTER('Base Stats'!$C$2:$C1000, LOWER('Base Stats'!$B$2:$B1000) = LOWER($A497))"),"1.15")</f>
        <v>1.15</v>
      </c>
      <c r="N497" s="0" t="e">
        <f aca="false">IFERROR(IF(AND(NOT(K497 = ""), G497 &gt;= 15),K497/M497, ""))</f>
        <v>#VALUE!</v>
      </c>
    </row>
    <row r="498" customFormat="false" ht="15.75" hidden="false" customHeight="false" outlineLevel="0" collapsed="false">
      <c r="A498" s="0" t="n">
        <f aca="false">'Form Responses (Pokemon Stats)'!B392</f>
        <v>0</v>
      </c>
      <c r="B498" s="0" t="n">
        <f aca="false">'Form Responses (Pokemon Stats)'!D392</f>
        <v>0</v>
      </c>
      <c r="C498" s="0" t="n">
        <f aca="false">'Form Responses (Pokemon Stats)'!C392</f>
        <v>0</v>
      </c>
      <c r="F498" s="0" t="n">
        <f aca="false">'Form Responses (Pokemon Stats)'!E392</f>
        <v>0</v>
      </c>
      <c r="G498" s="0" t="str">
        <f aca="false">IFERROR(__xludf.dummyfunction("ROUND(B498/ FILTER('Pokemon CP/HP'!$M$2:$M1000, LOWER('Pokemon CP/HP'!$B$2:$B1000)=LOWER(A498)))"),"#DIV/0!")</f>
        <v>#DIV/0!</v>
      </c>
      <c r="H498" s="0" t="str">
        <f aca="false">IFERROR(__xludf.dummyfunction("FILTER('Leveling Info'!$B$2:$B1000, 'Leveling Info'!$A$2:$A1000 =G498)"),"#N/A")</f>
        <v>#N/A</v>
      </c>
      <c r="I498" s="14" t="e">
        <f aca="false">SQRT(G498)</f>
        <v>#VALUE!</v>
      </c>
      <c r="J498" s="14" t="str">
        <f aca="false">IFERROR(__xludf.dummyfunction("IF(F498 = H498,C498/FILTER('Base Stats'!$C$2:$C1000, LOWER('Base Stats'!$B$2:$B1000) = LOWER($A498)), """")"),"#N/A")</f>
        <v>#N/A</v>
      </c>
      <c r="K498" s="0" t="str">
        <f aca="false">IF(F498 = H498, C498/G498, "")</f>
        <v/>
      </c>
      <c r="L498" s="0" t="str">
        <f aca="false">IFERROR(__xludf.dummyfunction("IF(AND(NOT(K498 = """"), G498 &gt;= 15),K498/FILTER('Base Stats'!$C$2:$C1000, LOWER('Base Stats'!$B$2:$B1000) = LOWER($A498)), """")"),"#N/A")</f>
        <v>#N/A</v>
      </c>
      <c r="M498" s="0" t="str">
        <f aca="false">IFERROR(__xludf.dummyfunction("1.15 + 0.02 * FILTER('Base Stats'!$C$2:$C1000, LOWER('Base Stats'!$B$2:$B1000) = LOWER($A498))"),"1.15")</f>
        <v>1.15</v>
      </c>
      <c r="N498" s="0" t="e">
        <f aca="false">IFERROR(IF(AND(NOT(K498 = ""), G498 &gt;= 15),K498/M498, ""))</f>
        <v>#VALUE!</v>
      </c>
    </row>
    <row r="499" customFormat="false" ht="15.75" hidden="false" customHeight="false" outlineLevel="0" collapsed="false">
      <c r="A499" s="0" t="n">
        <f aca="false">'Form Responses (Pokemon Stats)'!B393</f>
        <v>0</v>
      </c>
      <c r="B499" s="0" t="n">
        <f aca="false">'Form Responses (Pokemon Stats)'!D393</f>
        <v>0</v>
      </c>
      <c r="C499" s="0" t="n">
        <f aca="false">'Form Responses (Pokemon Stats)'!C393</f>
        <v>0</v>
      </c>
      <c r="F499" s="0" t="n">
        <f aca="false">'Form Responses (Pokemon Stats)'!E393</f>
        <v>0</v>
      </c>
      <c r="G499" s="0" t="str">
        <f aca="false">IFERROR(__xludf.dummyfunction("ROUND(B499/ FILTER('Pokemon CP/HP'!$M$2:$M1000, LOWER('Pokemon CP/HP'!$B$2:$B1000)=LOWER(A499)))"),"#DIV/0!")</f>
        <v>#DIV/0!</v>
      </c>
      <c r="H499" s="0" t="str">
        <f aca="false">IFERROR(__xludf.dummyfunction("FILTER('Leveling Info'!$B$2:$B1000, 'Leveling Info'!$A$2:$A1000 =G499)"),"#N/A")</f>
        <v>#N/A</v>
      </c>
      <c r="I499" s="14" t="e">
        <f aca="false">SQRT(G499)</f>
        <v>#VALUE!</v>
      </c>
      <c r="J499" s="14" t="str">
        <f aca="false">IFERROR(__xludf.dummyfunction("IF(F499 = H499,C499/FILTER('Base Stats'!$C$2:$C1000, LOWER('Base Stats'!$B$2:$B1000) = LOWER($A499)), """")"),"#N/A")</f>
        <v>#N/A</v>
      </c>
      <c r="K499" s="0" t="str">
        <f aca="false">IF(F499 = H499, C499/G499, "")</f>
        <v/>
      </c>
      <c r="L499" s="0" t="str">
        <f aca="false">IFERROR(__xludf.dummyfunction("IF(AND(NOT(K499 = """"), G499 &gt;= 15),K499/FILTER('Base Stats'!$C$2:$C1000, LOWER('Base Stats'!$B$2:$B1000) = LOWER($A499)), """")"),"#N/A")</f>
        <v>#N/A</v>
      </c>
      <c r="M499" s="0" t="str">
        <f aca="false">IFERROR(__xludf.dummyfunction("1.15 + 0.02 * FILTER('Base Stats'!$C$2:$C1000, LOWER('Base Stats'!$B$2:$B1000) = LOWER($A499))"),"1.15")</f>
        <v>1.15</v>
      </c>
      <c r="N499" s="0" t="e">
        <f aca="false">IFERROR(IF(AND(NOT(K499 = ""), G499 &gt;= 15),K499/M499, ""))</f>
        <v>#VALUE!</v>
      </c>
    </row>
    <row r="500" customFormat="false" ht="15.75" hidden="false" customHeight="false" outlineLevel="0" collapsed="false">
      <c r="A500" s="0" t="n">
        <f aca="false">'Form Responses (Pokemon Stats)'!B394</f>
        <v>0</v>
      </c>
      <c r="B500" s="0" t="n">
        <f aca="false">'Form Responses (Pokemon Stats)'!D394</f>
        <v>0</v>
      </c>
      <c r="C500" s="0" t="n">
        <f aca="false">'Form Responses (Pokemon Stats)'!C394</f>
        <v>0</v>
      </c>
      <c r="F500" s="0" t="n">
        <f aca="false">'Form Responses (Pokemon Stats)'!E394</f>
        <v>0</v>
      </c>
      <c r="G500" s="0" t="str">
        <f aca="false">IFERROR(__xludf.dummyfunction("ROUND(B500/ FILTER('Pokemon CP/HP'!$M$2:$M1000, LOWER('Pokemon CP/HP'!$B$2:$B1000)=LOWER(A500)))"),"#DIV/0!")</f>
        <v>#DIV/0!</v>
      </c>
      <c r="H500" s="0" t="str">
        <f aca="false">IFERROR(__xludf.dummyfunction("FILTER('Leveling Info'!$B$2:$B1000, 'Leveling Info'!$A$2:$A1000 =G500)"),"#N/A")</f>
        <v>#N/A</v>
      </c>
      <c r="I500" s="14" t="e">
        <f aca="false">SQRT(G500)</f>
        <v>#VALUE!</v>
      </c>
      <c r="J500" s="14" t="str">
        <f aca="false">IFERROR(__xludf.dummyfunction("IF(F500 = H500,C500/FILTER('Base Stats'!$C$2:$C1000, LOWER('Base Stats'!$B$2:$B1000) = LOWER($A500)), """")"),"#N/A")</f>
        <v>#N/A</v>
      </c>
      <c r="K500" s="0" t="str">
        <f aca="false">IF(F500 = H500, C500/G500, "")</f>
        <v/>
      </c>
      <c r="L500" s="0" t="str">
        <f aca="false">IFERROR(__xludf.dummyfunction("IF(AND(NOT(K500 = """"), G500 &gt;= 15),K500/FILTER('Base Stats'!$C$2:$C1000, LOWER('Base Stats'!$B$2:$B1000) = LOWER($A500)), """")"),"#N/A")</f>
        <v>#N/A</v>
      </c>
      <c r="M500" s="0" t="str">
        <f aca="false">IFERROR(__xludf.dummyfunction("1.15 + 0.02 * FILTER('Base Stats'!$C$2:$C1000, LOWER('Base Stats'!$B$2:$B1000) = LOWER($A500))"),"1.15")</f>
        <v>1.15</v>
      </c>
      <c r="N500" s="0" t="e">
        <f aca="false">IFERROR(IF(AND(NOT(K500 = ""), G500 &gt;= 15),K500/M500, ""))</f>
        <v>#VALUE!</v>
      </c>
    </row>
    <row r="501" customFormat="false" ht="15.75" hidden="false" customHeight="false" outlineLevel="0" collapsed="false">
      <c r="A501" s="0" t="n">
        <f aca="false">'Form Responses (Pokemon Stats)'!B395</f>
        <v>0</v>
      </c>
      <c r="B501" s="0" t="n">
        <f aca="false">'Form Responses (Pokemon Stats)'!D395</f>
        <v>0</v>
      </c>
      <c r="C501" s="0" t="n">
        <f aca="false">'Form Responses (Pokemon Stats)'!C395</f>
        <v>0</v>
      </c>
      <c r="F501" s="0" t="n">
        <f aca="false">'Form Responses (Pokemon Stats)'!E395</f>
        <v>0</v>
      </c>
      <c r="G501" s="0" t="str">
        <f aca="false">IFERROR(__xludf.dummyfunction("ROUND(B501/ FILTER('Pokemon CP/HP'!$M$2:$M1000, LOWER('Pokemon CP/HP'!$B$2:$B1000)=LOWER(A501)))"),"#DIV/0!")</f>
        <v>#DIV/0!</v>
      </c>
      <c r="H501" s="0" t="str">
        <f aca="false">IFERROR(__xludf.dummyfunction("FILTER('Leveling Info'!$B$2:$B1000, 'Leveling Info'!$A$2:$A1000 =G501)"),"#N/A")</f>
        <v>#N/A</v>
      </c>
      <c r="I501" s="14" t="e">
        <f aca="false">SQRT(G501)</f>
        <v>#VALUE!</v>
      </c>
      <c r="J501" s="14" t="str">
        <f aca="false">IFERROR(__xludf.dummyfunction("IF(F501 = H501,C501/FILTER('Base Stats'!$C$2:$C1000, LOWER('Base Stats'!$B$2:$B1000) = LOWER($A501)), """")"),"#N/A")</f>
        <v>#N/A</v>
      </c>
      <c r="K501" s="0" t="str">
        <f aca="false">IF(F501 = H501, C501/G501, "")</f>
        <v/>
      </c>
      <c r="L501" s="0" t="str">
        <f aca="false">IFERROR(__xludf.dummyfunction("IF(AND(NOT(K501 = """"), G501 &gt;= 15),K501/FILTER('Base Stats'!$C$2:$C1000, LOWER('Base Stats'!$B$2:$B1000) = LOWER($A501)), """")"),"#N/A")</f>
        <v>#N/A</v>
      </c>
      <c r="M501" s="0" t="str">
        <f aca="false">IFERROR(__xludf.dummyfunction("1.15 + 0.02 * FILTER('Base Stats'!$C$2:$C1000, LOWER('Base Stats'!$B$2:$B1000) = LOWER($A501))"),"1.15")</f>
        <v>1.15</v>
      </c>
      <c r="N501" s="0" t="e">
        <f aca="false">IFERROR(IF(AND(NOT(K501 = ""), G501 &gt;= 15),K501/M501, ""))</f>
        <v>#VALUE!</v>
      </c>
    </row>
    <row r="502" customFormat="false" ht="15.75" hidden="false" customHeight="false" outlineLevel="0" collapsed="false">
      <c r="A502" s="0" t="n">
        <f aca="false">'Form Responses (Pokemon Stats)'!B396</f>
        <v>0</v>
      </c>
      <c r="B502" s="0" t="n">
        <f aca="false">'Form Responses (Pokemon Stats)'!D396</f>
        <v>0</v>
      </c>
      <c r="C502" s="0" t="n">
        <f aca="false">'Form Responses (Pokemon Stats)'!C396</f>
        <v>0</v>
      </c>
      <c r="F502" s="0" t="n">
        <f aca="false">'Form Responses (Pokemon Stats)'!E396</f>
        <v>0</v>
      </c>
      <c r="G502" s="0" t="str">
        <f aca="false">IFERROR(__xludf.dummyfunction("ROUND(B502/ FILTER('Pokemon CP/HP'!$M$2:$M1000, LOWER('Pokemon CP/HP'!$B$2:$B1000)=LOWER(A502)))"),"#DIV/0!")</f>
        <v>#DIV/0!</v>
      </c>
      <c r="H502" s="0" t="str">
        <f aca="false">IFERROR(__xludf.dummyfunction("FILTER('Leveling Info'!$B$2:$B1000, 'Leveling Info'!$A$2:$A1000 =G502)"),"#N/A")</f>
        <v>#N/A</v>
      </c>
      <c r="I502" s="14" t="e">
        <f aca="false">SQRT(G502)</f>
        <v>#VALUE!</v>
      </c>
      <c r="J502" s="14" t="str">
        <f aca="false">IFERROR(__xludf.dummyfunction("IF(F502 = H502,C502/FILTER('Base Stats'!$C$2:$C1000, LOWER('Base Stats'!$B$2:$B1000) = LOWER($A502)), """")"),"#N/A")</f>
        <v>#N/A</v>
      </c>
      <c r="K502" s="0" t="str">
        <f aca="false">IF(F502 = H502, C502/G502, "")</f>
        <v/>
      </c>
      <c r="L502" s="0" t="str">
        <f aca="false">IFERROR(__xludf.dummyfunction("IF(AND(NOT(K502 = """"), G502 &gt;= 15),K502/FILTER('Base Stats'!$C$2:$C1000, LOWER('Base Stats'!$B$2:$B1000) = LOWER($A502)), """")"),"#N/A")</f>
        <v>#N/A</v>
      </c>
      <c r="M502" s="0" t="str">
        <f aca="false">IFERROR(__xludf.dummyfunction("1.15 + 0.02 * FILTER('Base Stats'!$C$2:$C1000, LOWER('Base Stats'!$B$2:$B1000) = LOWER($A502))"),"1.15")</f>
        <v>1.15</v>
      </c>
      <c r="N502" s="0" t="e">
        <f aca="false">IFERROR(IF(AND(NOT(K502 = ""), G502 &gt;= 15),K502/M502, ""))</f>
        <v>#VALUE!</v>
      </c>
    </row>
    <row r="503" customFormat="false" ht="15.75" hidden="false" customHeight="false" outlineLevel="0" collapsed="false">
      <c r="A503" s="0" t="n">
        <f aca="false">'Form Responses (Pokemon Stats)'!B397</f>
        <v>0</v>
      </c>
      <c r="B503" s="0" t="n">
        <f aca="false">'Form Responses (Pokemon Stats)'!D397</f>
        <v>0</v>
      </c>
      <c r="C503" s="0" t="n">
        <f aca="false">'Form Responses (Pokemon Stats)'!C397</f>
        <v>0</v>
      </c>
      <c r="F503" s="0" t="n">
        <f aca="false">'Form Responses (Pokemon Stats)'!E397</f>
        <v>0</v>
      </c>
      <c r="G503" s="0" t="str">
        <f aca="false">IFERROR(__xludf.dummyfunction("ROUND(B503/ FILTER('Pokemon CP/HP'!$M$2:$M1000, LOWER('Pokemon CP/HP'!$B$2:$B1000)=LOWER(A503)))"),"#DIV/0!")</f>
        <v>#DIV/0!</v>
      </c>
      <c r="H503" s="0" t="str">
        <f aca="false">IFERROR(__xludf.dummyfunction("FILTER('Leveling Info'!$B$2:$B1000, 'Leveling Info'!$A$2:$A1000 =G503)"),"#N/A")</f>
        <v>#N/A</v>
      </c>
      <c r="I503" s="14" t="e">
        <f aca="false">SQRT(G503)</f>
        <v>#VALUE!</v>
      </c>
      <c r="J503" s="14" t="str">
        <f aca="false">IFERROR(__xludf.dummyfunction("IF(F503 = H503,C503/FILTER('Base Stats'!$C$2:$C1000, LOWER('Base Stats'!$B$2:$B1000) = LOWER($A503)), """")"),"#N/A")</f>
        <v>#N/A</v>
      </c>
      <c r="K503" s="0" t="str">
        <f aca="false">IF(F503 = H503, C503/G503, "")</f>
        <v/>
      </c>
      <c r="L503" s="0" t="str">
        <f aca="false">IFERROR(__xludf.dummyfunction("IF(AND(NOT(K503 = """"), G503 &gt;= 15),K503/FILTER('Base Stats'!$C$2:$C1000, LOWER('Base Stats'!$B$2:$B1000) = LOWER($A503)), """")"),"#N/A")</f>
        <v>#N/A</v>
      </c>
      <c r="M503" s="0" t="str">
        <f aca="false">IFERROR(__xludf.dummyfunction("1.15 + 0.02 * FILTER('Base Stats'!$C$2:$C1000, LOWER('Base Stats'!$B$2:$B1000) = LOWER($A503))"),"1.15")</f>
        <v>1.15</v>
      </c>
      <c r="N503" s="0" t="e">
        <f aca="false">IFERROR(IF(AND(NOT(K503 = ""), G503 &gt;= 15),K503/M503, ""))</f>
        <v>#VALUE!</v>
      </c>
    </row>
    <row r="504" customFormat="false" ht="15.75" hidden="false" customHeight="false" outlineLevel="0" collapsed="false">
      <c r="A504" s="0" t="n">
        <f aca="false">'Form Responses (Pokemon Stats)'!B398</f>
        <v>0</v>
      </c>
      <c r="B504" s="0" t="n">
        <f aca="false">'Form Responses (Pokemon Stats)'!D398</f>
        <v>0</v>
      </c>
      <c r="C504" s="0" t="n">
        <f aca="false">'Form Responses (Pokemon Stats)'!C398</f>
        <v>0</v>
      </c>
      <c r="F504" s="0" t="n">
        <f aca="false">'Form Responses (Pokemon Stats)'!E398</f>
        <v>0</v>
      </c>
      <c r="G504" s="0" t="str">
        <f aca="false">IFERROR(__xludf.dummyfunction("ROUND(B504/ FILTER('Pokemon CP/HP'!$M$2:$M1000, LOWER('Pokemon CP/HP'!$B$2:$B1000)=LOWER(A504)))"),"#DIV/0!")</f>
        <v>#DIV/0!</v>
      </c>
      <c r="H504" s="0" t="str">
        <f aca="false">IFERROR(__xludf.dummyfunction("FILTER('Leveling Info'!$B$2:$B1000, 'Leveling Info'!$A$2:$A1000 =G504)"),"#N/A")</f>
        <v>#N/A</v>
      </c>
      <c r="I504" s="14" t="e">
        <f aca="false">SQRT(G504)</f>
        <v>#VALUE!</v>
      </c>
      <c r="J504" s="14" t="str">
        <f aca="false">IFERROR(__xludf.dummyfunction("IF(F504 = H504,C504/FILTER('Base Stats'!$C$2:$C1000, LOWER('Base Stats'!$B$2:$B1000) = LOWER($A504)), """")"),"#N/A")</f>
        <v>#N/A</v>
      </c>
      <c r="K504" s="0" t="str">
        <f aca="false">IF(F504 = H504, C504/G504, "")</f>
        <v/>
      </c>
      <c r="L504" s="0" t="str">
        <f aca="false">IFERROR(__xludf.dummyfunction("IF(AND(NOT(K504 = """"), G504 &gt;= 15),K504/FILTER('Base Stats'!$C$2:$C1000, LOWER('Base Stats'!$B$2:$B1000) = LOWER($A504)), """")"),"#N/A")</f>
        <v>#N/A</v>
      </c>
      <c r="M504" s="0" t="str">
        <f aca="false">IFERROR(__xludf.dummyfunction("1.15 + 0.02 * FILTER('Base Stats'!$C$2:$C1000, LOWER('Base Stats'!$B$2:$B1000) = LOWER($A504))"),"1.15")</f>
        <v>1.15</v>
      </c>
      <c r="N504" s="0" t="e">
        <f aca="false">IFERROR(IF(AND(NOT(K504 = ""), G504 &gt;= 15),K504/M504, ""))</f>
        <v>#VALUE!</v>
      </c>
    </row>
    <row r="505" customFormat="false" ht="15.75" hidden="false" customHeight="false" outlineLevel="0" collapsed="false">
      <c r="A505" s="0" t="n">
        <f aca="false">'Form Responses (Pokemon Stats)'!B399</f>
        <v>0</v>
      </c>
      <c r="B505" s="0" t="n">
        <f aca="false">'Form Responses (Pokemon Stats)'!D399</f>
        <v>0</v>
      </c>
      <c r="C505" s="0" t="n">
        <f aca="false">'Form Responses (Pokemon Stats)'!C399</f>
        <v>0</v>
      </c>
      <c r="F505" s="0" t="n">
        <f aca="false">'Form Responses (Pokemon Stats)'!E399</f>
        <v>0</v>
      </c>
      <c r="G505" s="0" t="str">
        <f aca="false">IFERROR(__xludf.dummyfunction("ROUND(B505/ FILTER('Pokemon CP/HP'!$M$2:$M1000, LOWER('Pokemon CP/HP'!$B$2:$B1000)=LOWER(A505)))"),"#DIV/0!")</f>
        <v>#DIV/0!</v>
      </c>
      <c r="H505" s="0" t="str">
        <f aca="false">IFERROR(__xludf.dummyfunction("FILTER('Leveling Info'!$B$2:$B1000, 'Leveling Info'!$A$2:$A1000 =G505)"),"#N/A")</f>
        <v>#N/A</v>
      </c>
      <c r="I505" s="14" t="e">
        <f aca="false">SQRT(G505)</f>
        <v>#VALUE!</v>
      </c>
      <c r="J505" s="14" t="str">
        <f aca="false">IFERROR(__xludf.dummyfunction("IF(F505 = H505,C505/FILTER('Base Stats'!$C$2:$C1000, LOWER('Base Stats'!$B$2:$B1000) = LOWER($A505)), """")"),"#N/A")</f>
        <v>#N/A</v>
      </c>
      <c r="K505" s="0" t="str">
        <f aca="false">IF(F505 = H505, C505/G505, "")</f>
        <v/>
      </c>
      <c r="L505" s="0" t="str">
        <f aca="false">IFERROR(__xludf.dummyfunction("IF(AND(NOT(K505 = """"), G505 &gt;= 15),K505/FILTER('Base Stats'!$C$2:$C1000, LOWER('Base Stats'!$B$2:$B1000) = LOWER($A505)), """")"),"#N/A")</f>
        <v>#N/A</v>
      </c>
      <c r="M505" s="0" t="str">
        <f aca="false">IFERROR(__xludf.dummyfunction("1.15 + 0.02 * FILTER('Base Stats'!$C$2:$C1000, LOWER('Base Stats'!$B$2:$B1000) = LOWER($A505))"),"1.15")</f>
        <v>1.15</v>
      </c>
      <c r="N505" s="0" t="e">
        <f aca="false">IFERROR(IF(AND(NOT(K505 = ""), G505 &gt;= 15),K505/M505, ""))</f>
        <v>#VALUE!</v>
      </c>
    </row>
    <row r="506" customFormat="false" ht="15.75" hidden="false" customHeight="false" outlineLevel="0" collapsed="false">
      <c r="A506" s="0" t="n">
        <f aca="false">'Form Responses (Pokemon Stats)'!B400</f>
        <v>0</v>
      </c>
      <c r="B506" s="0" t="n">
        <f aca="false">'Form Responses (Pokemon Stats)'!D400</f>
        <v>0</v>
      </c>
      <c r="C506" s="0" t="n">
        <f aca="false">'Form Responses (Pokemon Stats)'!C400</f>
        <v>0</v>
      </c>
      <c r="F506" s="0" t="n">
        <f aca="false">'Form Responses (Pokemon Stats)'!E400</f>
        <v>0</v>
      </c>
      <c r="G506" s="0" t="str">
        <f aca="false">IFERROR(__xludf.dummyfunction("ROUND(B506/ FILTER('Pokemon CP/HP'!$M$2:$M1000, LOWER('Pokemon CP/HP'!$B$2:$B1000)=LOWER(A506)))"),"#DIV/0!")</f>
        <v>#DIV/0!</v>
      </c>
      <c r="H506" s="0" t="str">
        <f aca="false">IFERROR(__xludf.dummyfunction("FILTER('Leveling Info'!$B$2:$B1000, 'Leveling Info'!$A$2:$A1000 =G506)"),"#N/A")</f>
        <v>#N/A</v>
      </c>
      <c r="I506" s="14" t="e">
        <f aca="false">SQRT(G506)</f>
        <v>#VALUE!</v>
      </c>
      <c r="J506" s="14" t="str">
        <f aca="false">IFERROR(__xludf.dummyfunction("IF(F506 = H506,C506/FILTER('Base Stats'!$C$2:$C1000, LOWER('Base Stats'!$B$2:$B1000) = LOWER($A506)), """")"),"#N/A")</f>
        <v>#N/A</v>
      </c>
      <c r="K506" s="0" t="str">
        <f aca="false">IF(F506 = H506, C506/G506, "")</f>
        <v/>
      </c>
      <c r="L506" s="0" t="str">
        <f aca="false">IFERROR(__xludf.dummyfunction("IF(AND(NOT(K506 = """"), G506 &gt;= 15),K506/FILTER('Base Stats'!$C$2:$C1000, LOWER('Base Stats'!$B$2:$B1000) = LOWER($A506)), """")"),"#N/A")</f>
        <v>#N/A</v>
      </c>
      <c r="M506" s="0" t="str">
        <f aca="false">IFERROR(__xludf.dummyfunction("1.15 + 0.02 * FILTER('Base Stats'!$C$2:$C1000, LOWER('Base Stats'!$B$2:$B1000) = LOWER($A506))"),"1.15")</f>
        <v>1.15</v>
      </c>
      <c r="N506" s="0" t="e">
        <f aca="false">IFERROR(IF(AND(NOT(K506 = ""), G506 &gt;= 15),K506/M506, ""))</f>
        <v>#VALUE!</v>
      </c>
    </row>
    <row r="507" customFormat="false" ht="15.75" hidden="false" customHeight="false" outlineLevel="0" collapsed="false">
      <c r="A507" s="0" t="n">
        <f aca="false">'Form Responses (Pokemon Stats)'!B401</f>
        <v>0</v>
      </c>
      <c r="B507" s="0" t="n">
        <f aca="false">'Form Responses (Pokemon Stats)'!D401</f>
        <v>0</v>
      </c>
      <c r="C507" s="0" t="n">
        <f aca="false">'Form Responses (Pokemon Stats)'!C401</f>
        <v>0</v>
      </c>
      <c r="F507" s="0" t="n">
        <f aca="false">'Form Responses (Pokemon Stats)'!E401</f>
        <v>0</v>
      </c>
      <c r="G507" s="0" t="str">
        <f aca="false">IFERROR(__xludf.dummyfunction("ROUND(B507/ FILTER('Pokemon CP/HP'!$M$2:$M1000, LOWER('Pokemon CP/HP'!$B$2:$B1000)=LOWER(A507)))"),"#DIV/0!")</f>
        <v>#DIV/0!</v>
      </c>
      <c r="H507" s="0" t="str">
        <f aca="false">IFERROR(__xludf.dummyfunction("FILTER('Leveling Info'!$B$2:$B1000, 'Leveling Info'!$A$2:$A1000 =G507)"),"#N/A")</f>
        <v>#N/A</v>
      </c>
      <c r="I507" s="14" t="e">
        <f aca="false">SQRT(G507)</f>
        <v>#VALUE!</v>
      </c>
      <c r="J507" s="14" t="str">
        <f aca="false">IFERROR(__xludf.dummyfunction("IF(F507 = H507,C507/FILTER('Base Stats'!$C$2:$C1000, LOWER('Base Stats'!$B$2:$B1000) = LOWER($A507)), """")"),"#N/A")</f>
        <v>#N/A</v>
      </c>
      <c r="K507" s="0" t="str">
        <f aca="false">IF(F507 = H507, C507/G507, "")</f>
        <v/>
      </c>
      <c r="L507" s="0" t="str">
        <f aca="false">IFERROR(__xludf.dummyfunction("IF(AND(NOT(K507 = """"), G507 &gt;= 15),K507/FILTER('Base Stats'!$C$2:$C1000, LOWER('Base Stats'!$B$2:$B1000) = LOWER($A507)), """")"),"#N/A")</f>
        <v>#N/A</v>
      </c>
      <c r="M507" s="0" t="str">
        <f aca="false">IFERROR(__xludf.dummyfunction("1.15 + 0.02 * FILTER('Base Stats'!$C$2:$C1000, LOWER('Base Stats'!$B$2:$B1000) = LOWER($A507))"),"1.15")</f>
        <v>1.15</v>
      </c>
      <c r="N507" s="0" t="e">
        <f aca="false">IFERROR(IF(AND(NOT(K507 = ""), G507 &gt;= 15),K507/M507, ""))</f>
        <v>#VALUE!</v>
      </c>
    </row>
    <row r="508" customFormat="false" ht="15.75" hidden="false" customHeight="false" outlineLevel="0" collapsed="false">
      <c r="A508" s="0" t="n">
        <f aca="false">'Form Responses (Pokemon Stats)'!B402</f>
        <v>0</v>
      </c>
      <c r="B508" s="0" t="n">
        <f aca="false">'Form Responses (Pokemon Stats)'!D402</f>
        <v>0</v>
      </c>
      <c r="C508" s="0" t="n">
        <f aca="false">'Form Responses (Pokemon Stats)'!C402</f>
        <v>0</v>
      </c>
      <c r="F508" s="0" t="n">
        <f aca="false">'Form Responses (Pokemon Stats)'!E402</f>
        <v>0</v>
      </c>
      <c r="G508" s="0" t="str">
        <f aca="false">IFERROR(__xludf.dummyfunction("ROUND(B508/ FILTER('Pokemon CP/HP'!$M$2:$M1000, LOWER('Pokemon CP/HP'!$B$2:$B1000)=LOWER(A508)))"),"#DIV/0!")</f>
        <v>#DIV/0!</v>
      </c>
      <c r="H508" s="0" t="str">
        <f aca="false">IFERROR(__xludf.dummyfunction("FILTER('Leveling Info'!$B$2:$B1000, 'Leveling Info'!$A$2:$A1000 =G508)"),"#N/A")</f>
        <v>#N/A</v>
      </c>
      <c r="I508" s="14" t="e">
        <f aca="false">SQRT(G508)</f>
        <v>#VALUE!</v>
      </c>
      <c r="J508" s="14" t="str">
        <f aca="false">IFERROR(__xludf.dummyfunction("IF(F508 = H508,C508/FILTER('Base Stats'!$C$2:$C1000, LOWER('Base Stats'!$B$2:$B1000) = LOWER($A508)), """")"),"#N/A")</f>
        <v>#N/A</v>
      </c>
      <c r="K508" s="0" t="str">
        <f aca="false">IF(F508 = H508, C508/G508, "")</f>
        <v/>
      </c>
      <c r="L508" s="0" t="str">
        <f aca="false">IFERROR(__xludf.dummyfunction("IF(AND(NOT(K508 = """"), G508 &gt;= 15),K508/FILTER('Base Stats'!$C$2:$C1000, LOWER('Base Stats'!$B$2:$B1000) = LOWER($A508)), """")"),"#N/A")</f>
        <v>#N/A</v>
      </c>
      <c r="M508" s="0" t="str">
        <f aca="false">IFERROR(__xludf.dummyfunction("1.15 + 0.02 * FILTER('Base Stats'!$C$2:$C1000, LOWER('Base Stats'!$B$2:$B1000) = LOWER($A508))"),"1.15")</f>
        <v>1.15</v>
      </c>
      <c r="N508" s="0" t="e">
        <f aca="false">IFERROR(IF(AND(NOT(K508 = ""), G508 &gt;= 15),K508/M508, ""))</f>
        <v>#VALUE!</v>
      </c>
    </row>
    <row r="509" customFormat="false" ht="15.75" hidden="false" customHeight="false" outlineLevel="0" collapsed="false">
      <c r="A509" s="0" t="n">
        <f aca="false">'Form Responses (Pokemon Stats)'!B403</f>
        <v>0</v>
      </c>
      <c r="B509" s="0" t="n">
        <f aca="false">'Form Responses (Pokemon Stats)'!D403</f>
        <v>0</v>
      </c>
      <c r="C509" s="0" t="n">
        <f aca="false">'Form Responses (Pokemon Stats)'!C403</f>
        <v>0</v>
      </c>
      <c r="F509" s="0" t="n">
        <f aca="false">'Form Responses (Pokemon Stats)'!E403</f>
        <v>0</v>
      </c>
      <c r="G509" s="0" t="str">
        <f aca="false">IFERROR(__xludf.dummyfunction("ROUND(B509/ FILTER('Pokemon CP/HP'!$M$2:$M1000, LOWER('Pokemon CP/HP'!$B$2:$B1000)=LOWER(A509)))"),"#DIV/0!")</f>
        <v>#DIV/0!</v>
      </c>
      <c r="H509" s="0" t="str">
        <f aca="false">IFERROR(__xludf.dummyfunction("FILTER('Leveling Info'!$B$2:$B1000, 'Leveling Info'!$A$2:$A1000 =G509)"),"#N/A")</f>
        <v>#N/A</v>
      </c>
      <c r="I509" s="14" t="e">
        <f aca="false">SQRT(G509)</f>
        <v>#VALUE!</v>
      </c>
      <c r="J509" s="14" t="str">
        <f aca="false">IFERROR(__xludf.dummyfunction("IF(F509 = H509,C509/FILTER('Base Stats'!$C$2:$C1000, LOWER('Base Stats'!$B$2:$B1000) = LOWER($A509)), """")"),"#N/A")</f>
        <v>#N/A</v>
      </c>
      <c r="K509" s="0" t="str">
        <f aca="false">IF(F509 = H509, C509/G509, "")</f>
        <v/>
      </c>
      <c r="L509" s="0" t="str">
        <f aca="false">IFERROR(__xludf.dummyfunction("IF(AND(NOT(K509 = """"), G509 &gt;= 15),K509/FILTER('Base Stats'!$C$2:$C1000, LOWER('Base Stats'!$B$2:$B1000) = LOWER($A509)), """")"),"#N/A")</f>
        <v>#N/A</v>
      </c>
      <c r="M509" s="0" t="str">
        <f aca="false">IFERROR(__xludf.dummyfunction("1.15 + 0.02 * FILTER('Base Stats'!$C$2:$C1000, LOWER('Base Stats'!$B$2:$B1000) = LOWER($A509))"),"1.15")</f>
        <v>1.15</v>
      </c>
      <c r="N509" s="0" t="e">
        <f aca="false">IFERROR(IF(AND(NOT(K509 = ""), G509 &gt;= 15),K509/M509, ""))</f>
        <v>#VALUE!</v>
      </c>
    </row>
    <row r="510" customFormat="false" ht="15.75" hidden="false" customHeight="false" outlineLevel="0" collapsed="false">
      <c r="A510" s="0" t="n">
        <f aca="false">'Form Responses (Pokemon Stats)'!B404</f>
        <v>0</v>
      </c>
      <c r="B510" s="0" t="n">
        <f aca="false">'Form Responses (Pokemon Stats)'!D404</f>
        <v>0</v>
      </c>
      <c r="C510" s="0" t="n">
        <f aca="false">'Form Responses (Pokemon Stats)'!C404</f>
        <v>0</v>
      </c>
      <c r="F510" s="0" t="n">
        <f aca="false">'Form Responses (Pokemon Stats)'!E404</f>
        <v>0</v>
      </c>
      <c r="G510" s="0" t="str">
        <f aca="false">IFERROR(__xludf.dummyfunction("ROUND(B510/ FILTER('Pokemon CP/HP'!$M$2:$M1000, LOWER('Pokemon CP/HP'!$B$2:$B1000)=LOWER(A510)))"),"#DIV/0!")</f>
        <v>#DIV/0!</v>
      </c>
      <c r="H510" s="0" t="str">
        <f aca="false">IFERROR(__xludf.dummyfunction("FILTER('Leveling Info'!$B$2:$B1000, 'Leveling Info'!$A$2:$A1000 =G510)"),"#N/A")</f>
        <v>#N/A</v>
      </c>
      <c r="I510" s="14" t="e">
        <f aca="false">SQRT(G510)</f>
        <v>#VALUE!</v>
      </c>
      <c r="J510" s="14" t="str">
        <f aca="false">IFERROR(__xludf.dummyfunction("IF(F510 = H510,C510/FILTER('Base Stats'!$C$2:$C1000, LOWER('Base Stats'!$B$2:$B1000) = LOWER($A510)), """")"),"#N/A")</f>
        <v>#N/A</v>
      </c>
      <c r="K510" s="0" t="str">
        <f aca="false">IF(F510 = H510, C510/G510, "")</f>
        <v/>
      </c>
      <c r="L510" s="0" t="str">
        <f aca="false">IFERROR(__xludf.dummyfunction("IF(AND(NOT(K510 = """"), G510 &gt;= 15),K510/FILTER('Base Stats'!$C$2:$C1000, LOWER('Base Stats'!$B$2:$B1000) = LOWER($A510)), """")"),"#N/A")</f>
        <v>#N/A</v>
      </c>
      <c r="M510" s="0" t="str">
        <f aca="false">IFERROR(__xludf.dummyfunction("1.15 + 0.02 * FILTER('Base Stats'!$C$2:$C1000, LOWER('Base Stats'!$B$2:$B1000) = LOWER($A510))"),"1.15")</f>
        <v>1.15</v>
      </c>
      <c r="N510" s="0" t="e">
        <f aca="false">IFERROR(IF(AND(NOT(K510 = ""), G510 &gt;= 15),K510/M510, ""))</f>
        <v>#VALUE!</v>
      </c>
    </row>
    <row r="511" customFormat="false" ht="15.75" hidden="false" customHeight="false" outlineLevel="0" collapsed="false">
      <c r="A511" s="0" t="n">
        <f aca="false">'Form Responses (Pokemon Stats)'!B405</f>
        <v>0</v>
      </c>
      <c r="B511" s="0" t="n">
        <f aca="false">'Form Responses (Pokemon Stats)'!D405</f>
        <v>0</v>
      </c>
      <c r="C511" s="0" t="n">
        <f aca="false">'Form Responses (Pokemon Stats)'!C405</f>
        <v>0</v>
      </c>
      <c r="F511" s="0" t="n">
        <f aca="false">'Form Responses (Pokemon Stats)'!E405</f>
        <v>0</v>
      </c>
      <c r="G511" s="0" t="str">
        <f aca="false">IFERROR(__xludf.dummyfunction("ROUND(B511/ FILTER('Pokemon CP/HP'!$M$2:$M1000, LOWER('Pokemon CP/HP'!$B$2:$B1000)=LOWER(A511)))"),"#DIV/0!")</f>
        <v>#DIV/0!</v>
      </c>
      <c r="H511" s="0" t="str">
        <f aca="false">IFERROR(__xludf.dummyfunction("FILTER('Leveling Info'!$B$2:$B1000, 'Leveling Info'!$A$2:$A1000 =G511)"),"#N/A")</f>
        <v>#N/A</v>
      </c>
      <c r="I511" s="14" t="e">
        <f aca="false">SQRT(G511)</f>
        <v>#VALUE!</v>
      </c>
      <c r="J511" s="14" t="str">
        <f aca="false">IFERROR(__xludf.dummyfunction("IF(F511 = H511,C511/FILTER('Base Stats'!$C$2:$C1000, LOWER('Base Stats'!$B$2:$B1000) = LOWER($A511)), """")"),"#N/A")</f>
        <v>#N/A</v>
      </c>
      <c r="K511" s="0" t="str">
        <f aca="false">IF(F511 = H511, C511/G511, "")</f>
        <v/>
      </c>
      <c r="L511" s="0" t="str">
        <f aca="false">IFERROR(__xludf.dummyfunction("IF(AND(NOT(K511 = """"), G511 &gt;= 15),K511/FILTER('Base Stats'!$C$2:$C1000, LOWER('Base Stats'!$B$2:$B1000) = LOWER($A511)), """")"),"#N/A")</f>
        <v>#N/A</v>
      </c>
      <c r="M511" s="0" t="str">
        <f aca="false">IFERROR(__xludf.dummyfunction("1.15 + 0.02 * FILTER('Base Stats'!$C$2:$C1000, LOWER('Base Stats'!$B$2:$B1000) = LOWER($A511))"),"1.15")</f>
        <v>1.15</v>
      </c>
      <c r="N511" s="0" t="e">
        <f aca="false">IFERROR(IF(AND(NOT(K511 = ""), G511 &gt;= 15),K511/M511, ""))</f>
        <v>#VALUE!</v>
      </c>
    </row>
    <row r="512" customFormat="false" ht="15.75" hidden="false" customHeight="false" outlineLevel="0" collapsed="false">
      <c r="A512" s="0" t="n">
        <f aca="false">'Form Responses (Pokemon Stats)'!B406</f>
        <v>0</v>
      </c>
      <c r="B512" s="0" t="n">
        <f aca="false">'Form Responses (Pokemon Stats)'!D406</f>
        <v>0</v>
      </c>
      <c r="C512" s="0" t="n">
        <f aca="false">'Form Responses (Pokemon Stats)'!C406</f>
        <v>0</v>
      </c>
      <c r="F512" s="0" t="n">
        <f aca="false">'Form Responses (Pokemon Stats)'!E406</f>
        <v>0</v>
      </c>
      <c r="G512" s="0" t="str">
        <f aca="false">IFERROR(__xludf.dummyfunction("ROUND(B512/ FILTER('Pokemon CP/HP'!$M$2:$M1000, LOWER('Pokemon CP/HP'!$B$2:$B1000)=LOWER(A512)))"),"#DIV/0!")</f>
        <v>#DIV/0!</v>
      </c>
      <c r="H512" s="0" t="str">
        <f aca="false">IFERROR(__xludf.dummyfunction("FILTER('Leveling Info'!$B$2:$B1000, 'Leveling Info'!$A$2:$A1000 =G512)"),"#N/A")</f>
        <v>#N/A</v>
      </c>
      <c r="I512" s="14" t="e">
        <f aca="false">SQRT(G512)</f>
        <v>#VALUE!</v>
      </c>
      <c r="J512" s="14" t="str">
        <f aca="false">IFERROR(__xludf.dummyfunction("IF(F512 = H512,C512/FILTER('Base Stats'!$C$2:$C1000, LOWER('Base Stats'!$B$2:$B1000) = LOWER($A512)), """")"),"#N/A")</f>
        <v>#N/A</v>
      </c>
      <c r="K512" s="0" t="str">
        <f aca="false">IF(F512 = H512, C512/G512, "")</f>
        <v/>
      </c>
      <c r="L512" s="0" t="str">
        <f aca="false">IFERROR(__xludf.dummyfunction("IF(AND(NOT(K512 = """"), G512 &gt;= 15),K512/FILTER('Base Stats'!$C$2:$C1000, LOWER('Base Stats'!$B$2:$B1000) = LOWER($A512)), """")"),"#N/A")</f>
        <v>#N/A</v>
      </c>
      <c r="M512" s="0" t="str">
        <f aca="false">IFERROR(__xludf.dummyfunction("1.15 + 0.02 * FILTER('Base Stats'!$C$2:$C1000, LOWER('Base Stats'!$B$2:$B1000) = LOWER($A512))"),"1.15")</f>
        <v>1.15</v>
      </c>
      <c r="N512" s="0" t="e">
        <f aca="false">IFERROR(IF(AND(NOT(K512 = ""), G512 &gt;= 15),K512/M512, ""))</f>
        <v>#VALUE!</v>
      </c>
    </row>
    <row r="513" customFormat="false" ht="15.75" hidden="false" customHeight="false" outlineLevel="0" collapsed="false">
      <c r="A513" s="0" t="n">
        <f aca="false">'Form Responses (Pokemon Stats)'!B407</f>
        <v>0</v>
      </c>
      <c r="B513" s="0" t="n">
        <f aca="false">'Form Responses (Pokemon Stats)'!D407</f>
        <v>0</v>
      </c>
      <c r="C513" s="0" t="n">
        <f aca="false">'Form Responses (Pokemon Stats)'!C407</f>
        <v>0</v>
      </c>
      <c r="F513" s="0" t="n">
        <f aca="false">'Form Responses (Pokemon Stats)'!E407</f>
        <v>0</v>
      </c>
      <c r="G513" s="0" t="str">
        <f aca="false">IFERROR(__xludf.dummyfunction("ROUND(B513/ FILTER('Pokemon CP/HP'!$M$2:$M1000, LOWER('Pokemon CP/HP'!$B$2:$B1000)=LOWER(A513)))"),"#DIV/0!")</f>
        <v>#DIV/0!</v>
      </c>
      <c r="H513" s="0" t="str">
        <f aca="false">IFERROR(__xludf.dummyfunction("FILTER('Leveling Info'!$B$2:$B1000, 'Leveling Info'!$A$2:$A1000 =G513)"),"#N/A")</f>
        <v>#N/A</v>
      </c>
      <c r="I513" s="14" t="e">
        <f aca="false">SQRT(G513)</f>
        <v>#VALUE!</v>
      </c>
      <c r="J513" s="14" t="str">
        <f aca="false">IFERROR(__xludf.dummyfunction("IF(F513 = H513,C513/FILTER('Base Stats'!$C$2:$C1000, LOWER('Base Stats'!$B$2:$B1000) = LOWER($A513)), """")"),"#N/A")</f>
        <v>#N/A</v>
      </c>
      <c r="K513" s="0" t="str">
        <f aca="false">IF(F513 = H513, C513/G513, "")</f>
        <v/>
      </c>
      <c r="L513" s="0" t="str">
        <f aca="false">IFERROR(__xludf.dummyfunction("IF(AND(NOT(K513 = """"), G513 &gt;= 15),K513/FILTER('Base Stats'!$C$2:$C1000, LOWER('Base Stats'!$B$2:$B1000) = LOWER($A513)), """")"),"#N/A")</f>
        <v>#N/A</v>
      </c>
      <c r="M513" s="0" t="str">
        <f aca="false">IFERROR(__xludf.dummyfunction("1.15 + 0.02 * FILTER('Base Stats'!$C$2:$C1000, LOWER('Base Stats'!$B$2:$B1000) = LOWER($A513))"),"1.15")</f>
        <v>1.15</v>
      </c>
      <c r="N513" s="0" t="e">
        <f aca="false">IFERROR(IF(AND(NOT(K513 = ""), G513 &gt;= 15),K513/M513, ""))</f>
        <v>#VALUE!</v>
      </c>
    </row>
    <row r="514" customFormat="false" ht="15.75" hidden="false" customHeight="false" outlineLevel="0" collapsed="false">
      <c r="A514" s="0" t="n">
        <f aca="false">'Form Responses (Pokemon Stats)'!B408</f>
        <v>0</v>
      </c>
      <c r="B514" s="0" t="n">
        <f aca="false">'Form Responses (Pokemon Stats)'!D408</f>
        <v>0</v>
      </c>
      <c r="C514" s="0" t="n">
        <f aca="false">'Form Responses (Pokemon Stats)'!C408</f>
        <v>0</v>
      </c>
      <c r="F514" s="0" t="n">
        <f aca="false">'Form Responses (Pokemon Stats)'!E408</f>
        <v>0</v>
      </c>
      <c r="G514" s="0" t="str">
        <f aca="false">IFERROR(__xludf.dummyfunction("ROUND(B514/ FILTER('Pokemon CP/HP'!$M$2:$M1000, LOWER('Pokemon CP/HP'!$B$2:$B1000)=LOWER(A514)))"),"#DIV/0!")</f>
        <v>#DIV/0!</v>
      </c>
      <c r="H514" s="0" t="str">
        <f aca="false">IFERROR(__xludf.dummyfunction("FILTER('Leveling Info'!$B$2:$B1000, 'Leveling Info'!$A$2:$A1000 =G514)"),"#N/A")</f>
        <v>#N/A</v>
      </c>
      <c r="I514" s="14" t="e">
        <f aca="false">SQRT(G514)</f>
        <v>#VALUE!</v>
      </c>
      <c r="J514" s="14" t="str">
        <f aca="false">IFERROR(__xludf.dummyfunction("IF(F514 = H514,C514/FILTER('Base Stats'!$C$2:$C1000, LOWER('Base Stats'!$B$2:$B1000) = LOWER($A514)), """")"),"#N/A")</f>
        <v>#N/A</v>
      </c>
      <c r="K514" s="0" t="str">
        <f aca="false">IF(F514 = H514, C514/G514, "")</f>
        <v/>
      </c>
      <c r="L514" s="0" t="str">
        <f aca="false">IFERROR(__xludf.dummyfunction("IF(AND(NOT(K514 = """"), G514 &gt;= 15),K514/FILTER('Base Stats'!$C$2:$C1000, LOWER('Base Stats'!$B$2:$B1000) = LOWER($A514)), """")"),"#N/A")</f>
        <v>#N/A</v>
      </c>
      <c r="M514" s="0" t="str">
        <f aca="false">IFERROR(__xludf.dummyfunction("1.15 + 0.02 * FILTER('Base Stats'!$C$2:$C1000, LOWER('Base Stats'!$B$2:$B1000) = LOWER($A514))"),"1.15")</f>
        <v>1.15</v>
      </c>
      <c r="N514" s="0" t="e">
        <f aca="false">IFERROR(IF(AND(NOT(K514 = ""), G514 &gt;= 15),K514/M514, ""))</f>
        <v>#VALUE!</v>
      </c>
    </row>
    <row r="515" customFormat="false" ht="15.75" hidden="false" customHeight="false" outlineLevel="0" collapsed="false">
      <c r="A515" s="0" t="n">
        <f aca="false">'Form Responses (Pokemon Stats)'!B409</f>
        <v>0</v>
      </c>
      <c r="B515" s="0" t="n">
        <f aca="false">'Form Responses (Pokemon Stats)'!D409</f>
        <v>0</v>
      </c>
      <c r="C515" s="0" t="n">
        <f aca="false">'Form Responses (Pokemon Stats)'!C409</f>
        <v>0</v>
      </c>
      <c r="F515" s="0" t="n">
        <f aca="false">'Form Responses (Pokemon Stats)'!E409</f>
        <v>0</v>
      </c>
      <c r="G515" s="0" t="str">
        <f aca="false">IFERROR(__xludf.dummyfunction("ROUND(B515/ FILTER('Pokemon CP/HP'!$M$2:$M1000, LOWER('Pokemon CP/HP'!$B$2:$B1000)=LOWER(A515)))"),"#DIV/0!")</f>
        <v>#DIV/0!</v>
      </c>
      <c r="H515" s="0" t="str">
        <f aca="false">IFERROR(__xludf.dummyfunction("FILTER('Leveling Info'!$B$2:$B1000, 'Leveling Info'!$A$2:$A1000 =G515)"),"#N/A")</f>
        <v>#N/A</v>
      </c>
      <c r="I515" s="14" t="e">
        <f aca="false">SQRT(G515)</f>
        <v>#VALUE!</v>
      </c>
      <c r="J515" s="14" t="str">
        <f aca="false">IFERROR(__xludf.dummyfunction("IF(F515 = H515,C515/FILTER('Base Stats'!$C$2:$C1000, LOWER('Base Stats'!$B$2:$B1000) = LOWER($A515)), """")"),"#N/A")</f>
        <v>#N/A</v>
      </c>
      <c r="K515" s="0" t="str">
        <f aca="false">IF(F515 = H515, C515/G515, "")</f>
        <v/>
      </c>
      <c r="L515" s="0" t="str">
        <f aca="false">IFERROR(__xludf.dummyfunction("IF(AND(NOT(K515 = """"), G515 &gt;= 15),K515/FILTER('Base Stats'!$C$2:$C1000, LOWER('Base Stats'!$B$2:$B1000) = LOWER($A515)), """")"),"#N/A")</f>
        <v>#N/A</v>
      </c>
      <c r="M515" s="0" t="str">
        <f aca="false">IFERROR(__xludf.dummyfunction("1.15 + 0.02 * FILTER('Base Stats'!$C$2:$C1000, LOWER('Base Stats'!$B$2:$B1000) = LOWER($A515))"),"1.15")</f>
        <v>1.15</v>
      </c>
      <c r="N515" s="0" t="e">
        <f aca="false">IFERROR(IF(AND(NOT(K515 = ""), G515 &gt;= 15),K515/M515, ""))</f>
        <v>#VALUE!</v>
      </c>
    </row>
    <row r="516" customFormat="false" ht="15.75" hidden="false" customHeight="false" outlineLevel="0" collapsed="false">
      <c r="A516" s="0" t="n">
        <f aca="false">'Form Responses (Pokemon Stats)'!B410</f>
        <v>0</v>
      </c>
      <c r="B516" s="0" t="n">
        <f aca="false">'Form Responses (Pokemon Stats)'!D410</f>
        <v>0</v>
      </c>
      <c r="C516" s="0" t="n">
        <f aca="false">'Form Responses (Pokemon Stats)'!C410</f>
        <v>0</v>
      </c>
      <c r="F516" s="0" t="n">
        <f aca="false">'Form Responses (Pokemon Stats)'!E410</f>
        <v>0</v>
      </c>
      <c r="G516" s="0" t="str">
        <f aca="false">IFERROR(__xludf.dummyfunction("ROUND(B516/ FILTER('Pokemon CP/HP'!$M$2:$M1000, LOWER('Pokemon CP/HP'!$B$2:$B1000)=LOWER(A516)))"),"#DIV/0!")</f>
        <v>#DIV/0!</v>
      </c>
      <c r="H516" s="0" t="str">
        <f aca="false">IFERROR(__xludf.dummyfunction("FILTER('Leveling Info'!$B$2:$B1000, 'Leveling Info'!$A$2:$A1000 =G516)"),"#N/A")</f>
        <v>#N/A</v>
      </c>
      <c r="I516" s="14" t="e">
        <f aca="false">SQRT(G516)</f>
        <v>#VALUE!</v>
      </c>
      <c r="J516" s="14" t="str">
        <f aca="false">IFERROR(__xludf.dummyfunction("IF(F516 = H516,C516/FILTER('Base Stats'!$C$2:$C1000, LOWER('Base Stats'!$B$2:$B1000) = LOWER($A516)), """")"),"#N/A")</f>
        <v>#N/A</v>
      </c>
      <c r="K516" s="0" t="str">
        <f aca="false">IF(F516 = H516, C516/G516, "")</f>
        <v/>
      </c>
      <c r="L516" s="0" t="str">
        <f aca="false">IFERROR(__xludf.dummyfunction("IF(AND(NOT(K516 = """"), G516 &gt;= 15),K516/FILTER('Base Stats'!$C$2:$C1000, LOWER('Base Stats'!$B$2:$B1000) = LOWER($A516)), """")"),"#N/A")</f>
        <v>#N/A</v>
      </c>
      <c r="M516" s="0" t="str">
        <f aca="false">IFERROR(__xludf.dummyfunction("1.15 + 0.02 * FILTER('Base Stats'!$C$2:$C1000, LOWER('Base Stats'!$B$2:$B1000) = LOWER($A516))"),"1.15")</f>
        <v>1.15</v>
      </c>
      <c r="N516" s="0" t="e">
        <f aca="false">IFERROR(IF(AND(NOT(K516 = ""), G516 &gt;= 15),K516/M516, ""))</f>
        <v>#VALUE!</v>
      </c>
    </row>
    <row r="517" customFormat="false" ht="15.75" hidden="false" customHeight="false" outlineLevel="0" collapsed="false">
      <c r="A517" s="0" t="n">
        <f aca="false">'Form Responses (Pokemon Stats)'!B411</f>
        <v>0</v>
      </c>
      <c r="B517" s="0" t="n">
        <f aca="false">'Form Responses (Pokemon Stats)'!D411</f>
        <v>0</v>
      </c>
      <c r="C517" s="0" t="n">
        <f aca="false">'Form Responses (Pokemon Stats)'!C411</f>
        <v>0</v>
      </c>
      <c r="F517" s="0" t="n">
        <f aca="false">'Form Responses (Pokemon Stats)'!E411</f>
        <v>0</v>
      </c>
      <c r="G517" s="0" t="str">
        <f aca="false">IFERROR(__xludf.dummyfunction("ROUND(B517/ FILTER('Pokemon CP/HP'!$M$2:$M1000, LOWER('Pokemon CP/HP'!$B$2:$B1000)=LOWER(A517)))"),"#DIV/0!")</f>
        <v>#DIV/0!</v>
      </c>
      <c r="H517" s="0" t="str">
        <f aca="false">IFERROR(__xludf.dummyfunction("FILTER('Leveling Info'!$B$2:$B1000, 'Leveling Info'!$A$2:$A1000 =G517)"),"#N/A")</f>
        <v>#N/A</v>
      </c>
      <c r="I517" s="14" t="e">
        <f aca="false">SQRT(G517)</f>
        <v>#VALUE!</v>
      </c>
      <c r="J517" s="14" t="str">
        <f aca="false">IFERROR(__xludf.dummyfunction("IF(F517 = H517,C517/FILTER('Base Stats'!$C$2:$C1000, LOWER('Base Stats'!$B$2:$B1000) = LOWER($A517)), """")"),"#N/A")</f>
        <v>#N/A</v>
      </c>
      <c r="K517" s="0" t="str">
        <f aca="false">IF(F517 = H517, C517/G517, "")</f>
        <v/>
      </c>
      <c r="L517" s="0" t="str">
        <f aca="false">IFERROR(__xludf.dummyfunction("IF(AND(NOT(K517 = """"), G517 &gt;= 15),K517/FILTER('Base Stats'!$C$2:$C1000, LOWER('Base Stats'!$B$2:$B1000) = LOWER($A517)), """")"),"#N/A")</f>
        <v>#N/A</v>
      </c>
      <c r="M517" s="0" t="str">
        <f aca="false">IFERROR(__xludf.dummyfunction("1.15 + 0.02 * FILTER('Base Stats'!$C$2:$C1000, LOWER('Base Stats'!$B$2:$B1000) = LOWER($A517))"),"1.15")</f>
        <v>1.15</v>
      </c>
      <c r="N517" s="0" t="e">
        <f aca="false">IFERROR(IF(AND(NOT(K517 = ""), G517 &gt;= 15),K517/M517, ""))</f>
        <v>#VALUE!</v>
      </c>
    </row>
    <row r="518" customFormat="false" ht="15.75" hidden="false" customHeight="false" outlineLevel="0" collapsed="false">
      <c r="A518" s="0" t="n">
        <f aca="false">'Form Responses (Pokemon Stats)'!B412</f>
        <v>0</v>
      </c>
      <c r="B518" s="0" t="n">
        <f aca="false">'Form Responses (Pokemon Stats)'!D412</f>
        <v>0</v>
      </c>
      <c r="C518" s="0" t="n">
        <f aca="false">'Form Responses (Pokemon Stats)'!C412</f>
        <v>0</v>
      </c>
      <c r="F518" s="0" t="n">
        <f aca="false">'Form Responses (Pokemon Stats)'!E412</f>
        <v>0</v>
      </c>
      <c r="G518" s="0" t="str">
        <f aca="false">IFERROR(__xludf.dummyfunction("ROUND(B518/ FILTER('Pokemon CP/HP'!$M$2:$M1000, LOWER('Pokemon CP/HP'!$B$2:$B1000)=LOWER(A518)))"),"#DIV/0!")</f>
        <v>#DIV/0!</v>
      </c>
      <c r="H518" s="0" t="str">
        <f aca="false">IFERROR(__xludf.dummyfunction("FILTER('Leveling Info'!$B$2:$B1000, 'Leveling Info'!$A$2:$A1000 =G518)"),"#N/A")</f>
        <v>#N/A</v>
      </c>
      <c r="I518" s="14" t="e">
        <f aca="false">SQRT(G518)</f>
        <v>#VALUE!</v>
      </c>
      <c r="J518" s="14" t="str">
        <f aca="false">IFERROR(__xludf.dummyfunction("IF(F518 = H518,C518/FILTER('Base Stats'!$C$2:$C1000, LOWER('Base Stats'!$B$2:$B1000) = LOWER($A518)), """")"),"#N/A")</f>
        <v>#N/A</v>
      </c>
      <c r="K518" s="0" t="str">
        <f aca="false">IF(F518 = H518, C518/G518, "")</f>
        <v/>
      </c>
      <c r="L518" s="0" t="str">
        <f aca="false">IFERROR(__xludf.dummyfunction("IF(AND(NOT(K518 = """"), G518 &gt;= 15),K518/FILTER('Base Stats'!$C$2:$C1000, LOWER('Base Stats'!$B$2:$B1000) = LOWER($A518)), """")"),"#N/A")</f>
        <v>#N/A</v>
      </c>
      <c r="M518" s="0" t="str">
        <f aca="false">IFERROR(__xludf.dummyfunction("1.15 + 0.02 * FILTER('Base Stats'!$C$2:$C1000, LOWER('Base Stats'!$B$2:$B1000) = LOWER($A518))"),"1.15")</f>
        <v>1.15</v>
      </c>
      <c r="N518" s="0" t="e">
        <f aca="false">IFERROR(IF(AND(NOT(K518 = ""), G518 &gt;= 15),K518/M518, ""))</f>
        <v>#VALUE!</v>
      </c>
    </row>
    <row r="519" customFormat="false" ht="15.75" hidden="false" customHeight="false" outlineLevel="0" collapsed="false">
      <c r="A519" s="0" t="n">
        <f aca="false">'Form Responses (Pokemon Stats)'!B413</f>
        <v>0</v>
      </c>
      <c r="B519" s="0" t="n">
        <f aca="false">'Form Responses (Pokemon Stats)'!D413</f>
        <v>0</v>
      </c>
      <c r="C519" s="0" t="n">
        <f aca="false">'Form Responses (Pokemon Stats)'!C413</f>
        <v>0</v>
      </c>
      <c r="F519" s="0" t="n">
        <f aca="false">'Form Responses (Pokemon Stats)'!E413</f>
        <v>0</v>
      </c>
      <c r="G519" s="0" t="str">
        <f aca="false">IFERROR(__xludf.dummyfunction("ROUND(B519/ FILTER('Pokemon CP/HP'!$M$2:$M1000, LOWER('Pokemon CP/HP'!$B$2:$B1000)=LOWER(A519)))"),"#DIV/0!")</f>
        <v>#DIV/0!</v>
      </c>
      <c r="H519" s="0" t="str">
        <f aca="false">IFERROR(__xludf.dummyfunction("FILTER('Leveling Info'!$B$2:$B1000, 'Leveling Info'!$A$2:$A1000 =G519)"),"#N/A")</f>
        <v>#N/A</v>
      </c>
      <c r="I519" s="14" t="e">
        <f aca="false">SQRT(G519)</f>
        <v>#VALUE!</v>
      </c>
      <c r="J519" s="14" t="str">
        <f aca="false">IFERROR(__xludf.dummyfunction("IF(F519 = H519,C519/FILTER('Base Stats'!$C$2:$C1000, LOWER('Base Stats'!$B$2:$B1000) = LOWER($A519)), """")"),"#N/A")</f>
        <v>#N/A</v>
      </c>
      <c r="K519" s="0" t="str">
        <f aca="false">IF(F519 = H519, C519/G519, "")</f>
        <v/>
      </c>
      <c r="L519" s="0" t="str">
        <f aca="false">IFERROR(__xludf.dummyfunction("IF(AND(NOT(K519 = """"), G519 &gt;= 15),K519/FILTER('Base Stats'!$C$2:$C1000, LOWER('Base Stats'!$B$2:$B1000) = LOWER($A519)), """")"),"#N/A")</f>
        <v>#N/A</v>
      </c>
      <c r="M519" s="0" t="str">
        <f aca="false">IFERROR(__xludf.dummyfunction("1.15 + 0.02 * FILTER('Base Stats'!$C$2:$C1000, LOWER('Base Stats'!$B$2:$B1000) = LOWER($A519))"),"1.15")</f>
        <v>1.15</v>
      </c>
      <c r="N519" s="0" t="e">
        <f aca="false">IFERROR(IF(AND(NOT(K519 = ""), G519 &gt;= 15),K519/M519, ""))</f>
        <v>#VALUE!</v>
      </c>
    </row>
    <row r="520" customFormat="false" ht="15.75" hidden="false" customHeight="false" outlineLevel="0" collapsed="false">
      <c r="A520" s="0" t="n">
        <f aca="false">'Form Responses (Pokemon Stats)'!B414</f>
        <v>0</v>
      </c>
      <c r="B520" s="0" t="n">
        <f aca="false">'Form Responses (Pokemon Stats)'!D414</f>
        <v>0</v>
      </c>
      <c r="C520" s="0" t="n">
        <f aca="false">'Form Responses (Pokemon Stats)'!C414</f>
        <v>0</v>
      </c>
      <c r="F520" s="0" t="n">
        <f aca="false">'Form Responses (Pokemon Stats)'!E414</f>
        <v>0</v>
      </c>
      <c r="G520" s="0" t="str">
        <f aca="false">IFERROR(__xludf.dummyfunction("ROUND(B520/ FILTER('Pokemon CP/HP'!$M$2:$M1000, LOWER('Pokemon CP/HP'!$B$2:$B1000)=LOWER(A520)))"),"#DIV/0!")</f>
        <v>#DIV/0!</v>
      </c>
      <c r="H520" s="0" t="str">
        <f aca="false">IFERROR(__xludf.dummyfunction("FILTER('Leveling Info'!$B$2:$B1000, 'Leveling Info'!$A$2:$A1000 =G520)"),"#N/A")</f>
        <v>#N/A</v>
      </c>
      <c r="I520" s="14" t="e">
        <f aca="false">SQRT(G520)</f>
        <v>#VALUE!</v>
      </c>
      <c r="J520" s="14" t="str">
        <f aca="false">IFERROR(__xludf.dummyfunction("IF(F520 = H520,C520/FILTER('Base Stats'!$C$2:$C1000, LOWER('Base Stats'!$B$2:$B1000) = LOWER($A520)), """")"),"#N/A")</f>
        <v>#N/A</v>
      </c>
      <c r="K520" s="0" t="str">
        <f aca="false">IF(F520 = H520, C520/G520, "")</f>
        <v/>
      </c>
      <c r="L520" s="0" t="str">
        <f aca="false">IFERROR(__xludf.dummyfunction("IF(AND(NOT(K520 = """"), G520 &gt;= 15),K520/FILTER('Base Stats'!$C$2:$C1000, LOWER('Base Stats'!$B$2:$B1000) = LOWER($A520)), """")"),"#N/A")</f>
        <v>#N/A</v>
      </c>
      <c r="M520" s="0" t="str">
        <f aca="false">IFERROR(__xludf.dummyfunction("1.15 + 0.02 * FILTER('Base Stats'!$C$2:$C1000, LOWER('Base Stats'!$B$2:$B1000) = LOWER($A520))"),"1.15")</f>
        <v>1.15</v>
      </c>
      <c r="N520" s="0" t="e">
        <f aca="false">IFERROR(IF(AND(NOT(K520 = ""), G520 &gt;= 15),K520/M520, ""))</f>
        <v>#VALUE!</v>
      </c>
    </row>
    <row r="521" customFormat="false" ht="15.75" hidden="false" customHeight="false" outlineLevel="0" collapsed="false">
      <c r="A521" s="0" t="n">
        <f aca="false">'Form Responses (Pokemon Stats)'!B415</f>
        <v>0</v>
      </c>
      <c r="B521" s="0" t="n">
        <f aca="false">'Form Responses (Pokemon Stats)'!D415</f>
        <v>0</v>
      </c>
      <c r="C521" s="0" t="n">
        <f aca="false">'Form Responses (Pokemon Stats)'!C415</f>
        <v>0</v>
      </c>
      <c r="F521" s="0" t="n">
        <f aca="false">'Form Responses (Pokemon Stats)'!E415</f>
        <v>0</v>
      </c>
      <c r="G521" s="0" t="str">
        <f aca="false">IFERROR(__xludf.dummyfunction("ROUND(B521/ FILTER('Pokemon CP/HP'!$M$2:$M1000, LOWER('Pokemon CP/HP'!$B$2:$B1000)=LOWER(A521)))"),"#DIV/0!")</f>
        <v>#DIV/0!</v>
      </c>
      <c r="H521" s="0" t="str">
        <f aca="false">IFERROR(__xludf.dummyfunction("FILTER('Leveling Info'!$B$2:$B1000, 'Leveling Info'!$A$2:$A1000 =G521)"),"#N/A")</f>
        <v>#N/A</v>
      </c>
      <c r="I521" s="14" t="e">
        <f aca="false">SQRT(G521)</f>
        <v>#VALUE!</v>
      </c>
      <c r="J521" s="14" t="str">
        <f aca="false">IFERROR(__xludf.dummyfunction("IF(F521 = H521,C521/FILTER('Base Stats'!$C$2:$C1000, LOWER('Base Stats'!$B$2:$B1000) = LOWER($A521)), """")"),"#N/A")</f>
        <v>#N/A</v>
      </c>
      <c r="K521" s="0" t="str">
        <f aca="false">IF(F521 = H521, C521/G521, "")</f>
        <v/>
      </c>
      <c r="L521" s="0" t="str">
        <f aca="false">IFERROR(__xludf.dummyfunction("IF(AND(NOT(K521 = """"), G521 &gt;= 15),K521/FILTER('Base Stats'!$C$2:$C1000, LOWER('Base Stats'!$B$2:$B1000) = LOWER($A521)), """")"),"#N/A")</f>
        <v>#N/A</v>
      </c>
      <c r="M521" s="0" t="str">
        <f aca="false">IFERROR(__xludf.dummyfunction("1.15 + 0.02 * FILTER('Base Stats'!$C$2:$C1000, LOWER('Base Stats'!$B$2:$B1000) = LOWER($A521))"),"1.15")</f>
        <v>1.15</v>
      </c>
      <c r="N521" s="0" t="e">
        <f aca="false">IFERROR(IF(AND(NOT(K521 = ""), G521 &gt;= 15),K521/M521, ""))</f>
        <v>#VALUE!</v>
      </c>
    </row>
    <row r="522" customFormat="false" ht="15.75" hidden="false" customHeight="false" outlineLevel="0" collapsed="false">
      <c r="A522" s="0" t="n">
        <f aca="false">'Form Responses (Pokemon Stats)'!B416</f>
        <v>0</v>
      </c>
      <c r="B522" s="0" t="n">
        <f aca="false">'Form Responses (Pokemon Stats)'!D416</f>
        <v>0</v>
      </c>
      <c r="C522" s="0" t="n">
        <f aca="false">'Form Responses (Pokemon Stats)'!C416</f>
        <v>0</v>
      </c>
      <c r="F522" s="0" t="n">
        <f aca="false">'Form Responses (Pokemon Stats)'!E416</f>
        <v>0</v>
      </c>
      <c r="G522" s="0" t="str">
        <f aca="false">IFERROR(__xludf.dummyfunction("ROUND(B522/ FILTER('Pokemon CP/HP'!$M$2:$M1000, LOWER('Pokemon CP/HP'!$B$2:$B1000)=LOWER(A522)))"),"#DIV/0!")</f>
        <v>#DIV/0!</v>
      </c>
      <c r="H522" s="0" t="str">
        <f aca="false">IFERROR(__xludf.dummyfunction("FILTER('Leveling Info'!$B$2:$B1000, 'Leveling Info'!$A$2:$A1000 =G522)"),"#N/A")</f>
        <v>#N/A</v>
      </c>
      <c r="I522" s="14" t="e">
        <f aca="false">SQRT(G522)</f>
        <v>#VALUE!</v>
      </c>
      <c r="J522" s="14" t="str">
        <f aca="false">IFERROR(__xludf.dummyfunction("IF(F522 = H522,C522/FILTER('Base Stats'!$C$2:$C1000, LOWER('Base Stats'!$B$2:$B1000) = LOWER($A522)), """")"),"#N/A")</f>
        <v>#N/A</v>
      </c>
      <c r="K522" s="0" t="str">
        <f aca="false">IF(F522 = H522, C522/G522, "")</f>
        <v/>
      </c>
      <c r="L522" s="0" t="str">
        <f aca="false">IFERROR(__xludf.dummyfunction("IF(AND(NOT(K522 = """"), G522 &gt;= 15),K522/FILTER('Base Stats'!$C$2:$C1000, LOWER('Base Stats'!$B$2:$B1000) = LOWER($A522)), """")"),"#N/A")</f>
        <v>#N/A</v>
      </c>
      <c r="M522" s="0" t="str">
        <f aca="false">IFERROR(__xludf.dummyfunction("1.15 + 0.02 * FILTER('Base Stats'!$C$2:$C1000, LOWER('Base Stats'!$B$2:$B1000) = LOWER($A522))"),"1.15")</f>
        <v>1.15</v>
      </c>
      <c r="N522" s="0" t="e">
        <f aca="false">IFERROR(IF(AND(NOT(K522 = ""), G522 &gt;= 15),K522/M522, ""))</f>
        <v>#VALUE!</v>
      </c>
    </row>
    <row r="523" customFormat="false" ht="15.75" hidden="false" customHeight="false" outlineLevel="0" collapsed="false">
      <c r="A523" s="0" t="n">
        <f aca="false">'Form Responses (Pokemon Stats)'!B417</f>
        <v>0</v>
      </c>
      <c r="B523" s="0" t="n">
        <f aca="false">'Form Responses (Pokemon Stats)'!D417</f>
        <v>0</v>
      </c>
      <c r="C523" s="0" t="n">
        <f aca="false">'Form Responses (Pokemon Stats)'!C417</f>
        <v>0</v>
      </c>
      <c r="F523" s="0" t="n">
        <f aca="false">'Form Responses (Pokemon Stats)'!E417</f>
        <v>0</v>
      </c>
      <c r="G523" s="0" t="str">
        <f aca="false">IFERROR(__xludf.dummyfunction("ROUND(B523/ FILTER('Pokemon CP/HP'!$M$2:$M1000, LOWER('Pokemon CP/HP'!$B$2:$B1000)=LOWER(A523)))"),"#DIV/0!")</f>
        <v>#DIV/0!</v>
      </c>
      <c r="H523" s="0" t="str">
        <f aca="false">IFERROR(__xludf.dummyfunction("FILTER('Leveling Info'!$B$2:$B1000, 'Leveling Info'!$A$2:$A1000 =G523)"),"#N/A")</f>
        <v>#N/A</v>
      </c>
      <c r="I523" s="14" t="e">
        <f aca="false">SQRT(G523)</f>
        <v>#VALUE!</v>
      </c>
      <c r="J523" s="14" t="str">
        <f aca="false">IFERROR(__xludf.dummyfunction("IF(F523 = H523,C523/FILTER('Base Stats'!$C$2:$C1000, LOWER('Base Stats'!$B$2:$B1000) = LOWER($A523)), """")"),"#N/A")</f>
        <v>#N/A</v>
      </c>
      <c r="K523" s="0" t="str">
        <f aca="false">IF(F523 = H523, C523/G523, "")</f>
        <v/>
      </c>
      <c r="L523" s="0" t="str">
        <f aca="false">IFERROR(__xludf.dummyfunction("IF(AND(NOT(K523 = """"), G523 &gt;= 15),K523/FILTER('Base Stats'!$C$2:$C1000, LOWER('Base Stats'!$B$2:$B1000) = LOWER($A523)), """")"),"#N/A")</f>
        <v>#N/A</v>
      </c>
      <c r="M523" s="0" t="str">
        <f aca="false">IFERROR(__xludf.dummyfunction("1.15 + 0.02 * FILTER('Base Stats'!$C$2:$C1000, LOWER('Base Stats'!$B$2:$B1000) = LOWER($A523))"),"1.15")</f>
        <v>1.15</v>
      </c>
      <c r="N523" s="0" t="e">
        <f aca="false">IFERROR(IF(AND(NOT(K523 = ""), G523 &gt;= 15),K523/M523, ""))</f>
        <v>#VALUE!</v>
      </c>
    </row>
    <row r="524" customFormat="false" ht="15.75" hidden="false" customHeight="false" outlineLevel="0" collapsed="false">
      <c r="A524" s="0" t="n">
        <f aca="false">'Form Responses (Pokemon Stats)'!B418</f>
        <v>0</v>
      </c>
      <c r="B524" s="0" t="n">
        <f aca="false">'Form Responses (Pokemon Stats)'!D418</f>
        <v>0</v>
      </c>
      <c r="C524" s="0" t="n">
        <f aca="false">'Form Responses (Pokemon Stats)'!C418</f>
        <v>0</v>
      </c>
      <c r="F524" s="0" t="n">
        <f aca="false">'Form Responses (Pokemon Stats)'!E418</f>
        <v>0</v>
      </c>
      <c r="G524" s="0" t="str">
        <f aca="false">IFERROR(__xludf.dummyfunction("ROUND(B524/ FILTER('Pokemon CP/HP'!$M$2:$M1000, LOWER('Pokemon CP/HP'!$B$2:$B1000)=LOWER(A524)))"),"#DIV/0!")</f>
        <v>#DIV/0!</v>
      </c>
      <c r="H524" s="0" t="str">
        <f aca="false">IFERROR(__xludf.dummyfunction("FILTER('Leveling Info'!$B$2:$B1000, 'Leveling Info'!$A$2:$A1000 =G524)"),"#N/A")</f>
        <v>#N/A</v>
      </c>
      <c r="I524" s="14" t="e">
        <f aca="false">SQRT(G524)</f>
        <v>#VALUE!</v>
      </c>
      <c r="J524" s="14" t="str">
        <f aca="false">IFERROR(__xludf.dummyfunction("IF(F524 = H524,C524/FILTER('Base Stats'!$C$2:$C1000, LOWER('Base Stats'!$B$2:$B1000) = LOWER($A524)), """")"),"#N/A")</f>
        <v>#N/A</v>
      </c>
      <c r="K524" s="0" t="str">
        <f aca="false">IF(F524 = H524, C524/G524, "")</f>
        <v/>
      </c>
      <c r="L524" s="0" t="str">
        <f aca="false">IFERROR(__xludf.dummyfunction("IF(AND(NOT(K524 = """"), G524 &gt;= 15),K524/FILTER('Base Stats'!$C$2:$C1000, LOWER('Base Stats'!$B$2:$B1000) = LOWER($A524)), """")"),"#N/A")</f>
        <v>#N/A</v>
      </c>
      <c r="M524" s="0" t="str">
        <f aca="false">IFERROR(__xludf.dummyfunction("1.15 + 0.02 * FILTER('Base Stats'!$C$2:$C1000, LOWER('Base Stats'!$B$2:$B1000) = LOWER($A524))"),"1.15")</f>
        <v>1.15</v>
      </c>
      <c r="N524" s="0" t="e">
        <f aca="false">IFERROR(IF(AND(NOT(K524 = ""), G524 &gt;= 15),K524/M524, ""))</f>
        <v>#VALUE!</v>
      </c>
    </row>
    <row r="525" customFormat="false" ht="15.75" hidden="false" customHeight="false" outlineLevel="0" collapsed="false">
      <c r="A525" s="0" t="n">
        <f aca="false">'Form Responses (Pokemon Stats)'!B419</f>
        <v>0</v>
      </c>
      <c r="B525" s="0" t="n">
        <f aca="false">'Form Responses (Pokemon Stats)'!D419</f>
        <v>0</v>
      </c>
      <c r="C525" s="0" t="n">
        <f aca="false">'Form Responses (Pokemon Stats)'!C419</f>
        <v>0</v>
      </c>
      <c r="F525" s="0" t="n">
        <f aca="false">'Form Responses (Pokemon Stats)'!E419</f>
        <v>0</v>
      </c>
      <c r="G525" s="0" t="str">
        <f aca="false">IFERROR(__xludf.dummyfunction("ROUND(B525/ FILTER('Pokemon CP/HP'!$M$2:$M1000, LOWER('Pokemon CP/HP'!$B$2:$B1000)=LOWER(A525)))"),"#DIV/0!")</f>
        <v>#DIV/0!</v>
      </c>
      <c r="H525" s="0" t="str">
        <f aca="false">IFERROR(__xludf.dummyfunction("FILTER('Leveling Info'!$B$2:$B1000, 'Leveling Info'!$A$2:$A1000 =G525)"),"#N/A")</f>
        <v>#N/A</v>
      </c>
      <c r="I525" s="14" t="e">
        <f aca="false">SQRT(G525)</f>
        <v>#VALUE!</v>
      </c>
      <c r="J525" s="14" t="str">
        <f aca="false">IFERROR(__xludf.dummyfunction("IF(F525 = H525,C525/FILTER('Base Stats'!$C$2:$C1000, LOWER('Base Stats'!$B$2:$B1000) = LOWER($A525)), """")"),"#N/A")</f>
        <v>#N/A</v>
      </c>
      <c r="K525" s="0" t="str">
        <f aca="false">IF(F525 = H525, C525/G525, "")</f>
        <v/>
      </c>
      <c r="L525" s="0" t="str">
        <f aca="false">IFERROR(__xludf.dummyfunction("IF(AND(NOT(K525 = """"), G525 &gt;= 15),K525/FILTER('Base Stats'!$C$2:$C1000, LOWER('Base Stats'!$B$2:$B1000) = LOWER($A525)), """")"),"#N/A")</f>
        <v>#N/A</v>
      </c>
      <c r="M525" s="0" t="str">
        <f aca="false">IFERROR(__xludf.dummyfunction("1.15 + 0.02 * FILTER('Base Stats'!$C$2:$C1000, LOWER('Base Stats'!$B$2:$B1000) = LOWER($A525))"),"1.15")</f>
        <v>1.15</v>
      </c>
      <c r="N525" s="0" t="e">
        <f aca="false">IFERROR(IF(AND(NOT(K525 = ""), G525 &gt;= 15),K525/M525, ""))</f>
        <v>#VALUE!</v>
      </c>
    </row>
    <row r="526" customFormat="false" ht="15.75" hidden="false" customHeight="false" outlineLevel="0" collapsed="false">
      <c r="A526" s="0" t="n">
        <f aca="false">'Form Responses (Pokemon Stats)'!B420</f>
        <v>0</v>
      </c>
      <c r="B526" s="0" t="n">
        <f aca="false">'Form Responses (Pokemon Stats)'!D420</f>
        <v>0</v>
      </c>
      <c r="C526" s="0" t="n">
        <f aca="false">'Form Responses (Pokemon Stats)'!C420</f>
        <v>0</v>
      </c>
      <c r="F526" s="0" t="n">
        <f aca="false">'Form Responses (Pokemon Stats)'!E420</f>
        <v>0</v>
      </c>
      <c r="G526" s="0" t="str">
        <f aca="false">IFERROR(__xludf.dummyfunction("ROUND(B526/ FILTER('Pokemon CP/HP'!$M$2:$M1000, LOWER('Pokemon CP/HP'!$B$2:$B1000)=LOWER(A526)))"),"#DIV/0!")</f>
        <v>#DIV/0!</v>
      </c>
      <c r="H526" s="0" t="str">
        <f aca="false">IFERROR(__xludf.dummyfunction("FILTER('Leveling Info'!$B$2:$B1000, 'Leveling Info'!$A$2:$A1000 =G526)"),"#N/A")</f>
        <v>#N/A</v>
      </c>
      <c r="I526" s="14" t="e">
        <f aca="false">SQRT(G526)</f>
        <v>#VALUE!</v>
      </c>
      <c r="J526" s="14" t="str">
        <f aca="false">IFERROR(__xludf.dummyfunction("IF(F526 = H526,C526/FILTER('Base Stats'!$C$2:$C1000, LOWER('Base Stats'!$B$2:$B1000) = LOWER($A526)), """")"),"#N/A")</f>
        <v>#N/A</v>
      </c>
      <c r="K526" s="0" t="str">
        <f aca="false">IF(F526 = H526, C526/G526, "")</f>
        <v/>
      </c>
      <c r="L526" s="0" t="str">
        <f aca="false">IFERROR(__xludf.dummyfunction("IF(AND(NOT(K526 = """"), G526 &gt;= 15),K526/FILTER('Base Stats'!$C$2:$C1000, LOWER('Base Stats'!$B$2:$B1000) = LOWER($A526)), """")"),"#N/A")</f>
        <v>#N/A</v>
      </c>
      <c r="M526" s="0" t="str">
        <f aca="false">IFERROR(__xludf.dummyfunction("1.15 + 0.02 * FILTER('Base Stats'!$C$2:$C1000, LOWER('Base Stats'!$B$2:$B1000) = LOWER($A526))"),"1.15")</f>
        <v>1.15</v>
      </c>
      <c r="N526" s="0" t="e">
        <f aca="false">IFERROR(IF(AND(NOT(K526 = ""), G526 &gt;= 15),K526/M526, ""))</f>
        <v>#VALUE!</v>
      </c>
    </row>
    <row r="527" customFormat="false" ht="15.75" hidden="false" customHeight="false" outlineLevel="0" collapsed="false">
      <c r="A527" s="0" t="n">
        <f aca="false">'Form Responses (Pokemon Stats)'!B421</f>
        <v>0</v>
      </c>
      <c r="B527" s="0" t="n">
        <f aca="false">'Form Responses (Pokemon Stats)'!D421</f>
        <v>0</v>
      </c>
      <c r="C527" s="0" t="n">
        <f aca="false">'Form Responses (Pokemon Stats)'!C421</f>
        <v>0</v>
      </c>
      <c r="F527" s="0" t="n">
        <f aca="false">'Form Responses (Pokemon Stats)'!E421</f>
        <v>0</v>
      </c>
      <c r="G527" s="0" t="str">
        <f aca="false">IFERROR(__xludf.dummyfunction("ROUND(B527/ FILTER('Pokemon CP/HP'!$M$2:$M1000, LOWER('Pokemon CP/HP'!$B$2:$B1000)=LOWER(A527)))"),"#DIV/0!")</f>
        <v>#DIV/0!</v>
      </c>
      <c r="H527" s="0" t="str">
        <f aca="false">IFERROR(__xludf.dummyfunction("FILTER('Leveling Info'!$B$2:$B1000, 'Leveling Info'!$A$2:$A1000 =G527)"),"#N/A")</f>
        <v>#N/A</v>
      </c>
      <c r="I527" s="14" t="e">
        <f aca="false">SQRT(G527)</f>
        <v>#VALUE!</v>
      </c>
      <c r="J527" s="14" t="str">
        <f aca="false">IFERROR(__xludf.dummyfunction("IF(F527 = H527,C527/FILTER('Base Stats'!$C$2:$C1000, LOWER('Base Stats'!$B$2:$B1000) = LOWER($A527)), """")"),"#N/A")</f>
        <v>#N/A</v>
      </c>
      <c r="K527" s="0" t="str">
        <f aca="false">IF(F527 = H527, C527/G527, "")</f>
        <v/>
      </c>
      <c r="L527" s="0" t="str">
        <f aca="false">IFERROR(__xludf.dummyfunction("IF(AND(NOT(K527 = """"), G527 &gt;= 15),K527/FILTER('Base Stats'!$C$2:$C1000, LOWER('Base Stats'!$B$2:$B1000) = LOWER($A527)), """")"),"#N/A")</f>
        <v>#N/A</v>
      </c>
      <c r="M527" s="0" t="str">
        <f aca="false">IFERROR(__xludf.dummyfunction("1.15 + 0.02 * FILTER('Base Stats'!$C$2:$C1000, LOWER('Base Stats'!$B$2:$B1000) = LOWER($A527))"),"1.15")</f>
        <v>1.15</v>
      </c>
      <c r="N527" s="0" t="e">
        <f aca="false">IFERROR(IF(AND(NOT(K527 = ""), G527 &gt;= 15),K527/M527, ""))</f>
        <v>#VALUE!</v>
      </c>
    </row>
    <row r="528" customFormat="false" ht="15.75" hidden="false" customHeight="false" outlineLevel="0" collapsed="false">
      <c r="A528" s="0" t="n">
        <f aca="false">'Form Responses (Pokemon Stats)'!B422</f>
        <v>0</v>
      </c>
      <c r="B528" s="0" t="n">
        <f aca="false">'Form Responses (Pokemon Stats)'!D422</f>
        <v>0</v>
      </c>
      <c r="C528" s="0" t="n">
        <f aca="false">'Form Responses (Pokemon Stats)'!C422</f>
        <v>0</v>
      </c>
      <c r="F528" s="0" t="n">
        <f aca="false">'Form Responses (Pokemon Stats)'!E422</f>
        <v>0</v>
      </c>
      <c r="G528" s="0" t="str">
        <f aca="false">IFERROR(__xludf.dummyfunction("ROUND(B528/ FILTER('Pokemon CP/HP'!$M$2:$M1000, LOWER('Pokemon CP/HP'!$B$2:$B1000)=LOWER(A528)))"),"#DIV/0!")</f>
        <v>#DIV/0!</v>
      </c>
      <c r="H528" s="0" t="str">
        <f aca="false">IFERROR(__xludf.dummyfunction("FILTER('Leveling Info'!$B$2:$B1000, 'Leveling Info'!$A$2:$A1000 =G528)"),"#N/A")</f>
        <v>#N/A</v>
      </c>
      <c r="I528" s="14" t="e">
        <f aca="false">SQRT(G528)</f>
        <v>#VALUE!</v>
      </c>
      <c r="J528" s="14" t="str">
        <f aca="false">IFERROR(__xludf.dummyfunction("IF(F528 = H528,C528/FILTER('Base Stats'!$C$2:$C1000, LOWER('Base Stats'!$B$2:$B1000) = LOWER($A528)), """")"),"#N/A")</f>
        <v>#N/A</v>
      </c>
      <c r="K528" s="0" t="str">
        <f aca="false">IF(F528 = H528, C528/G528, "")</f>
        <v/>
      </c>
      <c r="L528" s="0" t="str">
        <f aca="false">IFERROR(__xludf.dummyfunction("IF(AND(NOT(K528 = """"), G528 &gt;= 15),K528/FILTER('Base Stats'!$C$2:$C1000, LOWER('Base Stats'!$B$2:$B1000) = LOWER($A528)), """")"),"#N/A")</f>
        <v>#N/A</v>
      </c>
      <c r="M528" s="0" t="str">
        <f aca="false">IFERROR(__xludf.dummyfunction("1.15 + 0.02 * FILTER('Base Stats'!$C$2:$C1000, LOWER('Base Stats'!$B$2:$B1000) = LOWER($A528))"),"1.15")</f>
        <v>1.15</v>
      </c>
      <c r="N528" s="0" t="e">
        <f aca="false">IFERROR(IF(AND(NOT(K528 = ""), G528 &gt;= 15),K528/M528, ""))</f>
        <v>#VALUE!</v>
      </c>
    </row>
    <row r="529" customFormat="false" ht="15.75" hidden="false" customHeight="false" outlineLevel="0" collapsed="false">
      <c r="A529" s="0" t="n">
        <f aca="false">'Form Responses (Pokemon Stats)'!B423</f>
        <v>0</v>
      </c>
      <c r="B529" s="0" t="n">
        <f aca="false">'Form Responses (Pokemon Stats)'!D423</f>
        <v>0</v>
      </c>
      <c r="C529" s="0" t="n">
        <f aca="false">'Form Responses (Pokemon Stats)'!C423</f>
        <v>0</v>
      </c>
      <c r="F529" s="0" t="n">
        <f aca="false">'Form Responses (Pokemon Stats)'!E423</f>
        <v>0</v>
      </c>
      <c r="G529" s="0" t="str">
        <f aca="false">IFERROR(__xludf.dummyfunction("ROUND(B529/ FILTER('Pokemon CP/HP'!$M$2:$M1000, LOWER('Pokemon CP/HP'!$B$2:$B1000)=LOWER(A529)))"),"#DIV/0!")</f>
        <v>#DIV/0!</v>
      </c>
      <c r="H529" s="0" t="str">
        <f aca="false">IFERROR(__xludf.dummyfunction("FILTER('Leveling Info'!$B$2:$B1000, 'Leveling Info'!$A$2:$A1000 =G529)"),"#N/A")</f>
        <v>#N/A</v>
      </c>
      <c r="I529" s="14" t="e">
        <f aca="false">SQRT(G529)</f>
        <v>#VALUE!</v>
      </c>
      <c r="J529" s="14" t="str">
        <f aca="false">IFERROR(__xludf.dummyfunction("IF(F529 = H529,C529/FILTER('Base Stats'!$C$2:$C1000, LOWER('Base Stats'!$B$2:$B1000) = LOWER($A529)), """")"),"#N/A")</f>
        <v>#N/A</v>
      </c>
      <c r="K529" s="0" t="str">
        <f aca="false">IF(F529 = H529, C529/G529, "")</f>
        <v/>
      </c>
      <c r="L529" s="0" t="str">
        <f aca="false">IFERROR(__xludf.dummyfunction("IF(AND(NOT(K529 = """"), G529 &gt;= 15),K529/FILTER('Base Stats'!$C$2:$C1000, LOWER('Base Stats'!$B$2:$B1000) = LOWER($A529)), """")"),"#N/A")</f>
        <v>#N/A</v>
      </c>
      <c r="M529" s="0" t="str">
        <f aca="false">IFERROR(__xludf.dummyfunction("1.15 + 0.02 * FILTER('Base Stats'!$C$2:$C1000, LOWER('Base Stats'!$B$2:$B1000) = LOWER($A529))"),"1.15")</f>
        <v>1.15</v>
      </c>
      <c r="N529" s="0" t="e">
        <f aca="false">IFERROR(IF(AND(NOT(K529 = ""), G529 &gt;= 15),K529/M529, ""))</f>
        <v>#VALUE!</v>
      </c>
    </row>
    <row r="530" customFormat="false" ht="15.75" hidden="false" customHeight="false" outlineLevel="0" collapsed="false">
      <c r="A530" s="0" t="n">
        <f aca="false">'Form Responses (Pokemon Stats)'!B424</f>
        <v>0</v>
      </c>
      <c r="B530" s="0" t="n">
        <f aca="false">'Form Responses (Pokemon Stats)'!D424</f>
        <v>0</v>
      </c>
      <c r="C530" s="0" t="n">
        <f aca="false">'Form Responses (Pokemon Stats)'!C424</f>
        <v>0</v>
      </c>
      <c r="F530" s="0" t="n">
        <f aca="false">'Form Responses (Pokemon Stats)'!E424</f>
        <v>0</v>
      </c>
      <c r="G530" s="0" t="str">
        <f aca="false">IFERROR(__xludf.dummyfunction("ROUND(B530/ FILTER('Pokemon CP/HP'!$M$2:$M1000, LOWER('Pokemon CP/HP'!$B$2:$B1000)=LOWER(A530)))"),"#DIV/0!")</f>
        <v>#DIV/0!</v>
      </c>
      <c r="H530" s="0" t="str">
        <f aca="false">IFERROR(__xludf.dummyfunction("FILTER('Leveling Info'!$B$2:$B1000, 'Leveling Info'!$A$2:$A1000 =G530)"),"#N/A")</f>
        <v>#N/A</v>
      </c>
      <c r="I530" s="14" t="e">
        <f aca="false">SQRT(G530)</f>
        <v>#VALUE!</v>
      </c>
      <c r="J530" s="14" t="str">
        <f aca="false">IFERROR(__xludf.dummyfunction("IF(F530 = H530,C530/FILTER('Base Stats'!$C$2:$C1000, LOWER('Base Stats'!$B$2:$B1000) = LOWER($A530)), """")"),"#N/A")</f>
        <v>#N/A</v>
      </c>
      <c r="K530" s="0" t="str">
        <f aca="false">IF(F530 = H530, C530/G530, "")</f>
        <v/>
      </c>
      <c r="L530" s="0" t="str">
        <f aca="false">IFERROR(__xludf.dummyfunction("IF(AND(NOT(K530 = """"), G530 &gt;= 15),K530/FILTER('Base Stats'!$C$2:$C1000, LOWER('Base Stats'!$B$2:$B1000) = LOWER($A530)), """")"),"#N/A")</f>
        <v>#N/A</v>
      </c>
      <c r="M530" s="0" t="str">
        <f aca="false">IFERROR(__xludf.dummyfunction("1.15 + 0.02 * FILTER('Base Stats'!$C$2:$C1000, LOWER('Base Stats'!$B$2:$B1000) = LOWER($A530))"),"1.15")</f>
        <v>1.15</v>
      </c>
      <c r="N530" s="0" t="e">
        <f aca="false">IFERROR(IF(AND(NOT(K530 = ""), G530 &gt;= 15),K530/M530, ""))</f>
        <v>#VALUE!</v>
      </c>
    </row>
    <row r="531" customFormat="false" ht="15.75" hidden="false" customHeight="false" outlineLevel="0" collapsed="false">
      <c r="A531" s="0" t="n">
        <f aca="false">'Form Responses (Pokemon Stats)'!B425</f>
        <v>0</v>
      </c>
      <c r="B531" s="0" t="n">
        <f aca="false">'Form Responses (Pokemon Stats)'!D425</f>
        <v>0</v>
      </c>
      <c r="C531" s="0" t="n">
        <f aca="false">'Form Responses (Pokemon Stats)'!C425</f>
        <v>0</v>
      </c>
      <c r="F531" s="0" t="n">
        <f aca="false">'Form Responses (Pokemon Stats)'!E425</f>
        <v>0</v>
      </c>
      <c r="G531" s="0" t="str">
        <f aca="false">IFERROR(__xludf.dummyfunction("ROUND(B531/ FILTER('Pokemon CP/HP'!$M$2:$M1000, LOWER('Pokemon CP/HP'!$B$2:$B1000)=LOWER(A531)))"),"#DIV/0!")</f>
        <v>#DIV/0!</v>
      </c>
      <c r="H531" s="0" t="str">
        <f aca="false">IFERROR(__xludf.dummyfunction("FILTER('Leveling Info'!$B$2:$B1000, 'Leveling Info'!$A$2:$A1000 =G531)"),"#N/A")</f>
        <v>#N/A</v>
      </c>
      <c r="I531" s="14" t="e">
        <f aca="false">SQRT(G531)</f>
        <v>#VALUE!</v>
      </c>
      <c r="J531" s="14" t="str">
        <f aca="false">IFERROR(__xludf.dummyfunction("IF(F531 = H531,C531/FILTER('Base Stats'!$C$2:$C1000, LOWER('Base Stats'!$B$2:$B1000) = LOWER($A531)), """")"),"#N/A")</f>
        <v>#N/A</v>
      </c>
      <c r="K531" s="0" t="str">
        <f aca="false">IF(F531 = H531, C531/G531, "")</f>
        <v/>
      </c>
      <c r="L531" s="0" t="str">
        <f aca="false">IFERROR(__xludf.dummyfunction("IF(AND(NOT(K531 = """"), G531 &gt;= 15),K531/FILTER('Base Stats'!$C$2:$C1000, LOWER('Base Stats'!$B$2:$B1000) = LOWER($A531)), """")"),"#N/A")</f>
        <v>#N/A</v>
      </c>
      <c r="M531" s="0" t="str">
        <f aca="false">IFERROR(__xludf.dummyfunction("1.15 + 0.02 * FILTER('Base Stats'!$C$2:$C1000, LOWER('Base Stats'!$B$2:$B1000) = LOWER($A531))"),"1.15")</f>
        <v>1.15</v>
      </c>
      <c r="N531" s="0" t="e">
        <f aca="false">IFERROR(IF(AND(NOT(K531 = ""), G531 &gt;= 15),K531/M531, ""))</f>
        <v>#VALUE!</v>
      </c>
    </row>
    <row r="532" customFormat="false" ht="15.75" hidden="false" customHeight="false" outlineLevel="0" collapsed="false">
      <c r="A532" s="0" t="n">
        <f aca="false">'Form Responses (Pokemon Stats)'!B426</f>
        <v>0</v>
      </c>
      <c r="B532" s="0" t="n">
        <f aca="false">'Form Responses (Pokemon Stats)'!D426</f>
        <v>0</v>
      </c>
      <c r="C532" s="0" t="n">
        <f aca="false">'Form Responses (Pokemon Stats)'!C426</f>
        <v>0</v>
      </c>
      <c r="F532" s="0" t="n">
        <f aca="false">'Form Responses (Pokemon Stats)'!E426</f>
        <v>0</v>
      </c>
      <c r="G532" s="0" t="str">
        <f aca="false">IFERROR(__xludf.dummyfunction("ROUND(B532/ FILTER('Pokemon CP/HP'!$M$2:$M1000, LOWER('Pokemon CP/HP'!$B$2:$B1000)=LOWER(A532)))"),"#DIV/0!")</f>
        <v>#DIV/0!</v>
      </c>
      <c r="H532" s="0" t="str">
        <f aca="false">IFERROR(__xludf.dummyfunction("FILTER('Leveling Info'!$B$2:$B1000, 'Leveling Info'!$A$2:$A1000 =G532)"),"#N/A")</f>
        <v>#N/A</v>
      </c>
      <c r="I532" s="14" t="e">
        <f aca="false">SQRT(G532)</f>
        <v>#VALUE!</v>
      </c>
      <c r="J532" s="14" t="str">
        <f aca="false">IFERROR(__xludf.dummyfunction("IF(F532 = H532,C532/FILTER('Base Stats'!$C$2:$C1000, LOWER('Base Stats'!$B$2:$B1000) = LOWER($A532)), """")"),"#N/A")</f>
        <v>#N/A</v>
      </c>
      <c r="K532" s="0" t="str">
        <f aca="false">IF(F532 = H532, C532/G532, "")</f>
        <v/>
      </c>
      <c r="L532" s="0" t="str">
        <f aca="false">IFERROR(__xludf.dummyfunction("IF(AND(NOT(K532 = """"), G532 &gt;= 15),K532/FILTER('Base Stats'!$C$2:$C1000, LOWER('Base Stats'!$B$2:$B1000) = LOWER($A532)), """")"),"#N/A")</f>
        <v>#N/A</v>
      </c>
      <c r="M532" s="0" t="str">
        <f aca="false">IFERROR(__xludf.dummyfunction("1.15 + 0.02 * FILTER('Base Stats'!$C$2:$C1000, LOWER('Base Stats'!$B$2:$B1000) = LOWER($A532))"),"1.15")</f>
        <v>1.15</v>
      </c>
      <c r="N532" s="0" t="e">
        <f aca="false">IFERROR(IF(AND(NOT(K532 = ""), G532 &gt;= 15),K532/M532, ""))</f>
        <v>#VALUE!</v>
      </c>
    </row>
    <row r="533" customFormat="false" ht="15.75" hidden="false" customHeight="false" outlineLevel="0" collapsed="false">
      <c r="A533" s="0" t="n">
        <f aca="false">'Form Responses (Pokemon Stats)'!B427</f>
        <v>0</v>
      </c>
      <c r="B533" s="0" t="n">
        <f aca="false">'Form Responses (Pokemon Stats)'!D427</f>
        <v>0</v>
      </c>
      <c r="C533" s="0" t="n">
        <f aca="false">'Form Responses (Pokemon Stats)'!C427</f>
        <v>0</v>
      </c>
      <c r="F533" s="0" t="n">
        <f aca="false">'Form Responses (Pokemon Stats)'!E427</f>
        <v>0</v>
      </c>
      <c r="G533" s="0" t="str">
        <f aca="false">IFERROR(__xludf.dummyfunction("ROUND(B533/ FILTER('Pokemon CP/HP'!$M$2:$M1000, LOWER('Pokemon CP/HP'!$B$2:$B1000)=LOWER(A533)))"),"#DIV/0!")</f>
        <v>#DIV/0!</v>
      </c>
      <c r="H533" s="0" t="str">
        <f aca="false">IFERROR(__xludf.dummyfunction("FILTER('Leveling Info'!$B$2:$B1000, 'Leveling Info'!$A$2:$A1000 =G533)"),"#N/A")</f>
        <v>#N/A</v>
      </c>
      <c r="I533" s="14" t="e">
        <f aca="false">SQRT(G533)</f>
        <v>#VALUE!</v>
      </c>
      <c r="J533" s="14" t="str">
        <f aca="false">IFERROR(__xludf.dummyfunction("IF(F533 = H533,C533/FILTER('Base Stats'!$C$2:$C1000, LOWER('Base Stats'!$B$2:$B1000) = LOWER($A533)), """")"),"#N/A")</f>
        <v>#N/A</v>
      </c>
      <c r="K533" s="0" t="str">
        <f aca="false">IF(F533 = H533, C533/G533, "")</f>
        <v/>
      </c>
      <c r="L533" s="0" t="str">
        <f aca="false">IFERROR(__xludf.dummyfunction("IF(AND(NOT(K533 = """"), G533 &gt;= 15),K533/FILTER('Base Stats'!$C$2:$C1000, LOWER('Base Stats'!$B$2:$B1000) = LOWER($A533)), """")"),"#N/A")</f>
        <v>#N/A</v>
      </c>
      <c r="M533" s="0" t="str">
        <f aca="false">IFERROR(__xludf.dummyfunction("1.15 + 0.02 * FILTER('Base Stats'!$C$2:$C1000, LOWER('Base Stats'!$B$2:$B1000) = LOWER($A533))"),"1.15")</f>
        <v>1.15</v>
      </c>
      <c r="N533" s="0" t="e">
        <f aca="false">IFERROR(IF(AND(NOT(K533 = ""), G533 &gt;= 15),K533/M533, ""))</f>
        <v>#VALUE!</v>
      </c>
    </row>
    <row r="534" customFormat="false" ht="15.75" hidden="false" customHeight="false" outlineLevel="0" collapsed="false">
      <c r="A534" s="0" t="n">
        <f aca="false">'Form Responses (Pokemon Stats)'!B428</f>
        <v>0</v>
      </c>
      <c r="B534" s="0" t="n">
        <f aca="false">'Form Responses (Pokemon Stats)'!D428</f>
        <v>0</v>
      </c>
      <c r="C534" s="0" t="n">
        <f aca="false">'Form Responses (Pokemon Stats)'!C428</f>
        <v>0</v>
      </c>
      <c r="F534" s="0" t="n">
        <f aca="false">'Form Responses (Pokemon Stats)'!E428</f>
        <v>0</v>
      </c>
      <c r="G534" s="0" t="str">
        <f aca="false">IFERROR(__xludf.dummyfunction("ROUND(B534/ FILTER('Pokemon CP/HP'!$M$2:$M1000, LOWER('Pokemon CP/HP'!$B$2:$B1000)=LOWER(A534)))"),"#DIV/0!")</f>
        <v>#DIV/0!</v>
      </c>
      <c r="H534" s="0" t="str">
        <f aca="false">IFERROR(__xludf.dummyfunction("FILTER('Leveling Info'!$B$2:$B1000, 'Leveling Info'!$A$2:$A1000 =G534)"),"#N/A")</f>
        <v>#N/A</v>
      </c>
      <c r="I534" s="14" t="e">
        <f aca="false">SQRT(G534)</f>
        <v>#VALUE!</v>
      </c>
      <c r="J534" s="14" t="str">
        <f aca="false">IFERROR(__xludf.dummyfunction("IF(F534 = H534,C534/FILTER('Base Stats'!$C$2:$C1000, LOWER('Base Stats'!$B$2:$B1000) = LOWER($A534)), """")"),"#N/A")</f>
        <v>#N/A</v>
      </c>
      <c r="K534" s="0" t="str">
        <f aca="false">IF(F534 = H534, C534/G534, "")</f>
        <v/>
      </c>
      <c r="L534" s="0" t="str">
        <f aca="false">IFERROR(__xludf.dummyfunction("IF(AND(NOT(K534 = """"), G534 &gt;= 15),K534/FILTER('Base Stats'!$C$2:$C1000, LOWER('Base Stats'!$B$2:$B1000) = LOWER($A534)), """")"),"#N/A")</f>
        <v>#N/A</v>
      </c>
      <c r="M534" s="0" t="str">
        <f aca="false">IFERROR(__xludf.dummyfunction("1.15 + 0.02 * FILTER('Base Stats'!$C$2:$C1000, LOWER('Base Stats'!$B$2:$B1000) = LOWER($A534))"),"1.15")</f>
        <v>1.15</v>
      </c>
      <c r="N534" s="0" t="e">
        <f aca="false">IFERROR(IF(AND(NOT(K534 = ""), G534 &gt;= 15),K534/M534, ""))</f>
        <v>#VALUE!</v>
      </c>
    </row>
    <row r="535" customFormat="false" ht="15.75" hidden="false" customHeight="false" outlineLevel="0" collapsed="false">
      <c r="A535" s="0" t="n">
        <f aca="false">'Form Responses (Pokemon Stats)'!B429</f>
        <v>0</v>
      </c>
      <c r="B535" s="0" t="n">
        <f aca="false">'Form Responses (Pokemon Stats)'!D429</f>
        <v>0</v>
      </c>
      <c r="C535" s="0" t="n">
        <f aca="false">'Form Responses (Pokemon Stats)'!C429</f>
        <v>0</v>
      </c>
      <c r="F535" s="0" t="n">
        <f aca="false">'Form Responses (Pokemon Stats)'!E429</f>
        <v>0</v>
      </c>
      <c r="G535" s="0" t="str">
        <f aca="false">IFERROR(__xludf.dummyfunction("ROUND(B535/ FILTER('Pokemon CP/HP'!$M$2:$M1000, LOWER('Pokemon CP/HP'!$B$2:$B1000)=LOWER(A535)))"),"#DIV/0!")</f>
        <v>#DIV/0!</v>
      </c>
      <c r="H535" s="0" t="str">
        <f aca="false">IFERROR(__xludf.dummyfunction("FILTER('Leveling Info'!$B$2:$B1000, 'Leveling Info'!$A$2:$A1000 =G535)"),"#N/A")</f>
        <v>#N/A</v>
      </c>
      <c r="I535" s="14" t="e">
        <f aca="false">SQRT(G535)</f>
        <v>#VALUE!</v>
      </c>
      <c r="J535" s="14" t="str">
        <f aca="false">IFERROR(__xludf.dummyfunction("IF(F535 = H535,C535/FILTER('Base Stats'!$C$2:$C1000, LOWER('Base Stats'!$B$2:$B1000) = LOWER($A535)), """")"),"#N/A")</f>
        <v>#N/A</v>
      </c>
      <c r="K535" s="0" t="str">
        <f aca="false">IF(F535 = H535, C535/G535, "")</f>
        <v/>
      </c>
      <c r="L535" s="0" t="str">
        <f aca="false">IFERROR(__xludf.dummyfunction("IF(AND(NOT(K535 = """"), G535 &gt;= 15),K535/FILTER('Base Stats'!$C$2:$C1000, LOWER('Base Stats'!$B$2:$B1000) = LOWER($A535)), """")"),"#N/A")</f>
        <v>#N/A</v>
      </c>
      <c r="M535" s="0" t="str">
        <f aca="false">IFERROR(__xludf.dummyfunction("1.15 + 0.02 * FILTER('Base Stats'!$C$2:$C1000, LOWER('Base Stats'!$B$2:$B1000) = LOWER($A535))"),"1.15")</f>
        <v>1.15</v>
      </c>
      <c r="N535" s="0" t="e">
        <f aca="false">IFERROR(IF(AND(NOT(K535 = ""), G535 &gt;= 15),K535/M535, ""))</f>
        <v>#VALUE!</v>
      </c>
    </row>
    <row r="536" customFormat="false" ht="15.75" hidden="false" customHeight="false" outlineLevel="0" collapsed="false">
      <c r="A536" s="0" t="n">
        <f aca="false">'Form Responses (Pokemon Stats)'!B430</f>
        <v>0</v>
      </c>
      <c r="B536" s="0" t="n">
        <f aca="false">'Form Responses (Pokemon Stats)'!D430</f>
        <v>0</v>
      </c>
      <c r="C536" s="0" t="n">
        <f aca="false">'Form Responses (Pokemon Stats)'!C430</f>
        <v>0</v>
      </c>
      <c r="F536" s="0" t="n">
        <f aca="false">'Form Responses (Pokemon Stats)'!E430</f>
        <v>0</v>
      </c>
      <c r="G536" s="0" t="str">
        <f aca="false">IFERROR(__xludf.dummyfunction("ROUND(B536/ FILTER('Pokemon CP/HP'!$M$2:$M1000, LOWER('Pokemon CP/HP'!$B$2:$B1000)=LOWER(A536)))"),"#DIV/0!")</f>
        <v>#DIV/0!</v>
      </c>
      <c r="H536" s="0" t="str">
        <f aca="false">IFERROR(__xludf.dummyfunction("FILTER('Leveling Info'!$B$2:$B1000, 'Leveling Info'!$A$2:$A1000 =G536)"),"#N/A")</f>
        <v>#N/A</v>
      </c>
      <c r="I536" s="14" t="e">
        <f aca="false">SQRT(G536)</f>
        <v>#VALUE!</v>
      </c>
      <c r="J536" s="14" t="str">
        <f aca="false">IFERROR(__xludf.dummyfunction("IF(F536 = H536,C536/FILTER('Base Stats'!$C$2:$C1000, LOWER('Base Stats'!$B$2:$B1000) = LOWER($A536)), """")"),"#N/A")</f>
        <v>#N/A</v>
      </c>
      <c r="K536" s="0" t="str">
        <f aca="false">IF(F536 = H536, C536/G536, "")</f>
        <v/>
      </c>
      <c r="L536" s="0" t="str">
        <f aca="false">IFERROR(__xludf.dummyfunction("IF(AND(NOT(K536 = """"), G536 &gt;= 15),K536/FILTER('Base Stats'!$C$2:$C1000, LOWER('Base Stats'!$B$2:$B1000) = LOWER($A536)), """")"),"#N/A")</f>
        <v>#N/A</v>
      </c>
      <c r="M536" s="0" t="str">
        <f aca="false">IFERROR(__xludf.dummyfunction("1.15 + 0.02 * FILTER('Base Stats'!$C$2:$C1000, LOWER('Base Stats'!$B$2:$B1000) = LOWER($A536))"),"1.15")</f>
        <v>1.15</v>
      </c>
      <c r="N536" s="0" t="e">
        <f aca="false">IFERROR(IF(AND(NOT(K536 = ""), G536 &gt;= 15),K536/M536, ""))</f>
        <v>#VALUE!</v>
      </c>
    </row>
    <row r="537" customFormat="false" ht="15.75" hidden="false" customHeight="false" outlineLevel="0" collapsed="false">
      <c r="A537" s="0" t="n">
        <f aca="false">'Form Responses (Pokemon Stats)'!B431</f>
        <v>0</v>
      </c>
      <c r="B537" s="0" t="n">
        <f aca="false">'Form Responses (Pokemon Stats)'!D431</f>
        <v>0</v>
      </c>
      <c r="C537" s="0" t="n">
        <f aca="false">'Form Responses (Pokemon Stats)'!C431</f>
        <v>0</v>
      </c>
      <c r="F537" s="0" t="n">
        <f aca="false">'Form Responses (Pokemon Stats)'!E431</f>
        <v>0</v>
      </c>
      <c r="G537" s="0" t="str">
        <f aca="false">IFERROR(__xludf.dummyfunction("ROUND(B537/ FILTER('Pokemon CP/HP'!$M$2:$M1000, LOWER('Pokemon CP/HP'!$B$2:$B1000)=LOWER(A537)))"),"#DIV/0!")</f>
        <v>#DIV/0!</v>
      </c>
      <c r="H537" s="0" t="str">
        <f aca="false">IFERROR(__xludf.dummyfunction("FILTER('Leveling Info'!$B$2:$B1000, 'Leveling Info'!$A$2:$A1000 =G537)"),"#N/A")</f>
        <v>#N/A</v>
      </c>
      <c r="I537" s="14" t="e">
        <f aca="false">SQRT(G537)</f>
        <v>#VALUE!</v>
      </c>
      <c r="J537" s="14" t="str">
        <f aca="false">IFERROR(__xludf.dummyfunction("IF(F537 = H537,C537/FILTER('Base Stats'!$C$2:$C1000, LOWER('Base Stats'!$B$2:$B1000) = LOWER($A537)), """")"),"#N/A")</f>
        <v>#N/A</v>
      </c>
      <c r="K537" s="0" t="str">
        <f aca="false">IF(F537 = H537, C537/G537, "")</f>
        <v/>
      </c>
      <c r="L537" s="0" t="str">
        <f aca="false">IFERROR(__xludf.dummyfunction("IF(AND(NOT(K537 = """"), G537 &gt;= 15),K537/FILTER('Base Stats'!$C$2:$C1000, LOWER('Base Stats'!$B$2:$B1000) = LOWER($A537)), """")"),"#N/A")</f>
        <v>#N/A</v>
      </c>
      <c r="M537" s="0" t="str">
        <f aca="false">IFERROR(__xludf.dummyfunction("1.15 + 0.02 * FILTER('Base Stats'!$C$2:$C1000, LOWER('Base Stats'!$B$2:$B1000) = LOWER($A537))"),"1.15")</f>
        <v>1.15</v>
      </c>
      <c r="N537" s="0" t="e">
        <f aca="false">IFERROR(IF(AND(NOT(K537 = ""), G537 &gt;= 15),K537/M537, ""))</f>
        <v>#VALUE!</v>
      </c>
    </row>
    <row r="538" customFormat="false" ht="15.75" hidden="false" customHeight="false" outlineLevel="0" collapsed="false">
      <c r="A538" s="0" t="n">
        <f aca="false">'Form Responses (Pokemon Stats)'!B432</f>
        <v>0</v>
      </c>
      <c r="B538" s="0" t="n">
        <f aca="false">'Form Responses (Pokemon Stats)'!D432</f>
        <v>0</v>
      </c>
      <c r="C538" s="0" t="n">
        <f aca="false">'Form Responses (Pokemon Stats)'!C432</f>
        <v>0</v>
      </c>
      <c r="F538" s="0" t="n">
        <f aca="false">'Form Responses (Pokemon Stats)'!E432</f>
        <v>0</v>
      </c>
      <c r="G538" s="0" t="str">
        <f aca="false">IFERROR(__xludf.dummyfunction("ROUND(B538/ FILTER('Pokemon CP/HP'!$M$2:$M1000, LOWER('Pokemon CP/HP'!$B$2:$B1000)=LOWER(A538)))"),"#DIV/0!")</f>
        <v>#DIV/0!</v>
      </c>
      <c r="H538" s="0" t="str">
        <f aca="false">IFERROR(__xludf.dummyfunction("FILTER('Leveling Info'!$B$2:$B1000, 'Leveling Info'!$A$2:$A1000 =G538)"),"#N/A")</f>
        <v>#N/A</v>
      </c>
      <c r="I538" s="14" t="e">
        <f aca="false">SQRT(G538)</f>
        <v>#VALUE!</v>
      </c>
      <c r="J538" s="14" t="str">
        <f aca="false">IFERROR(__xludf.dummyfunction("IF(F538 = H538,C538/FILTER('Base Stats'!$C$2:$C1000, LOWER('Base Stats'!$B$2:$B1000) = LOWER($A538)), """")"),"#N/A")</f>
        <v>#N/A</v>
      </c>
      <c r="K538" s="0" t="str">
        <f aca="false">IF(F538 = H538, C538/G538, "")</f>
        <v/>
      </c>
      <c r="L538" s="0" t="str">
        <f aca="false">IFERROR(__xludf.dummyfunction("IF(AND(NOT(K538 = """"), G538 &gt;= 15),K538/FILTER('Base Stats'!$C$2:$C1000, LOWER('Base Stats'!$B$2:$B1000) = LOWER($A538)), """")"),"#N/A")</f>
        <v>#N/A</v>
      </c>
      <c r="M538" s="0" t="str">
        <f aca="false">IFERROR(__xludf.dummyfunction("1.15 + 0.02 * FILTER('Base Stats'!$C$2:$C1000, LOWER('Base Stats'!$B$2:$B1000) = LOWER($A538))"),"1.15")</f>
        <v>1.15</v>
      </c>
      <c r="N538" s="0" t="e">
        <f aca="false">IFERROR(IF(AND(NOT(K538 = ""), G538 &gt;= 15),K538/M538, ""))</f>
        <v>#VALUE!</v>
      </c>
    </row>
    <row r="539" customFormat="false" ht="15.75" hidden="false" customHeight="false" outlineLevel="0" collapsed="false">
      <c r="A539" s="0" t="n">
        <f aca="false">'Form Responses (Pokemon Stats)'!B433</f>
        <v>0</v>
      </c>
      <c r="B539" s="0" t="n">
        <f aca="false">'Form Responses (Pokemon Stats)'!D433</f>
        <v>0</v>
      </c>
      <c r="C539" s="0" t="n">
        <f aca="false">'Form Responses (Pokemon Stats)'!C433</f>
        <v>0</v>
      </c>
      <c r="F539" s="0" t="n">
        <f aca="false">'Form Responses (Pokemon Stats)'!E433</f>
        <v>0</v>
      </c>
      <c r="G539" s="0" t="str">
        <f aca="false">IFERROR(__xludf.dummyfunction("ROUND(B539/ FILTER('Pokemon CP/HP'!$M$2:$M1000, LOWER('Pokemon CP/HP'!$B$2:$B1000)=LOWER(A539)))"),"#DIV/0!")</f>
        <v>#DIV/0!</v>
      </c>
      <c r="H539" s="0" t="str">
        <f aca="false">IFERROR(__xludf.dummyfunction("FILTER('Leveling Info'!$B$2:$B1000, 'Leveling Info'!$A$2:$A1000 =G539)"),"#N/A")</f>
        <v>#N/A</v>
      </c>
      <c r="I539" s="14" t="e">
        <f aca="false">SQRT(G539)</f>
        <v>#VALUE!</v>
      </c>
      <c r="J539" s="14" t="str">
        <f aca="false">IFERROR(__xludf.dummyfunction("IF(F539 = H539,C539/FILTER('Base Stats'!$C$2:$C1000, LOWER('Base Stats'!$B$2:$B1000) = LOWER($A539)), """")"),"#N/A")</f>
        <v>#N/A</v>
      </c>
      <c r="K539" s="0" t="str">
        <f aca="false">IF(F539 = H539, C539/G539, "")</f>
        <v/>
      </c>
      <c r="L539" s="0" t="str">
        <f aca="false">IFERROR(__xludf.dummyfunction("IF(AND(NOT(K539 = """"), G539 &gt;= 15),K539/FILTER('Base Stats'!$C$2:$C1000, LOWER('Base Stats'!$B$2:$B1000) = LOWER($A539)), """")"),"#N/A")</f>
        <v>#N/A</v>
      </c>
      <c r="M539" s="0" t="str">
        <f aca="false">IFERROR(__xludf.dummyfunction("1.15 + 0.02 * FILTER('Base Stats'!$C$2:$C1000, LOWER('Base Stats'!$B$2:$B1000) = LOWER($A539))"),"1.15")</f>
        <v>1.15</v>
      </c>
      <c r="N539" s="0" t="e">
        <f aca="false">IFERROR(IF(AND(NOT(K539 = ""), G539 &gt;= 15),K539/M539, ""))</f>
        <v>#VALUE!</v>
      </c>
    </row>
    <row r="540" customFormat="false" ht="15.75" hidden="false" customHeight="false" outlineLevel="0" collapsed="false">
      <c r="A540" s="0" t="n">
        <f aca="false">'Form Responses (Pokemon Stats)'!B434</f>
        <v>0</v>
      </c>
      <c r="B540" s="0" t="n">
        <f aca="false">'Form Responses (Pokemon Stats)'!D434</f>
        <v>0</v>
      </c>
      <c r="C540" s="0" t="n">
        <f aca="false">'Form Responses (Pokemon Stats)'!C434</f>
        <v>0</v>
      </c>
      <c r="F540" s="0" t="n">
        <f aca="false">'Form Responses (Pokemon Stats)'!E434</f>
        <v>0</v>
      </c>
      <c r="G540" s="0" t="str">
        <f aca="false">IFERROR(__xludf.dummyfunction("ROUND(B540/ FILTER('Pokemon CP/HP'!$M$2:$M1000, LOWER('Pokemon CP/HP'!$B$2:$B1000)=LOWER(A540)))"),"#DIV/0!")</f>
        <v>#DIV/0!</v>
      </c>
      <c r="H540" s="0" t="str">
        <f aca="false">IFERROR(__xludf.dummyfunction("FILTER('Leveling Info'!$B$2:$B1000, 'Leveling Info'!$A$2:$A1000 =G540)"),"#N/A")</f>
        <v>#N/A</v>
      </c>
      <c r="I540" s="14" t="e">
        <f aca="false">SQRT(G540)</f>
        <v>#VALUE!</v>
      </c>
      <c r="J540" s="14" t="str">
        <f aca="false">IFERROR(__xludf.dummyfunction("IF(F540 = H540,C540/FILTER('Base Stats'!$C$2:$C1000, LOWER('Base Stats'!$B$2:$B1000) = LOWER($A540)), """")"),"#N/A")</f>
        <v>#N/A</v>
      </c>
      <c r="K540" s="0" t="str">
        <f aca="false">IF(F540 = H540, C540/G540, "")</f>
        <v/>
      </c>
      <c r="L540" s="0" t="str">
        <f aca="false">IFERROR(__xludf.dummyfunction("IF(AND(NOT(K540 = """"), G540 &gt;= 15),K540/FILTER('Base Stats'!$C$2:$C1000, LOWER('Base Stats'!$B$2:$B1000) = LOWER($A540)), """")"),"#N/A")</f>
        <v>#N/A</v>
      </c>
      <c r="M540" s="0" t="str">
        <f aca="false">IFERROR(__xludf.dummyfunction("1.15 + 0.02 * FILTER('Base Stats'!$C$2:$C1000, LOWER('Base Stats'!$B$2:$B1000) = LOWER($A540))"),"1.15")</f>
        <v>1.15</v>
      </c>
      <c r="N540" s="0" t="e">
        <f aca="false">IFERROR(IF(AND(NOT(K540 = ""), G540 &gt;= 15),K540/M540, ""))</f>
        <v>#VALUE!</v>
      </c>
    </row>
    <row r="541" customFormat="false" ht="15.75" hidden="false" customHeight="false" outlineLevel="0" collapsed="false">
      <c r="A541" s="0" t="n">
        <f aca="false">'Form Responses (Pokemon Stats)'!B435</f>
        <v>0</v>
      </c>
      <c r="B541" s="0" t="n">
        <f aca="false">'Form Responses (Pokemon Stats)'!D435</f>
        <v>0</v>
      </c>
      <c r="C541" s="0" t="n">
        <f aca="false">'Form Responses (Pokemon Stats)'!C435</f>
        <v>0</v>
      </c>
      <c r="F541" s="0" t="n">
        <f aca="false">'Form Responses (Pokemon Stats)'!E435</f>
        <v>0</v>
      </c>
      <c r="G541" s="0" t="str">
        <f aca="false">IFERROR(__xludf.dummyfunction("ROUND(B541/ FILTER('Pokemon CP/HP'!$M$2:$M1000, LOWER('Pokemon CP/HP'!$B$2:$B1000)=LOWER(A541)))"),"#DIV/0!")</f>
        <v>#DIV/0!</v>
      </c>
      <c r="H541" s="0" t="str">
        <f aca="false">IFERROR(__xludf.dummyfunction("FILTER('Leveling Info'!$B$2:$B1000, 'Leveling Info'!$A$2:$A1000 =G541)"),"#N/A")</f>
        <v>#N/A</v>
      </c>
      <c r="I541" s="14" t="e">
        <f aca="false">SQRT(G541)</f>
        <v>#VALUE!</v>
      </c>
      <c r="J541" s="14" t="str">
        <f aca="false">IFERROR(__xludf.dummyfunction("IF(F541 = H541,C541/FILTER('Base Stats'!$C$2:$C1000, LOWER('Base Stats'!$B$2:$B1000) = LOWER($A541)), """")"),"#N/A")</f>
        <v>#N/A</v>
      </c>
      <c r="K541" s="0" t="str">
        <f aca="false">IF(F541 = H541, C541/G541, "")</f>
        <v/>
      </c>
      <c r="L541" s="0" t="str">
        <f aca="false">IFERROR(__xludf.dummyfunction("IF(AND(NOT(K541 = """"), G541 &gt;= 15),K541/FILTER('Base Stats'!$C$2:$C1000, LOWER('Base Stats'!$B$2:$B1000) = LOWER($A541)), """")"),"#N/A")</f>
        <v>#N/A</v>
      </c>
      <c r="M541" s="0" t="str">
        <f aca="false">IFERROR(__xludf.dummyfunction("1.15 + 0.02 * FILTER('Base Stats'!$C$2:$C1000, LOWER('Base Stats'!$B$2:$B1000) = LOWER($A541))"),"1.15")</f>
        <v>1.15</v>
      </c>
      <c r="N541" s="0" t="e">
        <f aca="false">IFERROR(IF(AND(NOT(K541 = ""), G541 &gt;= 15),K541/M541, ""))</f>
        <v>#VALUE!</v>
      </c>
    </row>
    <row r="542" customFormat="false" ht="15.75" hidden="false" customHeight="false" outlineLevel="0" collapsed="false">
      <c r="A542" s="0" t="n">
        <f aca="false">'Form Responses (Pokemon Stats)'!B436</f>
        <v>0</v>
      </c>
      <c r="B542" s="0" t="n">
        <f aca="false">'Form Responses (Pokemon Stats)'!D436</f>
        <v>0</v>
      </c>
      <c r="C542" s="0" t="n">
        <f aca="false">'Form Responses (Pokemon Stats)'!C436</f>
        <v>0</v>
      </c>
      <c r="F542" s="0" t="n">
        <f aca="false">'Form Responses (Pokemon Stats)'!E436</f>
        <v>0</v>
      </c>
      <c r="G542" s="0" t="str">
        <f aca="false">IFERROR(__xludf.dummyfunction("ROUND(B542/ FILTER('Pokemon CP/HP'!$M$2:$M1000, LOWER('Pokemon CP/HP'!$B$2:$B1000)=LOWER(A542)))"),"#DIV/0!")</f>
        <v>#DIV/0!</v>
      </c>
      <c r="H542" s="0" t="str">
        <f aca="false">IFERROR(__xludf.dummyfunction("FILTER('Leveling Info'!$B$2:$B1000, 'Leveling Info'!$A$2:$A1000 =G542)"),"#N/A")</f>
        <v>#N/A</v>
      </c>
      <c r="I542" s="14" t="e">
        <f aca="false">SQRT(G542)</f>
        <v>#VALUE!</v>
      </c>
      <c r="J542" s="14" t="str">
        <f aca="false">IFERROR(__xludf.dummyfunction("IF(F542 = H542,C542/FILTER('Base Stats'!$C$2:$C1000, LOWER('Base Stats'!$B$2:$B1000) = LOWER($A542)), """")"),"#N/A")</f>
        <v>#N/A</v>
      </c>
      <c r="K542" s="0" t="str">
        <f aca="false">IF(F542 = H542, C542/G542, "")</f>
        <v/>
      </c>
      <c r="L542" s="0" t="str">
        <f aca="false">IFERROR(__xludf.dummyfunction("IF(AND(NOT(K542 = """"), G542 &gt;= 15),K542/FILTER('Base Stats'!$C$2:$C1000, LOWER('Base Stats'!$B$2:$B1000) = LOWER($A542)), """")"),"#N/A")</f>
        <v>#N/A</v>
      </c>
      <c r="M542" s="0" t="str">
        <f aca="false">IFERROR(__xludf.dummyfunction("1.15 + 0.02 * FILTER('Base Stats'!$C$2:$C1000, LOWER('Base Stats'!$B$2:$B1000) = LOWER($A542))"),"1.15")</f>
        <v>1.15</v>
      </c>
      <c r="N542" s="0" t="e">
        <f aca="false">IFERROR(IF(AND(NOT(K542 = ""), G542 &gt;= 15),K542/M542, ""))</f>
        <v>#VALUE!</v>
      </c>
    </row>
    <row r="543" customFormat="false" ht="15.75" hidden="false" customHeight="false" outlineLevel="0" collapsed="false">
      <c r="A543" s="0" t="n">
        <f aca="false">'Form Responses (Pokemon Stats)'!B437</f>
        <v>0</v>
      </c>
      <c r="B543" s="0" t="n">
        <f aca="false">'Form Responses (Pokemon Stats)'!D437</f>
        <v>0</v>
      </c>
      <c r="C543" s="0" t="n">
        <f aca="false">'Form Responses (Pokemon Stats)'!C437</f>
        <v>0</v>
      </c>
      <c r="F543" s="0" t="n">
        <f aca="false">'Form Responses (Pokemon Stats)'!E437</f>
        <v>0</v>
      </c>
      <c r="G543" s="0" t="str">
        <f aca="false">IFERROR(__xludf.dummyfunction("ROUND(B543/ FILTER('Pokemon CP/HP'!$M$2:$M1000, LOWER('Pokemon CP/HP'!$B$2:$B1000)=LOWER(A543)))"),"#DIV/0!")</f>
        <v>#DIV/0!</v>
      </c>
      <c r="H543" s="0" t="str">
        <f aca="false">IFERROR(__xludf.dummyfunction("FILTER('Leveling Info'!$B$2:$B1000, 'Leveling Info'!$A$2:$A1000 =G543)"),"#N/A")</f>
        <v>#N/A</v>
      </c>
      <c r="I543" s="14" t="e">
        <f aca="false">SQRT(G543)</f>
        <v>#VALUE!</v>
      </c>
      <c r="J543" s="14" t="str">
        <f aca="false">IFERROR(__xludf.dummyfunction("IF(F543 = H543,C543/FILTER('Base Stats'!$C$2:$C1000, LOWER('Base Stats'!$B$2:$B1000) = LOWER($A543)), """")"),"#N/A")</f>
        <v>#N/A</v>
      </c>
      <c r="K543" s="0" t="str">
        <f aca="false">IF(F543 = H543, C543/G543, "")</f>
        <v/>
      </c>
      <c r="L543" s="0" t="str">
        <f aca="false">IFERROR(__xludf.dummyfunction("IF(AND(NOT(K543 = """"), G543 &gt;= 15),K543/FILTER('Base Stats'!$C$2:$C1000, LOWER('Base Stats'!$B$2:$B1000) = LOWER($A543)), """")"),"#N/A")</f>
        <v>#N/A</v>
      </c>
      <c r="M543" s="0" t="str">
        <f aca="false">IFERROR(__xludf.dummyfunction("1.15 + 0.02 * FILTER('Base Stats'!$C$2:$C1000, LOWER('Base Stats'!$B$2:$B1000) = LOWER($A543))"),"1.15")</f>
        <v>1.15</v>
      </c>
      <c r="N543" s="0" t="e">
        <f aca="false">IFERROR(IF(AND(NOT(K543 = ""), G543 &gt;= 15),K543/M543, ""))</f>
        <v>#VALUE!</v>
      </c>
    </row>
    <row r="544" customFormat="false" ht="15.75" hidden="false" customHeight="false" outlineLevel="0" collapsed="false">
      <c r="A544" s="0" t="n">
        <f aca="false">'Form Responses (Pokemon Stats)'!B438</f>
        <v>0</v>
      </c>
      <c r="B544" s="0" t="n">
        <f aca="false">'Form Responses (Pokemon Stats)'!D438</f>
        <v>0</v>
      </c>
      <c r="C544" s="0" t="n">
        <f aca="false">'Form Responses (Pokemon Stats)'!C438</f>
        <v>0</v>
      </c>
      <c r="F544" s="0" t="n">
        <f aca="false">'Form Responses (Pokemon Stats)'!E438</f>
        <v>0</v>
      </c>
      <c r="G544" s="0" t="str">
        <f aca="false">IFERROR(__xludf.dummyfunction("ROUND(B544/ FILTER('Pokemon CP/HP'!$M$2:$M1000, LOWER('Pokemon CP/HP'!$B$2:$B1000)=LOWER(A544)))"),"#DIV/0!")</f>
        <v>#DIV/0!</v>
      </c>
      <c r="H544" s="0" t="str">
        <f aca="false">IFERROR(__xludf.dummyfunction("FILTER('Leveling Info'!$B$2:$B1000, 'Leveling Info'!$A$2:$A1000 =G544)"),"#N/A")</f>
        <v>#N/A</v>
      </c>
      <c r="I544" s="14" t="e">
        <f aca="false">SQRT(G544)</f>
        <v>#VALUE!</v>
      </c>
      <c r="J544" s="14" t="str">
        <f aca="false">IFERROR(__xludf.dummyfunction("IF(F544 = H544,C544/FILTER('Base Stats'!$C$2:$C1000, LOWER('Base Stats'!$B$2:$B1000) = LOWER($A544)), """")"),"#N/A")</f>
        <v>#N/A</v>
      </c>
      <c r="K544" s="0" t="str">
        <f aca="false">IF(F544 = H544, C544/G544, "")</f>
        <v/>
      </c>
      <c r="L544" s="0" t="str">
        <f aca="false">IFERROR(__xludf.dummyfunction("IF(AND(NOT(K544 = """"), G544 &gt;= 15),K544/FILTER('Base Stats'!$C$2:$C1000, LOWER('Base Stats'!$B$2:$B1000) = LOWER($A544)), """")"),"#N/A")</f>
        <v>#N/A</v>
      </c>
      <c r="M544" s="0" t="str">
        <f aca="false">IFERROR(__xludf.dummyfunction("1.15 + 0.02 * FILTER('Base Stats'!$C$2:$C1000, LOWER('Base Stats'!$B$2:$B1000) = LOWER($A544))"),"1.15")</f>
        <v>1.15</v>
      </c>
      <c r="N544" s="0" t="e">
        <f aca="false">IFERROR(IF(AND(NOT(K544 = ""), G544 &gt;= 15),K544/M544, ""))</f>
        <v>#VALUE!</v>
      </c>
    </row>
    <row r="545" customFormat="false" ht="15.75" hidden="false" customHeight="false" outlineLevel="0" collapsed="false">
      <c r="A545" s="0" t="n">
        <f aca="false">'Form Responses (Pokemon Stats)'!B439</f>
        <v>0</v>
      </c>
      <c r="B545" s="0" t="n">
        <f aca="false">'Form Responses (Pokemon Stats)'!D439</f>
        <v>0</v>
      </c>
      <c r="C545" s="0" t="n">
        <f aca="false">'Form Responses (Pokemon Stats)'!C439</f>
        <v>0</v>
      </c>
      <c r="F545" s="0" t="n">
        <f aca="false">'Form Responses (Pokemon Stats)'!E439</f>
        <v>0</v>
      </c>
      <c r="G545" s="0" t="str">
        <f aca="false">IFERROR(__xludf.dummyfunction("ROUND(B545/ FILTER('Pokemon CP/HP'!$M$2:$M1000, LOWER('Pokemon CP/HP'!$B$2:$B1000)=LOWER(A545)))"),"#DIV/0!")</f>
        <v>#DIV/0!</v>
      </c>
      <c r="H545" s="0" t="str">
        <f aca="false">IFERROR(__xludf.dummyfunction("FILTER('Leveling Info'!$B$2:$B1000, 'Leveling Info'!$A$2:$A1000 =G545)"),"#N/A")</f>
        <v>#N/A</v>
      </c>
      <c r="I545" s="14" t="e">
        <f aca="false">SQRT(G545)</f>
        <v>#VALUE!</v>
      </c>
      <c r="J545" s="14" t="str">
        <f aca="false">IFERROR(__xludf.dummyfunction("IF(F545 = H545,C545/FILTER('Base Stats'!$C$2:$C1000, LOWER('Base Stats'!$B$2:$B1000) = LOWER($A545)), """")"),"#N/A")</f>
        <v>#N/A</v>
      </c>
      <c r="K545" s="0" t="str">
        <f aca="false">IF(F545 = H545, C545/G545, "")</f>
        <v/>
      </c>
      <c r="L545" s="0" t="str">
        <f aca="false">IFERROR(__xludf.dummyfunction("IF(AND(NOT(K545 = """"), G545 &gt;= 15),K545/FILTER('Base Stats'!$C$2:$C1000, LOWER('Base Stats'!$B$2:$B1000) = LOWER($A545)), """")"),"#N/A")</f>
        <v>#N/A</v>
      </c>
      <c r="M545" s="0" t="str">
        <f aca="false">IFERROR(__xludf.dummyfunction("1.15 + 0.02 * FILTER('Base Stats'!$C$2:$C1000, LOWER('Base Stats'!$B$2:$B1000) = LOWER($A545))"),"1.15")</f>
        <v>1.15</v>
      </c>
      <c r="N545" s="0" t="e">
        <f aca="false">IFERROR(IF(AND(NOT(K545 = ""), G545 &gt;= 15),K545/M545, ""))</f>
        <v>#VALUE!</v>
      </c>
    </row>
    <row r="546" customFormat="false" ht="15.75" hidden="false" customHeight="false" outlineLevel="0" collapsed="false">
      <c r="A546" s="0" t="n">
        <f aca="false">'Form Responses (Pokemon Stats)'!B440</f>
        <v>0</v>
      </c>
      <c r="B546" s="0" t="n">
        <f aca="false">'Form Responses (Pokemon Stats)'!D440</f>
        <v>0</v>
      </c>
      <c r="C546" s="0" t="n">
        <f aca="false">'Form Responses (Pokemon Stats)'!C440</f>
        <v>0</v>
      </c>
      <c r="F546" s="0" t="n">
        <f aca="false">'Form Responses (Pokemon Stats)'!E440</f>
        <v>0</v>
      </c>
      <c r="G546" s="0" t="str">
        <f aca="false">IFERROR(__xludf.dummyfunction("ROUND(B546/ FILTER('Pokemon CP/HP'!$M$2:$M1000, LOWER('Pokemon CP/HP'!$B$2:$B1000)=LOWER(A546)))"),"#DIV/0!")</f>
        <v>#DIV/0!</v>
      </c>
      <c r="H546" s="0" t="str">
        <f aca="false">IFERROR(__xludf.dummyfunction("FILTER('Leveling Info'!$B$2:$B1000, 'Leveling Info'!$A$2:$A1000 =G546)"),"#N/A")</f>
        <v>#N/A</v>
      </c>
      <c r="I546" s="14" t="e">
        <f aca="false">SQRT(G546)</f>
        <v>#VALUE!</v>
      </c>
      <c r="J546" s="14" t="str">
        <f aca="false">IFERROR(__xludf.dummyfunction("IF(F546 = H546,C546/FILTER('Base Stats'!$C$2:$C1000, LOWER('Base Stats'!$B$2:$B1000) = LOWER($A546)), """")"),"#N/A")</f>
        <v>#N/A</v>
      </c>
      <c r="K546" s="0" t="str">
        <f aca="false">IF(F546 = H546, C546/G546, "")</f>
        <v/>
      </c>
      <c r="L546" s="0" t="str">
        <f aca="false">IFERROR(__xludf.dummyfunction("IF(AND(NOT(K546 = """"), G546 &gt;= 15),K546/FILTER('Base Stats'!$C$2:$C1000, LOWER('Base Stats'!$B$2:$B1000) = LOWER($A546)), """")"),"#N/A")</f>
        <v>#N/A</v>
      </c>
      <c r="M546" s="0" t="str">
        <f aca="false">IFERROR(__xludf.dummyfunction("1.15 + 0.02 * FILTER('Base Stats'!$C$2:$C1000, LOWER('Base Stats'!$B$2:$B1000) = LOWER($A546))"),"1.15")</f>
        <v>1.15</v>
      </c>
      <c r="N546" s="0" t="e">
        <f aca="false">IFERROR(IF(AND(NOT(K546 = ""), G546 &gt;= 15),K546/M546, ""))</f>
        <v>#VALUE!</v>
      </c>
    </row>
    <row r="547" customFormat="false" ht="15.75" hidden="false" customHeight="false" outlineLevel="0" collapsed="false">
      <c r="A547" s="0" t="n">
        <f aca="false">'Form Responses (Pokemon Stats)'!B441</f>
        <v>0</v>
      </c>
      <c r="B547" s="0" t="n">
        <f aca="false">'Form Responses (Pokemon Stats)'!D441</f>
        <v>0</v>
      </c>
      <c r="C547" s="0" t="n">
        <f aca="false">'Form Responses (Pokemon Stats)'!C441</f>
        <v>0</v>
      </c>
      <c r="F547" s="0" t="n">
        <f aca="false">'Form Responses (Pokemon Stats)'!E441</f>
        <v>0</v>
      </c>
      <c r="G547" s="0" t="str">
        <f aca="false">IFERROR(__xludf.dummyfunction("ROUND(B547/ FILTER('Pokemon CP/HP'!$M$2:$M1000, LOWER('Pokemon CP/HP'!$B$2:$B1000)=LOWER(A547)))"),"#DIV/0!")</f>
        <v>#DIV/0!</v>
      </c>
      <c r="H547" s="0" t="str">
        <f aca="false">IFERROR(__xludf.dummyfunction("FILTER('Leveling Info'!$B$2:$B1000, 'Leveling Info'!$A$2:$A1000 =G547)"),"#N/A")</f>
        <v>#N/A</v>
      </c>
      <c r="I547" s="14" t="e">
        <f aca="false">SQRT(G547)</f>
        <v>#VALUE!</v>
      </c>
      <c r="J547" s="14" t="str">
        <f aca="false">IFERROR(__xludf.dummyfunction("IF(F547 = H547,C547/FILTER('Base Stats'!$C$2:$C1000, LOWER('Base Stats'!$B$2:$B1000) = LOWER($A547)), """")"),"#N/A")</f>
        <v>#N/A</v>
      </c>
      <c r="K547" s="0" t="str">
        <f aca="false">IF(F547 = H547, C547/G547, "")</f>
        <v/>
      </c>
      <c r="L547" s="0" t="str">
        <f aca="false">IFERROR(__xludf.dummyfunction("IF(AND(NOT(K547 = """"), G547 &gt;= 15),K547/FILTER('Base Stats'!$C$2:$C1000, LOWER('Base Stats'!$B$2:$B1000) = LOWER($A547)), """")"),"#N/A")</f>
        <v>#N/A</v>
      </c>
      <c r="M547" s="0" t="str">
        <f aca="false">IFERROR(__xludf.dummyfunction("1.15 + 0.02 * FILTER('Base Stats'!$C$2:$C1000, LOWER('Base Stats'!$B$2:$B1000) = LOWER($A547))"),"1.15")</f>
        <v>1.15</v>
      </c>
      <c r="N547" s="0" t="e">
        <f aca="false">IFERROR(IF(AND(NOT(K547 = ""), G547 &gt;= 15),K547/M547, ""))</f>
        <v>#VALUE!</v>
      </c>
    </row>
    <row r="548" customFormat="false" ht="15.75" hidden="false" customHeight="false" outlineLevel="0" collapsed="false">
      <c r="A548" s="0" t="n">
        <f aca="false">'Form Responses (Pokemon Stats)'!B442</f>
        <v>0</v>
      </c>
      <c r="B548" s="0" t="n">
        <f aca="false">'Form Responses (Pokemon Stats)'!D442</f>
        <v>0</v>
      </c>
      <c r="C548" s="0" t="n">
        <f aca="false">'Form Responses (Pokemon Stats)'!C442</f>
        <v>0</v>
      </c>
      <c r="F548" s="0" t="n">
        <f aca="false">'Form Responses (Pokemon Stats)'!E442</f>
        <v>0</v>
      </c>
      <c r="G548" s="0" t="str">
        <f aca="false">IFERROR(__xludf.dummyfunction("ROUND(B548/ FILTER('Pokemon CP/HP'!$M$2:$M1000, LOWER('Pokemon CP/HP'!$B$2:$B1000)=LOWER(A548)))"),"#DIV/0!")</f>
        <v>#DIV/0!</v>
      </c>
      <c r="H548" s="0" t="str">
        <f aca="false">IFERROR(__xludf.dummyfunction("FILTER('Leveling Info'!$B$2:$B1000, 'Leveling Info'!$A$2:$A1000 =G548)"),"#N/A")</f>
        <v>#N/A</v>
      </c>
      <c r="I548" s="14" t="e">
        <f aca="false">SQRT(G548)</f>
        <v>#VALUE!</v>
      </c>
      <c r="J548" s="14" t="str">
        <f aca="false">IFERROR(__xludf.dummyfunction("IF(F548 = H548,C548/FILTER('Base Stats'!$C$2:$C1000, LOWER('Base Stats'!$B$2:$B1000) = LOWER($A548)), """")"),"#N/A")</f>
        <v>#N/A</v>
      </c>
      <c r="K548" s="0" t="str">
        <f aca="false">IF(F548 = H548, C548/G548, "")</f>
        <v/>
      </c>
      <c r="L548" s="0" t="str">
        <f aca="false">IFERROR(__xludf.dummyfunction("IF(AND(NOT(K548 = """"), G548 &gt;= 15),K548/FILTER('Base Stats'!$C$2:$C1000, LOWER('Base Stats'!$B$2:$B1000) = LOWER($A548)), """")"),"#N/A")</f>
        <v>#N/A</v>
      </c>
      <c r="M548" s="0" t="str">
        <f aca="false">IFERROR(__xludf.dummyfunction("1.15 + 0.02 * FILTER('Base Stats'!$C$2:$C1000, LOWER('Base Stats'!$B$2:$B1000) = LOWER($A548))"),"1.15")</f>
        <v>1.15</v>
      </c>
      <c r="N548" s="0" t="e">
        <f aca="false">IFERROR(IF(AND(NOT(K548 = ""), G548 &gt;= 15),K548/M548, ""))</f>
        <v>#VALUE!</v>
      </c>
    </row>
    <row r="549" customFormat="false" ht="15.75" hidden="false" customHeight="false" outlineLevel="0" collapsed="false">
      <c r="A549" s="0" t="n">
        <f aca="false">'Form Responses (Pokemon Stats)'!B443</f>
        <v>0</v>
      </c>
      <c r="B549" s="0" t="n">
        <f aca="false">'Form Responses (Pokemon Stats)'!D443</f>
        <v>0</v>
      </c>
      <c r="C549" s="0" t="n">
        <f aca="false">'Form Responses (Pokemon Stats)'!C443</f>
        <v>0</v>
      </c>
      <c r="F549" s="0" t="n">
        <f aca="false">'Form Responses (Pokemon Stats)'!E443</f>
        <v>0</v>
      </c>
      <c r="G549" s="0" t="str">
        <f aca="false">IFERROR(__xludf.dummyfunction("ROUND(B549/ FILTER('Pokemon CP/HP'!$M$2:$M1000, LOWER('Pokemon CP/HP'!$B$2:$B1000)=LOWER(A549)))"),"#DIV/0!")</f>
        <v>#DIV/0!</v>
      </c>
      <c r="H549" s="0" t="str">
        <f aca="false">IFERROR(__xludf.dummyfunction("FILTER('Leveling Info'!$B$2:$B1000, 'Leveling Info'!$A$2:$A1000 =G549)"),"#N/A")</f>
        <v>#N/A</v>
      </c>
      <c r="I549" s="14" t="e">
        <f aca="false">SQRT(G549)</f>
        <v>#VALUE!</v>
      </c>
      <c r="J549" s="14" t="str">
        <f aca="false">IFERROR(__xludf.dummyfunction("IF(F549 = H549,C549/FILTER('Base Stats'!$C$2:$C1000, LOWER('Base Stats'!$B$2:$B1000) = LOWER($A549)), """")"),"#N/A")</f>
        <v>#N/A</v>
      </c>
      <c r="K549" s="0" t="str">
        <f aca="false">IF(F549 = H549, C549/G549, "")</f>
        <v/>
      </c>
      <c r="L549" s="0" t="str">
        <f aca="false">IFERROR(__xludf.dummyfunction("IF(AND(NOT(K549 = """"), G549 &gt;= 15),K549/FILTER('Base Stats'!$C$2:$C1000, LOWER('Base Stats'!$B$2:$B1000) = LOWER($A549)), """")"),"#N/A")</f>
        <v>#N/A</v>
      </c>
      <c r="M549" s="0" t="str">
        <f aca="false">IFERROR(__xludf.dummyfunction("1.15 + 0.02 * FILTER('Base Stats'!$C$2:$C1000, LOWER('Base Stats'!$B$2:$B1000) = LOWER($A549))"),"1.15")</f>
        <v>1.15</v>
      </c>
      <c r="N549" s="0" t="e">
        <f aca="false">IFERROR(IF(AND(NOT(K549 = ""), G549 &gt;= 15),K549/M549, ""))</f>
        <v>#VALUE!</v>
      </c>
    </row>
    <row r="550" customFormat="false" ht="15.75" hidden="false" customHeight="false" outlineLevel="0" collapsed="false">
      <c r="A550" s="0" t="n">
        <f aca="false">'Form Responses (Pokemon Stats)'!B444</f>
        <v>0</v>
      </c>
      <c r="B550" s="0" t="n">
        <f aca="false">'Form Responses (Pokemon Stats)'!D444</f>
        <v>0</v>
      </c>
      <c r="C550" s="0" t="n">
        <f aca="false">'Form Responses (Pokemon Stats)'!C444</f>
        <v>0</v>
      </c>
      <c r="F550" s="0" t="n">
        <f aca="false">'Form Responses (Pokemon Stats)'!E444</f>
        <v>0</v>
      </c>
      <c r="G550" s="0" t="str">
        <f aca="false">IFERROR(__xludf.dummyfunction("ROUND(B550/ FILTER('Pokemon CP/HP'!$M$2:$M1000, LOWER('Pokemon CP/HP'!$B$2:$B1000)=LOWER(A550)))"),"#DIV/0!")</f>
        <v>#DIV/0!</v>
      </c>
      <c r="H550" s="0" t="str">
        <f aca="false">IFERROR(__xludf.dummyfunction("FILTER('Leveling Info'!$B$2:$B1000, 'Leveling Info'!$A$2:$A1000 =G550)"),"#N/A")</f>
        <v>#N/A</v>
      </c>
      <c r="I550" s="14" t="e">
        <f aca="false">SQRT(G550)</f>
        <v>#VALUE!</v>
      </c>
      <c r="J550" s="14" t="str">
        <f aca="false">IFERROR(__xludf.dummyfunction("IF(F550 = H550,C550/FILTER('Base Stats'!$C$2:$C1000, LOWER('Base Stats'!$B$2:$B1000) = LOWER($A550)), """")"),"#N/A")</f>
        <v>#N/A</v>
      </c>
      <c r="K550" s="0" t="str">
        <f aca="false">IF(F550 = H550, C550/G550, "")</f>
        <v/>
      </c>
      <c r="L550" s="0" t="str">
        <f aca="false">IFERROR(__xludf.dummyfunction("IF(AND(NOT(K550 = """"), G550 &gt;= 15),K550/FILTER('Base Stats'!$C$2:$C1000, LOWER('Base Stats'!$B$2:$B1000) = LOWER($A550)), """")"),"#N/A")</f>
        <v>#N/A</v>
      </c>
      <c r="M550" s="0" t="str">
        <f aca="false">IFERROR(__xludf.dummyfunction("1.15 + 0.02 * FILTER('Base Stats'!$C$2:$C1000, LOWER('Base Stats'!$B$2:$B1000) = LOWER($A550))"),"1.15")</f>
        <v>1.15</v>
      </c>
      <c r="N550" s="0" t="e">
        <f aca="false">IFERROR(IF(AND(NOT(K550 = ""), G550 &gt;= 15),K550/M550, ""))</f>
        <v>#VALUE!</v>
      </c>
    </row>
    <row r="551" customFormat="false" ht="15.75" hidden="false" customHeight="false" outlineLevel="0" collapsed="false">
      <c r="A551" s="0" t="n">
        <f aca="false">'Form Responses (Pokemon Stats)'!B445</f>
        <v>0</v>
      </c>
      <c r="B551" s="0" t="n">
        <f aca="false">'Form Responses (Pokemon Stats)'!D445</f>
        <v>0</v>
      </c>
      <c r="C551" s="0" t="n">
        <f aca="false">'Form Responses (Pokemon Stats)'!C445</f>
        <v>0</v>
      </c>
      <c r="F551" s="0" t="n">
        <f aca="false">'Form Responses (Pokemon Stats)'!E445</f>
        <v>0</v>
      </c>
      <c r="G551" s="0" t="str">
        <f aca="false">IFERROR(__xludf.dummyfunction("ROUND(B551/ FILTER('Pokemon CP/HP'!$M$2:$M1000, LOWER('Pokemon CP/HP'!$B$2:$B1000)=LOWER(A551)))"),"#DIV/0!")</f>
        <v>#DIV/0!</v>
      </c>
      <c r="H551" s="0" t="str">
        <f aca="false">IFERROR(__xludf.dummyfunction("FILTER('Leveling Info'!$B$2:$B1000, 'Leveling Info'!$A$2:$A1000 =G551)"),"#N/A")</f>
        <v>#N/A</v>
      </c>
      <c r="I551" s="14" t="e">
        <f aca="false">SQRT(G551)</f>
        <v>#VALUE!</v>
      </c>
      <c r="J551" s="14" t="str">
        <f aca="false">IFERROR(__xludf.dummyfunction("IF(F551 = H551,C551/FILTER('Base Stats'!$C$2:$C1000, LOWER('Base Stats'!$B$2:$B1000) = LOWER($A551)), """")"),"#N/A")</f>
        <v>#N/A</v>
      </c>
      <c r="K551" s="0" t="str">
        <f aca="false">IF(F551 = H551, C551/G551, "")</f>
        <v/>
      </c>
      <c r="L551" s="0" t="str">
        <f aca="false">IFERROR(__xludf.dummyfunction("IF(AND(NOT(K551 = """"), G551 &gt;= 15),K551/FILTER('Base Stats'!$C$2:$C1000, LOWER('Base Stats'!$B$2:$B1000) = LOWER($A551)), """")"),"#N/A")</f>
        <v>#N/A</v>
      </c>
      <c r="M551" s="0" t="str">
        <f aca="false">IFERROR(__xludf.dummyfunction("1.15 + 0.02 * FILTER('Base Stats'!$C$2:$C1000, LOWER('Base Stats'!$B$2:$B1000) = LOWER($A551))"),"1.15")</f>
        <v>1.15</v>
      </c>
      <c r="N551" s="0" t="e">
        <f aca="false">IFERROR(IF(AND(NOT(K551 = ""), G551 &gt;= 15),K551/M551, ""))</f>
        <v>#VALUE!</v>
      </c>
    </row>
    <row r="552" customFormat="false" ht="15.75" hidden="false" customHeight="false" outlineLevel="0" collapsed="false">
      <c r="A552" s="0" t="n">
        <f aca="false">'Form Responses (Pokemon Stats)'!B446</f>
        <v>0</v>
      </c>
      <c r="B552" s="0" t="n">
        <f aca="false">'Form Responses (Pokemon Stats)'!D446</f>
        <v>0</v>
      </c>
      <c r="C552" s="0" t="n">
        <f aca="false">'Form Responses (Pokemon Stats)'!C446</f>
        <v>0</v>
      </c>
      <c r="F552" s="0" t="n">
        <f aca="false">'Form Responses (Pokemon Stats)'!E446</f>
        <v>0</v>
      </c>
      <c r="G552" s="0" t="str">
        <f aca="false">IFERROR(__xludf.dummyfunction("ROUND(B552/ FILTER('Pokemon CP/HP'!$M$2:$M1000, LOWER('Pokemon CP/HP'!$B$2:$B1000)=LOWER(A552)))"),"#DIV/0!")</f>
        <v>#DIV/0!</v>
      </c>
      <c r="H552" s="0" t="str">
        <f aca="false">IFERROR(__xludf.dummyfunction("FILTER('Leveling Info'!$B$2:$B1000, 'Leveling Info'!$A$2:$A1000 =G552)"),"#N/A")</f>
        <v>#N/A</v>
      </c>
      <c r="I552" s="14" t="e">
        <f aca="false">SQRT(G552)</f>
        <v>#VALUE!</v>
      </c>
      <c r="J552" s="14" t="str">
        <f aca="false">IFERROR(__xludf.dummyfunction("IF(F552 = H552,C552/FILTER('Base Stats'!$C$2:$C1000, LOWER('Base Stats'!$B$2:$B1000) = LOWER($A552)), """")"),"#N/A")</f>
        <v>#N/A</v>
      </c>
      <c r="K552" s="0" t="str">
        <f aca="false">IF(F552 = H552, C552/G552, "")</f>
        <v/>
      </c>
      <c r="L552" s="0" t="str">
        <f aca="false">IFERROR(__xludf.dummyfunction("IF(AND(NOT(K552 = """"), G552 &gt;= 15),K552/FILTER('Base Stats'!$C$2:$C1000, LOWER('Base Stats'!$B$2:$B1000) = LOWER($A552)), """")"),"#N/A")</f>
        <v>#N/A</v>
      </c>
      <c r="M552" s="0" t="str">
        <f aca="false">IFERROR(__xludf.dummyfunction("1.15 + 0.02 * FILTER('Base Stats'!$C$2:$C1000, LOWER('Base Stats'!$B$2:$B1000) = LOWER($A552))"),"1.15")</f>
        <v>1.15</v>
      </c>
      <c r="N552" s="0" t="e">
        <f aca="false">IFERROR(IF(AND(NOT(K552 = ""), G552 &gt;= 15),K552/M552, ""))</f>
        <v>#VALUE!</v>
      </c>
    </row>
    <row r="553" customFormat="false" ht="15.75" hidden="false" customHeight="false" outlineLevel="0" collapsed="false">
      <c r="A553" s="0" t="n">
        <f aca="false">'Form Responses (Pokemon Stats)'!B447</f>
        <v>0</v>
      </c>
      <c r="B553" s="0" t="n">
        <f aca="false">'Form Responses (Pokemon Stats)'!D447</f>
        <v>0</v>
      </c>
      <c r="C553" s="0" t="n">
        <f aca="false">'Form Responses (Pokemon Stats)'!C447</f>
        <v>0</v>
      </c>
      <c r="F553" s="0" t="n">
        <f aca="false">'Form Responses (Pokemon Stats)'!E447</f>
        <v>0</v>
      </c>
      <c r="G553" s="0" t="str">
        <f aca="false">IFERROR(__xludf.dummyfunction("ROUND(B553/ FILTER('Pokemon CP/HP'!$M$2:$M1000, LOWER('Pokemon CP/HP'!$B$2:$B1000)=LOWER(A553)))"),"#DIV/0!")</f>
        <v>#DIV/0!</v>
      </c>
      <c r="H553" s="0" t="str">
        <f aca="false">IFERROR(__xludf.dummyfunction("FILTER('Leveling Info'!$B$2:$B1000, 'Leveling Info'!$A$2:$A1000 =G553)"),"#N/A")</f>
        <v>#N/A</v>
      </c>
      <c r="I553" s="14" t="e">
        <f aca="false">SQRT(G553)</f>
        <v>#VALUE!</v>
      </c>
      <c r="J553" s="14" t="str">
        <f aca="false">IFERROR(__xludf.dummyfunction("IF(F553 = H553,C553/FILTER('Base Stats'!$C$2:$C1000, LOWER('Base Stats'!$B$2:$B1000) = LOWER($A553)), """")"),"#N/A")</f>
        <v>#N/A</v>
      </c>
      <c r="K553" s="0" t="str">
        <f aca="false">IF(F553 = H553, C553/G553, "")</f>
        <v/>
      </c>
      <c r="L553" s="0" t="str">
        <f aca="false">IFERROR(__xludf.dummyfunction("IF(AND(NOT(K553 = """"), G553 &gt;= 15),K553/FILTER('Base Stats'!$C$2:$C1000, LOWER('Base Stats'!$B$2:$B1000) = LOWER($A553)), """")"),"#N/A")</f>
        <v>#N/A</v>
      </c>
      <c r="M553" s="0" t="str">
        <f aca="false">IFERROR(__xludf.dummyfunction("1.15 + 0.02 * FILTER('Base Stats'!$C$2:$C1000, LOWER('Base Stats'!$B$2:$B1000) = LOWER($A553))"),"1.15")</f>
        <v>1.15</v>
      </c>
      <c r="N553" s="0" t="e">
        <f aca="false">IFERROR(IF(AND(NOT(K553 = ""), G553 &gt;= 15),K553/M553, ""))</f>
        <v>#VALUE!</v>
      </c>
    </row>
    <row r="554" customFormat="false" ht="15.75" hidden="false" customHeight="false" outlineLevel="0" collapsed="false">
      <c r="A554" s="0" t="n">
        <f aca="false">'Form Responses (Pokemon Stats)'!B448</f>
        <v>0</v>
      </c>
      <c r="B554" s="0" t="n">
        <f aca="false">'Form Responses (Pokemon Stats)'!D448</f>
        <v>0</v>
      </c>
      <c r="C554" s="0" t="n">
        <f aca="false">'Form Responses (Pokemon Stats)'!C448</f>
        <v>0</v>
      </c>
      <c r="F554" s="0" t="n">
        <f aca="false">'Form Responses (Pokemon Stats)'!E448</f>
        <v>0</v>
      </c>
      <c r="G554" s="0" t="str">
        <f aca="false">IFERROR(__xludf.dummyfunction("ROUND(B554/ FILTER('Pokemon CP/HP'!$M$2:$M1000, LOWER('Pokemon CP/HP'!$B$2:$B1000)=LOWER(A554)))"),"#DIV/0!")</f>
        <v>#DIV/0!</v>
      </c>
      <c r="H554" s="0" t="str">
        <f aca="false">IFERROR(__xludf.dummyfunction("FILTER('Leveling Info'!$B$2:$B1000, 'Leveling Info'!$A$2:$A1000 =G554)"),"#N/A")</f>
        <v>#N/A</v>
      </c>
      <c r="I554" s="14" t="e">
        <f aca="false">SQRT(G554)</f>
        <v>#VALUE!</v>
      </c>
      <c r="J554" s="14" t="str">
        <f aca="false">IFERROR(__xludf.dummyfunction("IF(F554 = H554,C554/FILTER('Base Stats'!$C$2:$C1000, LOWER('Base Stats'!$B$2:$B1000) = LOWER($A554)), """")"),"#N/A")</f>
        <v>#N/A</v>
      </c>
      <c r="K554" s="0" t="str">
        <f aca="false">IF(F554 = H554, C554/G554, "")</f>
        <v/>
      </c>
      <c r="L554" s="0" t="str">
        <f aca="false">IFERROR(__xludf.dummyfunction("IF(AND(NOT(K554 = """"), G554 &gt;= 15),K554/FILTER('Base Stats'!$C$2:$C1000, LOWER('Base Stats'!$B$2:$B1000) = LOWER($A554)), """")"),"#N/A")</f>
        <v>#N/A</v>
      </c>
      <c r="M554" s="0" t="str">
        <f aca="false">IFERROR(__xludf.dummyfunction("1.15 + 0.02 * FILTER('Base Stats'!$C$2:$C1000, LOWER('Base Stats'!$B$2:$B1000) = LOWER($A554))"),"1.15")</f>
        <v>1.15</v>
      </c>
      <c r="N554" s="0" t="e">
        <f aca="false">IFERROR(IF(AND(NOT(K554 = ""), G554 &gt;= 15),K554/M554, ""))</f>
        <v>#VALUE!</v>
      </c>
    </row>
    <row r="555" customFormat="false" ht="15.75" hidden="false" customHeight="false" outlineLevel="0" collapsed="false">
      <c r="A555" s="0" t="n">
        <f aca="false">'Form Responses (Pokemon Stats)'!B449</f>
        <v>0</v>
      </c>
      <c r="B555" s="0" t="n">
        <f aca="false">'Form Responses (Pokemon Stats)'!D449</f>
        <v>0</v>
      </c>
      <c r="C555" s="0" t="n">
        <f aca="false">'Form Responses (Pokemon Stats)'!C449</f>
        <v>0</v>
      </c>
      <c r="F555" s="0" t="n">
        <f aca="false">'Form Responses (Pokemon Stats)'!E449</f>
        <v>0</v>
      </c>
      <c r="G555" s="0" t="str">
        <f aca="false">IFERROR(__xludf.dummyfunction("ROUND(B555/ FILTER('Pokemon CP/HP'!$M$2:$M1000, LOWER('Pokemon CP/HP'!$B$2:$B1000)=LOWER(A555)))"),"#DIV/0!")</f>
        <v>#DIV/0!</v>
      </c>
      <c r="H555" s="0" t="str">
        <f aca="false">IFERROR(__xludf.dummyfunction("FILTER('Leveling Info'!$B$2:$B1000, 'Leveling Info'!$A$2:$A1000 =G555)"),"#N/A")</f>
        <v>#N/A</v>
      </c>
      <c r="I555" s="14" t="e">
        <f aca="false">SQRT(G555)</f>
        <v>#VALUE!</v>
      </c>
      <c r="J555" s="14" t="str">
        <f aca="false">IFERROR(__xludf.dummyfunction("IF(F555 = H555,C555/FILTER('Base Stats'!$C$2:$C1000, LOWER('Base Stats'!$B$2:$B1000) = LOWER($A555)), """")"),"#N/A")</f>
        <v>#N/A</v>
      </c>
      <c r="K555" s="0" t="str">
        <f aca="false">IF(F555 = H555, C555/G555, "")</f>
        <v/>
      </c>
      <c r="L555" s="0" t="str">
        <f aca="false">IFERROR(__xludf.dummyfunction("IF(AND(NOT(K555 = """"), G555 &gt;= 15),K555/FILTER('Base Stats'!$C$2:$C1000, LOWER('Base Stats'!$B$2:$B1000) = LOWER($A555)), """")"),"#N/A")</f>
        <v>#N/A</v>
      </c>
      <c r="M555" s="0" t="str">
        <f aca="false">IFERROR(__xludf.dummyfunction("1.15 + 0.02 * FILTER('Base Stats'!$C$2:$C1000, LOWER('Base Stats'!$B$2:$B1000) = LOWER($A555))"),"1.15")</f>
        <v>1.15</v>
      </c>
      <c r="N555" s="0" t="e">
        <f aca="false">IFERROR(IF(AND(NOT(K555 = ""), G555 &gt;= 15),K555/M555, ""))</f>
        <v>#VALUE!</v>
      </c>
    </row>
    <row r="556" customFormat="false" ht="15.75" hidden="false" customHeight="false" outlineLevel="0" collapsed="false">
      <c r="A556" s="0" t="n">
        <f aca="false">'Form Responses (Pokemon Stats)'!B450</f>
        <v>0</v>
      </c>
      <c r="B556" s="0" t="n">
        <f aca="false">'Form Responses (Pokemon Stats)'!D450</f>
        <v>0</v>
      </c>
      <c r="C556" s="0" t="n">
        <f aca="false">'Form Responses (Pokemon Stats)'!C450</f>
        <v>0</v>
      </c>
      <c r="F556" s="0" t="n">
        <f aca="false">'Form Responses (Pokemon Stats)'!E450</f>
        <v>0</v>
      </c>
      <c r="G556" s="0" t="str">
        <f aca="false">IFERROR(__xludf.dummyfunction("ROUND(B556/ FILTER('Pokemon CP/HP'!$M$2:$M1000, LOWER('Pokemon CP/HP'!$B$2:$B1000)=LOWER(A556)))"),"#DIV/0!")</f>
        <v>#DIV/0!</v>
      </c>
      <c r="H556" s="0" t="str">
        <f aca="false">IFERROR(__xludf.dummyfunction("FILTER('Leveling Info'!$B$2:$B1000, 'Leveling Info'!$A$2:$A1000 =G556)"),"#N/A")</f>
        <v>#N/A</v>
      </c>
      <c r="I556" s="14" t="e">
        <f aca="false">SQRT(G556)</f>
        <v>#VALUE!</v>
      </c>
      <c r="J556" s="14" t="str">
        <f aca="false">IFERROR(__xludf.dummyfunction("IF(F556 = H556,C556/FILTER('Base Stats'!$C$2:$C1000, LOWER('Base Stats'!$B$2:$B1000) = LOWER($A556)), """")"),"#N/A")</f>
        <v>#N/A</v>
      </c>
      <c r="K556" s="0" t="str">
        <f aca="false">IF(F556 = H556, C556/G556, "")</f>
        <v/>
      </c>
      <c r="L556" s="0" t="str">
        <f aca="false">IFERROR(__xludf.dummyfunction("IF(AND(NOT(K556 = """"), G556 &gt;= 15),K556/FILTER('Base Stats'!$C$2:$C1000, LOWER('Base Stats'!$B$2:$B1000) = LOWER($A556)), """")"),"#N/A")</f>
        <v>#N/A</v>
      </c>
      <c r="M556" s="0" t="str">
        <f aca="false">IFERROR(__xludf.dummyfunction("1.15 + 0.02 * FILTER('Base Stats'!$C$2:$C1000, LOWER('Base Stats'!$B$2:$B1000) = LOWER($A556))"),"1.15")</f>
        <v>1.15</v>
      </c>
      <c r="N556" s="0" t="e">
        <f aca="false">IFERROR(IF(AND(NOT(K556 = ""), G556 &gt;= 15),K556/M556, ""))</f>
        <v>#VALUE!</v>
      </c>
    </row>
    <row r="557" customFormat="false" ht="15.75" hidden="false" customHeight="false" outlineLevel="0" collapsed="false">
      <c r="A557" s="0" t="n">
        <f aca="false">'Form Responses (Pokemon Stats)'!B451</f>
        <v>0</v>
      </c>
      <c r="B557" s="0" t="n">
        <f aca="false">'Form Responses (Pokemon Stats)'!D451</f>
        <v>0</v>
      </c>
      <c r="C557" s="0" t="n">
        <f aca="false">'Form Responses (Pokemon Stats)'!C451</f>
        <v>0</v>
      </c>
      <c r="F557" s="0" t="n">
        <f aca="false">'Form Responses (Pokemon Stats)'!E451</f>
        <v>0</v>
      </c>
      <c r="G557" s="0" t="str">
        <f aca="false">IFERROR(__xludf.dummyfunction("ROUND(B557/ FILTER('Pokemon CP/HP'!$M$2:$M1000, LOWER('Pokemon CP/HP'!$B$2:$B1000)=LOWER(A557)))"),"#DIV/0!")</f>
        <v>#DIV/0!</v>
      </c>
      <c r="H557" s="0" t="str">
        <f aca="false">IFERROR(__xludf.dummyfunction("FILTER('Leveling Info'!$B$2:$B1000, 'Leveling Info'!$A$2:$A1000 =G557)"),"#N/A")</f>
        <v>#N/A</v>
      </c>
      <c r="I557" s="14" t="e">
        <f aca="false">SQRT(G557)</f>
        <v>#VALUE!</v>
      </c>
      <c r="J557" s="14" t="str">
        <f aca="false">IFERROR(__xludf.dummyfunction("IF(F557 = H557,C557/FILTER('Base Stats'!$C$2:$C1000, LOWER('Base Stats'!$B$2:$B1000) = LOWER($A557)), """")"),"#N/A")</f>
        <v>#N/A</v>
      </c>
      <c r="K557" s="0" t="str">
        <f aca="false">IF(F557 = H557, C557/G557, "")</f>
        <v/>
      </c>
      <c r="L557" s="0" t="str">
        <f aca="false">IFERROR(__xludf.dummyfunction("IF(AND(NOT(K557 = """"), G557 &gt;= 15),K557/FILTER('Base Stats'!$C$2:$C1000, LOWER('Base Stats'!$B$2:$B1000) = LOWER($A557)), """")"),"#N/A")</f>
        <v>#N/A</v>
      </c>
      <c r="M557" s="0" t="str">
        <f aca="false">IFERROR(__xludf.dummyfunction("1.15 + 0.02 * FILTER('Base Stats'!$C$2:$C1000, LOWER('Base Stats'!$B$2:$B1000) = LOWER($A557))"),"1.15")</f>
        <v>1.15</v>
      </c>
      <c r="N557" s="0" t="e">
        <f aca="false">IFERROR(IF(AND(NOT(K557 = ""), G557 &gt;= 15),K557/M557, ""))</f>
        <v>#VALUE!</v>
      </c>
    </row>
    <row r="558" customFormat="false" ht="15.75" hidden="false" customHeight="false" outlineLevel="0" collapsed="false">
      <c r="A558" s="0" t="n">
        <f aca="false">'Form Responses (Pokemon Stats)'!B452</f>
        <v>0</v>
      </c>
      <c r="B558" s="0" t="n">
        <f aca="false">'Form Responses (Pokemon Stats)'!D452</f>
        <v>0</v>
      </c>
      <c r="C558" s="0" t="n">
        <f aca="false">'Form Responses (Pokemon Stats)'!C452</f>
        <v>0</v>
      </c>
      <c r="F558" s="0" t="n">
        <f aca="false">'Form Responses (Pokemon Stats)'!E452</f>
        <v>0</v>
      </c>
      <c r="G558" s="0" t="str">
        <f aca="false">IFERROR(__xludf.dummyfunction("ROUND(B558/ FILTER('Pokemon CP/HP'!$M$2:$M1000, LOWER('Pokemon CP/HP'!$B$2:$B1000)=LOWER(A558)))"),"#DIV/0!")</f>
        <v>#DIV/0!</v>
      </c>
      <c r="H558" s="0" t="str">
        <f aca="false">IFERROR(__xludf.dummyfunction("FILTER('Leveling Info'!$B$2:$B1000, 'Leveling Info'!$A$2:$A1000 =G558)"),"#N/A")</f>
        <v>#N/A</v>
      </c>
      <c r="I558" s="14" t="e">
        <f aca="false">SQRT(G558)</f>
        <v>#VALUE!</v>
      </c>
      <c r="J558" s="14" t="str">
        <f aca="false">IFERROR(__xludf.dummyfunction("IF(F558 = H558,C558/FILTER('Base Stats'!$C$2:$C1000, LOWER('Base Stats'!$B$2:$B1000) = LOWER($A558)), """")"),"#N/A")</f>
        <v>#N/A</v>
      </c>
      <c r="K558" s="0" t="str">
        <f aca="false">IF(F558 = H558, C558/G558, "")</f>
        <v/>
      </c>
      <c r="L558" s="0" t="str">
        <f aca="false">IFERROR(__xludf.dummyfunction("IF(AND(NOT(K558 = """"), G558 &gt;= 15),K558/FILTER('Base Stats'!$C$2:$C1000, LOWER('Base Stats'!$B$2:$B1000) = LOWER($A558)), """")"),"#N/A")</f>
        <v>#N/A</v>
      </c>
      <c r="M558" s="0" t="str">
        <f aca="false">IFERROR(__xludf.dummyfunction("1.15 + 0.02 * FILTER('Base Stats'!$C$2:$C1000, LOWER('Base Stats'!$B$2:$B1000) = LOWER($A558))"),"1.15")</f>
        <v>1.15</v>
      </c>
      <c r="N558" s="0" t="e">
        <f aca="false">IFERROR(IF(AND(NOT(K558 = ""), G558 &gt;= 15),K558/M558, ""))</f>
        <v>#VALUE!</v>
      </c>
    </row>
    <row r="559" customFormat="false" ht="15.75" hidden="false" customHeight="false" outlineLevel="0" collapsed="false">
      <c r="A559" s="0" t="n">
        <f aca="false">'Form Responses (Pokemon Stats)'!B453</f>
        <v>0</v>
      </c>
      <c r="B559" s="0" t="n">
        <f aca="false">'Form Responses (Pokemon Stats)'!D453</f>
        <v>0</v>
      </c>
      <c r="C559" s="0" t="n">
        <f aca="false">'Form Responses (Pokemon Stats)'!C453</f>
        <v>0</v>
      </c>
      <c r="F559" s="0" t="n">
        <f aca="false">'Form Responses (Pokemon Stats)'!E453</f>
        <v>0</v>
      </c>
      <c r="G559" s="0" t="str">
        <f aca="false">IFERROR(__xludf.dummyfunction("ROUND(B559/ FILTER('Pokemon CP/HP'!$M$2:$M1000, LOWER('Pokemon CP/HP'!$B$2:$B1000)=LOWER(A559)))"),"#DIV/0!")</f>
        <v>#DIV/0!</v>
      </c>
      <c r="H559" s="0" t="str">
        <f aca="false">IFERROR(__xludf.dummyfunction("FILTER('Leveling Info'!$B$2:$B1000, 'Leveling Info'!$A$2:$A1000 =G559)"),"#N/A")</f>
        <v>#N/A</v>
      </c>
      <c r="I559" s="14" t="e">
        <f aca="false">SQRT(G559)</f>
        <v>#VALUE!</v>
      </c>
      <c r="J559" s="14" t="str">
        <f aca="false">IFERROR(__xludf.dummyfunction("IF(F559 = H559,C559/FILTER('Base Stats'!$C$2:$C1000, LOWER('Base Stats'!$B$2:$B1000) = LOWER($A559)), """")"),"#N/A")</f>
        <v>#N/A</v>
      </c>
      <c r="K559" s="0" t="str">
        <f aca="false">IF(F559 = H559, C559/G559, "")</f>
        <v/>
      </c>
      <c r="L559" s="0" t="str">
        <f aca="false">IFERROR(__xludf.dummyfunction("IF(AND(NOT(K559 = """"), G559 &gt;= 15),K559/FILTER('Base Stats'!$C$2:$C1000, LOWER('Base Stats'!$B$2:$B1000) = LOWER($A559)), """")"),"#N/A")</f>
        <v>#N/A</v>
      </c>
      <c r="M559" s="0" t="str">
        <f aca="false">IFERROR(__xludf.dummyfunction("1.15 + 0.02 * FILTER('Base Stats'!$C$2:$C1000, LOWER('Base Stats'!$B$2:$B1000) = LOWER($A559))"),"1.15")</f>
        <v>1.15</v>
      </c>
      <c r="N559" s="0" t="e">
        <f aca="false">IFERROR(IF(AND(NOT(K559 = ""), G559 &gt;= 15),K559/M559, ""))</f>
        <v>#VALUE!</v>
      </c>
    </row>
    <row r="560" customFormat="false" ht="15.75" hidden="false" customHeight="false" outlineLevel="0" collapsed="false">
      <c r="A560" s="0" t="n">
        <f aca="false">'Form Responses (Pokemon Stats)'!B454</f>
        <v>0</v>
      </c>
      <c r="B560" s="0" t="n">
        <f aca="false">'Form Responses (Pokemon Stats)'!D454</f>
        <v>0</v>
      </c>
      <c r="C560" s="0" t="n">
        <f aca="false">'Form Responses (Pokemon Stats)'!C454</f>
        <v>0</v>
      </c>
      <c r="F560" s="0" t="n">
        <f aca="false">'Form Responses (Pokemon Stats)'!E454</f>
        <v>0</v>
      </c>
      <c r="G560" s="0" t="str">
        <f aca="false">IFERROR(__xludf.dummyfunction("ROUND(B560/ FILTER('Pokemon CP/HP'!$M$2:$M1000, LOWER('Pokemon CP/HP'!$B$2:$B1000)=LOWER(A560)))"),"#DIV/0!")</f>
        <v>#DIV/0!</v>
      </c>
      <c r="H560" s="0" t="str">
        <f aca="false">IFERROR(__xludf.dummyfunction("FILTER('Leveling Info'!$B$2:$B1000, 'Leveling Info'!$A$2:$A1000 =G560)"),"#N/A")</f>
        <v>#N/A</v>
      </c>
      <c r="I560" s="14" t="e">
        <f aca="false">SQRT(G560)</f>
        <v>#VALUE!</v>
      </c>
      <c r="J560" s="14" t="str">
        <f aca="false">IFERROR(__xludf.dummyfunction("IF(F560 = H560,C560/FILTER('Base Stats'!$C$2:$C1000, LOWER('Base Stats'!$B$2:$B1000) = LOWER($A560)), """")"),"#N/A")</f>
        <v>#N/A</v>
      </c>
      <c r="K560" s="0" t="str">
        <f aca="false">IF(F560 = H560, C560/G560, "")</f>
        <v/>
      </c>
      <c r="L560" s="0" t="str">
        <f aca="false">IFERROR(__xludf.dummyfunction("IF(AND(NOT(K560 = """"), G560 &gt;= 15),K560/FILTER('Base Stats'!$C$2:$C1000, LOWER('Base Stats'!$B$2:$B1000) = LOWER($A560)), """")"),"#N/A")</f>
        <v>#N/A</v>
      </c>
      <c r="M560" s="0" t="str">
        <f aca="false">IFERROR(__xludf.dummyfunction("1.15 + 0.02 * FILTER('Base Stats'!$C$2:$C1000, LOWER('Base Stats'!$B$2:$B1000) = LOWER($A560))"),"1.15")</f>
        <v>1.15</v>
      </c>
      <c r="N560" s="0" t="e">
        <f aca="false">IFERROR(IF(AND(NOT(K560 = ""), G560 &gt;= 15),K560/M560, ""))</f>
        <v>#VALUE!</v>
      </c>
    </row>
    <row r="561" customFormat="false" ht="15.75" hidden="false" customHeight="false" outlineLevel="0" collapsed="false">
      <c r="A561" s="0" t="n">
        <f aca="false">'Form Responses (Pokemon Stats)'!B455</f>
        <v>0</v>
      </c>
      <c r="B561" s="0" t="n">
        <f aca="false">'Form Responses (Pokemon Stats)'!D455</f>
        <v>0</v>
      </c>
      <c r="C561" s="0" t="n">
        <f aca="false">'Form Responses (Pokemon Stats)'!C455</f>
        <v>0</v>
      </c>
      <c r="F561" s="0" t="n">
        <f aca="false">'Form Responses (Pokemon Stats)'!E455</f>
        <v>0</v>
      </c>
      <c r="G561" s="0" t="str">
        <f aca="false">IFERROR(__xludf.dummyfunction("ROUND(B561/ FILTER('Pokemon CP/HP'!$M$2:$M1000, LOWER('Pokemon CP/HP'!$B$2:$B1000)=LOWER(A561)))"),"#DIV/0!")</f>
        <v>#DIV/0!</v>
      </c>
      <c r="H561" s="0" t="str">
        <f aca="false">IFERROR(__xludf.dummyfunction("FILTER('Leveling Info'!$B$2:$B1000, 'Leveling Info'!$A$2:$A1000 =G561)"),"#N/A")</f>
        <v>#N/A</v>
      </c>
      <c r="I561" s="14" t="e">
        <f aca="false">SQRT(G561)</f>
        <v>#VALUE!</v>
      </c>
      <c r="J561" s="14" t="str">
        <f aca="false">IFERROR(__xludf.dummyfunction("IF(F561 = H561,C561/FILTER('Base Stats'!$C$2:$C1000, LOWER('Base Stats'!$B$2:$B1000) = LOWER($A561)), """")"),"#N/A")</f>
        <v>#N/A</v>
      </c>
      <c r="K561" s="0" t="str">
        <f aca="false">IF(F561 = H561, C561/G561, "")</f>
        <v/>
      </c>
      <c r="L561" s="0" t="str">
        <f aca="false">IFERROR(__xludf.dummyfunction("IF(AND(NOT(K561 = """"), G561 &gt;= 15),K561/FILTER('Base Stats'!$C$2:$C1000, LOWER('Base Stats'!$B$2:$B1000) = LOWER($A561)), """")"),"#N/A")</f>
        <v>#N/A</v>
      </c>
      <c r="M561" s="0" t="str">
        <f aca="false">IFERROR(__xludf.dummyfunction("1.15 + 0.02 * FILTER('Base Stats'!$C$2:$C1000, LOWER('Base Stats'!$B$2:$B1000) = LOWER($A561))"),"1.15")</f>
        <v>1.15</v>
      </c>
      <c r="N561" s="0" t="e">
        <f aca="false">IFERROR(IF(AND(NOT(K561 = ""), G561 &gt;= 15),K561/M561, ""))</f>
        <v>#VALUE!</v>
      </c>
    </row>
    <row r="562" customFormat="false" ht="15.75" hidden="false" customHeight="false" outlineLevel="0" collapsed="false">
      <c r="A562" s="0" t="n">
        <f aca="false">'Form Responses (Pokemon Stats)'!B456</f>
        <v>0</v>
      </c>
      <c r="B562" s="0" t="n">
        <f aca="false">'Form Responses (Pokemon Stats)'!D456</f>
        <v>0</v>
      </c>
      <c r="C562" s="0" t="n">
        <f aca="false">'Form Responses (Pokemon Stats)'!C456</f>
        <v>0</v>
      </c>
      <c r="F562" s="0" t="n">
        <f aca="false">'Form Responses (Pokemon Stats)'!E456</f>
        <v>0</v>
      </c>
      <c r="G562" s="0" t="str">
        <f aca="false">IFERROR(__xludf.dummyfunction("ROUND(B562/ FILTER('Pokemon CP/HP'!$M$2:$M1000, LOWER('Pokemon CP/HP'!$B$2:$B1000)=LOWER(A562)))"),"#DIV/0!")</f>
        <v>#DIV/0!</v>
      </c>
      <c r="H562" s="0" t="str">
        <f aca="false">IFERROR(__xludf.dummyfunction("FILTER('Leveling Info'!$B$2:$B1000, 'Leveling Info'!$A$2:$A1000 =G562)"),"#N/A")</f>
        <v>#N/A</v>
      </c>
      <c r="I562" s="14" t="e">
        <f aca="false">SQRT(G562)</f>
        <v>#VALUE!</v>
      </c>
      <c r="J562" s="14" t="str">
        <f aca="false">IFERROR(__xludf.dummyfunction("IF(F562 = H562,C562/FILTER('Base Stats'!$C$2:$C1000, LOWER('Base Stats'!$B$2:$B1000) = LOWER($A562)), """")"),"#N/A")</f>
        <v>#N/A</v>
      </c>
      <c r="K562" s="0" t="str">
        <f aca="false">IF(F562 = H562, C562/G562, "")</f>
        <v/>
      </c>
      <c r="L562" s="0" t="str">
        <f aca="false">IFERROR(__xludf.dummyfunction("IF(AND(NOT(K562 = """"), G562 &gt;= 15),K562/FILTER('Base Stats'!$C$2:$C1000, LOWER('Base Stats'!$B$2:$B1000) = LOWER($A562)), """")"),"#N/A")</f>
        <v>#N/A</v>
      </c>
      <c r="M562" s="0" t="str">
        <f aca="false">IFERROR(__xludf.dummyfunction("1.15 + 0.02 * FILTER('Base Stats'!$C$2:$C1000, LOWER('Base Stats'!$B$2:$B1000) = LOWER($A562))"),"1.15")</f>
        <v>1.15</v>
      </c>
      <c r="N562" s="0" t="e">
        <f aca="false">IFERROR(IF(AND(NOT(K562 = ""), G562 &gt;= 15),K562/M562, ""))</f>
        <v>#VALUE!</v>
      </c>
    </row>
    <row r="563" customFormat="false" ht="15.75" hidden="false" customHeight="false" outlineLevel="0" collapsed="false">
      <c r="A563" s="0" t="n">
        <f aca="false">'Form Responses (Pokemon Stats)'!B457</f>
        <v>0</v>
      </c>
      <c r="B563" s="0" t="n">
        <f aca="false">'Form Responses (Pokemon Stats)'!D457</f>
        <v>0</v>
      </c>
      <c r="C563" s="0" t="n">
        <f aca="false">'Form Responses (Pokemon Stats)'!C457</f>
        <v>0</v>
      </c>
      <c r="F563" s="0" t="n">
        <f aca="false">'Form Responses (Pokemon Stats)'!E457</f>
        <v>0</v>
      </c>
      <c r="G563" s="0" t="str">
        <f aca="false">IFERROR(__xludf.dummyfunction("ROUND(B563/ FILTER('Pokemon CP/HP'!$M$2:$M1000, LOWER('Pokemon CP/HP'!$B$2:$B1000)=LOWER(A563)))"),"#DIV/0!")</f>
        <v>#DIV/0!</v>
      </c>
      <c r="H563" s="0" t="str">
        <f aca="false">IFERROR(__xludf.dummyfunction("FILTER('Leveling Info'!$B$2:$B1000, 'Leveling Info'!$A$2:$A1000 =G563)"),"#N/A")</f>
        <v>#N/A</v>
      </c>
      <c r="I563" s="14" t="e">
        <f aca="false">SQRT(G563)</f>
        <v>#VALUE!</v>
      </c>
      <c r="J563" s="14" t="str">
        <f aca="false">IFERROR(__xludf.dummyfunction("IF(F563 = H563,C563/FILTER('Base Stats'!$C$2:$C1000, LOWER('Base Stats'!$B$2:$B1000) = LOWER($A563)), """")"),"#N/A")</f>
        <v>#N/A</v>
      </c>
      <c r="K563" s="0" t="str">
        <f aca="false">IF(F563 = H563, C563/G563, "")</f>
        <v/>
      </c>
      <c r="L563" s="0" t="str">
        <f aca="false">IFERROR(__xludf.dummyfunction("IF(AND(NOT(K563 = """"), G563 &gt;= 15),K563/FILTER('Base Stats'!$C$2:$C1000, LOWER('Base Stats'!$B$2:$B1000) = LOWER($A563)), """")"),"#N/A")</f>
        <v>#N/A</v>
      </c>
      <c r="M563" s="0" t="str">
        <f aca="false">IFERROR(__xludf.dummyfunction("1.15 + 0.02 * FILTER('Base Stats'!$C$2:$C1000, LOWER('Base Stats'!$B$2:$B1000) = LOWER($A563))"),"1.15")</f>
        <v>1.15</v>
      </c>
      <c r="N563" s="0" t="e">
        <f aca="false">IFERROR(IF(AND(NOT(K563 = ""), G563 &gt;= 15),K563/M563, ""))</f>
        <v>#VALUE!</v>
      </c>
    </row>
    <row r="564" customFormat="false" ht="15.75" hidden="false" customHeight="false" outlineLevel="0" collapsed="false">
      <c r="A564" s="0" t="n">
        <f aca="false">'Form Responses (Pokemon Stats)'!B458</f>
        <v>0</v>
      </c>
      <c r="B564" s="0" t="n">
        <f aca="false">'Form Responses (Pokemon Stats)'!D458</f>
        <v>0</v>
      </c>
      <c r="C564" s="0" t="n">
        <f aca="false">'Form Responses (Pokemon Stats)'!C458</f>
        <v>0</v>
      </c>
      <c r="F564" s="0" t="n">
        <f aca="false">'Form Responses (Pokemon Stats)'!E458</f>
        <v>0</v>
      </c>
      <c r="G564" s="0" t="str">
        <f aca="false">IFERROR(__xludf.dummyfunction("ROUND(B564/ FILTER('Pokemon CP/HP'!$M$2:$M1000, LOWER('Pokemon CP/HP'!$B$2:$B1000)=LOWER(A564)))"),"#DIV/0!")</f>
        <v>#DIV/0!</v>
      </c>
      <c r="H564" s="0" t="str">
        <f aca="false">IFERROR(__xludf.dummyfunction("FILTER('Leveling Info'!$B$2:$B1000, 'Leveling Info'!$A$2:$A1000 =G564)"),"#N/A")</f>
        <v>#N/A</v>
      </c>
      <c r="I564" s="14" t="e">
        <f aca="false">SQRT(G564)</f>
        <v>#VALUE!</v>
      </c>
      <c r="J564" s="14" t="str">
        <f aca="false">IFERROR(__xludf.dummyfunction("IF(F564 = H564,C564/FILTER('Base Stats'!$C$2:$C1000, LOWER('Base Stats'!$B$2:$B1000) = LOWER($A564)), """")"),"#N/A")</f>
        <v>#N/A</v>
      </c>
      <c r="K564" s="0" t="str">
        <f aca="false">IF(F564 = H564, C564/G564, "")</f>
        <v/>
      </c>
      <c r="L564" s="0" t="str">
        <f aca="false">IFERROR(__xludf.dummyfunction("IF(AND(NOT(K564 = """"), G564 &gt;= 15),K564/FILTER('Base Stats'!$C$2:$C1000, LOWER('Base Stats'!$B$2:$B1000) = LOWER($A564)), """")"),"#N/A")</f>
        <v>#N/A</v>
      </c>
      <c r="M564" s="0" t="str">
        <f aca="false">IFERROR(__xludf.dummyfunction("1.15 + 0.02 * FILTER('Base Stats'!$C$2:$C1000, LOWER('Base Stats'!$B$2:$B1000) = LOWER($A564))"),"1.15")</f>
        <v>1.15</v>
      </c>
      <c r="N564" s="0" t="e">
        <f aca="false">IFERROR(IF(AND(NOT(K564 = ""), G564 &gt;= 15),K564/M564, ""))</f>
        <v>#VALUE!</v>
      </c>
    </row>
    <row r="565" customFormat="false" ht="15.75" hidden="false" customHeight="false" outlineLevel="0" collapsed="false">
      <c r="A565" s="0" t="n">
        <f aca="false">'Form Responses (Pokemon Stats)'!B459</f>
        <v>0</v>
      </c>
      <c r="B565" s="0" t="n">
        <f aca="false">'Form Responses (Pokemon Stats)'!D459</f>
        <v>0</v>
      </c>
      <c r="C565" s="0" t="n">
        <f aca="false">'Form Responses (Pokemon Stats)'!C459</f>
        <v>0</v>
      </c>
      <c r="F565" s="0" t="n">
        <f aca="false">'Form Responses (Pokemon Stats)'!E459</f>
        <v>0</v>
      </c>
      <c r="G565" s="0" t="str">
        <f aca="false">IFERROR(__xludf.dummyfunction("ROUND(B565/ FILTER('Pokemon CP/HP'!$M$2:$M1000, LOWER('Pokemon CP/HP'!$B$2:$B1000)=LOWER(A565)))"),"#DIV/0!")</f>
        <v>#DIV/0!</v>
      </c>
      <c r="H565" s="0" t="str">
        <f aca="false">IFERROR(__xludf.dummyfunction("FILTER('Leveling Info'!$B$2:$B1000, 'Leveling Info'!$A$2:$A1000 =G565)"),"#N/A")</f>
        <v>#N/A</v>
      </c>
      <c r="I565" s="14" t="e">
        <f aca="false">SQRT(G565)</f>
        <v>#VALUE!</v>
      </c>
      <c r="J565" s="14" t="str">
        <f aca="false">IFERROR(__xludf.dummyfunction("IF(F565 = H565,C565/FILTER('Base Stats'!$C$2:$C1000, LOWER('Base Stats'!$B$2:$B1000) = LOWER($A565)), """")"),"#N/A")</f>
        <v>#N/A</v>
      </c>
      <c r="K565" s="0" t="str">
        <f aca="false">IF(F565 = H565, C565/G565, "")</f>
        <v/>
      </c>
      <c r="L565" s="0" t="str">
        <f aca="false">IFERROR(__xludf.dummyfunction("IF(AND(NOT(K565 = """"), G565 &gt;= 15),K565/FILTER('Base Stats'!$C$2:$C1000, LOWER('Base Stats'!$B$2:$B1000) = LOWER($A565)), """")"),"#N/A")</f>
        <v>#N/A</v>
      </c>
      <c r="M565" s="0" t="str">
        <f aca="false">IFERROR(__xludf.dummyfunction("1.15 + 0.02 * FILTER('Base Stats'!$C$2:$C1000, LOWER('Base Stats'!$B$2:$B1000) = LOWER($A565))"),"1.15")</f>
        <v>1.15</v>
      </c>
      <c r="N565" s="0" t="e">
        <f aca="false">IFERROR(IF(AND(NOT(K565 = ""), G565 &gt;= 15),K565/M565, ""))</f>
        <v>#VALUE!</v>
      </c>
    </row>
    <row r="566" customFormat="false" ht="15.75" hidden="false" customHeight="false" outlineLevel="0" collapsed="false">
      <c r="A566" s="0" t="n">
        <f aca="false">'Form Responses (Pokemon Stats)'!B460</f>
        <v>0</v>
      </c>
      <c r="B566" s="0" t="n">
        <f aca="false">'Form Responses (Pokemon Stats)'!D460</f>
        <v>0</v>
      </c>
      <c r="C566" s="0" t="n">
        <f aca="false">'Form Responses (Pokemon Stats)'!C460</f>
        <v>0</v>
      </c>
      <c r="F566" s="0" t="n">
        <f aca="false">'Form Responses (Pokemon Stats)'!E460</f>
        <v>0</v>
      </c>
      <c r="G566" s="0" t="str">
        <f aca="false">IFERROR(__xludf.dummyfunction("ROUND(B566/ FILTER('Pokemon CP/HP'!$M$2:$M1000, LOWER('Pokemon CP/HP'!$B$2:$B1000)=LOWER(A566)))"),"#DIV/0!")</f>
        <v>#DIV/0!</v>
      </c>
      <c r="H566" s="0" t="str">
        <f aca="false">IFERROR(__xludf.dummyfunction("FILTER('Leveling Info'!$B$2:$B1000, 'Leveling Info'!$A$2:$A1000 =G566)"),"#N/A")</f>
        <v>#N/A</v>
      </c>
      <c r="I566" s="14" t="e">
        <f aca="false">SQRT(G566)</f>
        <v>#VALUE!</v>
      </c>
      <c r="J566" s="14" t="str">
        <f aca="false">IFERROR(__xludf.dummyfunction("IF(F566 = H566,C566/FILTER('Base Stats'!$C$2:$C1000, LOWER('Base Stats'!$B$2:$B1000) = LOWER($A566)), """")"),"#N/A")</f>
        <v>#N/A</v>
      </c>
      <c r="K566" s="0" t="str">
        <f aca="false">IF(F566 = H566, C566/G566, "")</f>
        <v/>
      </c>
      <c r="L566" s="0" t="str">
        <f aca="false">IFERROR(__xludf.dummyfunction("IF(AND(NOT(K566 = """"), G566 &gt;= 15),K566/FILTER('Base Stats'!$C$2:$C1000, LOWER('Base Stats'!$B$2:$B1000) = LOWER($A566)), """")"),"#N/A")</f>
        <v>#N/A</v>
      </c>
      <c r="M566" s="0" t="str">
        <f aca="false">IFERROR(__xludf.dummyfunction("1.15 + 0.02 * FILTER('Base Stats'!$C$2:$C1000, LOWER('Base Stats'!$B$2:$B1000) = LOWER($A566))"),"1.15")</f>
        <v>1.15</v>
      </c>
      <c r="N566" s="0" t="e">
        <f aca="false">IFERROR(IF(AND(NOT(K566 = ""), G566 &gt;= 15),K566/M566, ""))</f>
        <v>#VALUE!</v>
      </c>
    </row>
    <row r="567" customFormat="false" ht="15.75" hidden="false" customHeight="false" outlineLevel="0" collapsed="false">
      <c r="A567" s="0" t="n">
        <f aca="false">'Form Responses (Pokemon Stats)'!B461</f>
        <v>0</v>
      </c>
      <c r="B567" s="0" t="n">
        <f aca="false">'Form Responses (Pokemon Stats)'!D461</f>
        <v>0</v>
      </c>
      <c r="C567" s="0" t="n">
        <f aca="false">'Form Responses (Pokemon Stats)'!C461</f>
        <v>0</v>
      </c>
      <c r="F567" s="0" t="n">
        <f aca="false">'Form Responses (Pokemon Stats)'!E461</f>
        <v>0</v>
      </c>
      <c r="G567" s="0" t="str">
        <f aca="false">IFERROR(__xludf.dummyfunction("ROUND(B567/ FILTER('Pokemon CP/HP'!$M$2:$M1000, LOWER('Pokemon CP/HP'!$B$2:$B1000)=LOWER(A567)))"),"#DIV/0!")</f>
        <v>#DIV/0!</v>
      </c>
      <c r="H567" s="0" t="str">
        <f aca="false">IFERROR(__xludf.dummyfunction("FILTER('Leveling Info'!$B$2:$B1000, 'Leveling Info'!$A$2:$A1000 =G567)"),"#N/A")</f>
        <v>#N/A</v>
      </c>
      <c r="I567" s="14" t="e">
        <f aca="false">SQRT(G567)</f>
        <v>#VALUE!</v>
      </c>
      <c r="J567" s="14" t="str">
        <f aca="false">IFERROR(__xludf.dummyfunction("IF(F567 = H567,C567/FILTER('Base Stats'!$C$2:$C1000, LOWER('Base Stats'!$B$2:$B1000) = LOWER($A567)), """")"),"#N/A")</f>
        <v>#N/A</v>
      </c>
      <c r="K567" s="0" t="str">
        <f aca="false">IF(F567 = H567, C567/G567, "")</f>
        <v/>
      </c>
      <c r="L567" s="0" t="str">
        <f aca="false">IFERROR(__xludf.dummyfunction("IF(AND(NOT(K567 = """"), G567 &gt;= 15),K567/FILTER('Base Stats'!$C$2:$C1000, LOWER('Base Stats'!$B$2:$B1000) = LOWER($A567)), """")"),"#N/A")</f>
        <v>#N/A</v>
      </c>
      <c r="M567" s="0" t="str">
        <f aca="false">IFERROR(__xludf.dummyfunction("1.15 + 0.02 * FILTER('Base Stats'!$C$2:$C1000, LOWER('Base Stats'!$B$2:$B1000) = LOWER($A567))"),"1.15")</f>
        <v>1.15</v>
      </c>
      <c r="N567" s="0" t="e">
        <f aca="false">IFERROR(IF(AND(NOT(K567 = ""), G567 &gt;= 15),K567/M567, ""))</f>
        <v>#VALUE!</v>
      </c>
    </row>
    <row r="568" customFormat="false" ht="15.75" hidden="false" customHeight="false" outlineLevel="0" collapsed="false">
      <c r="A568" s="0" t="n">
        <f aca="false">'Form Responses (Pokemon Stats)'!B462</f>
        <v>0</v>
      </c>
      <c r="B568" s="0" t="n">
        <f aca="false">'Form Responses (Pokemon Stats)'!D462</f>
        <v>0</v>
      </c>
      <c r="C568" s="0" t="n">
        <f aca="false">'Form Responses (Pokemon Stats)'!C462</f>
        <v>0</v>
      </c>
      <c r="F568" s="0" t="n">
        <f aca="false">'Form Responses (Pokemon Stats)'!E462</f>
        <v>0</v>
      </c>
      <c r="G568" s="0" t="str">
        <f aca="false">IFERROR(__xludf.dummyfunction("ROUND(B568/ FILTER('Pokemon CP/HP'!$M$2:$M1000, LOWER('Pokemon CP/HP'!$B$2:$B1000)=LOWER(A568)))"),"#DIV/0!")</f>
        <v>#DIV/0!</v>
      </c>
      <c r="H568" s="0" t="str">
        <f aca="false">IFERROR(__xludf.dummyfunction("FILTER('Leveling Info'!$B$2:$B1000, 'Leveling Info'!$A$2:$A1000 =G568)"),"#N/A")</f>
        <v>#N/A</v>
      </c>
      <c r="I568" s="14" t="e">
        <f aca="false">SQRT(G568)</f>
        <v>#VALUE!</v>
      </c>
      <c r="J568" s="14" t="str">
        <f aca="false">IFERROR(__xludf.dummyfunction("IF(F568 = H568,C568/FILTER('Base Stats'!$C$2:$C1000, LOWER('Base Stats'!$B$2:$B1000) = LOWER($A568)), """")"),"#N/A")</f>
        <v>#N/A</v>
      </c>
      <c r="K568" s="0" t="str">
        <f aca="false">IF(F568 = H568, C568/G568, "")</f>
        <v/>
      </c>
      <c r="L568" s="0" t="str">
        <f aca="false">IFERROR(__xludf.dummyfunction("IF(AND(NOT(K568 = """"), G568 &gt;= 15),K568/FILTER('Base Stats'!$C$2:$C1000, LOWER('Base Stats'!$B$2:$B1000) = LOWER($A568)), """")"),"#N/A")</f>
        <v>#N/A</v>
      </c>
      <c r="M568" s="0" t="str">
        <f aca="false">IFERROR(__xludf.dummyfunction("1.15 + 0.02 * FILTER('Base Stats'!$C$2:$C1000, LOWER('Base Stats'!$B$2:$B1000) = LOWER($A568))"),"1.15")</f>
        <v>1.15</v>
      </c>
      <c r="N568" s="0" t="e">
        <f aca="false">IFERROR(IF(AND(NOT(K568 = ""), G568 &gt;= 15),K568/M568, ""))</f>
        <v>#VALUE!</v>
      </c>
    </row>
    <row r="569" customFormat="false" ht="15.75" hidden="false" customHeight="false" outlineLevel="0" collapsed="false">
      <c r="A569" s="0" t="n">
        <f aca="false">'Form Responses (Pokemon Stats)'!B463</f>
        <v>0</v>
      </c>
      <c r="B569" s="0" t="n">
        <f aca="false">'Form Responses (Pokemon Stats)'!D463</f>
        <v>0</v>
      </c>
      <c r="C569" s="0" t="n">
        <f aca="false">'Form Responses (Pokemon Stats)'!C463</f>
        <v>0</v>
      </c>
      <c r="F569" s="0" t="n">
        <f aca="false">'Form Responses (Pokemon Stats)'!E463</f>
        <v>0</v>
      </c>
      <c r="G569" s="0" t="str">
        <f aca="false">IFERROR(__xludf.dummyfunction("ROUND(B569/ FILTER('Pokemon CP/HP'!$M$2:$M1000, LOWER('Pokemon CP/HP'!$B$2:$B1000)=LOWER(A569)))"),"#DIV/0!")</f>
        <v>#DIV/0!</v>
      </c>
      <c r="H569" s="0" t="str">
        <f aca="false">IFERROR(__xludf.dummyfunction("FILTER('Leveling Info'!$B$2:$B1000, 'Leveling Info'!$A$2:$A1000 =G569)"),"#N/A")</f>
        <v>#N/A</v>
      </c>
      <c r="I569" s="14" t="e">
        <f aca="false">SQRT(G569)</f>
        <v>#VALUE!</v>
      </c>
      <c r="J569" s="14" t="str">
        <f aca="false">IFERROR(__xludf.dummyfunction("IF(F569 = H569,C569/FILTER('Base Stats'!$C$2:$C1000, LOWER('Base Stats'!$B$2:$B1000) = LOWER($A569)), """")"),"#N/A")</f>
        <v>#N/A</v>
      </c>
      <c r="K569" s="0" t="str">
        <f aca="false">IF(F569 = H569, C569/G569, "")</f>
        <v/>
      </c>
      <c r="L569" s="0" t="str">
        <f aca="false">IFERROR(__xludf.dummyfunction("IF(AND(NOT(K569 = """"), G569 &gt;= 15),K569/FILTER('Base Stats'!$C$2:$C1000, LOWER('Base Stats'!$B$2:$B1000) = LOWER($A569)), """")"),"#N/A")</f>
        <v>#N/A</v>
      </c>
      <c r="M569" s="0" t="str">
        <f aca="false">IFERROR(__xludf.dummyfunction("1.15 + 0.02 * FILTER('Base Stats'!$C$2:$C1000, LOWER('Base Stats'!$B$2:$B1000) = LOWER($A569))"),"1.15")</f>
        <v>1.15</v>
      </c>
      <c r="N569" s="0" t="e">
        <f aca="false">IFERROR(IF(AND(NOT(K569 = ""), G569 &gt;= 15),K569/M569, ""))</f>
        <v>#VALUE!</v>
      </c>
    </row>
    <row r="570" customFormat="false" ht="15.75" hidden="false" customHeight="false" outlineLevel="0" collapsed="false">
      <c r="A570" s="0" t="n">
        <f aca="false">'Form Responses (Pokemon Stats)'!B464</f>
        <v>0</v>
      </c>
      <c r="B570" s="0" t="n">
        <f aca="false">'Form Responses (Pokemon Stats)'!D464</f>
        <v>0</v>
      </c>
      <c r="C570" s="0" t="n">
        <f aca="false">'Form Responses (Pokemon Stats)'!C464</f>
        <v>0</v>
      </c>
      <c r="F570" s="0" t="n">
        <f aca="false">'Form Responses (Pokemon Stats)'!E464</f>
        <v>0</v>
      </c>
      <c r="G570" s="0" t="str">
        <f aca="false">IFERROR(__xludf.dummyfunction("ROUND(B570/ FILTER('Pokemon CP/HP'!$M$2:$M1000, LOWER('Pokemon CP/HP'!$B$2:$B1000)=LOWER(A570)))"),"#DIV/0!")</f>
        <v>#DIV/0!</v>
      </c>
      <c r="H570" s="0" t="str">
        <f aca="false">IFERROR(__xludf.dummyfunction("FILTER('Leveling Info'!$B$2:$B1000, 'Leveling Info'!$A$2:$A1000 =G570)"),"#N/A")</f>
        <v>#N/A</v>
      </c>
      <c r="I570" s="14" t="e">
        <f aca="false">SQRT(G570)</f>
        <v>#VALUE!</v>
      </c>
      <c r="J570" s="14" t="str">
        <f aca="false">IFERROR(__xludf.dummyfunction("IF(F570 = H570,C570/FILTER('Base Stats'!$C$2:$C1000, LOWER('Base Stats'!$B$2:$B1000) = LOWER($A570)), """")"),"#N/A")</f>
        <v>#N/A</v>
      </c>
      <c r="K570" s="0" t="str">
        <f aca="false">IF(F570 = H570, C570/G570, "")</f>
        <v/>
      </c>
      <c r="L570" s="0" t="str">
        <f aca="false">IFERROR(__xludf.dummyfunction("IF(AND(NOT(K570 = """"), G570 &gt;= 15),K570/FILTER('Base Stats'!$C$2:$C1000, LOWER('Base Stats'!$B$2:$B1000) = LOWER($A570)), """")"),"#N/A")</f>
        <v>#N/A</v>
      </c>
      <c r="M570" s="0" t="str">
        <f aca="false">IFERROR(__xludf.dummyfunction("1.15 + 0.02 * FILTER('Base Stats'!$C$2:$C1000, LOWER('Base Stats'!$B$2:$B1000) = LOWER($A570))"),"1.15")</f>
        <v>1.15</v>
      </c>
      <c r="N570" s="0" t="e">
        <f aca="false">IFERROR(IF(AND(NOT(K570 = ""), G570 &gt;= 15),K570/M570, ""))</f>
        <v>#VALUE!</v>
      </c>
    </row>
    <row r="571" customFormat="false" ht="15.75" hidden="false" customHeight="false" outlineLevel="0" collapsed="false">
      <c r="A571" s="0" t="n">
        <f aca="false">'Form Responses (Pokemon Stats)'!B465</f>
        <v>0</v>
      </c>
      <c r="B571" s="0" t="n">
        <f aca="false">'Form Responses (Pokemon Stats)'!D465</f>
        <v>0</v>
      </c>
      <c r="C571" s="0" t="n">
        <f aca="false">'Form Responses (Pokemon Stats)'!C465</f>
        <v>0</v>
      </c>
      <c r="F571" s="0" t="n">
        <f aca="false">'Form Responses (Pokemon Stats)'!E465</f>
        <v>0</v>
      </c>
      <c r="G571" s="0" t="str">
        <f aca="false">IFERROR(__xludf.dummyfunction("ROUND(B571/ FILTER('Pokemon CP/HP'!$M$2:$M1000, LOWER('Pokemon CP/HP'!$B$2:$B1000)=LOWER(A571)))"),"#DIV/0!")</f>
        <v>#DIV/0!</v>
      </c>
      <c r="H571" s="0" t="str">
        <f aca="false">IFERROR(__xludf.dummyfunction("FILTER('Leveling Info'!$B$2:$B1000, 'Leveling Info'!$A$2:$A1000 =G571)"),"#N/A")</f>
        <v>#N/A</v>
      </c>
      <c r="I571" s="14" t="e">
        <f aca="false">SQRT(G571)</f>
        <v>#VALUE!</v>
      </c>
      <c r="J571" s="14" t="str">
        <f aca="false">IFERROR(__xludf.dummyfunction("IF(F571 = H571,C571/FILTER('Base Stats'!$C$2:$C1000, LOWER('Base Stats'!$B$2:$B1000) = LOWER($A571)), """")"),"#N/A")</f>
        <v>#N/A</v>
      </c>
      <c r="K571" s="0" t="str">
        <f aca="false">IF(F571 = H571, C571/G571, "")</f>
        <v/>
      </c>
      <c r="L571" s="0" t="str">
        <f aca="false">IFERROR(__xludf.dummyfunction("IF(AND(NOT(K571 = """"), G571 &gt;= 15),K571/FILTER('Base Stats'!$C$2:$C1000, LOWER('Base Stats'!$B$2:$B1000) = LOWER($A571)), """")"),"#N/A")</f>
        <v>#N/A</v>
      </c>
      <c r="M571" s="0" t="str">
        <f aca="false">IFERROR(__xludf.dummyfunction("1.15 + 0.02 * FILTER('Base Stats'!$C$2:$C1000, LOWER('Base Stats'!$B$2:$B1000) = LOWER($A571))"),"1.15")</f>
        <v>1.15</v>
      </c>
      <c r="N571" s="0" t="e">
        <f aca="false">IFERROR(IF(AND(NOT(K571 = ""), G571 &gt;= 15),K571/M571, ""))</f>
        <v>#VALUE!</v>
      </c>
    </row>
    <row r="572" customFormat="false" ht="15.75" hidden="false" customHeight="false" outlineLevel="0" collapsed="false">
      <c r="A572" s="0" t="n">
        <f aca="false">'Form Responses (Pokemon Stats)'!B466</f>
        <v>0</v>
      </c>
      <c r="B572" s="0" t="n">
        <f aca="false">'Form Responses (Pokemon Stats)'!D466</f>
        <v>0</v>
      </c>
      <c r="C572" s="0" t="n">
        <f aca="false">'Form Responses (Pokemon Stats)'!C466</f>
        <v>0</v>
      </c>
      <c r="F572" s="0" t="n">
        <f aca="false">'Form Responses (Pokemon Stats)'!E466</f>
        <v>0</v>
      </c>
      <c r="G572" s="0" t="str">
        <f aca="false">IFERROR(__xludf.dummyfunction("ROUND(B572/ FILTER('Pokemon CP/HP'!$M$2:$M1000, LOWER('Pokemon CP/HP'!$B$2:$B1000)=LOWER(A572)))"),"#DIV/0!")</f>
        <v>#DIV/0!</v>
      </c>
      <c r="H572" s="0" t="str">
        <f aca="false">IFERROR(__xludf.dummyfunction("FILTER('Leveling Info'!$B$2:$B1000, 'Leveling Info'!$A$2:$A1000 =G572)"),"#N/A")</f>
        <v>#N/A</v>
      </c>
      <c r="I572" s="14" t="e">
        <f aca="false">SQRT(G572)</f>
        <v>#VALUE!</v>
      </c>
      <c r="J572" s="14" t="str">
        <f aca="false">IFERROR(__xludf.dummyfunction("IF(F572 = H572,C572/FILTER('Base Stats'!$C$2:$C1000, LOWER('Base Stats'!$B$2:$B1000) = LOWER($A572)), """")"),"#N/A")</f>
        <v>#N/A</v>
      </c>
      <c r="K572" s="0" t="str">
        <f aca="false">IF(F572 = H572, C572/G572, "")</f>
        <v/>
      </c>
      <c r="L572" s="0" t="str">
        <f aca="false">IFERROR(__xludf.dummyfunction("IF(AND(NOT(K572 = """"), G572 &gt;= 15),K572/FILTER('Base Stats'!$C$2:$C1000, LOWER('Base Stats'!$B$2:$B1000) = LOWER($A572)), """")"),"#N/A")</f>
        <v>#N/A</v>
      </c>
      <c r="M572" s="0" t="str">
        <f aca="false">IFERROR(__xludf.dummyfunction("1.15 + 0.02 * FILTER('Base Stats'!$C$2:$C1000, LOWER('Base Stats'!$B$2:$B1000) = LOWER($A572))"),"1.15")</f>
        <v>1.15</v>
      </c>
      <c r="N572" s="0" t="e">
        <f aca="false">IFERROR(IF(AND(NOT(K572 = ""), G572 &gt;= 15),K572/M572, ""))</f>
        <v>#VALUE!</v>
      </c>
    </row>
    <row r="573" customFormat="false" ht="15.75" hidden="false" customHeight="false" outlineLevel="0" collapsed="false">
      <c r="A573" s="0" t="n">
        <f aca="false">'Form Responses (Pokemon Stats)'!B467</f>
        <v>0</v>
      </c>
      <c r="B573" s="0" t="n">
        <f aca="false">'Form Responses (Pokemon Stats)'!D467</f>
        <v>0</v>
      </c>
      <c r="C573" s="0" t="n">
        <f aca="false">'Form Responses (Pokemon Stats)'!C467</f>
        <v>0</v>
      </c>
      <c r="F573" s="0" t="n">
        <f aca="false">'Form Responses (Pokemon Stats)'!E467</f>
        <v>0</v>
      </c>
      <c r="G573" s="0" t="str">
        <f aca="false">IFERROR(__xludf.dummyfunction("ROUND(B573/ FILTER('Pokemon CP/HP'!$M$2:$M1000, LOWER('Pokemon CP/HP'!$B$2:$B1000)=LOWER(A573)))"),"#DIV/0!")</f>
        <v>#DIV/0!</v>
      </c>
      <c r="H573" s="0" t="str">
        <f aca="false">IFERROR(__xludf.dummyfunction("FILTER('Leveling Info'!$B$2:$B1000, 'Leveling Info'!$A$2:$A1000 =G573)"),"#N/A")</f>
        <v>#N/A</v>
      </c>
      <c r="I573" s="14" t="e">
        <f aca="false">SQRT(G573)</f>
        <v>#VALUE!</v>
      </c>
      <c r="J573" s="14" t="str">
        <f aca="false">IFERROR(__xludf.dummyfunction("IF(F573 = H573,C573/FILTER('Base Stats'!$C$2:$C1000, LOWER('Base Stats'!$B$2:$B1000) = LOWER($A573)), """")"),"#N/A")</f>
        <v>#N/A</v>
      </c>
      <c r="K573" s="0" t="str">
        <f aca="false">IF(F573 = H573, C573/G573, "")</f>
        <v/>
      </c>
      <c r="L573" s="0" t="str">
        <f aca="false">IFERROR(__xludf.dummyfunction("IF(AND(NOT(K573 = """"), G573 &gt;= 15),K573/FILTER('Base Stats'!$C$2:$C1000, LOWER('Base Stats'!$B$2:$B1000) = LOWER($A573)), """")"),"#N/A")</f>
        <v>#N/A</v>
      </c>
      <c r="M573" s="0" t="str">
        <f aca="false">IFERROR(__xludf.dummyfunction("1.15 + 0.02 * FILTER('Base Stats'!$C$2:$C1000, LOWER('Base Stats'!$B$2:$B1000) = LOWER($A573))"),"1.15")</f>
        <v>1.15</v>
      </c>
      <c r="N573" s="0" t="e">
        <f aca="false">IFERROR(IF(AND(NOT(K573 = ""), G573 &gt;= 15),K573/M573, ""))</f>
        <v>#VALUE!</v>
      </c>
    </row>
    <row r="574" customFormat="false" ht="15.75" hidden="false" customHeight="false" outlineLevel="0" collapsed="false">
      <c r="A574" s="0" t="n">
        <f aca="false">'Form Responses (Pokemon Stats)'!B468</f>
        <v>0</v>
      </c>
      <c r="B574" s="0" t="n">
        <f aca="false">'Form Responses (Pokemon Stats)'!D468</f>
        <v>0</v>
      </c>
      <c r="C574" s="0" t="n">
        <f aca="false">'Form Responses (Pokemon Stats)'!C468</f>
        <v>0</v>
      </c>
      <c r="F574" s="0" t="n">
        <f aca="false">'Form Responses (Pokemon Stats)'!E468</f>
        <v>0</v>
      </c>
      <c r="G574" s="0" t="str">
        <f aca="false">IFERROR(__xludf.dummyfunction("ROUND(B574/ FILTER('Pokemon CP/HP'!$M$2:$M1000, LOWER('Pokemon CP/HP'!$B$2:$B1000)=LOWER(A574)))"),"#DIV/0!")</f>
        <v>#DIV/0!</v>
      </c>
      <c r="H574" s="0" t="str">
        <f aca="false">IFERROR(__xludf.dummyfunction("FILTER('Leveling Info'!$B$2:$B1000, 'Leveling Info'!$A$2:$A1000 =G574)"),"#N/A")</f>
        <v>#N/A</v>
      </c>
      <c r="I574" s="14" t="e">
        <f aca="false">SQRT(G574)</f>
        <v>#VALUE!</v>
      </c>
      <c r="J574" s="14" t="str">
        <f aca="false">IFERROR(__xludf.dummyfunction("IF(F574 = H574,C574/FILTER('Base Stats'!$C$2:$C1000, LOWER('Base Stats'!$B$2:$B1000) = LOWER($A574)), """")"),"#N/A")</f>
        <v>#N/A</v>
      </c>
      <c r="K574" s="0" t="str">
        <f aca="false">IF(F574 = H574, C574/G574, "")</f>
        <v/>
      </c>
      <c r="L574" s="0" t="str">
        <f aca="false">IFERROR(__xludf.dummyfunction("IF(AND(NOT(K574 = """"), G574 &gt;= 15),K574/FILTER('Base Stats'!$C$2:$C1000, LOWER('Base Stats'!$B$2:$B1000) = LOWER($A574)), """")"),"#N/A")</f>
        <v>#N/A</v>
      </c>
      <c r="M574" s="0" t="str">
        <f aca="false">IFERROR(__xludf.dummyfunction("1.15 + 0.02 * FILTER('Base Stats'!$C$2:$C1000, LOWER('Base Stats'!$B$2:$B1000) = LOWER($A574))"),"1.15")</f>
        <v>1.15</v>
      </c>
      <c r="N574" s="0" t="e">
        <f aca="false">IFERROR(IF(AND(NOT(K574 = ""), G574 &gt;= 15),K574/M574, ""))</f>
        <v>#VALUE!</v>
      </c>
    </row>
    <row r="575" customFormat="false" ht="15.75" hidden="false" customHeight="false" outlineLevel="0" collapsed="false">
      <c r="A575" s="0" t="n">
        <f aca="false">'Form Responses (Pokemon Stats)'!B469</f>
        <v>0</v>
      </c>
      <c r="B575" s="0" t="n">
        <f aca="false">'Form Responses (Pokemon Stats)'!D469</f>
        <v>0</v>
      </c>
      <c r="C575" s="0" t="n">
        <f aca="false">'Form Responses (Pokemon Stats)'!C469</f>
        <v>0</v>
      </c>
      <c r="F575" s="0" t="n">
        <f aca="false">'Form Responses (Pokemon Stats)'!E469</f>
        <v>0</v>
      </c>
      <c r="G575" s="0" t="str">
        <f aca="false">IFERROR(__xludf.dummyfunction("ROUND(B575/ FILTER('Pokemon CP/HP'!$M$2:$M1000, LOWER('Pokemon CP/HP'!$B$2:$B1000)=LOWER(A575)))"),"#DIV/0!")</f>
        <v>#DIV/0!</v>
      </c>
      <c r="H575" s="0" t="str">
        <f aca="false">IFERROR(__xludf.dummyfunction("FILTER('Leveling Info'!$B$2:$B1000, 'Leveling Info'!$A$2:$A1000 =G575)"),"#N/A")</f>
        <v>#N/A</v>
      </c>
      <c r="I575" s="14" t="e">
        <f aca="false">SQRT(G575)</f>
        <v>#VALUE!</v>
      </c>
      <c r="J575" s="14" t="str">
        <f aca="false">IFERROR(__xludf.dummyfunction("IF(F575 = H575,C575/FILTER('Base Stats'!$C$2:$C1000, LOWER('Base Stats'!$B$2:$B1000) = LOWER($A575)), """")"),"#N/A")</f>
        <v>#N/A</v>
      </c>
      <c r="K575" s="0" t="str">
        <f aca="false">IF(F575 = H575, C575/G575, "")</f>
        <v/>
      </c>
      <c r="L575" s="0" t="str">
        <f aca="false">IFERROR(__xludf.dummyfunction("IF(AND(NOT(K575 = """"), G575 &gt;= 15),K575/FILTER('Base Stats'!$C$2:$C1000, LOWER('Base Stats'!$B$2:$B1000) = LOWER($A575)), """")"),"#N/A")</f>
        <v>#N/A</v>
      </c>
      <c r="M575" s="0" t="str">
        <f aca="false">IFERROR(__xludf.dummyfunction("1.15 + 0.02 * FILTER('Base Stats'!$C$2:$C1000, LOWER('Base Stats'!$B$2:$B1000) = LOWER($A575))"),"1.15")</f>
        <v>1.15</v>
      </c>
      <c r="N575" s="0" t="e">
        <f aca="false">IFERROR(IF(AND(NOT(K575 = ""), G575 &gt;= 15),K575/M575, ""))</f>
        <v>#VALUE!</v>
      </c>
    </row>
    <row r="576" customFormat="false" ht="15.75" hidden="false" customHeight="false" outlineLevel="0" collapsed="false">
      <c r="A576" s="0" t="n">
        <f aca="false">'Form Responses (Pokemon Stats)'!B470</f>
        <v>0</v>
      </c>
      <c r="B576" s="0" t="n">
        <f aca="false">'Form Responses (Pokemon Stats)'!D470</f>
        <v>0</v>
      </c>
      <c r="C576" s="0" t="n">
        <f aca="false">'Form Responses (Pokemon Stats)'!C470</f>
        <v>0</v>
      </c>
      <c r="F576" s="0" t="n">
        <f aca="false">'Form Responses (Pokemon Stats)'!E470</f>
        <v>0</v>
      </c>
      <c r="G576" s="0" t="str">
        <f aca="false">IFERROR(__xludf.dummyfunction("ROUND(B576/ FILTER('Pokemon CP/HP'!$M$2:$M1000, LOWER('Pokemon CP/HP'!$B$2:$B1000)=LOWER(A576)))"),"#DIV/0!")</f>
        <v>#DIV/0!</v>
      </c>
      <c r="H576" s="0" t="str">
        <f aca="false">IFERROR(__xludf.dummyfunction("FILTER('Leveling Info'!$B$2:$B1000, 'Leveling Info'!$A$2:$A1000 =G576)"),"#N/A")</f>
        <v>#N/A</v>
      </c>
      <c r="I576" s="14" t="e">
        <f aca="false">SQRT(G576)</f>
        <v>#VALUE!</v>
      </c>
      <c r="J576" s="14" t="str">
        <f aca="false">IFERROR(__xludf.dummyfunction("IF(F576 = H576,C576/FILTER('Base Stats'!$C$2:$C1000, LOWER('Base Stats'!$B$2:$B1000) = LOWER($A576)), """")"),"#N/A")</f>
        <v>#N/A</v>
      </c>
      <c r="K576" s="0" t="str">
        <f aca="false">IF(F576 = H576, C576/G576, "")</f>
        <v/>
      </c>
      <c r="L576" s="0" t="str">
        <f aca="false">IFERROR(__xludf.dummyfunction("IF(AND(NOT(K576 = """"), G576 &gt;= 15),K576/FILTER('Base Stats'!$C$2:$C1000, LOWER('Base Stats'!$B$2:$B1000) = LOWER($A576)), """")"),"#N/A")</f>
        <v>#N/A</v>
      </c>
      <c r="M576" s="0" t="str">
        <f aca="false">IFERROR(__xludf.dummyfunction("1.15 + 0.02 * FILTER('Base Stats'!$C$2:$C1000, LOWER('Base Stats'!$B$2:$B1000) = LOWER($A576))"),"1.15")</f>
        <v>1.15</v>
      </c>
      <c r="N576" s="0" t="e">
        <f aca="false">IFERROR(IF(AND(NOT(K576 = ""), G576 &gt;= 15),K576/M576, ""))</f>
        <v>#VALUE!</v>
      </c>
    </row>
    <row r="577" customFormat="false" ht="15.75" hidden="false" customHeight="false" outlineLevel="0" collapsed="false">
      <c r="A577" s="0" t="n">
        <f aca="false">'Form Responses (Pokemon Stats)'!B471</f>
        <v>0</v>
      </c>
      <c r="B577" s="0" t="n">
        <f aca="false">'Form Responses (Pokemon Stats)'!D471</f>
        <v>0</v>
      </c>
      <c r="C577" s="0" t="n">
        <f aca="false">'Form Responses (Pokemon Stats)'!C471</f>
        <v>0</v>
      </c>
      <c r="F577" s="0" t="n">
        <f aca="false">'Form Responses (Pokemon Stats)'!E471</f>
        <v>0</v>
      </c>
      <c r="G577" s="0" t="str">
        <f aca="false">IFERROR(__xludf.dummyfunction("ROUND(B577/ FILTER('Pokemon CP/HP'!$M$2:$M1000, LOWER('Pokemon CP/HP'!$B$2:$B1000)=LOWER(A577)))"),"#DIV/0!")</f>
        <v>#DIV/0!</v>
      </c>
      <c r="H577" s="0" t="str">
        <f aca="false">IFERROR(__xludf.dummyfunction("FILTER('Leveling Info'!$B$2:$B1000, 'Leveling Info'!$A$2:$A1000 =G577)"),"#N/A")</f>
        <v>#N/A</v>
      </c>
      <c r="I577" s="14" t="e">
        <f aca="false">SQRT(G577)</f>
        <v>#VALUE!</v>
      </c>
      <c r="J577" s="14" t="str">
        <f aca="false">IFERROR(__xludf.dummyfunction("IF(F577 = H577,C577/FILTER('Base Stats'!$C$2:$C1000, LOWER('Base Stats'!$B$2:$B1000) = LOWER($A577)), """")"),"#N/A")</f>
        <v>#N/A</v>
      </c>
      <c r="K577" s="0" t="str">
        <f aca="false">IF(F577 = H577, C577/G577, "")</f>
        <v/>
      </c>
      <c r="L577" s="0" t="str">
        <f aca="false">IFERROR(__xludf.dummyfunction("IF(AND(NOT(K577 = """"), G577 &gt;= 15),K577/FILTER('Base Stats'!$C$2:$C1000, LOWER('Base Stats'!$B$2:$B1000) = LOWER($A577)), """")"),"#N/A")</f>
        <v>#N/A</v>
      </c>
      <c r="M577" s="0" t="str">
        <f aca="false">IFERROR(__xludf.dummyfunction("1.15 + 0.02 * FILTER('Base Stats'!$C$2:$C1000, LOWER('Base Stats'!$B$2:$B1000) = LOWER($A577))"),"1.15")</f>
        <v>1.15</v>
      </c>
      <c r="N577" s="0" t="e">
        <f aca="false">IFERROR(IF(AND(NOT(K577 = ""), G577 &gt;= 15),K577/M577, ""))</f>
        <v>#VALUE!</v>
      </c>
    </row>
    <row r="578" customFormat="false" ht="15.75" hidden="false" customHeight="false" outlineLevel="0" collapsed="false">
      <c r="A578" s="0" t="n">
        <f aca="false">'Form Responses (Pokemon Stats)'!B472</f>
        <v>0</v>
      </c>
      <c r="B578" s="0" t="n">
        <f aca="false">'Form Responses (Pokemon Stats)'!D472</f>
        <v>0</v>
      </c>
      <c r="C578" s="0" t="n">
        <f aca="false">'Form Responses (Pokemon Stats)'!C472</f>
        <v>0</v>
      </c>
      <c r="F578" s="0" t="n">
        <f aca="false">'Form Responses (Pokemon Stats)'!E472</f>
        <v>0</v>
      </c>
      <c r="G578" s="0" t="str">
        <f aca="false">IFERROR(__xludf.dummyfunction("ROUND(B578/ FILTER('Pokemon CP/HP'!$M$2:$M1000, LOWER('Pokemon CP/HP'!$B$2:$B1000)=LOWER(A578)))"),"#DIV/0!")</f>
        <v>#DIV/0!</v>
      </c>
      <c r="H578" s="0" t="str">
        <f aca="false">IFERROR(__xludf.dummyfunction("FILTER('Leveling Info'!$B$2:$B1000, 'Leveling Info'!$A$2:$A1000 =G578)"),"#N/A")</f>
        <v>#N/A</v>
      </c>
      <c r="I578" s="14" t="e">
        <f aca="false">SQRT(G578)</f>
        <v>#VALUE!</v>
      </c>
      <c r="J578" s="14" t="str">
        <f aca="false">IFERROR(__xludf.dummyfunction("IF(F578 = H578,C578/FILTER('Base Stats'!$C$2:$C1000, LOWER('Base Stats'!$B$2:$B1000) = LOWER($A578)), """")"),"#N/A")</f>
        <v>#N/A</v>
      </c>
      <c r="K578" s="0" t="str">
        <f aca="false">IF(F578 = H578, C578/G578, "")</f>
        <v/>
      </c>
      <c r="L578" s="0" t="str">
        <f aca="false">IFERROR(__xludf.dummyfunction("IF(AND(NOT(K578 = """"), G578 &gt;= 15),K578/FILTER('Base Stats'!$C$2:$C1000, LOWER('Base Stats'!$B$2:$B1000) = LOWER($A578)), """")"),"#N/A")</f>
        <v>#N/A</v>
      </c>
      <c r="M578" s="0" t="str">
        <f aca="false">IFERROR(__xludf.dummyfunction("1.15 + 0.02 * FILTER('Base Stats'!$C$2:$C1000, LOWER('Base Stats'!$B$2:$B1000) = LOWER($A578))"),"1.15")</f>
        <v>1.15</v>
      </c>
      <c r="N578" s="0" t="e">
        <f aca="false">IFERROR(IF(AND(NOT(K578 = ""), G578 &gt;= 15),K578/M578, ""))</f>
        <v>#VALUE!</v>
      </c>
    </row>
    <row r="579" customFormat="false" ht="15.75" hidden="false" customHeight="false" outlineLevel="0" collapsed="false">
      <c r="A579" s="0" t="n">
        <f aca="false">'Form Responses (Pokemon Stats)'!B473</f>
        <v>0</v>
      </c>
      <c r="B579" s="0" t="n">
        <f aca="false">'Form Responses (Pokemon Stats)'!D473</f>
        <v>0</v>
      </c>
      <c r="C579" s="0" t="n">
        <f aca="false">'Form Responses (Pokemon Stats)'!C473</f>
        <v>0</v>
      </c>
      <c r="F579" s="0" t="n">
        <f aca="false">'Form Responses (Pokemon Stats)'!E473</f>
        <v>0</v>
      </c>
      <c r="G579" s="0" t="str">
        <f aca="false">IFERROR(__xludf.dummyfunction("ROUND(B579/ FILTER('Pokemon CP/HP'!$M$2:$M1000, LOWER('Pokemon CP/HP'!$B$2:$B1000)=LOWER(A579)))"),"#DIV/0!")</f>
        <v>#DIV/0!</v>
      </c>
      <c r="H579" s="0" t="str">
        <f aca="false">IFERROR(__xludf.dummyfunction("FILTER('Leveling Info'!$B$2:$B1000, 'Leveling Info'!$A$2:$A1000 =G579)"),"#N/A")</f>
        <v>#N/A</v>
      </c>
      <c r="I579" s="14" t="e">
        <f aca="false">SQRT(G579)</f>
        <v>#VALUE!</v>
      </c>
      <c r="J579" s="14" t="str">
        <f aca="false">IFERROR(__xludf.dummyfunction("IF(F579 = H579,C579/FILTER('Base Stats'!$C$2:$C1000, LOWER('Base Stats'!$B$2:$B1000) = LOWER($A579)), """")"),"#N/A")</f>
        <v>#N/A</v>
      </c>
      <c r="K579" s="0" t="str">
        <f aca="false">IF(F579 = H579, C579/G579, "")</f>
        <v/>
      </c>
      <c r="L579" s="0" t="str">
        <f aca="false">IFERROR(__xludf.dummyfunction("IF(AND(NOT(K579 = """"), G579 &gt;= 15),K579/FILTER('Base Stats'!$C$2:$C1000, LOWER('Base Stats'!$B$2:$B1000) = LOWER($A579)), """")"),"#N/A")</f>
        <v>#N/A</v>
      </c>
      <c r="M579" s="0" t="str">
        <f aca="false">IFERROR(__xludf.dummyfunction("1.15 + 0.02 * FILTER('Base Stats'!$C$2:$C1000, LOWER('Base Stats'!$B$2:$B1000) = LOWER($A579))"),"1.15")</f>
        <v>1.15</v>
      </c>
      <c r="N579" s="0" t="e">
        <f aca="false">IFERROR(IF(AND(NOT(K579 = ""), G579 &gt;= 15),K579/M579, ""))</f>
        <v>#VALUE!</v>
      </c>
    </row>
    <row r="580" customFormat="false" ht="15.75" hidden="false" customHeight="false" outlineLevel="0" collapsed="false">
      <c r="A580" s="0" t="n">
        <f aca="false">'Form Responses (Pokemon Stats)'!B474</f>
        <v>0</v>
      </c>
      <c r="B580" s="0" t="n">
        <f aca="false">'Form Responses (Pokemon Stats)'!D474</f>
        <v>0</v>
      </c>
      <c r="C580" s="0" t="n">
        <f aca="false">'Form Responses (Pokemon Stats)'!C474</f>
        <v>0</v>
      </c>
      <c r="F580" s="0" t="n">
        <f aca="false">'Form Responses (Pokemon Stats)'!E474</f>
        <v>0</v>
      </c>
      <c r="G580" s="0" t="str">
        <f aca="false">IFERROR(__xludf.dummyfunction("ROUND(B580/ FILTER('Pokemon CP/HP'!$M$2:$M1000, LOWER('Pokemon CP/HP'!$B$2:$B1000)=LOWER(A580)))"),"#DIV/0!")</f>
        <v>#DIV/0!</v>
      </c>
      <c r="H580" s="0" t="str">
        <f aca="false">IFERROR(__xludf.dummyfunction("FILTER('Leveling Info'!$B$2:$B1000, 'Leveling Info'!$A$2:$A1000 =G580)"),"#N/A")</f>
        <v>#N/A</v>
      </c>
      <c r="I580" s="14" t="e">
        <f aca="false">SQRT(G580)</f>
        <v>#VALUE!</v>
      </c>
      <c r="J580" s="14" t="str">
        <f aca="false">IFERROR(__xludf.dummyfunction("IF(F580 = H580,C580/FILTER('Base Stats'!$C$2:$C1000, LOWER('Base Stats'!$B$2:$B1000) = LOWER($A580)), """")"),"#N/A")</f>
        <v>#N/A</v>
      </c>
      <c r="K580" s="0" t="str">
        <f aca="false">IF(F580 = H580, C580/G580, "")</f>
        <v/>
      </c>
      <c r="L580" s="0" t="str">
        <f aca="false">IFERROR(__xludf.dummyfunction("IF(AND(NOT(K580 = """"), G580 &gt;= 15),K580/FILTER('Base Stats'!$C$2:$C1000, LOWER('Base Stats'!$B$2:$B1000) = LOWER($A580)), """")"),"#N/A")</f>
        <v>#N/A</v>
      </c>
      <c r="M580" s="0" t="str">
        <f aca="false">IFERROR(__xludf.dummyfunction("1.15 + 0.02 * FILTER('Base Stats'!$C$2:$C1000, LOWER('Base Stats'!$B$2:$B1000) = LOWER($A580))"),"1.15")</f>
        <v>1.15</v>
      </c>
      <c r="N580" s="0" t="e">
        <f aca="false">IFERROR(IF(AND(NOT(K580 = ""), G580 &gt;= 15),K580/M580, ""))</f>
        <v>#VALUE!</v>
      </c>
    </row>
    <row r="581" customFormat="false" ht="15.75" hidden="false" customHeight="false" outlineLevel="0" collapsed="false">
      <c r="A581" s="0" t="n">
        <f aca="false">'Form Responses (Pokemon Stats)'!B475</f>
        <v>0</v>
      </c>
      <c r="B581" s="0" t="n">
        <f aca="false">'Form Responses (Pokemon Stats)'!D475</f>
        <v>0</v>
      </c>
      <c r="C581" s="0" t="n">
        <f aca="false">'Form Responses (Pokemon Stats)'!C475</f>
        <v>0</v>
      </c>
      <c r="F581" s="0" t="n">
        <f aca="false">'Form Responses (Pokemon Stats)'!E475</f>
        <v>0</v>
      </c>
      <c r="G581" s="0" t="str">
        <f aca="false">IFERROR(__xludf.dummyfunction("ROUND(B581/ FILTER('Pokemon CP/HP'!$M$2:$M1000, LOWER('Pokemon CP/HP'!$B$2:$B1000)=LOWER(A581)))"),"#DIV/0!")</f>
        <v>#DIV/0!</v>
      </c>
      <c r="H581" s="0" t="str">
        <f aca="false">IFERROR(__xludf.dummyfunction("FILTER('Leveling Info'!$B$2:$B1000, 'Leveling Info'!$A$2:$A1000 =G581)"),"#N/A")</f>
        <v>#N/A</v>
      </c>
      <c r="I581" s="14" t="e">
        <f aca="false">SQRT(G581)</f>
        <v>#VALUE!</v>
      </c>
      <c r="J581" s="14" t="str">
        <f aca="false">IFERROR(__xludf.dummyfunction("IF(F581 = H581,C581/FILTER('Base Stats'!$C$2:$C1000, LOWER('Base Stats'!$B$2:$B1000) = LOWER($A581)), """")"),"#N/A")</f>
        <v>#N/A</v>
      </c>
      <c r="K581" s="0" t="str">
        <f aca="false">IF(F581 = H581, C581/G581, "")</f>
        <v/>
      </c>
      <c r="L581" s="0" t="str">
        <f aca="false">IFERROR(__xludf.dummyfunction("IF(AND(NOT(K581 = """"), G581 &gt;= 15),K581/FILTER('Base Stats'!$C$2:$C1000, LOWER('Base Stats'!$B$2:$B1000) = LOWER($A581)), """")"),"#N/A")</f>
        <v>#N/A</v>
      </c>
      <c r="M581" s="0" t="str">
        <f aca="false">IFERROR(__xludf.dummyfunction("1.15 + 0.02 * FILTER('Base Stats'!$C$2:$C1000, LOWER('Base Stats'!$B$2:$B1000) = LOWER($A581))"),"1.15")</f>
        <v>1.15</v>
      </c>
      <c r="N581" s="0" t="e">
        <f aca="false">IFERROR(IF(AND(NOT(K581 = ""), G581 &gt;= 15),K581/M581, ""))</f>
        <v>#VALUE!</v>
      </c>
    </row>
    <row r="582" customFormat="false" ht="15.75" hidden="false" customHeight="false" outlineLevel="0" collapsed="false">
      <c r="A582" s="0" t="n">
        <f aca="false">'Form Responses (Pokemon Stats)'!B476</f>
        <v>0</v>
      </c>
      <c r="B582" s="0" t="n">
        <f aca="false">'Form Responses (Pokemon Stats)'!D476</f>
        <v>0</v>
      </c>
      <c r="C582" s="0" t="n">
        <f aca="false">'Form Responses (Pokemon Stats)'!C476</f>
        <v>0</v>
      </c>
      <c r="F582" s="0" t="n">
        <f aca="false">'Form Responses (Pokemon Stats)'!E476</f>
        <v>0</v>
      </c>
      <c r="G582" s="0" t="str">
        <f aca="false">IFERROR(__xludf.dummyfunction("ROUND(B582/ FILTER('Pokemon CP/HP'!$M$2:$M1000, LOWER('Pokemon CP/HP'!$B$2:$B1000)=LOWER(A582)))"),"#DIV/0!")</f>
        <v>#DIV/0!</v>
      </c>
      <c r="H582" s="0" t="str">
        <f aca="false">IFERROR(__xludf.dummyfunction("FILTER('Leveling Info'!$B$2:$B1000, 'Leveling Info'!$A$2:$A1000 =G582)"),"#N/A")</f>
        <v>#N/A</v>
      </c>
      <c r="I582" s="14" t="e">
        <f aca="false">SQRT(G582)</f>
        <v>#VALUE!</v>
      </c>
      <c r="J582" s="14" t="str">
        <f aca="false">IFERROR(__xludf.dummyfunction("IF(F582 = H582,C582/FILTER('Base Stats'!$C$2:$C1000, LOWER('Base Stats'!$B$2:$B1000) = LOWER($A582)), """")"),"#N/A")</f>
        <v>#N/A</v>
      </c>
      <c r="K582" s="0" t="str">
        <f aca="false">IF(F582 = H582, C582/G582, "")</f>
        <v/>
      </c>
      <c r="L582" s="0" t="str">
        <f aca="false">IFERROR(__xludf.dummyfunction("IF(AND(NOT(K582 = """"), G582 &gt;= 15),K582/FILTER('Base Stats'!$C$2:$C1000, LOWER('Base Stats'!$B$2:$B1000) = LOWER($A582)), """")"),"#N/A")</f>
        <v>#N/A</v>
      </c>
      <c r="M582" s="0" t="str">
        <f aca="false">IFERROR(__xludf.dummyfunction("1.15 + 0.02 * FILTER('Base Stats'!$C$2:$C1000, LOWER('Base Stats'!$B$2:$B1000) = LOWER($A582))"),"1.15")</f>
        <v>1.15</v>
      </c>
      <c r="N582" s="0" t="e">
        <f aca="false">IFERROR(IF(AND(NOT(K582 = ""), G582 &gt;= 15),K582/M582, ""))</f>
        <v>#VALUE!</v>
      </c>
    </row>
    <row r="583" customFormat="false" ht="15.75" hidden="false" customHeight="false" outlineLevel="0" collapsed="false">
      <c r="A583" s="0" t="n">
        <f aca="false">'Form Responses (Pokemon Stats)'!B477</f>
        <v>0</v>
      </c>
      <c r="B583" s="0" t="n">
        <f aca="false">'Form Responses (Pokemon Stats)'!D477</f>
        <v>0</v>
      </c>
      <c r="C583" s="0" t="n">
        <f aca="false">'Form Responses (Pokemon Stats)'!C477</f>
        <v>0</v>
      </c>
      <c r="F583" s="0" t="n">
        <f aca="false">'Form Responses (Pokemon Stats)'!E477</f>
        <v>0</v>
      </c>
      <c r="G583" s="0" t="str">
        <f aca="false">IFERROR(__xludf.dummyfunction("ROUND(B583/ FILTER('Pokemon CP/HP'!$M$2:$M1000, LOWER('Pokemon CP/HP'!$B$2:$B1000)=LOWER(A583)))"),"#DIV/0!")</f>
        <v>#DIV/0!</v>
      </c>
      <c r="H583" s="0" t="str">
        <f aca="false">IFERROR(__xludf.dummyfunction("FILTER('Leveling Info'!$B$2:$B1000, 'Leveling Info'!$A$2:$A1000 =G583)"),"#N/A")</f>
        <v>#N/A</v>
      </c>
      <c r="I583" s="14" t="e">
        <f aca="false">SQRT(G583)</f>
        <v>#VALUE!</v>
      </c>
      <c r="J583" s="14" t="str">
        <f aca="false">IFERROR(__xludf.dummyfunction("IF(F583 = H583,C583/FILTER('Base Stats'!$C$2:$C1000, LOWER('Base Stats'!$B$2:$B1000) = LOWER($A583)), """")"),"#N/A")</f>
        <v>#N/A</v>
      </c>
      <c r="K583" s="0" t="str">
        <f aca="false">IF(F583 = H583, C583/G583, "")</f>
        <v/>
      </c>
      <c r="L583" s="0" t="str">
        <f aca="false">IFERROR(__xludf.dummyfunction("IF(AND(NOT(K583 = """"), G583 &gt;= 15),K583/FILTER('Base Stats'!$C$2:$C1000, LOWER('Base Stats'!$B$2:$B1000) = LOWER($A583)), """")"),"#N/A")</f>
        <v>#N/A</v>
      </c>
      <c r="M583" s="0" t="str">
        <f aca="false">IFERROR(__xludf.dummyfunction("1.15 + 0.02 * FILTER('Base Stats'!$C$2:$C1000, LOWER('Base Stats'!$B$2:$B1000) = LOWER($A583))"),"1.15")</f>
        <v>1.15</v>
      </c>
      <c r="N583" s="0" t="e">
        <f aca="false">IFERROR(IF(AND(NOT(K583 = ""), G583 &gt;= 15),K583/M583, ""))</f>
        <v>#VALUE!</v>
      </c>
    </row>
    <row r="584" customFormat="false" ht="15.75" hidden="false" customHeight="false" outlineLevel="0" collapsed="false">
      <c r="A584" s="0" t="n">
        <f aca="false">'Form Responses (Pokemon Stats)'!B478</f>
        <v>0</v>
      </c>
      <c r="B584" s="0" t="n">
        <f aca="false">'Form Responses (Pokemon Stats)'!D478</f>
        <v>0</v>
      </c>
      <c r="C584" s="0" t="n">
        <f aca="false">'Form Responses (Pokemon Stats)'!C478</f>
        <v>0</v>
      </c>
      <c r="F584" s="0" t="n">
        <f aca="false">'Form Responses (Pokemon Stats)'!E478</f>
        <v>0</v>
      </c>
      <c r="G584" s="0" t="str">
        <f aca="false">IFERROR(__xludf.dummyfunction("ROUND(B584/ FILTER('Pokemon CP/HP'!$M$2:$M1000, LOWER('Pokemon CP/HP'!$B$2:$B1000)=LOWER(A584)))"),"#DIV/0!")</f>
        <v>#DIV/0!</v>
      </c>
      <c r="H584" s="0" t="str">
        <f aca="false">IFERROR(__xludf.dummyfunction("FILTER('Leveling Info'!$B$2:$B1000, 'Leveling Info'!$A$2:$A1000 =G584)"),"#N/A")</f>
        <v>#N/A</v>
      </c>
      <c r="I584" s="14" t="e">
        <f aca="false">SQRT(G584)</f>
        <v>#VALUE!</v>
      </c>
      <c r="J584" s="14" t="str">
        <f aca="false">IFERROR(__xludf.dummyfunction("IF(F584 = H584,C584/FILTER('Base Stats'!$C$2:$C1000, LOWER('Base Stats'!$B$2:$B1000) = LOWER($A584)), """")"),"#N/A")</f>
        <v>#N/A</v>
      </c>
      <c r="K584" s="0" t="str">
        <f aca="false">IF(F584 = H584, C584/G584, "")</f>
        <v/>
      </c>
      <c r="L584" s="0" t="str">
        <f aca="false">IFERROR(__xludf.dummyfunction("IF(AND(NOT(K584 = """"), G584 &gt;= 15),K584/FILTER('Base Stats'!$C$2:$C1000, LOWER('Base Stats'!$B$2:$B1000) = LOWER($A584)), """")"),"#N/A")</f>
        <v>#N/A</v>
      </c>
      <c r="M584" s="0" t="str">
        <f aca="false">IFERROR(__xludf.dummyfunction("1.15 + 0.02 * FILTER('Base Stats'!$C$2:$C1000, LOWER('Base Stats'!$B$2:$B1000) = LOWER($A584))"),"1.15")</f>
        <v>1.15</v>
      </c>
      <c r="N584" s="0" t="e">
        <f aca="false">IFERROR(IF(AND(NOT(K584 = ""), G584 &gt;= 15),K584/M584, ""))</f>
        <v>#VALUE!</v>
      </c>
    </row>
    <row r="585" customFormat="false" ht="15.75" hidden="false" customHeight="false" outlineLevel="0" collapsed="false">
      <c r="A585" s="0" t="n">
        <f aca="false">'Form Responses (Pokemon Stats)'!B479</f>
        <v>0</v>
      </c>
      <c r="B585" s="0" t="n">
        <f aca="false">'Form Responses (Pokemon Stats)'!D479</f>
        <v>0</v>
      </c>
      <c r="C585" s="0" t="n">
        <f aca="false">'Form Responses (Pokemon Stats)'!C479</f>
        <v>0</v>
      </c>
      <c r="F585" s="0" t="n">
        <f aca="false">'Form Responses (Pokemon Stats)'!E479</f>
        <v>0</v>
      </c>
      <c r="G585" s="0" t="str">
        <f aca="false">IFERROR(__xludf.dummyfunction("ROUND(B585/ FILTER('Pokemon CP/HP'!$M$2:$M1000, LOWER('Pokemon CP/HP'!$B$2:$B1000)=LOWER(A585)))"),"#DIV/0!")</f>
        <v>#DIV/0!</v>
      </c>
      <c r="H585" s="0" t="str">
        <f aca="false">IFERROR(__xludf.dummyfunction("FILTER('Leveling Info'!$B$2:$B1000, 'Leveling Info'!$A$2:$A1000 =G585)"),"#N/A")</f>
        <v>#N/A</v>
      </c>
      <c r="I585" s="14" t="e">
        <f aca="false">SQRT(G585)</f>
        <v>#VALUE!</v>
      </c>
      <c r="J585" s="14" t="str">
        <f aca="false">IFERROR(__xludf.dummyfunction("IF(F585 = H585,C585/FILTER('Base Stats'!$C$2:$C1000, LOWER('Base Stats'!$B$2:$B1000) = LOWER($A585)), """")"),"#N/A")</f>
        <v>#N/A</v>
      </c>
      <c r="K585" s="0" t="str">
        <f aca="false">IF(F585 = H585, C585/G585, "")</f>
        <v/>
      </c>
      <c r="L585" s="0" t="str">
        <f aca="false">IFERROR(__xludf.dummyfunction("IF(AND(NOT(K585 = """"), G585 &gt;= 15),K585/FILTER('Base Stats'!$C$2:$C1000, LOWER('Base Stats'!$B$2:$B1000) = LOWER($A585)), """")"),"#N/A")</f>
        <v>#N/A</v>
      </c>
      <c r="M585" s="0" t="str">
        <f aca="false">IFERROR(__xludf.dummyfunction("1.15 + 0.02 * FILTER('Base Stats'!$C$2:$C1000, LOWER('Base Stats'!$B$2:$B1000) = LOWER($A585))"),"1.15")</f>
        <v>1.15</v>
      </c>
      <c r="N585" s="0" t="e">
        <f aca="false">IFERROR(IF(AND(NOT(K585 = ""), G585 &gt;= 15),K585/M585, ""))</f>
        <v>#VALUE!</v>
      </c>
    </row>
    <row r="586" customFormat="false" ht="15.75" hidden="false" customHeight="false" outlineLevel="0" collapsed="false">
      <c r="A586" s="0" t="n">
        <f aca="false">'Form Responses (Pokemon Stats)'!B480</f>
        <v>0</v>
      </c>
      <c r="B586" s="0" t="n">
        <f aca="false">'Form Responses (Pokemon Stats)'!D480</f>
        <v>0</v>
      </c>
      <c r="C586" s="0" t="n">
        <f aca="false">'Form Responses (Pokemon Stats)'!C480</f>
        <v>0</v>
      </c>
      <c r="F586" s="0" t="n">
        <f aca="false">'Form Responses (Pokemon Stats)'!E480</f>
        <v>0</v>
      </c>
      <c r="G586" s="0" t="str">
        <f aca="false">IFERROR(__xludf.dummyfunction("ROUND(B586/ FILTER('Pokemon CP/HP'!$M$2:$M1000, LOWER('Pokemon CP/HP'!$B$2:$B1000)=LOWER(A586)))"),"#DIV/0!")</f>
        <v>#DIV/0!</v>
      </c>
      <c r="H586" s="0" t="str">
        <f aca="false">IFERROR(__xludf.dummyfunction("FILTER('Leveling Info'!$B$2:$B1000, 'Leveling Info'!$A$2:$A1000 =G586)"),"#N/A")</f>
        <v>#N/A</v>
      </c>
      <c r="I586" s="14" t="e">
        <f aca="false">SQRT(G586)</f>
        <v>#VALUE!</v>
      </c>
      <c r="J586" s="14" t="str">
        <f aca="false">IFERROR(__xludf.dummyfunction("IF(F586 = H586,C586/FILTER('Base Stats'!$C$2:$C1000, LOWER('Base Stats'!$B$2:$B1000) = LOWER($A586)), """")"),"#N/A")</f>
        <v>#N/A</v>
      </c>
      <c r="K586" s="0" t="str">
        <f aca="false">IF(F586 = H586, C586/G586, "")</f>
        <v/>
      </c>
      <c r="L586" s="0" t="str">
        <f aca="false">IFERROR(__xludf.dummyfunction("IF(AND(NOT(K586 = """"), G586 &gt;= 15),K586/FILTER('Base Stats'!$C$2:$C1000, LOWER('Base Stats'!$B$2:$B1000) = LOWER($A586)), """")"),"#N/A")</f>
        <v>#N/A</v>
      </c>
      <c r="M586" s="0" t="str">
        <f aca="false">IFERROR(__xludf.dummyfunction("1.15 + 0.02 * FILTER('Base Stats'!$C$2:$C1000, LOWER('Base Stats'!$B$2:$B1000) = LOWER($A586))"),"1.15")</f>
        <v>1.15</v>
      </c>
      <c r="N586" s="0" t="e">
        <f aca="false">IFERROR(IF(AND(NOT(K586 = ""), G586 &gt;= 15),K586/M586, ""))</f>
        <v>#VALUE!</v>
      </c>
    </row>
    <row r="587" customFormat="false" ht="15.75" hidden="false" customHeight="false" outlineLevel="0" collapsed="false">
      <c r="A587" s="0" t="n">
        <f aca="false">'Form Responses (Pokemon Stats)'!B481</f>
        <v>0</v>
      </c>
      <c r="B587" s="0" t="n">
        <f aca="false">'Form Responses (Pokemon Stats)'!D481</f>
        <v>0</v>
      </c>
      <c r="C587" s="0" t="n">
        <f aca="false">'Form Responses (Pokemon Stats)'!C481</f>
        <v>0</v>
      </c>
      <c r="F587" s="0" t="n">
        <f aca="false">'Form Responses (Pokemon Stats)'!E481</f>
        <v>0</v>
      </c>
      <c r="G587" s="0" t="str">
        <f aca="false">IFERROR(__xludf.dummyfunction("ROUND(B587/ FILTER('Pokemon CP/HP'!$M$2:$M1000, LOWER('Pokemon CP/HP'!$B$2:$B1000)=LOWER(A587)))"),"#DIV/0!")</f>
        <v>#DIV/0!</v>
      </c>
      <c r="H587" s="0" t="str">
        <f aca="false">IFERROR(__xludf.dummyfunction("FILTER('Leveling Info'!$B$2:$B1000, 'Leveling Info'!$A$2:$A1000 =G587)"),"#N/A")</f>
        <v>#N/A</v>
      </c>
      <c r="I587" s="14" t="e">
        <f aca="false">SQRT(G587)</f>
        <v>#VALUE!</v>
      </c>
      <c r="J587" s="14" t="str">
        <f aca="false">IFERROR(__xludf.dummyfunction("IF(F587 = H587,C587/FILTER('Base Stats'!$C$2:$C1000, LOWER('Base Stats'!$B$2:$B1000) = LOWER($A587)), """")"),"#N/A")</f>
        <v>#N/A</v>
      </c>
      <c r="K587" s="0" t="str">
        <f aca="false">IF(F587 = H587, C587/G587, "")</f>
        <v/>
      </c>
      <c r="L587" s="0" t="str">
        <f aca="false">IFERROR(__xludf.dummyfunction("IF(AND(NOT(K587 = """"), G587 &gt;= 15),K587/FILTER('Base Stats'!$C$2:$C1000, LOWER('Base Stats'!$B$2:$B1000) = LOWER($A587)), """")"),"#N/A")</f>
        <v>#N/A</v>
      </c>
      <c r="M587" s="0" t="str">
        <f aca="false">IFERROR(__xludf.dummyfunction("1.15 + 0.02 * FILTER('Base Stats'!$C$2:$C1000, LOWER('Base Stats'!$B$2:$B1000) = LOWER($A587))"),"1.15")</f>
        <v>1.15</v>
      </c>
      <c r="N587" s="0" t="e">
        <f aca="false">IFERROR(IF(AND(NOT(K587 = ""), G587 &gt;= 15),K587/M587, ""))</f>
        <v>#VALUE!</v>
      </c>
    </row>
    <row r="588" customFormat="false" ht="15.75" hidden="false" customHeight="false" outlineLevel="0" collapsed="false">
      <c r="A588" s="0" t="n">
        <f aca="false">'Form Responses (Pokemon Stats)'!B482</f>
        <v>0</v>
      </c>
      <c r="B588" s="0" t="n">
        <f aca="false">'Form Responses (Pokemon Stats)'!D482</f>
        <v>0</v>
      </c>
      <c r="C588" s="0" t="n">
        <f aca="false">'Form Responses (Pokemon Stats)'!C482</f>
        <v>0</v>
      </c>
      <c r="F588" s="0" t="n">
        <f aca="false">'Form Responses (Pokemon Stats)'!E482</f>
        <v>0</v>
      </c>
      <c r="G588" s="0" t="str">
        <f aca="false">IFERROR(__xludf.dummyfunction("ROUND(B588/ FILTER('Pokemon CP/HP'!$M$2:$M1000, LOWER('Pokemon CP/HP'!$B$2:$B1000)=LOWER(A588)))"),"#DIV/0!")</f>
        <v>#DIV/0!</v>
      </c>
      <c r="H588" s="0" t="str">
        <f aca="false">IFERROR(__xludf.dummyfunction("FILTER('Leveling Info'!$B$2:$B1000, 'Leveling Info'!$A$2:$A1000 =G588)"),"#N/A")</f>
        <v>#N/A</v>
      </c>
      <c r="I588" s="14" t="e">
        <f aca="false">SQRT(G588)</f>
        <v>#VALUE!</v>
      </c>
      <c r="J588" s="14" t="str">
        <f aca="false">IFERROR(__xludf.dummyfunction("IF(F588 = H588,C588/FILTER('Base Stats'!$C$2:$C1000, LOWER('Base Stats'!$B$2:$B1000) = LOWER($A588)), """")"),"#N/A")</f>
        <v>#N/A</v>
      </c>
      <c r="K588" s="0" t="str">
        <f aca="false">IF(F588 = H588, C588/G588, "")</f>
        <v/>
      </c>
      <c r="L588" s="0" t="str">
        <f aca="false">IFERROR(__xludf.dummyfunction("IF(AND(NOT(K588 = """"), G588 &gt;= 15),K588/FILTER('Base Stats'!$C$2:$C1000, LOWER('Base Stats'!$B$2:$B1000) = LOWER($A588)), """")"),"#N/A")</f>
        <v>#N/A</v>
      </c>
      <c r="M588" s="0" t="str">
        <f aca="false">IFERROR(__xludf.dummyfunction("1.15 + 0.02 * FILTER('Base Stats'!$C$2:$C1000, LOWER('Base Stats'!$B$2:$B1000) = LOWER($A588))"),"1.15")</f>
        <v>1.15</v>
      </c>
      <c r="N588" s="0" t="e">
        <f aca="false">IFERROR(IF(AND(NOT(K588 = ""), G588 &gt;= 15),K588/M588, ""))</f>
        <v>#VALUE!</v>
      </c>
    </row>
    <row r="589" customFormat="false" ht="15.75" hidden="false" customHeight="false" outlineLevel="0" collapsed="false">
      <c r="A589" s="0" t="n">
        <f aca="false">'Form Responses (Pokemon Stats)'!B483</f>
        <v>0</v>
      </c>
      <c r="B589" s="0" t="n">
        <f aca="false">'Form Responses (Pokemon Stats)'!D483</f>
        <v>0</v>
      </c>
      <c r="C589" s="0" t="n">
        <f aca="false">'Form Responses (Pokemon Stats)'!C483</f>
        <v>0</v>
      </c>
      <c r="F589" s="0" t="n">
        <f aca="false">'Form Responses (Pokemon Stats)'!E483</f>
        <v>0</v>
      </c>
      <c r="G589" s="0" t="str">
        <f aca="false">IFERROR(__xludf.dummyfunction("ROUND(B589/ FILTER('Pokemon CP/HP'!$M$2:$M1000, LOWER('Pokemon CP/HP'!$B$2:$B1000)=LOWER(A589)))"),"#DIV/0!")</f>
        <v>#DIV/0!</v>
      </c>
      <c r="H589" s="0" t="str">
        <f aca="false">IFERROR(__xludf.dummyfunction("FILTER('Leveling Info'!$B$2:$B1000, 'Leveling Info'!$A$2:$A1000 =G589)"),"#N/A")</f>
        <v>#N/A</v>
      </c>
      <c r="I589" s="14" t="e">
        <f aca="false">SQRT(G589)</f>
        <v>#VALUE!</v>
      </c>
      <c r="J589" s="14" t="str">
        <f aca="false">IFERROR(__xludf.dummyfunction("IF(F589 = H589,C589/FILTER('Base Stats'!$C$2:$C1000, LOWER('Base Stats'!$B$2:$B1000) = LOWER($A589)), """")"),"#N/A")</f>
        <v>#N/A</v>
      </c>
      <c r="K589" s="0" t="str">
        <f aca="false">IF(F589 = H589, C589/G589, "")</f>
        <v/>
      </c>
      <c r="L589" s="0" t="str">
        <f aca="false">IFERROR(__xludf.dummyfunction("IF(AND(NOT(K589 = """"), G589 &gt;= 15),K589/FILTER('Base Stats'!$C$2:$C1000, LOWER('Base Stats'!$B$2:$B1000) = LOWER($A589)), """")"),"#N/A")</f>
        <v>#N/A</v>
      </c>
      <c r="M589" s="0" t="str">
        <f aca="false">IFERROR(__xludf.dummyfunction("1.15 + 0.02 * FILTER('Base Stats'!$C$2:$C1000, LOWER('Base Stats'!$B$2:$B1000) = LOWER($A589))"),"1.15")</f>
        <v>1.15</v>
      </c>
      <c r="N589" s="0" t="e">
        <f aca="false">IFERROR(IF(AND(NOT(K589 = ""), G589 &gt;= 15),K589/M589, ""))</f>
        <v>#VALUE!</v>
      </c>
    </row>
    <row r="590" customFormat="false" ht="15.75" hidden="false" customHeight="false" outlineLevel="0" collapsed="false">
      <c r="A590" s="0" t="n">
        <f aca="false">'Form Responses (Pokemon Stats)'!B484</f>
        <v>0</v>
      </c>
      <c r="B590" s="0" t="n">
        <f aca="false">'Form Responses (Pokemon Stats)'!D484</f>
        <v>0</v>
      </c>
      <c r="C590" s="0" t="n">
        <f aca="false">'Form Responses (Pokemon Stats)'!C484</f>
        <v>0</v>
      </c>
      <c r="F590" s="0" t="n">
        <f aca="false">'Form Responses (Pokemon Stats)'!E484</f>
        <v>0</v>
      </c>
      <c r="G590" s="0" t="str">
        <f aca="false">IFERROR(__xludf.dummyfunction("ROUND(B590/ FILTER('Pokemon CP/HP'!$M$2:$M1000, LOWER('Pokemon CP/HP'!$B$2:$B1000)=LOWER(A590)))"),"#DIV/0!")</f>
        <v>#DIV/0!</v>
      </c>
      <c r="H590" s="0" t="str">
        <f aca="false">IFERROR(__xludf.dummyfunction("FILTER('Leveling Info'!$B$2:$B1000, 'Leveling Info'!$A$2:$A1000 =G590)"),"#N/A")</f>
        <v>#N/A</v>
      </c>
      <c r="I590" s="14" t="e">
        <f aca="false">SQRT(G590)</f>
        <v>#VALUE!</v>
      </c>
      <c r="J590" s="14" t="str">
        <f aca="false">IFERROR(__xludf.dummyfunction("IF(F590 = H590,C590/FILTER('Base Stats'!$C$2:$C1000, LOWER('Base Stats'!$B$2:$B1000) = LOWER($A590)), """")"),"#N/A")</f>
        <v>#N/A</v>
      </c>
      <c r="K590" s="0" t="str">
        <f aca="false">IF(F590 = H590, C590/G590, "")</f>
        <v/>
      </c>
      <c r="L590" s="0" t="str">
        <f aca="false">IFERROR(__xludf.dummyfunction("IF(AND(NOT(K590 = """"), G590 &gt;= 15),K590/FILTER('Base Stats'!$C$2:$C1000, LOWER('Base Stats'!$B$2:$B1000) = LOWER($A590)), """")"),"#N/A")</f>
        <v>#N/A</v>
      </c>
      <c r="M590" s="0" t="str">
        <f aca="false">IFERROR(__xludf.dummyfunction("1.15 + 0.02 * FILTER('Base Stats'!$C$2:$C1000, LOWER('Base Stats'!$B$2:$B1000) = LOWER($A590))"),"1.15")</f>
        <v>1.15</v>
      </c>
      <c r="N590" s="0" t="e">
        <f aca="false">IFERROR(IF(AND(NOT(K590 = ""), G590 &gt;= 15),K590/M590, ""))</f>
        <v>#VALUE!</v>
      </c>
    </row>
    <row r="591" customFormat="false" ht="15.75" hidden="false" customHeight="false" outlineLevel="0" collapsed="false">
      <c r="A591" s="0" t="n">
        <f aca="false">'Form Responses (Pokemon Stats)'!B485</f>
        <v>0</v>
      </c>
      <c r="B591" s="0" t="n">
        <f aca="false">'Form Responses (Pokemon Stats)'!D485</f>
        <v>0</v>
      </c>
      <c r="C591" s="0" t="n">
        <f aca="false">'Form Responses (Pokemon Stats)'!C485</f>
        <v>0</v>
      </c>
      <c r="F591" s="0" t="n">
        <f aca="false">'Form Responses (Pokemon Stats)'!E485</f>
        <v>0</v>
      </c>
      <c r="G591" s="0" t="str">
        <f aca="false">IFERROR(__xludf.dummyfunction("ROUND(B591/ FILTER('Pokemon CP/HP'!$M$2:$M1000, LOWER('Pokemon CP/HP'!$B$2:$B1000)=LOWER(A591)))"),"#DIV/0!")</f>
        <v>#DIV/0!</v>
      </c>
      <c r="H591" s="0" t="str">
        <f aca="false">IFERROR(__xludf.dummyfunction("FILTER('Leveling Info'!$B$2:$B1000, 'Leveling Info'!$A$2:$A1000 =G591)"),"#N/A")</f>
        <v>#N/A</v>
      </c>
      <c r="I591" s="14" t="e">
        <f aca="false">SQRT(G591)</f>
        <v>#VALUE!</v>
      </c>
      <c r="J591" s="14" t="str">
        <f aca="false">IFERROR(__xludf.dummyfunction("IF(F591 = H591,C591/FILTER('Base Stats'!$C$2:$C1000, LOWER('Base Stats'!$B$2:$B1000) = LOWER($A591)), """")"),"#N/A")</f>
        <v>#N/A</v>
      </c>
      <c r="K591" s="0" t="str">
        <f aca="false">IF(F591 = H591, C591/G591, "")</f>
        <v/>
      </c>
      <c r="L591" s="0" t="str">
        <f aca="false">IFERROR(__xludf.dummyfunction("IF(AND(NOT(K591 = """"), G591 &gt;= 15),K591/FILTER('Base Stats'!$C$2:$C1000, LOWER('Base Stats'!$B$2:$B1000) = LOWER($A591)), """")"),"#N/A")</f>
        <v>#N/A</v>
      </c>
      <c r="M591" s="0" t="str">
        <f aca="false">IFERROR(__xludf.dummyfunction("1.15 + 0.02 * FILTER('Base Stats'!$C$2:$C1000, LOWER('Base Stats'!$B$2:$B1000) = LOWER($A591))"),"1.15")</f>
        <v>1.15</v>
      </c>
      <c r="N591" s="0" t="e">
        <f aca="false">IFERROR(IF(AND(NOT(K591 = ""), G591 &gt;= 15),K591/M591, ""))</f>
        <v>#VALUE!</v>
      </c>
    </row>
    <row r="592" customFormat="false" ht="15.75" hidden="false" customHeight="false" outlineLevel="0" collapsed="false">
      <c r="A592" s="0" t="n">
        <f aca="false">'Form Responses (Pokemon Stats)'!B486</f>
        <v>0</v>
      </c>
      <c r="B592" s="0" t="n">
        <f aca="false">'Form Responses (Pokemon Stats)'!D486</f>
        <v>0</v>
      </c>
      <c r="C592" s="0" t="n">
        <f aca="false">'Form Responses (Pokemon Stats)'!C486</f>
        <v>0</v>
      </c>
      <c r="F592" s="0" t="n">
        <f aca="false">'Form Responses (Pokemon Stats)'!E486</f>
        <v>0</v>
      </c>
      <c r="G592" s="0" t="str">
        <f aca="false">IFERROR(__xludf.dummyfunction("ROUND(B592/ FILTER('Pokemon CP/HP'!$M$2:$M1000, LOWER('Pokemon CP/HP'!$B$2:$B1000)=LOWER(A592)))"),"#DIV/0!")</f>
        <v>#DIV/0!</v>
      </c>
      <c r="H592" s="0" t="str">
        <f aca="false">IFERROR(__xludf.dummyfunction("FILTER('Leveling Info'!$B$2:$B1000, 'Leveling Info'!$A$2:$A1000 =G592)"),"#N/A")</f>
        <v>#N/A</v>
      </c>
      <c r="I592" s="14" t="e">
        <f aca="false">SQRT(G592)</f>
        <v>#VALUE!</v>
      </c>
      <c r="J592" s="14" t="str">
        <f aca="false">IFERROR(__xludf.dummyfunction("IF(F592 = H592,C592/FILTER('Base Stats'!$C$2:$C1000, LOWER('Base Stats'!$B$2:$B1000) = LOWER($A592)), """")"),"#N/A")</f>
        <v>#N/A</v>
      </c>
      <c r="K592" s="0" t="str">
        <f aca="false">IF(F592 = H592, C592/G592, "")</f>
        <v/>
      </c>
      <c r="L592" s="0" t="str">
        <f aca="false">IFERROR(__xludf.dummyfunction("IF(AND(NOT(K592 = """"), G592 &gt;= 15),K592/FILTER('Base Stats'!$C$2:$C1000, LOWER('Base Stats'!$B$2:$B1000) = LOWER($A592)), """")"),"#N/A")</f>
        <v>#N/A</v>
      </c>
      <c r="M592" s="0" t="str">
        <f aca="false">IFERROR(__xludf.dummyfunction("1.15 + 0.02 * FILTER('Base Stats'!$C$2:$C1000, LOWER('Base Stats'!$B$2:$B1000) = LOWER($A592))"),"1.15")</f>
        <v>1.15</v>
      </c>
      <c r="N592" s="0" t="e">
        <f aca="false">IFERROR(IF(AND(NOT(K592 = ""), G592 &gt;= 15),K592/M592, ""))</f>
        <v>#VALUE!</v>
      </c>
    </row>
    <row r="593" customFormat="false" ht="15.75" hidden="false" customHeight="false" outlineLevel="0" collapsed="false">
      <c r="A593" s="0" t="n">
        <f aca="false">'Form Responses (Pokemon Stats)'!B487</f>
        <v>0</v>
      </c>
      <c r="B593" s="0" t="n">
        <f aca="false">'Form Responses (Pokemon Stats)'!D487</f>
        <v>0</v>
      </c>
      <c r="C593" s="0" t="n">
        <f aca="false">'Form Responses (Pokemon Stats)'!C487</f>
        <v>0</v>
      </c>
      <c r="F593" s="0" t="n">
        <f aca="false">'Form Responses (Pokemon Stats)'!E487</f>
        <v>0</v>
      </c>
      <c r="G593" s="0" t="str">
        <f aca="false">IFERROR(__xludf.dummyfunction("ROUND(B593/ FILTER('Pokemon CP/HP'!$M$2:$M1000, LOWER('Pokemon CP/HP'!$B$2:$B1000)=LOWER(A593)))"),"#DIV/0!")</f>
        <v>#DIV/0!</v>
      </c>
      <c r="H593" s="0" t="str">
        <f aca="false">IFERROR(__xludf.dummyfunction("FILTER('Leveling Info'!$B$2:$B1000, 'Leveling Info'!$A$2:$A1000 =G593)"),"#N/A")</f>
        <v>#N/A</v>
      </c>
      <c r="I593" s="14" t="e">
        <f aca="false">SQRT(G593)</f>
        <v>#VALUE!</v>
      </c>
      <c r="J593" s="14" t="str">
        <f aca="false">IFERROR(__xludf.dummyfunction("IF(F593 = H593,C593/FILTER('Base Stats'!$C$2:$C1000, LOWER('Base Stats'!$B$2:$B1000) = LOWER($A593)), """")"),"#N/A")</f>
        <v>#N/A</v>
      </c>
      <c r="K593" s="0" t="str">
        <f aca="false">IF(F593 = H593, C593/G593, "")</f>
        <v/>
      </c>
      <c r="L593" s="0" t="str">
        <f aca="false">IFERROR(__xludf.dummyfunction("IF(AND(NOT(K593 = """"), G593 &gt;= 15),K593/FILTER('Base Stats'!$C$2:$C1000, LOWER('Base Stats'!$B$2:$B1000) = LOWER($A593)), """")"),"#N/A")</f>
        <v>#N/A</v>
      </c>
      <c r="M593" s="0" t="str">
        <f aca="false">IFERROR(__xludf.dummyfunction("1.15 + 0.02 * FILTER('Base Stats'!$C$2:$C1000, LOWER('Base Stats'!$B$2:$B1000) = LOWER($A593))"),"1.15")</f>
        <v>1.15</v>
      </c>
      <c r="N593" s="0" t="e">
        <f aca="false">IFERROR(IF(AND(NOT(K593 = ""), G593 &gt;= 15),K593/M593, ""))</f>
        <v>#VALUE!</v>
      </c>
    </row>
    <row r="594" customFormat="false" ht="15.75" hidden="false" customHeight="false" outlineLevel="0" collapsed="false">
      <c r="A594" s="0" t="n">
        <f aca="false">'Form Responses (Pokemon Stats)'!B488</f>
        <v>0</v>
      </c>
      <c r="B594" s="0" t="n">
        <f aca="false">'Form Responses (Pokemon Stats)'!D488</f>
        <v>0</v>
      </c>
      <c r="C594" s="0" t="n">
        <f aca="false">'Form Responses (Pokemon Stats)'!C488</f>
        <v>0</v>
      </c>
      <c r="F594" s="0" t="n">
        <f aca="false">'Form Responses (Pokemon Stats)'!E488</f>
        <v>0</v>
      </c>
      <c r="G594" s="0" t="str">
        <f aca="false">IFERROR(__xludf.dummyfunction("ROUND(B594/ FILTER('Pokemon CP/HP'!$M$2:$M1000, LOWER('Pokemon CP/HP'!$B$2:$B1000)=LOWER(A594)))"),"#DIV/0!")</f>
        <v>#DIV/0!</v>
      </c>
      <c r="H594" s="0" t="str">
        <f aca="false">IFERROR(__xludf.dummyfunction("FILTER('Leveling Info'!$B$2:$B1000, 'Leveling Info'!$A$2:$A1000 =G594)"),"#N/A")</f>
        <v>#N/A</v>
      </c>
      <c r="I594" s="14" t="e">
        <f aca="false">SQRT(G594)</f>
        <v>#VALUE!</v>
      </c>
      <c r="J594" s="14" t="str">
        <f aca="false">IFERROR(__xludf.dummyfunction("IF(F594 = H594,C594/FILTER('Base Stats'!$C$2:$C1000, LOWER('Base Stats'!$B$2:$B1000) = LOWER($A594)), """")"),"#N/A")</f>
        <v>#N/A</v>
      </c>
      <c r="K594" s="0" t="str">
        <f aca="false">IF(F594 = H594, C594/G594, "")</f>
        <v/>
      </c>
      <c r="L594" s="0" t="str">
        <f aca="false">IFERROR(__xludf.dummyfunction("IF(AND(NOT(K594 = """"), G594 &gt;= 15),K594/FILTER('Base Stats'!$C$2:$C1000, LOWER('Base Stats'!$B$2:$B1000) = LOWER($A594)), """")"),"#N/A")</f>
        <v>#N/A</v>
      </c>
      <c r="M594" s="0" t="str">
        <f aca="false">IFERROR(__xludf.dummyfunction("1.15 + 0.02 * FILTER('Base Stats'!$C$2:$C1000, LOWER('Base Stats'!$B$2:$B1000) = LOWER($A594))"),"1.15")</f>
        <v>1.15</v>
      </c>
      <c r="N594" s="0" t="e">
        <f aca="false">IFERROR(IF(AND(NOT(K594 = ""), G594 &gt;= 15),K594/M594, ""))</f>
        <v>#VALUE!</v>
      </c>
    </row>
    <row r="595" customFormat="false" ht="15.75" hidden="false" customHeight="false" outlineLevel="0" collapsed="false">
      <c r="A595" s="0" t="n">
        <f aca="false">'Form Responses (Pokemon Stats)'!B489</f>
        <v>0</v>
      </c>
      <c r="B595" s="0" t="n">
        <f aca="false">'Form Responses (Pokemon Stats)'!D489</f>
        <v>0</v>
      </c>
      <c r="C595" s="0" t="n">
        <f aca="false">'Form Responses (Pokemon Stats)'!C489</f>
        <v>0</v>
      </c>
      <c r="F595" s="0" t="n">
        <f aca="false">'Form Responses (Pokemon Stats)'!E489</f>
        <v>0</v>
      </c>
      <c r="G595" s="0" t="str">
        <f aca="false">IFERROR(__xludf.dummyfunction("ROUND(B595/ FILTER('Pokemon CP/HP'!$M$2:$M1000, LOWER('Pokemon CP/HP'!$B$2:$B1000)=LOWER(A595)))"),"#DIV/0!")</f>
        <v>#DIV/0!</v>
      </c>
      <c r="H595" s="0" t="str">
        <f aca="false">IFERROR(__xludf.dummyfunction("FILTER('Leveling Info'!$B$2:$B1000, 'Leveling Info'!$A$2:$A1000 =G595)"),"#N/A")</f>
        <v>#N/A</v>
      </c>
      <c r="I595" s="14" t="e">
        <f aca="false">SQRT(G595)</f>
        <v>#VALUE!</v>
      </c>
      <c r="J595" s="14" t="str">
        <f aca="false">IFERROR(__xludf.dummyfunction("IF(F595 = H595,C595/FILTER('Base Stats'!$C$2:$C1000, LOWER('Base Stats'!$B$2:$B1000) = LOWER($A595)), """")"),"#N/A")</f>
        <v>#N/A</v>
      </c>
      <c r="K595" s="0" t="str">
        <f aca="false">IF(F595 = H595, C595/G595, "")</f>
        <v/>
      </c>
      <c r="L595" s="0" t="str">
        <f aca="false">IFERROR(__xludf.dummyfunction("IF(AND(NOT(K595 = """"), G595 &gt;= 15),K595/FILTER('Base Stats'!$C$2:$C1000, LOWER('Base Stats'!$B$2:$B1000) = LOWER($A595)), """")"),"#N/A")</f>
        <v>#N/A</v>
      </c>
      <c r="M595" s="0" t="str">
        <f aca="false">IFERROR(__xludf.dummyfunction("1.15 + 0.02 * FILTER('Base Stats'!$C$2:$C1000, LOWER('Base Stats'!$B$2:$B1000) = LOWER($A595))"),"1.15")</f>
        <v>1.15</v>
      </c>
      <c r="N595" s="0" t="e">
        <f aca="false">IFERROR(IF(AND(NOT(K595 = ""), G595 &gt;= 15),K595/M595, ""))</f>
        <v>#VALUE!</v>
      </c>
    </row>
    <row r="596" customFormat="false" ht="15.75" hidden="false" customHeight="false" outlineLevel="0" collapsed="false">
      <c r="A596" s="0" t="n">
        <f aca="false">'Form Responses (Pokemon Stats)'!B490</f>
        <v>0</v>
      </c>
      <c r="B596" s="0" t="n">
        <f aca="false">'Form Responses (Pokemon Stats)'!D490</f>
        <v>0</v>
      </c>
      <c r="C596" s="0" t="n">
        <f aca="false">'Form Responses (Pokemon Stats)'!C490</f>
        <v>0</v>
      </c>
      <c r="F596" s="0" t="n">
        <f aca="false">'Form Responses (Pokemon Stats)'!E490</f>
        <v>0</v>
      </c>
      <c r="G596" s="0" t="str">
        <f aca="false">IFERROR(__xludf.dummyfunction("ROUND(B596/ FILTER('Pokemon CP/HP'!$M$2:$M1000, LOWER('Pokemon CP/HP'!$B$2:$B1000)=LOWER(A596)))"),"#DIV/0!")</f>
        <v>#DIV/0!</v>
      </c>
      <c r="H596" s="0" t="str">
        <f aca="false">IFERROR(__xludf.dummyfunction("FILTER('Leveling Info'!$B$2:$B1000, 'Leveling Info'!$A$2:$A1000 =G596)"),"#N/A")</f>
        <v>#N/A</v>
      </c>
      <c r="I596" s="14" t="e">
        <f aca="false">SQRT(G596)</f>
        <v>#VALUE!</v>
      </c>
      <c r="J596" s="14" t="str">
        <f aca="false">IFERROR(__xludf.dummyfunction("IF(F596 = H596,C596/FILTER('Base Stats'!$C$2:$C1000, LOWER('Base Stats'!$B$2:$B1000) = LOWER($A596)), """")"),"#N/A")</f>
        <v>#N/A</v>
      </c>
      <c r="K596" s="0" t="str">
        <f aca="false">IF(F596 = H596, C596/G596, "")</f>
        <v/>
      </c>
      <c r="L596" s="0" t="str">
        <f aca="false">IFERROR(__xludf.dummyfunction("IF(AND(NOT(K596 = """"), G596 &gt;= 15),K596/FILTER('Base Stats'!$C$2:$C1000, LOWER('Base Stats'!$B$2:$B1000) = LOWER($A596)), """")"),"#N/A")</f>
        <v>#N/A</v>
      </c>
      <c r="M596" s="0" t="str">
        <f aca="false">IFERROR(__xludf.dummyfunction("1.15 + 0.02 * FILTER('Base Stats'!$C$2:$C1000, LOWER('Base Stats'!$B$2:$B1000) = LOWER($A596))"),"1.15")</f>
        <v>1.15</v>
      </c>
      <c r="N596" s="0" t="e">
        <f aca="false">IFERROR(IF(AND(NOT(K596 = ""), G596 &gt;= 15),K596/M596, ""))</f>
        <v>#VALUE!</v>
      </c>
    </row>
    <row r="597" customFormat="false" ht="15.75" hidden="false" customHeight="false" outlineLevel="0" collapsed="false">
      <c r="A597" s="0" t="n">
        <f aca="false">'Form Responses (Pokemon Stats)'!B491</f>
        <v>0</v>
      </c>
      <c r="B597" s="0" t="n">
        <f aca="false">'Form Responses (Pokemon Stats)'!D491</f>
        <v>0</v>
      </c>
      <c r="C597" s="0" t="n">
        <f aca="false">'Form Responses (Pokemon Stats)'!C491</f>
        <v>0</v>
      </c>
      <c r="F597" s="0" t="n">
        <f aca="false">'Form Responses (Pokemon Stats)'!E491</f>
        <v>0</v>
      </c>
      <c r="G597" s="0" t="str">
        <f aca="false">IFERROR(__xludf.dummyfunction("ROUND(B597/ FILTER('Pokemon CP/HP'!$M$2:$M1000, LOWER('Pokemon CP/HP'!$B$2:$B1000)=LOWER(A597)))"),"#DIV/0!")</f>
        <v>#DIV/0!</v>
      </c>
      <c r="H597" s="0" t="str">
        <f aca="false">IFERROR(__xludf.dummyfunction("FILTER('Leveling Info'!$B$2:$B1000, 'Leveling Info'!$A$2:$A1000 =G597)"),"#N/A")</f>
        <v>#N/A</v>
      </c>
      <c r="I597" s="14" t="e">
        <f aca="false">SQRT(G597)</f>
        <v>#VALUE!</v>
      </c>
      <c r="J597" s="14" t="str">
        <f aca="false">IFERROR(__xludf.dummyfunction("IF(F597 = H597,C597/FILTER('Base Stats'!$C$2:$C1000, LOWER('Base Stats'!$B$2:$B1000) = LOWER($A597)), """")"),"#N/A")</f>
        <v>#N/A</v>
      </c>
      <c r="K597" s="0" t="str">
        <f aca="false">IF(F597 = H597, C597/G597, "")</f>
        <v/>
      </c>
      <c r="L597" s="0" t="str">
        <f aca="false">IFERROR(__xludf.dummyfunction("IF(AND(NOT(K597 = """"), G597 &gt;= 15),K597/FILTER('Base Stats'!$C$2:$C1000, LOWER('Base Stats'!$B$2:$B1000) = LOWER($A597)), """")"),"#N/A")</f>
        <v>#N/A</v>
      </c>
      <c r="M597" s="0" t="str">
        <f aca="false">IFERROR(__xludf.dummyfunction("1.15 + 0.02 * FILTER('Base Stats'!$C$2:$C1000, LOWER('Base Stats'!$B$2:$B1000) = LOWER($A597))"),"1.15")</f>
        <v>1.15</v>
      </c>
      <c r="N597" s="0" t="e">
        <f aca="false">IFERROR(IF(AND(NOT(K597 = ""), G597 &gt;= 15),K597/M597, ""))</f>
        <v>#VALUE!</v>
      </c>
    </row>
    <row r="598" customFormat="false" ht="15.75" hidden="false" customHeight="false" outlineLevel="0" collapsed="false">
      <c r="A598" s="0" t="n">
        <f aca="false">'Form Responses (Pokemon Stats)'!B492</f>
        <v>0</v>
      </c>
      <c r="B598" s="0" t="n">
        <f aca="false">'Form Responses (Pokemon Stats)'!D492</f>
        <v>0</v>
      </c>
      <c r="C598" s="0" t="n">
        <f aca="false">'Form Responses (Pokemon Stats)'!C492</f>
        <v>0</v>
      </c>
      <c r="F598" s="0" t="n">
        <f aca="false">'Form Responses (Pokemon Stats)'!E492</f>
        <v>0</v>
      </c>
      <c r="G598" s="0" t="str">
        <f aca="false">IFERROR(__xludf.dummyfunction("ROUND(B598/ FILTER('Pokemon CP/HP'!$M$2:$M1000, LOWER('Pokemon CP/HP'!$B$2:$B1000)=LOWER(A598)))"),"#DIV/0!")</f>
        <v>#DIV/0!</v>
      </c>
      <c r="H598" s="0" t="str">
        <f aca="false">IFERROR(__xludf.dummyfunction("FILTER('Leveling Info'!$B$2:$B1000, 'Leveling Info'!$A$2:$A1000 =G598)"),"#N/A")</f>
        <v>#N/A</v>
      </c>
      <c r="I598" s="14" t="e">
        <f aca="false">SQRT(G598)</f>
        <v>#VALUE!</v>
      </c>
      <c r="J598" s="14" t="str">
        <f aca="false">IFERROR(__xludf.dummyfunction("IF(F598 = H598,C598/FILTER('Base Stats'!$C$2:$C1000, LOWER('Base Stats'!$B$2:$B1000) = LOWER($A598)), """")"),"#N/A")</f>
        <v>#N/A</v>
      </c>
      <c r="K598" s="0" t="str">
        <f aca="false">IF(F598 = H598, C598/G598, "")</f>
        <v/>
      </c>
      <c r="L598" s="0" t="str">
        <f aca="false">IFERROR(__xludf.dummyfunction("IF(AND(NOT(K598 = """"), G598 &gt;= 15),K598/FILTER('Base Stats'!$C$2:$C1000, LOWER('Base Stats'!$B$2:$B1000) = LOWER($A598)), """")"),"#N/A")</f>
        <v>#N/A</v>
      </c>
      <c r="M598" s="0" t="str">
        <f aca="false">IFERROR(__xludf.dummyfunction("1.15 + 0.02 * FILTER('Base Stats'!$C$2:$C1000, LOWER('Base Stats'!$B$2:$B1000) = LOWER($A598))"),"1.15")</f>
        <v>1.15</v>
      </c>
      <c r="N598" s="0" t="e">
        <f aca="false">IFERROR(IF(AND(NOT(K598 = ""), G598 &gt;= 15),K598/M598, ""))</f>
        <v>#VALUE!</v>
      </c>
    </row>
    <row r="599" customFormat="false" ht="15.75" hidden="false" customHeight="false" outlineLevel="0" collapsed="false">
      <c r="A599" s="0" t="n">
        <f aca="false">'Form Responses (Pokemon Stats)'!B493</f>
        <v>0</v>
      </c>
      <c r="B599" s="0" t="n">
        <f aca="false">'Form Responses (Pokemon Stats)'!D493</f>
        <v>0</v>
      </c>
      <c r="C599" s="0" t="n">
        <f aca="false">'Form Responses (Pokemon Stats)'!C493</f>
        <v>0</v>
      </c>
      <c r="F599" s="0" t="n">
        <f aca="false">'Form Responses (Pokemon Stats)'!E493</f>
        <v>0</v>
      </c>
      <c r="G599" s="0" t="str">
        <f aca="false">IFERROR(__xludf.dummyfunction("ROUND(B599/ FILTER('Pokemon CP/HP'!$M$2:$M1000, LOWER('Pokemon CP/HP'!$B$2:$B1000)=LOWER(A599)))"),"#DIV/0!")</f>
        <v>#DIV/0!</v>
      </c>
      <c r="H599" s="0" t="str">
        <f aca="false">IFERROR(__xludf.dummyfunction("FILTER('Leveling Info'!$B$2:$B1000, 'Leveling Info'!$A$2:$A1000 =G599)"),"#N/A")</f>
        <v>#N/A</v>
      </c>
      <c r="I599" s="14" t="e">
        <f aca="false">SQRT(G599)</f>
        <v>#VALUE!</v>
      </c>
      <c r="J599" s="14" t="str">
        <f aca="false">IFERROR(__xludf.dummyfunction("IF(F599 = H599,C599/FILTER('Base Stats'!$C$2:$C1000, LOWER('Base Stats'!$B$2:$B1000) = LOWER($A599)), """")"),"#N/A")</f>
        <v>#N/A</v>
      </c>
      <c r="K599" s="0" t="str">
        <f aca="false">IF(F599 = H599, C599/G599, "")</f>
        <v/>
      </c>
      <c r="L599" s="0" t="str">
        <f aca="false">IFERROR(__xludf.dummyfunction("IF(AND(NOT(K599 = """"), G599 &gt;= 15),K599/FILTER('Base Stats'!$C$2:$C1000, LOWER('Base Stats'!$B$2:$B1000) = LOWER($A599)), """")"),"#N/A")</f>
        <v>#N/A</v>
      </c>
      <c r="M599" s="0" t="str">
        <f aca="false">IFERROR(__xludf.dummyfunction("1.15 + 0.02 * FILTER('Base Stats'!$C$2:$C1000, LOWER('Base Stats'!$B$2:$B1000) = LOWER($A599))"),"1.15")</f>
        <v>1.15</v>
      </c>
      <c r="N599" s="0" t="e">
        <f aca="false">IFERROR(IF(AND(NOT(K599 = ""), G599 &gt;= 15),K599/M599, ""))</f>
        <v>#VALUE!</v>
      </c>
    </row>
    <row r="600" customFormat="false" ht="15.75" hidden="false" customHeight="false" outlineLevel="0" collapsed="false">
      <c r="A600" s="0" t="n">
        <f aca="false">'Form Responses (Pokemon Stats)'!B494</f>
        <v>0</v>
      </c>
      <c r="B600" s="0" t="n">
        <f aca="false">'Form Responses (Pokemon Stats)'!D494</f>
        <v>0</v>
      </c>
      <c r="C600" s="0" t="n">
        <f aca="false">'Form Responses (Pokemon Stats)'!C494</f>
        <v>0</v>
      </c>
      <c r="F600" s="0" t="n">
        <f aca="false">'Form Responses (Pokemon Stats)'!E494</f>
        <v>0</v>
      </c>
      <c r="G600" s="0" t="str">
        <f aca="false">IFERROR(__xludf.dummyfunction("ROUND(B600/ FILTER('Pokemon CP/HP'!$M$2:$M1000, LOWER('Pokemon CP/HP'!$B$2:$B1000)=LOWER(A600)))"),"#DIV/0!")</f>
        <v>#DIV/0!</v>
      </c>
      <c r="H600" s="0" t="str">
        <f aca="false">IFERROR(__xludf.dummyfunction("FILTER('Leveling Info'!$B$2:$B1000, 'Leveling Info'!$A$2:$A1000 =G600)"),"#N/A")</f>
        <v>#N/A</v>
      </c>
      <c r="I600" s="14" t="e">
        <f aca="false">SQRT(G600)</f>
        <v>#VALUE!</v>
      </c>
      <c r="J600" s="14" t="str">
        <f aca="false">IFERROR(__xludf.dummyfunction("IF(F600 = H600,C600/FILTER('Base Stats'!$C$2:$C1000, LOWER('Base Stats'!$B$2:$B1000) = LOWER($A600)), """")"),"#N/A")</f>
        <v>#N/A</v>
      </c>
      <c r="K600" s="0" t="str">
        <f aca="false">IF(F600 = H600, C600/G600, "")</f>
        <v/>
      </c>
      <c r="L600" s="0" t="str">
        <f aca="false">IFERROR(__xludf.dummyfunction("IF(AND(NOT(K600 = """"), G600 &gt;= 15),K600/FILTER('Base Stats'!$C$2:$C1000, LOWER('Base Stats'!$B$2:$B1000) = LOWER($A600)), """")"),"#N/A")</f>
        <v>#N/A</v>
      </c>
      <c r="M600" s="0" t="str">
        <f aca="false">IFERROR(__xludf.dummyfunction("1.15 + 0.02 * FILTER('Base Stats'!$C$2:$C1000, LOWER('Base Stats'!$B$2:$B1000) = LOWER($A600))"),"1.15")</f>
        <v>1.15</v>
      </c>
      <c r="N600" s="0" t="e">
        <f aca="false">IFERROR(IF(AND(NOT(K600 = ""), G600 &gt;= 15),K600/M600, ""))</f>
        <v>#VALUE!</v>
      </c>
    </row>
    <row r="601" customFormat="false" ht="15.75" hidden="false" customHeight="false" outlineLevel="0" collapsed="false">
      <c r="A601" s="0" t="n">
        <f aca="false">'Form Responses (Pokemon Stats)'!B495</f>
        <v>0</v>
      </c>
      <c r="B601" s="0" t="n">
        <f aca="false">'Form Responses (Pokemon Stats)'!D495</f>
        <v>0</v>
      </c>
      <c r="C601" s="0" t="n">
        <f aca="false">'Form Responses (Pokemon Stats)'!C495</f>
        <v>0</v>
      </c>
      <c r="F601" s="0" t="n">
        <f aca="false">'Form Responses (Pokemon Stats)'!E495</f>
        <v>0</v>
      </c>
      <c r="G601" s="0" t="str">
        <f aca="false">IFERROR(__xludf.dummyfunction("ROUND(B601/ FILTER('Pokemon CP/HP'!$M$2:$M1000, LOWER('Pokemon CP/HP'!$B$2:$B1000)=LOWER(A601)))"),"#DIV/0!")</f>
        <v>#DIV/0!</v>
      </c>
      <c r="H601" s="0" t="str">
        <f aca="false">IFERROR(__xludf.dummyfunction("FILTER('Leveling Info'!$B$2:$B1000, 'Leveling Info'!$A$2:$A1000 =G601)"),"#N/A")</f>
        <v>#N/A</v>
      </c>
      <c r="I601" s="14" t="e">
        <f aca="false">SQRT(G601)</f>
        <v>#VALUE!</v>
      </c>
      <c r="J601" s="14" t="str">
        <f aca="false">IFERROR(__xludf.dummyfunction("IF(F601 = H601,C601/FILTER('Base Stats'!$C$2:$C1000, LOWER('Base Stats'!$B$2:$B1000) = LOWER($A601)), """")"),"#N/A")</f>
        <v>#N/A</v>
      </c>
      <c r="K601" s="0" t="str">
        <f aca="false">IF(F601 = H601, C601/G601, "")</f>
        <v/>
      </c>
      <c r="L601" s="0" t="str">
        <f aca="false">IFERROR(__xludf.dummyfunction("IF(AND(NOT(K601 = """"), G601 &gt;= 15),K601/FILTER('Base Stats'!$C$2:$C1000, LOWER('Base Stats'!$B$2:$B1000) = LOWER($A601)), """")"),"#N/A")</f>
        <v>#N/A</v>
      </c>
      <c r="M601" s="0" t="str">
        <f aca="false">IFERROR(__xludf.dummyfunction("1.15 + 0.02 * FILTER('Base Stats'!$C$2:$C1000, LOWER('Base Stats'!$B$2:$B1000) = LOWER($A601))"),"1.15")</f>
        <v>1.15</v>
      </c>
      <c r="N601" s="0" t="e">
        <f aca="false">IFERROR(IF(AND(NOT(K601 = ""), G601 &gt;= 15),K601/M601, ""))</f>
        <v>#VALUE!</v>
      </c>
    </row>
    <row r="602" customFormat="false" ht="15.75" hidden="false" customHeight="false" outlineLevel="0" collapsed="false">
      <c r="A602" s="0" t="n">
        <f aca="false">'Form Responses (Pokemon Stats)'!B496</f>
        <v>0</v>
      </c>
      <c r="B602" s="0" t="n">
        <f aca="false">'Form Responses (Pokemon Stats)'!D496</f>
        <v>0</v>
      </c>
      <c r="C602" s="0" t="n">
        <f aca="false">'Form Responses (Pokemon Stats)'!C496</f>
        <v>0</v>
      </c>
      <c r="F602" s="0" t="n">
        <f aca="false">'Form Responses (Pokemon Stats)'!E496</f>
        <v>0</v>
      </c>
      <c r="G602" s="0" t="str">
        <f aca="false">IFERROR(__xludf.dummyfunction("ROUND(B602/ FILTER('Pokemon CP/HP'!$M$2:$M1000, LOWER('Pokemon CP/HP'!$B$2:$B1000)=LOWER(A602)))"),"#DIV/0!")</f>
        <v>#DIV/0!</v>
      </c>
      <c r="H602" s="0" t="str">
        <f aca="false">IFERROR(__xludf.dummyfunction("FILTER('Leveling Info'!$B$2:$B1000, 'Leveling Info'!$A$2:$A1000 =G602)"),"#N/A")</f>
        <v>#N/A</v>
      </c>
      <c r="I602" s="14" t="e">
        <f aca="false">SQRT(G602)</f>
        <v>#VALUE!</v>
      </c>
      <c r="J602" s="14" t="str">
        <f aca="false">IFERROR(__xludf.dummyfunction("IF(F602 = H602,C602/FILTER('Base Stats'!$C$2:$C1000, LOWER('Base Stats'!$B$2:$B1000) = LOWER($A602)), """")"),"#N/A")</f>
        <v>#N/A</v>
      </c>
      <c r="K602" s="0" t="str">
        <f aca="false">IF(F602 = H602, C602/G602, "")</f>
        <v/>
      </c>
      <c r="L602" s="0" t="str">
        <f aca="false">IFERROR(__xludf.dummyfunction("IF(AND(NOT(K602 = """"), G602 &gt;= 15),K602/FILTER('Base Stats'!$C$2:$C1000, LOWER('Base Stats'!$B$2:$B1000) = LOWER($A602)), """")"),"#N/A")</f>
        <v>#N/A</v>
      </c>
      <c r="M602" s="0" t="str">
        <f aca="false">IFERROR(__xludf.dummyfunction("1.15 + 0.02 * FILTER('Base Stats'!$C$2:$C1000, LOWER('Base Stats'!$B$2:$B1000) = LOWER($A602))"),"1.15")</f>
        <v>1.15</v>
      </c>
      <c r="N602" s="0" t="e">
        <f aca="false">IFERROR(IF(AND(NOT(K602 = ""), G602 &gt;= 15),K602/M602, ""))</f>
        <v>#VALUE!</v>
      </c>
    </row>
    <row r="603" customFormat="false" ht="15.75" hidden="false" customHeight="false" outlineLevel="0" collapsed="false">
      <c r="A603" s="0" t="n">
        <f aca="false">'Form Responses (Pokemon Stats)'!B497</f>
        <v>0</v>
      </c>
      <c r="B603" s="0" t="n">
        <f aca="false">'Form Responses (Pokemon Stats)'!D497</f>
        <v>0</v>
      </c>
      <c r="C603" s="0" t="n">
        <f aca="false">'Form Responses (Pokemon Stats)'!C497</f>
        <v>0</v>
      </c>
      <c r="F603" s="0" t="n">
        <f aca="false">'Form Responses (Pokemon Stats)'!E497</f>
        <v>0</v>
      </c>
      <c r="G603" s="0" t="str">
        <f aca="false">IFERROR(__xludf.dummyfunction("ROUND(B603/ FILTER('Pokemon CP/HP'!$M$2:$M1000, LOWER('Pokemon CP/HP'!$B$2:$B1000)=LOWER(A603)))"),"#DIV/0!")</f>
        <v>#DIV/0!</v>
      </c>
      <c r="H603" s="0" t="str">
        <f aca="false">IFERROR(__xludf.dummyfunction("FILTER('Leveling Info'!$B$2:$B1000, 'Leveling Info'!$A$2:$A1000 =G603)"),"#N/A")</f>
        <v>#N/A</v>
      </c>
      <c r="I603" s="14" t="e">
        <f aca="false">SQRT(G603)</f>
        <v>#VALUE!</v>
      </c>
      <c r="J603" s="14" t="str">
        <f aca="false">IFERROR(__xludf.dummyfunction("IF(F603 = H603,C603/FILTER('Base Stats'!$C$2:$C1000, LOWER('Base Stats'!$B$2:$B1000) = LOWER($A603)), """")"),"#N/A")</f>
        <v>#N/A</v>
      </c>
      <c r="K603" s="0" t="str">
        <f aca="false">IF(F603 = H603, C603/G603, "")</f>
        <v/>
      </c>
      <c r="L603" s="0" t="str">
        <f aca="false">IFERROR(__xludf.dummyfunction("IF(AND(NOT(K603 = """"), G603 &gt;= 15),K603/FILTER('Base Stats'!$C$2:$C1000, LOWER('Base Stats'!$B$2:$B1000) = LOWER($A603)), """")"),"#N/A")</f>
        <v>#N/A</v>
      </c>
      <c r="M603" s="0" t="str">
        <f aca="false">IFERROR(__xludf.dummyfunction("1.15 + 0.02 * FILTER('Base Stats'!$C$2:$C1000, LOWER('Base Stats'!$B$2:$B1000) = LOWER($A603))"),"1.15")</f>
        <v>1.15</v>
      </c>
      <c r="N603" s="0" t="e">
        <f aca="false">IFERROR(IF(AND(NOT(K603 = ""), G603 &gt;= 15),K603/M603, ""))</f>
        <v>#VALUE!</v>
      </c>
    </row>
    <row r="604" customFormat="false" ht="15.75" hidden="false" customHeight="false" outlineLevel="0" collapsed="false">
      <c r="A604" s="0" t="n">
        <f aca="false">'Form Responses (Pokemon Stats)'!B498</f>
        <v>0</v>
      </c>
      <c r="B604" s="0" t="n">
        <f aca="false">'Form Responses (Pokemon Stats)'!D498</f>
        <v>0</v>
      </c>
      <c r="C604" s="0" t="n">
        <f aca="false">'Form Responses (Pokemon Stats)'!C498</f>
        <v>0</v>
      </c>
      <c r="F604" s="0" t="n">
        <f aca="false">'Form Responses (Pokemon Stats)'!E498</f>
        <v>0</v>
      </c>
      <c r="G604" s="0" t="str">
        <f aca="false">IFERROR(__xludf.dummyfunction("ROUND(B604/ FILTER('Pokemon CP/HP'!$M$2:$M1000, LOWER('Pokemon CP/HP'!$B$2:$B1000)=LOWER(A604)))"),"#DIV/0!")</f>
        <v>#DIV/0!</v>
      </c>
      <c r="H604" s="0" t="str">
        <f aca="false">IFERROR(__xludf.dummyfunction("FILTER('Leveling Info'!$B$2:$B1000, 'Leveling Info'!$A$2:$A1000 =G604)"),"#N/A")</f>
        <v>#N/A</v>
      </c>
      <c r="I604" s="14" t="e">
        <f aca="false">SQRT(G604)</f>
        <v>#VALUE!</v>
      </c>
      <c r="J604" s="14" t="str">
        <f aca="false">IFERROR(__xludf.dummyfunction("IF(F604 = H604,C604/FILTER('Base Stats'!$C$2:$C1000, LOWER('Base Stats'!$B$2:$B1000) = LOWER($A604)), """")"),"#N/A")</f>
        <v>#N/A</v>
      </c>
      <c r="K604" s="0" t="str">
        <f aca="false">IF(F604 = H604, C604/G604, "")</f>
        <v/>
      </c>
      <c r="L604" s="0" t="str">
        <f aca="false">IFERROR(__xludf.dummyfunction("IF(AND(NOT(K604 = """"), G604 &gt;= 15),K604/FILTER('Base Stats'!$C$2:$C1000, LOWER('Base Stats'!$B$2:$B1000) = LOWER($A604)), """")"),"#N/A")</f>
        <v>#N/A</v>
      </c>
      <c r="M604" s="0" t="str">
        <f aca="false">IFERROR(__xludf.dummyfunction("1.15 + 0.02 * FILTER('Base Stats'!$C$2:$C1000, LOWER('Base Stats'!$B$2:$B1000) = LOWER($A604))"),"1.15")</f>
        <v>1.15</v>
      </c>
      <c r="N604" s="0" t="e">
        <f aca="false">IFERROR(IF(AND(NOT(K604 = ""), G604 &gt;= 15),K604/M604, ""))</f>
        <v>#VALUE!</v>
      </c>
    </row>
    <row r="605" customFormat="false" ht="15.75" hidden="false" customHeight="false" outlineLevel="0" collapsed="false">
      <c r="A605" s="0" t="n">
        <f aca="false">'Form Responses (Pokemon Stats)'!B499</f>
        <v>0</v>
      </c>
      <c r="B605" s="0" t="n">
        <f aca="false">'Form Responses (Pokemon Stats)'!D499</f>
        <v>0</v>
      </c>
      <c r="C605" s="0" t="n">
        <f aca="false">'Form Responses (Pokemon Stats)'!C499</f>
        <v>0</v>
      </c>
      <c r="F605" s="0" t="n">
        <f aca="false">'Form Responses (Pokemon Stats)'!E499</f>
        <v>0</v>
      </c>
      <c r="G605" s="0" t="str">
        <f aca="false">IFERROR(__xludf.dummyfunction("ROUND(B605/ FILTER('Pokemon CP/HP'!$M$2:$M1000, LOWER('Pokemon CP/HP'!$B$2:$B1000)=LOWER(A605)))"),"#DIV/0!")</f>
        <v>#DIV/0!</v>
      </c>
      <c r="H605" s="0" t="str">
        <f aca="false">IFERROR(__xludf.dummyfunction("FILTER('Leveling Info'!$B$2:$B1000, 'Leveling Info'!$A$2:$A1000 =G605)"),"#N/A")</f>
        <v>#N/A</v>
      </c>
      <c r="I605" s="14" t="e">
        <f aca="false">SQRT(G605)</f>
        <v>#VALUE!</v>
      </c>
      <c r="J605" s="14" t="str">
        <f aca="false">IFERROR(__xludf.dummyfunction("IF(F605 = H605,C605/FILTER('Base Stats'!$C$2:$C1000, LOWER('Base Stats'!$B$2:$B1000) = LOWER($A605)), """")"),"#N/A")</f>
        <v>#N/A</v>
      </c>
      <c r="K605" s="0" t="str">
        <f aca="false">IF(F605 = H605, C605/G605, "")</f>
        <v/>
      </c>
      <c r="L605" s="0" t="str">
        <f aca="false">IFERROR(__xludf.dummyfunction("IF(AND(NOT(K605 = """"), G605 &gt;= 15),K605/FILTER('Base Stats'!$C$2:$C1000, LOWER('Base Stats'!$B$2:$B1000) = LOWER($A605)), """")"),"#N/A")</f>
        <v>#N/A</v>
      </c>
      <c r="M605" s="0" t="str">
        <f aca="false">IFERROR(__xludf.dummyfunction("1.15 + 0.02 * FILTER('Base Stats'!$C$2:$C1000, LOWER('Base Stats'!$B$2:$B1000) = LOWER($A605))"),"1.15")</f>
        <v>1.15</v>
      </c>
      <c r="N605" s="0" t="e">
        <f aca="false">IFERROR(IF(AND(NOT(K605 = ""), G605 &gt;= 15),K605/M605, ""))</f>
        <v>#VALUE!</v>
      </c>
    </row>
    <row r="606" customFormat="false" ht="15.75" hidden="false" customHeight="false" outlineLevel="0" collapsed="false">
      <c r="A606" s="0" t="n">
        <f aca="false">'Form Responses (Pokemon Stats)'!B500</f>
        <v>0</v>
      </c>
      <c r="B606" s="0" t="n">
        <f aca="false">'Form Responses (Pokemon Stats)'!D500</f>
        <v>0</v>
      </c>
      <c r="C606" s="0" t="n">
        <f aca="false">'Form Responses (Pokemon Stats)'!C500</f>
        <v>0</v>
      </c>
      <c r="F606" s="0" t="n">
        <f aca="false">'Form Responses (Pokemon Stats)'!E500</f>
        <v>0</v>
      </c>
      <c r="G606" s="0" t="str">
        <f aca="false">IFERROR(__xludf.dummyfunction("ROUND(B606/ FILTER('Pokemon CP/HP'!$M$2:$M1000, LOWER('Pokemon CP/HP'!$B$2:$B1000)=LOWER(A606)))"),"#DIV/0!")</f>
        <v>#DIV/0!</v>
      </c>
      <c r="H606" s="0" t="str">
        <f aca="false">IFERROR(__xludf.dummyfunction("FILTER('Leveling Info'!$B$2:$B1000, 'Leveling Info'!$A$2:$A1000 =G606)"),"#N/A")</f>
        <v>#N/A</v>
      </c>
      <c r="I606" s="14" t="e">
        <f aca="false">SQRT(G606)</f>
        <v>#VALUE!</v>
      </c>
      <c r="J606" s="14" t="str">
        <f aca="false">IFERROR(__xludf.dummyfunction("IF(F606 = H606,C606/FILTER('Base Stats'!$C$2:$C1000, LOWER('Base Stats'!$B$2:$B1000) = LOWER($A606)), """")"),"#N/A")</f>
        <v>#N/A</v>
      </c>
      <c r="K606" s="0" t="str">
        <f aca="false">IF(F606 = H606, C606/G606, "")</f>
        <v/>
      </c>
      <c r="L606" s="0" t="str">
        <f aca="false">IFERROR(__xludf.dummyfunction("IF(AND(NOT(K606 = """"), G606 &gt;= 15),K606/FILTER('Base Stats'!$C$2:$C1000, LOWER('Base Stats'!$B$2:$B1000) = LOWER($A606)), """")"),"#N/A")</f>
        <v>#N/A</v>
      </c>
      <c r="M606" s="0" t="str">
        <f aca="false">IFERROR(__xludf.dummyfunction("1.15 + 0.02 * FILTER('Base Stats'!$C$2:$C1000, LOWER('Base Stats'!$B$2:$B1000) = LOWER($A606))"),"1.15")</f>
        <v>1.15</v>
      </c>
      <c r="N606" s="0" t="e">
        <f aca="false">IFERROR(IF(AND(NOT(K606 = ""), G606 &gt;= 15),K606/M606, ""))</f>
        <v>#VALUE!</v>
      </c>
    </row>
    <row r="607" customFormat="false" ht="15.75" hidden="false" customHeight="false" outlineLevel="0" collapsed="false">
      <c r="A607" s="0" t="n">
        <f aca="false">'Form Responses (Pokemon Stats)'!B501</f>
        <v>0</v>
      </c>
      <c r="B607" s="0" t="n">
        <f aca="false">'Form Responses (Pokemon Stats)'!D501</f>
        <v>0</v>
      </c>
      <c r="C607" s="0" t="n">
        <f aca="false">'Form Responses (Pokemon Stats)'!C501</f>
        <v>0</v>
      </c>
      <c r="F607" s="0" t="n">
        <f aca="false">'Form Responses (Pokemon Stats)'!E501</f>
        <v>0</v>
      </c>
      <c r="G607" s="0" t="str">
        <f aca="false">IFERROR(__xludf.dummyfunction("ROUND(B607/ FILTER('Pokemon CP/HP'!$M$2:$M1000, LOWER('Pokemon CP/HP'!$B$2:$B1000)=LOWER(A607)))"),"#DIV/0!")</f>
        <v>#DIV/0!</v>
      </c>
      <c r="H607" s="0" t="str">
        <f aca="false">IFERROR(__xludf.dummyfunction("FILTER('Leveling Info'!$B$2:$B1000, 'Leveling Info'!$A$2:$A1000 =G607)"),"#N/A")</f>
        <v>#N/A</v>
      </c>
      <c r="I607" s="14" t="e">
        <f aca="false">SQRT(G607)</f>
        <v>#VALUE!</v>
      </c>
      <c r="J607" s="14" t="str">
        <f aca="false">IFERROR(__xludf.dummyfunction("IF(F607 = H607,C607/FILTER('Base Stats'!$C$2:$C1000, LOWER('Base Stats'!$B$2:$B1000) = LOWER($A607)), """")"),"#N/A")</f>
        <v>#N/A</v>
      </c>
      <c r="K607" s="0" t="str">
        <f aca="false">IF(F607 = H607, C607/G607, "")</f>
        <v/>
      </c>
      <c r="L607" s="0" t="str">
        <f aca="false">IFERROR(__xludf.dummyfunction("IF(AND(NOT(K607 = """"), G607 &gt;= 15),K607/FILTER('Base Stats'!$C$2:$C1000, LOWER('Base Stats'!$B$2:$B1000) = LOWER($A607)), """")"),"#N/A")</f>
        <v>#N/A</v>
      </c>
      <c r="M607" s="0" t="str">
        <f aca="false">IFERROR(__xludf.dummyfunction("1.15 + 0.02 * FILTER('Base Stats'!$C$2:$C1000, LOWER('Base Stats'!$B$2:$B1000) = LOWER($A607))"),"1.15")</f>
        <v>1.15</v>
      </c>
      <c r="N607" s="0" t="e">
        <f aca="false">IFERROR(IF(AND(NOT(K607 = ""), G607 &gt;= 15),K607/M607, ""))</f>
        <v>#VALUE!</v>
      </c>
    </row>
    <row r="608" customFormat="false" ht="15.75" hidden="false" customHeight="false" outlineLevel="0" collapsed="false">
      <c r="A608" s="0" t="n">
        <f aca="false">'Form Responses (Pokemon Stats)'!B502</f>
        <v>0</v>
      </c>
      <c r="B608" s="0" t="n">
        <f aca="false">'Form Responses (Pokemon Stats)'!D502</f>
        <v>0</v>
      </c>
      <c r="C608" s="0" t="n">
        <f aca="false">'Form Responses (Pokemon Stats)'!C502</f>
        <v>0</v>
      </c>
      <c r="F608" s="0" t="n">
        <f aca="false">'Form Responses (Pokemon Stats)'!E502</f>
        <v>0</v>
      </c>
      <c r="G608" s="0" t="str">
        <f aca="false">IFERROR(__xludf.dummyfunction("ROUND(B608/ FILTER('Pokemon CP/HP'!$M$2:$M1000, LOWER('Pokemon CP/HP'!$B$2:$B1000)=LOWER(A608)))"),"#DIV/0!")</f>
        <v>#DIV/0!</v>
      </c>
      <c r="H608" s="0" t="str">
        <f aca="false">IFERROR(__xludf.dummyfunction("FILTER('Leveling Info'!$B$2:$B1000, 'Leveling Info'!$A$2:$A1000 =G608)"),"#N/A")</f>
        <v>#N/A</v>
      </c>
      <c r="I608" s="14" t="e">
        <f aca="false">SQRT(G608)</f>
        <v>#VALUE!</v>
      </c>
      <c r="J608" s="14" t="str">
        <f aca="false">IFERROR(__xludf.dummyfunction("IF(F608 = H608,C608/FILTER('Base Stats'!$C$2:$C1000, LOWER('Base Stats'!$B$2:$B1000) = LOWER($A608)), """")"),"#N/A")</f>
        <v>#N/A</v>
      </c>
      <c r="K608" s="0" t="str">
        <f aca="false">IF(F608 = H608, C608/G608, "")</f>
        <v/>
      </c>
      <c r="L608" s="0" t="str">
        <f aca="false">IFERROR(__xludf.dummyfunction("IF(AND(NOT(K608 = """"), G608 &gt;= 15),K608/FILTER('Base Stats'!$C$2:$C1000, LOWER('Base Stats'!$B$2:$B1000) = LOWER($A608)), """")"),"#N/A")</f>
        <v>#N/A</v>
      </c>
      <c r="M608" s="0" t="str">
        <f aca="false">IFERROR(__xludf.dummyfunction("1.15 + 0.02 * FILTER('Base Stats'!$C$2:$C1000, LOWER('Base Stats'!$B$2:$B1000) = LOWER($A608))"),"1.15")</f>
        <v>1.15</v>
      </c>
      <c r="N608" s="0" t="e">
        <f aca="false">IFERROR(IF(AND(NOT(K608 = ""), G608 &gt;= 15),K608/M608, ""))</f>
        <v>#VALUE!</v>
      </c>
    </row>
    <row r="609" customFormat="false" ht="15.75" hidden="false" customHeight="false" outlineLevel="0" collapsed="false">
      <c r="A609" s="0" t="n">
        <f aca="false">'Form Responses (Pokemon Stats)'!B503</f>
        <v>0</v>
      </c>
      <c r="B609" s="0" t="n">
        <f aca="false">'Form Responses (Pokemon Stats)'!D503</f>
        <v>0</v>
      </c>
      <c r="C609" s="0" t="n">
        <f aca="false">'Form Responses (Pokemon Stats)'!C503</f>
        <v>0</v>
      </c>
      <c r="F609" s="0" t="n">
        <f aca="false">'Form Responses (Pokemon Stats)'!E503</f>
        <v>0</v>
      </c>
      <c r="G609" s="0" t="str">
        <f aca="false">IFERROR(__xludf.dummyfunction("ROUND(B609/ FILTER('Pokemon CP/HP'!$M$2:$M1000, LOWER('Pokemon CP/HP'!$B$2:$B1000)=LOWER(A609)))"),"#DIV/0!")</f>
        <v>#DIV/0!</v>
      </c>
      <c r="H609" s="0" t="str">
        <f aca="false">IFERROR(__xludf.dummyfunction("FILTER('Leveling Info'!$B$2:$B1000, 'Leveling Info'!$A$2:$A1000 =G609)"),"#N/A")</f>
        <v>#N/A</v>
      </c>
      <c r="I609" s="14" t="e">
        <f aca="false">SQRT(G609)</f>
        <v>#VALUE!</v>
      </c>
      <c r="J609" s="14" t="str">
        <f aca="false">IFERROR(__xludf.dummyfunction("IF(F609 = H609,C609/FILTER('Base Stats'!$C$2:$C1000, LOWER('Base Stats'!$B$2:$B1000) = LOWER($A609)), """")"),"#N/A")</f>
        <v>#N/A</v>
      </c>
      <c r="K609" s="0" t="str">
        <f aca="false">IF(F609 = H609, C609/G609, "")</f>
        <v/>
      </c>
      <c r="L609" s="0" t="str">
        <f aca="false">IFERROR(__xludf.dummyfunction("IF(AND(NOT(K609 = """"), G609 &gt;= 15),K609/FILTER('Base Stats'!$C$2:$C1000, LOWER('Base Stats'!$B$2:$B1000) = LOWER($A609)), """")"),"#N/A")</f>
        <v>#N/A</v>
      </c>
      <c r="M609" s="0" t="str">
        <f aca="false">IFERROR(__xludf.dummyfunction("1.15 + 0.02 * FILTER('Base Stats'!$C$2:$C1000, LOWER('Base Stats'!$B$2:$B1000) = LOWER($A609))"),"1.15")</f>
        <v>1.15</v>
      </c>
      <c r="N609" s="0" t="e">
        <f aca="false">IFERROR(IF(AND(NOT(K609 = ""), G609 &gt;= 15),K609/M609, ""))</f>
        <v>#VALUE!</v>
      </c>
    </row>
    <row r="610" customFormat="false" ht="15.75" hidden="false" customHeight="false" outlineLevel="0" collapsed="false">
      <c r="A610" s="0" t="n">
        <f aca="false">'Form Responses (Pokemon Stats)'!B504</f>
        <v>0</v>
      </c>
      <c r="B610" s="0" t="n">
        <f aca="false">'Form Responses (Pokemon Stats)'!D504</f>
        <v>0</v>
      </c>
      <c r="C610" s="0" t="n">
        <f aca="false">'Form Responses (Pokemon Stats)'!C504</f>
        <v>0</v>
      </c>
      <c r="F610" s="0" t="n">
        <f aca="false">'Form Responses (Pokemon Stats)'!E504</f>
        <v>0</v>
      </c>
      <c r="G610" s="0" t="str">
        <f aca="false">IFERROR(__xludf.dummyfunction("ROUND(B610/ FILTER('Pokemon CP/HP'!$M$2:$M1000, LOWER('Pokemon CP/HP'!$B$2:$B1000)=LOWER(A610)))"),"#DIV/0!")</f>
        <v>#DIV/0!</v>
      </c>
      <c r="H610" s="0" t="str">
        <f aca="false">IFERROR(__xludf.dummyfunction("FILTER('Leveling Info'!$B$2:$B1000, 'Leveling Info'!$A$2:$A1000 =G610)"),"#N/A")</f>
        <v>#N/A</v>
      </c>
      <c r="I610" s="14" t="e">
        <f aca="false">SQRT(G610)</f>
        <v>#VALUE!</v>
      </c>
      <c r="J610" s="14" t="str">
        <f aca="false">IFERROR(__xludf.dummyfunction("IF(F610 = H610,C610/FILTER('Base Stats'!$C$2:$C1000, LOWER('Base Stats'!$B$2:$B1000) = LOWER($A610)), """")"),"#N/A")</f>
        <v>#N/A</v>
      </c>
      <c r="K610" s="0" t="str">
        <f aca="false">IF(F610 = H610, C610/G610, "")</f>
        <v/>
      </c>
      <c r="L610" s="0" t="str">
        <f aca="false">IFERROR(__xludf.dummyfunction("IF(AND(NOT(K610 = """"), G610 &gt;= 15),K610/FILTER('Base Stats'!$C$2:$C1000, LOWER('Base Stats'!$B$2:$B1000) = LOWER($A610)), """")"),"#N/A")</f>
        <v>#N/A</v>
      </c>
      <c r="M610" s="0" t="str">
        <f aca="false">IFERROR(__xludf.dummyfunction("1.15 + 0.02 * FILTER('Base Stats'!$C$2:$C1000, LOWER('Base Stats'!$B$2:$B1000) = LOWER($A610))"),"1.15")</f>
        <v>1.15</v>
      </c>
      <c r="N610" s="0" t="e">
        <f aca="false">IFERROR(IF(AND(NOT(K610 = ""), G610 &gt;= 15),K610/M610, ""))</f>
        <v>#VALUE!</v>
      </c>
    </row>
    <row r="611" customFormat="false" ht="15.75" hidden="false" customHeight="false" outlineLevel="0" collapsed="false">
      <c r="A611" s="0" t="n">
        <f aca="false">'Form Responses (Pokemon Stats)'!B505</f>
        <v>0</v>
      </c>
      <c r="B611" s="0" t="n">
        <f aca="false">'Form Responses (Pokemon Stats)'!D505</f>
        <v>0</v>
      </c>
      <c r="C611" s="0" t="n">
        <f aca="false">'Form Responses (Pokemon Stats)'!C505</f>
        <v>0</v>
      </c>
      <c r="F611" s="0" t="n">
        <f aca="false">'Form Responses (Pokemon Stats)'!E505</f>
        <v>0</v>
      </c>
      <c r="G611" s="0" t="str">
        <f aca="false">IFERROR(__xludf.dummyfunction("ROUND(B611/ FILTER('Pokemon CP/HP'!$M$2:$M1000, LOWER('Pokemon CP/HP'!$B$2:$B1000)=LOWER(A611)))"),"#DIV/0!")</f>
        <v>#DIV/0!</v>
      </c>
      <c r="H611" s="0" t="str">
        <f aca="false">IFERROR(__xludf.dummyfunction("FILTER('Leveling Info'!$B$2:$B1000, 'Leveling Info'!$A$2:$A1000 =G611)"),"#N/A")</f>
        <v>#N/A</v>
      </c>
      <c r="I611" s="14" t="e">
        <f aca="false">SQRT(G611)</f>
        <v>#VALUE!</v>
      </c>
      <c r="J611" s="14" t="str">
        <f aca="false">IFERROR(__xludf.dummyfunction("IF(F611 = H611,C611/FILTER('Base Stats'!$C$2:$C1000, LOWER('Base Stats'!$B$2:$B1000) = LOWER($A611)), """")"),"#N/A")</f>
        <v>#N/A</v>
      </c>
      <c r="K611" s="0" t="str">
        <f aca="false">IF(F611 = H611, C611/G611, "")</f>
        <v/>
      </c>
      <c r="L611" s="0" t="str">
        <f aca="false">IFERROR(__xludf.dummyfunction("IF(AND(NOT(K611 = """"), G611 &gt;= 15),K611/FILTER('Base Stats'!$C$2:$C1000, LOWER('Base Stats'!$B$2:$B1000) = LOWER($A611)), """")"),"#N/A")</f>
        <v>#N/A</v>
      </c>
      <c r="M611" s="0" t="str">
        <f aca="false">IFERROR(__xludf.dummyfunction("1.15 + 0.02 * FILTER('Base Stats'!$C$2:$C1000, LOWER('Base Stats'!$B$2:$B1000) = LOWER($A611))"),"1.15")</f>
        <v>1.15</v>
      </c>
      <c r="N611" s="0" t="e">
        <f aca="false">IFERROR(IF(AND(NOT(K611 = ""), G611 &gt;= 15),K611/M611, ""))</f>
        <v>#VALUE!</v>
      </c>
    </row>
    <row r="612" customFormat="false" ht="15.75" hidden="false" customHeight="false" outlineLevel="0" collapsed="false">
      <c r="A612" s="0" t="n">
        <f aca="false">'Form Responses (Pokemon Stats)'!B506</f>
        <v>0</v>
      </c>
      <c r="B612" s="0" t="n">
        <f aca="false">'Form Responses (Pokemon Stats)'!D506</f>
        <v>0</v>
      </c>
      <c r="C612" s="0" t="n">
        <f aca="false">'Form Responses (Pokemon Stats)'!C506</f>
        <v>0</v>
      </c>
      <c r="F612" s="0" t="n">
        <f aca="false">'Form Responses (Pokemon Stats)'!E506</f>
        <v>0</v>
      </c>
      <c r="G612" s="0" t="str">
        <f aca="false">IFERROR(__xludf.dummyfunction("ROUND(B612/ FILTER('Pokemon CP/HP'!$M$2:$M1000, LOWER('Pokemon CP/HP'!$B$2:$B1000)=LOWER(A612)))"),"#DIV/0!")</f>
        <v>#DIV/0!</v>
      </c>
      <c r="H612" s="0" t="str">
        <f aca="false">IFERROR(__xludf.dummyfunction("FILTER('Leveling Info'!$B$2:$B1000, 'Leveling Info'!$A$2:$A1000 =G612)"),"#N/A")</f>
        <v>#N/A</v>
      </c>
      <c r="I612" s="14" t="e">
        <f aca="false">SQRT(G612)</f>
        <v>#VALUE!</v>
      </c>
      <c r="J612" s="14" t="str">
        <f aca="false">IFERROR(__xludf.dummyfunction("IF(F612 = H612,C612/FILTER('Base Stats'!$C$2:$C1000, LOWER('Base Stats'!$B$2:$B1000) = LOWER($A612)), """")"),"#N/A")</f>
        <v>#N/A</v>
      </c>
      <c r="K612" s="0" t="str">
        <f aca="false">IF(F612 = H612, C612/G612, "")</f>
        <v/>
      </c>
      <c r="L612" s="0" t="str">
        <f aca="false">IFERROR(__xludf.dummyfunction("IF(AND(NOT(K612 = """"), G612 &gt;= 15),K612/FILTER('Base Stats'!$C$2:$C1000, LOWER('Base Stats'!$B$2:$B1000) = LOWER($A612)), """")"),"#N/A")</f>
        <v>#N/A</v>
      </c>
      <c r="M612" s="0" t="str">
        <f aca="false">IFERROR(__xludf.dummyfunction("1.15 + 0.02 * FILTER('Base Stats'!$C$2:$C1000, LOWER('Base Stats'!$B$2:$B1000) = LOWER($A612))"),"1.15")</f>
        <v>1.15</v>
      </c>
      <c r="N612" s="0" t="e">
        <f aca="false">IFERROR(IF(AND(NOT(K612 = ""), G612 &gt;= 15),K612/M612, ""))</f>
        <v>#VALUE!</v>
      </c>
    </row>
    <row r="613" customFormat="false" ht="15.75" hidden="false" customHeight="false" outlineLevel="0" collapsed="false">
      <c r="A613" s="0" t="n">
        <f aca="false">'Form Responses (Pokemon Stats)'!B507</f>
        <v>0</v>
      </c>
      <c r="B613" s="0" t="n">
        <f aca="false">'Form Responses (Pokemon Stats)'!D507</f>
        <v>0</v>
      </c>
      <c r="C613" s="0" t="n">
        <f aca="false">'Form Responses (Pokemon Stats)'!C507</f>
        <v>0</v>
      </c>
      <c r="F613" s="0" t="n">
        <f aca="false">'Form Responses (Pokemon Stats)'!E507</f>
        <v>0</v>
      </c>
      <c r="G613" s="0" t="str">
        <f aca="false">IFERROR(__xludf.dummyfunction("ROUND(B613/ FILTER('Pokemon CP/HP'!$M$2:$M1000, LOWER('Pokemon CP/HP'!$B$2:$B1000)=LOWER(A613)))"),"#DIV/0!")</f>
        <v>#DIV/0!</v>
      </c>
      <c r="H613" s="0" t="str">
        <f aca="false">IFERROR(__xludf.dummyfunction("FILTER('Leveling Info'!$B$2:$B1000, 'Leveling Info'!$A$2:$A1000 =G613)"),"#N/A")</f>
        <v>#N/A</v>
      </c>
      <c r="I613" s="14" t="e">
        <f aca="false">SQRT(G613)</f>
        <v>#VALUE!</v>
      </c>
      <c r="J613" s="14" t="str">
        <f aca="false">IFERROR(__xludf.dummyfunction("IF(F613 = H613,C613/FILTER('Base Stats'!$C$2:$C1000, LOWER('Base Stats'!$B$2:$B1000) = LOWER($A613)), """")"),"#N/A")</f>
        <v>#N/A</v>
      </c>
      <c r="K613" s="0" t="str">
        <f aca="false">IF(F613 = H613, C613/G613, "")</f>
        <v/>
      </c>
      <c r="L613" s="0" t="str">
        <f aca="false">IFERROR(__xludf.dummyfunction("IF(AND(NOT(K613 = """"), G613 &gt;= 15),K613/FILTER('Base Stats'!$C$2:$C1000, LOWER('Base Stats'!$B$2:$B1000) = LOWER($A613)), """")"),"#N/A")</f>
        <v>#N/A</v>
      </c>
      <c r="M613" s="0" t="str">
        <f aca="false">IFERROR(__xludf.dummyfunction("1.15 + 0.02 * FILTER('Base Stats'!$C$2:$C1000, LOWER('Base Stats'!$B$2:$B1000) = LOWER($A613))"),"1.15")</f>
        <v>1.15</v>
      </c>
      <c r="N613" s="0" t="e">
        <f aca="false">IFERROR(IF(AND(NOT(K613 = ""), G613 &gt;= 15),K613/M613, ""))</f>
        <v>#VALUE!</v>
      </c>
    </row>
    <row r="614" customFormat="false" ht="15.75" hidden="false" customHeight="false" outlineLevel="0" collapsed="false">
      <c r="A614" s="0" t="n">
        <f aca="false">'Form Responses (Pokemon Stats)'!B508</f>
        <v>0</v>
      </c>
      <c r="B614" s="0" t="n">
        <f aca="false">'Form Responses (Pokemon Stats)'!D508</f>
        <v>0</v>
      </c>
      <c r="C614" s="0" t="n">
        <f aca="false">'Form Responses (Pokemon Stats)'!C508</f>
        <v>0</v>
      </c>
      <c r="F614" s="0" t="n">
        <f aca="false">'Form Responses (Pokemon Stats)'!E508</f>
        <v>0</v>
      </c>
      <c r="G614" s="0" t="str">
        <f aca="false">IFERROR(__xludf.dummyfunction("ROUND(B614/ FILTER('Pokemon CP/HP'!$M$2:$M1000, LOWER('Pokemon CP/HP'!$B$2:$B1000)=LOWER(A614)))"),"#DIV/0!")</f>
        <v>#DIV/0!</v>
      </c>
      <c r="H614" s="0" t="str">
        <f aca="false">IFERROR(__xludf.dummyfunction("FILTER('Leveling Info'!$B$2:$B1000, 'Leveling Info'!$A$2:$A1000 =G614)"),"#N/A")</f>
        <v>#N/A</v>
      </c>
      <c r="I614" s="14" t="e">
        <f aca="false">SQRT(G614)</f>
        <v>#VALUE!</v>
      </c>
      <c r="J614" s="14" t="str">
        <f aca="false">IFERROR(__xludf.dummyfunction("IF(F614 = H614,C614/FILTER('Base Stats'!$C$2:$C1000, LOWER('Base Stats'!$B$2:$B1000) = LOWER($A614)), """")"),"#N/A")</f>
        <v>#N/A</v>
      </c>
      <c r="K614" s="0" t="str">
        <f aca="false">IF(F614 = H614, C614/G614, "")</f>
        <v/>
      </c>
      <c r="L614" s="0" t="str">
        <f aca="false">IFERROR(__xludf.dummyfunction("IF(AND(NOT(K614 = """"), G614 &gt;= 15),K614/FILTER('Base Stats'!$C$2:$C1000, LOWER('Base Stats'!$B$2:$B1000) = LOWER($A614)), """")"),"#N/A")</f>
        <v>#N/A</v>
      </c>
      <c r="M614" s="0" t="str">
        <f aca="false">IFERROR(__xludf.dummyfunction("1.15 + 0.02 * FILTER('Base Stats'!$C$2:$C1000, LOWER('Base Stats'!$B$2:$B1000) = LOWER($A614))"),"1.15")</f>
        <v>1.15</v>
      </c>
      <c r="N614" s="0" t="e">
        <f aca="false">IFERROR(IF(AND(NOT(K614 = ""), G614 &gt;= 15),K614/M614, ""))</f>
        <v>#VALUE!</v>
      </c>
    </row>
    <row r="615" customFormat="false" ht="15.75" hidden="false" customHeight="false" outlineLevel="0" collapsed="false">
      <c r="A615" s="0" t="n">
        <f aca="false">'Form Responses (Pokemon Stats)'!B509</f>
        <v>0</v>
      </c>
      <c r="B615" s="0" t="n">
        <f aca="false">'Form Responses (Pokemon Stats)'!D509</f>
        <v>0</v>
      </c>
      <c r="C615" s="0" t="n">
        <f aca="false">'Form Responses (Pokemon Stats)'!C509</f>
        <v>0</v>
      </c>
      <c r="F615" s="0" t="n">
        <f aca="false">'Form Responses (Pokemon Stats)'!E509</f>
        <v>0</v>
      </c>
      <c r="G615" s="0" t="str">
        <f aca="false">IFERROR(__xludf.dummyfunction("ROUND(B615/ FILTER('Pokemon CP/HP'!$M$2:$M1000, LOWER('Pokemon CP/HP'!$B$2:$B1000)=LOWER(A615)))"),"#DIV/0!")</f>
        <v>#DIV/0!</v>
      </c>
      <c r="H615" s="0" t="str">
        <f aca="false">IFERROR(__xludf.dummyfunction("FILTER('Leveling Info'!$B$2:$B1000, 'Leveling Info'!$A$2:$A1000 =G615)"),"#N/A")</f>
        <v>#N/A</v>
      </c>
      <c r="I615" s="14" t="e">
        <f aca="false">SQRT(G615)</f>
        <v>#VALUE!</v>
      </c>
      <c r="J615" s="14" t="str">
        <f aca="false">IFERROR(__xludf.dummyfunction("IF(F615 = H615,C615/FILTER('Base Stats'!$C$2:$C1000, LOWER('Base Stats'!$B$2:$B1000) = LOWER($A615)), """")"),"#N/A")</f>
        <v>#N/A</v>
      </c>
      <c r="K615" s="0" t="str">
        <f aca="false">IF(F615 = H615, C615/G615, "")</f>
        <v/>
      </c>
      <c r="L615" s="0" t="str">
        <f aca="false">IFERROR(__xludf.dummyfunction("IF(AND(NOT(K615 = """"), G615 &gt;= 15),K615/FILTER('Base Stats'!$C$2:$C1000, LOWER('Base Stats'!$B$2:$B1000) = LOWER($A615)), """")"),"#N/A")</f>
        <v>#N/A</v>
      </c>
      <c r="M615" s="0" t="str">
        <f aca="false">IFERROR(__xludf.dummyfunction("1.15 + 0.02 * FILTER('Base Stats'!$C$2:$C1000, LOWER('Base Stats'!$B$2:$B1000) = LOWER($A615))"),"1.15")</f>
        <v>1.15</v>
      </c>
      <c r="N615" s="0" t="e">
        <f aca="false">IFERROR(IF(AND(NOT(K615 = ""), G615 &gt;= 15),K615/M615, ""))</f>
        <v>#VALUE!</v>
      </c>
    </row>
    <row r="616" customFormat="false" ht="15.75" hidden="false" customHeight="false" outlineLevel="0" collapsed="false">
      <c r="A616" s="0" t="n">
        <f aca="false">'Form Responses (Pokemon Stats)'!B510</f>
        <v>0</v>
      </c>
      <c r="B616" s="0" t="n">
        <f aca="false">'Form Responses (Pokemon Stats)'!D510</f>
        <v>0</v>
      </c>
      <c r="C616" s="0" t="n">
        <f aca="false">'Form Responses (Pokemon Stats)'!C510</f>
        <v>0</v>
      </c>
      <c r="F616" s="0" t="n">
        <f aca="false">'Form Responses (Pokemon Stats)'!E510</f>
        <v>0</v>
      </c>
      <c r="G616" s="0" t="str">
        <f aca="false">IFERROR(__xludf.dummyfunction("ROUND(B616/ FILTER('Pokemon CP/HP'!$M$2:$M1000, LOWER('Pokemon CP/HP'!$B$2:$B1000)=LOWER(A616)))"),"#DIV/0!")</f>
        <v>#DIV/0!</v>
      </c>
      <c r="H616" s="0" t="str">
        <f aca="false">IFERROR(__xludf.dummyfunction("FILTER('Leveling Info'!$B$2:$B1000, 'Leveling Info'!$A$2:$A1000 =G616)"),"#N/A")</f>
        <v>#N/A</v>
      </c>
      <c r="I616" s="14" t="e">
        <f aca="false">SQRT(G616)</f>
        <v>#VALUE!</v>
      </c>
      <c r="J616" s="14" t="str">
        <f aca="false">IFERROR(__xludf.dummyfunction("IF(F616 = H616,C616/FILTER('Base Stats'!$C$2:$C1000, LOWER('Base Stats'!$B$2:$B1000) = LOWER($A616)), """")"),"#N/A")</f>
        <v>#N/A</v>
      </c>
      <c r="K616" s="0" t="str">
        <f aca="false">IF(F616 = H616, C616/G616, "")</f>
        <v/>
      </c>
      <c r="L616" s="0" t="str">
        <f aca="false">IFERROR(__xludf.dummyfunction("IF(AND(NOT(K616 = """"), G616 &gt;= 15),K616/FILTER('Base Stats'!$C$2:$C1000, LOWER('Base Stats'!$B$2:$B1000) = LOWER($A616)), """")"),"#N/A")</f>
        <v>#N/A</v>
      </c>
      <c r="M616" s="0" t="str">
        <f aca="false">IFERROR(__xludf.dummyfunction("1.15 + 0.02 * FILTER('Base Stats'!$C$2:$C1000, LOWER('Base Stats'!$B$2:$B1000) = LOWER($A616))"),"1.15")</f>
        <v>1.15</v>
      </c>
      <c r="N616" s="0" t="e">
        <f aca="false">IFERROR(IF(AND(NOT(K616 = ""), G616 &gt;= 15),K616/M616, ""))</f>
        <v>#VALUE!</v>
      </c>
    </row>
    <row r="617" customFormat="false" ht="15.75" hidden="false" customHeight="false" outlineLevel="0" collapsed="false">
      <c r="A617" s="0" t="n">
        <f aca="false">'Form Responses (Pokemon Stats)'!B511</f>
        <v>0</v>
      </c>
      <c r="B617" s="0" t="n">
        <f aca="false">'Form Responses (Pokemon Stats)'!D511</f>
        <v>0</v>
      </c>
      <c r="C617" s="0" t="n">
        <f aca="false">'Form Responses (Pokemon Stats)'!C511</f>
        <v>0</v>
      </c>
      <c r="F617" s="0" t="n">
        <f aca="false">'Form Responses (Pokemon Stats)'!E511</f>
        <v>0</v>
      </c>
      <c r="G617" s="0" t="str">
        <f aca="false">IFERROR(__xludf.dummyfunction("ROUND(B617/ FILTER('Pokemon CP/HP'!$M$2:$M1000, LOWER('Pokemon CP/HP'!$B$2:$B1000)=LOWER(A617)))"),"#DIV/0!")</f>
        <v>#DIV/0!</v>
      </c>
      <c r="H617" s="0" t="str">
        <f aca="false">IFERROR(__xludf.dummyfunction("FILTER('Leveling Info'!$B$2:$B1000, 'Leveling Info'!$A$2:$A1000 =G617)"),"#N/A")</f>
        <v>#N/A</v>
      </c>
      <c r="I617" s="14" t="e">
        <f aca="false">SQRT(G617)</f>
        <v>#VALUE!</v>
      </c>
      <c r="J617" s="14" t="str">
        <f aca="false">IFERROR(__xludf.dummyfunction("IF(F617 = H617,C617/FILTER('Base Stats'!$C$2:$C1000, LOWER('Base Stats'!$B$2:$B1000) = LOWER($A617)), """")"),"#N/A")</f>
        <v>#N/A</v>
      </c>
      <c r="K617" s="0" t="str">
        <f aca="false">IF(F617 = H617, C617/G617, "")</f>
        <v/>
      </c>
      <c r="L617" s="0" t="str">
        <f aca="false">IFERROR(__xludf.dummyfunction("IF(AND(NOT(K617 = """"), G617 &gt;= 15),K617/FILTER('Base Stats'!$C$2:$C1000, LOWER('Base Stats'!$B$2:$B1000) = LOWER($A617)), """")"),"#N/A")</f>
        <v>#N/A</v>
      </c>
      <c r="M617" s="0" t="str">
        <f aca="false">IFERROR(__xludf.dummyfunction("1.15 + 0.02 * FILTER('Base Stats'!$C$2:$C1000, LOWER('Base Stats'!$B$2:$B1000) = LOWER($A617))"),"1.15")</f>
        <v>1.15</v>
      </c>
      <c r="N617" s="0" t="e">
        <f aca="false">IFERROR(IF(AND(NOT(K617 = ""), G617 &gt;= 15),K617/M617, ""))</f>
        <v>#VALUE!</v>
      </c>
    </row>
    <row r="618" customFormat="false" ht="15.75" hidden="false" customHeight="false" outlineLevel="0" collapsed="false">
      <c r="A618" s="0" t="n">
        <f aca="false">'Form Responses (Pokemon Stats)'!B512</f>
        <v>0</v>
      </c>
      <c r="B618" s="0" t="n">
        <f aca="false">'Form Responses (Pokemon Stats)'!D512</f>
        <v>0</v>
      </c>
      <c r="C618" s="0" t="n">
        <f aca="false">'Form Responses (Pokemon Stats)'!C512</f>
        <v>0</v>
      </c>
      <c r="F618" s="0" t="n">
        <f aca="false">'Form Responses (Pokemon Stats)'!E512</f>
        <v>0</v>
      </c>
      <c r="G618" s="0" t="str">
        <f aca="false">IFERROR(__xludf.dummyfunction("ROUND(B618/ FILTER('Pokemon CP/HP'!$M$2:$M1000, LOWER('Pokemon CP/HP'!$B$2:$B1000)=LOWER(A618)))"),"#DIV/0!")</f>
        <v>#DIV/0!</v>
      </c>
      <c r="H618" s="0" t="str">
        <f aca="false">IFERROR(__xludf.dummyfunction("FILTER('Leveling Info'!$B$2:$B1000, 'Leveling Info'!$A$2:$A1000 =G618)"),"#N/A")</f>
        <v>#N/A</v>
      </c>
      <c r="I618" s="14" t="e">
        <f aca="false">SQRT(G618)</f>
        <v>#VALUE!</v>
      </c>
      <c r="J618" s="14" t="str">
        <f aca="false">IFERROR(__xludf.dummyfunction("IF(F618 = H618,C618/FILTER('Base Stats'!$C$2:$C1000, LOWER('Base Stats'!$B$2:$B1000) = LOWER($A618)), """")"),"#N/A")</f>
        <v>#N/A</v>
      </c>
      <c r="K618" s="0" t="str">
        <f aca="false">IF(F618 = H618, C618/G618, "")</f>
        <v/>
      </c>
      <c r="L618" s="0" t="str">
        <f aca="false">IFERROR(__xludf.dummyfunction("IF(AND(NOT(K618 = """"), G618 &gt;= 15),K618/FILTER('Base Stats'!$C$2:$C1000, LOWER('Base Stats'!$B$2:$B1000) = LOWER($A618)), """")"),"#N/A")</f>
        <v>#N/A</v>
      </c>
      <c r="M618" s="0" t="str">
        <f aca="false">IFERROR(__xludf.dummyfunction("1.15 + 0.02 * FILTER('Base Stats'!$C$2:$C1000, LOWER('Base Stats'!$B$2:$B1000) = LOWER($A618))"),"1.15")</f>
        <v>1.15</v>
      </c>
      <c r="N618" s="0" t="e">
        <f aca="false">IFERROR(IF(AND(NOT(K618 = ""), G618 &gt;= 15),K618/M618, ""))</f>
        <v>#VALUE!</v>
      </c>
    </row>
    <row r="619" customFormat="false" ht="15.75" hidden="false" customHeight="false" outlineLevel="0" collapsed="false">
      <c r="A619" s="0" t="n">
        <f aca="false">'Form Responses (Pokemon Stats)'!B513</f>
        <v>0</v>
      </c>
      <c r="B619" s="0" t="n">
        <f aca="false">'Form Responses (Pokemon Stats)'!D513</f>
        <v>0</v>
      </c>
      <c r="C619" s="0" t="n">
        <f aca="false">'Form Responses (Pokemon Stats)'!C513</f>
        <v>0</v>
      </c>
      <c r="F619" s="0" t="n">
        <f aca="false">'Form Responses (Pokemon Stats)'!E513</f>
        <v>0</v>
      </c>
      <c r="G619" s="0" t="str">
        <f aca="false">IFERROR(__xludf.dummyfunction("ROUND(B619/ FILTER('Pokemon CP/HP'!$M$2:$M1000, LOWER('Pokemon CP/HP'!$B$2:$B1000)=LOWER(A619)))"),"#DIV/0!")</f>
        <v>#DIV/0!</v>
      </c>
      <c r="H619" s="0" t="str">
        <f aca="false">IFERROR(__xludf.dummyfunction("FILTER('Leveling Info'!$B$2:$B1000, 'Leveling Info'!$A$2:$A1000 =G619)"),"#N/A")</f>
        <v>#N/A</v>
      </c>
      <c r="I619" s="14" t="e">
        <f aca="false">SQRT(G619)</f>
        <v>#VALUE!</v>
      </c>
      <c r="J619" s="14" t="str">
        <f aca="false">IFERROR(__xludf.dummyfunction("IF(F619 = H619,C619/FILTER('Base Stats'!$C$2:$C1000, LOWER('Base Stats'!$B$2:$B1000) = LOWER($A619)), """")"),"#N/A")</f>
        <v>#N/A</v>
      </c>
      <c r="K619" s="0" t="str">
        <f aca="false">IF(F619 = H619, C619/G619, "")</f>
        <v/>
      </c>
      <c r="L619" s="0" t="str">
        <f aca="false">IFERROR(__xludf.dummyfunction("IF(AND(NOT(K619 = """"), G619 &gt;= 15),K619/FILTER('Base Stats'!$C$2:$C1000, LOWER('Base Stats'!$B$2:$B1000) = LOWER($A619)), """")"),"#N/A")</f>
        <v>#N/A</v>
      </c>
      <c r="M619" s="0" t="str">
        <f aca="false">IFERROR(__xludf.dummyfunction("1.15 + 0.02 * FILTER('Base Stats'!$C$2:$C1000, LOWER('Base Stats'!$B$2:$B1000) = LOWER($A619))"),"1.15")</f>
        <v>1.15</v>
      </c>
      <c r="N619" s="0" t="e">
        <f aca="false">IFERROR(IF(AND(NOT(K619 = ""), G619 &gt;= 15),K619/M619, ""))</f>
        <v>#VALUE!</v>
      </c>
    </row>
    <row r="620" customFormat="false" ht="15.75" hidden="false" customHeight="false" outlineLevel="0" collapsed="false">
      <c r="A620" s="0" t="n">
        <f aca="false">'Form Responses (Pokemon Stats)'!B514</f>
        <v>0</v>
      </c>
      <c r="B620" s="0" t="n">
        <f aca="false">'Form Responses (Pokemon Stats)'!D514</f>
        <v>0</v>
      </c>
      <c r="C620" s="0" t="n">
        <f aca="false">'Form Responses (Pokemon Stats)'!C514</f>
        <v>0</v>
      </c>
      <c r="F620" s="0" t="n">
        <f aca="false">'Form Responses (Pokemon Stats)'!E514</f>
        <v>0</v>
      </c>
      <c r="G620" s="0" t="str">
        <f aca="false">IFERROR(__xludf.dummyfunction("ROUND(B620/ FILTER('Pokemon CP/HP'!$M$2:$M1000, LOWER('Pokemon CP/HP'!$B$2:$B1000)=LOWER(A620)))"),"#DIV/0!")</f>
        <v>#DIV/0!</v>
      </c>
      <c r="H620" s="0" t="str">
        <f aca="false">IFERROR(__xludf.dummyfunction("FILTER('Leveling Info'!$B$2:$B1000, 'Leveling Info'!$A$2:$A1000 =G620)"),"#N/A")</f>
        <v>#N/A</v>
      </c>
      <c r="I620" s="14" t="e">
        <f aca="false">SQRT(G620)</f>
        <v>#VALUE!</v>
      </c>
      <c r="J620" s="14" t="str">
        <f aca="false">IFERROR(__xludf.dummyfunction("IF(F620 = H620,C620/FILTER('Base Stats'!$C$2:$C1000, LOWER('Base Stats'!$B$2:$B1000) = LOWER($A620)), """")"),"#N/A")</f>
        <v>#N/A</v>
      </c>
      <c r="K620" s="0" t="str">
        <f aca="false">IF(F620 = H620, C620/G620, "")</f>
        <v/>
      </c>
      <c r="L620" s="0" t="str">
        <f aca="false">IFERROR(__xludf.dummyfunction("IF(AND(NOT(K620 = """"), G620 &gt;= 15),K620/FILTER('Base Stats'!$C$2:$C1000, LOWER('Base Stats'!$B$2:$B1000) = LOWER($A620)), """")"),"#N/A")</f>
        <v>#N/A</v>
      </c>
      <c r="M620" s="0" t="str">
        <f aca="false">IFERROR(__xludf.dummyfunction("1.15 + 0.02 * FILTER('Base Stats'!$C$2:$C1000, LOWER('Base Stats'!$B$2:$B1000) = LOWER($A620))"),"1.15")</f>
        <v>1.15</v>
      </c>
      <c r="N620" s="0" t="e">
        <f aca="false">IFERROR(IF(AND(NOT(K620 = ""), G620 &gt;= 15),K620/M620, ""))</f>
        <v>#VALUE!</v>
      </c>
    </row>
    <row r="621" customFormat="false" ht="15.75" hidden="false" customHeight="false" outlineLevel="0" collapsed="false">
      <c r="A621" s="0" t="n">
        <f aca="false">'Form Responses (Pokemon Stats)'!B515</f>
        <v>0</v>
      </c>
      <c r="B621" s="0" t="n">
        <f aca="false">'Form Responses (Pokemon Stats)'!D515</f>
        <v>0</v>
      </c>
      <c r="C621" s="0" t="n">
        <f aca="false">'Form Responses (Pokemon Stats)'!C515</f>
        <v>0</v>
      </c>
      <c r="F621" s="0" t="n">
        <f aca="false">'Form Responses (Pokemon Stats)'!E515</f>
        <v>0</v>
      </c>
      <c r="G621" s="0" t="str">
        <f aca="false">IFERROR(__xludf.dummyfunction("ROUND(B621/ FILTER('Pokemon CP/HP'!$M$2:$M1000, LOWER('Pokemon CP/HP'!$B$2:$B1000)=LOWER(A621)))"),"#DIV/0!")</f>
        <v>#DIV/0!</v>
      </c>
      <c r="H621" s="0" t="str">
        <f aca="false">IFERROR(__xludf.dummyfunction("FILTER('Leveling Info'!$B$2:$B1000, 'Leveling Info'!$A$2:$A1000 =G621)"),"#N/A")</f>
        <v>#N/A</v>
      </c>
      <c r="I621" s="14" t="e">
        <f aca="false">SQRT(G621)</f>
        <v>#VALUE!</v>
      </c>
      <c r="J621" s="14" t="str">
        <f aca="false">IFERROR(__xludf.dummyfunction("IF(F621 = H621,C621/FILTER('Base Stats'!$C$2:$C1000, LOWER('Base Stats'!$B$2:$B1000) = LOWER($A621)), """")"),"#N/A")</f>
        <v>#N/A</v>
      </c>
      <c r="K621" s="0" t="str">
        <f aca="false">IF(F621 = H621, C621/G621, "")</f>
        <v/>
      </c>
      <c r="L621" s="0" t="str">
        <f aca="false">IFERROR(__xludf.dummyfunction("IF(AND(NOT(K621 = """"), G621 &gt;= 15),K621/FILTER('Base Stats'!$C$2:$C1000, LOWER('Base Stats'!$B$2:$B1000) = LOWER($A621)), """")"),"#N/A")</f>
        <v>#N/A</v>
      </c>
      <c r="M621" s="0" t="str">
        <f aca="false">IFERROR(__xludf.dummyfunction("1.15 + 0.02 * FILTER('Base Stats'!$C$2:$C1000, LOWER('Base Stats'!$B$2:$B1000) = LOWER($A621))"),"1.15")</f>
        <v>1.15</v>
      </c>
      <c r="N621" s="0" t="e">
        <f aca="false">IFERROR(IF(AND(NOT(K621 = ""), G621 &gt;= 15),K621/M621, ""))</f>
        <v>#VALUE!</v>
      </c>
    </row>
    <row r="622" customFormat="false" ht="15.75" hidden="false" customHeight="false" outlineLevel="0" collapsed="false">
      <c r="A622" s="0" t="n">
        <f aca="false">'Form Responses (Pokemon Stats)'!B516</f>
        <v>0</v>
      </c>
      <c r="B622" s="0" t="n">
        <f aca="false">'Form Responses (Pokemon Stats)'!D516</f>
        <v>0</v>
      </c>
      <c r="C622" s="0" t="n">
        <f aca="false">'Form Responses (Pokemon Stats)'!C516</f>
        <v>0</v>
      </c>
      <c r="F622" s="0" t="n">
        <f aca="false">'Form Responses (Pokemon Stats)'!E516</f>
        <v>0</v>
      </c>
      <c r="G622" s="0" t="str">
        <f aca="false">IFERROR(__xludf.dummyfunction("ROUND(B622/ FILTER('Pokemon CP/HP'!$M$2:$M1000, LOWER('Pokemon CP/HP'!$B$2:$B1000)=LOWER(A622)))"),"#DIV/0!")</f>
        <v>#DIV/0!</v>
      </c>
      <c r="H622" s="0" t="str">
        <f aca="false">IFERROR(__xludf.dummyfunction("FILTER('Leveling Info'!$B$2:$B1000, 'Leveling Info'!$A$2:$A1000 =G622)"),"#N/A")</f>
        <v>#N/A</v>
      </c>
      <c r="I622" s="14" t="e">
        <f aca="false">SQRT(G622)</f>
        <v>#VALUE!</v>
      </c>
      <c r="J622" s="14" t="str">
        <f aca="false">IFERROR(__xludf.dummyfunction("IF(F622 = H622,C622/FILTER('Base Stats'!$C$2:$C1000, LOWER('Base Stats'!$B$2:$B1000) = LOWER($A622)), """")"),"#N/A")</f>
        <v>#N/A</v>
      </c>
      <c r="K622" s="0" t="str">
        <f aca="false">IF(F622 = H622, C622/G622, "")</f>
        <v/>
      </c>
      <c r="L622" s="0" t="str">
        <f aca="false">IFERROR(__xludf.dummyfunction("IF(AND(NOT(K622 = """"), G622 &gt;= 15),K622/FILTER('Base Stats'!$C$2:$C1000, LOWER('Base Stats'!$B$2:$B1000) = LOWER($A622)), """")"),"#N/A")</f>
        <v>#N/A</v>
      </c>
      <c r="M622" s="0" t="str">
        <f aca="false">IFERROR(__xludf.dummyfunction("1.15 + 0.02 * FILTER('Base Stats'!$C$2:$C1000, LOWER('Base Stats'!$B$2:$B1000) = LOWER($A622))"),"1.15")</f>
        <v>1.15</v>
      </c>
      <c r="N622" s="0" t="e">
        <f aca="false">IFERROR(IF(AND(NOT(K622 = ""), G622 &gt;= 15),K622/M622, ""))</f>
        <v>#VALUE!</v>
      </c>
    </row>
    <row r="623" customFormat="false" ht="15.75" hidden="false" customHeight="false" outlineLevel="0" collapsed="false">
      <c r="A623" s="0" t="n">
        <f aca="false">'Form Responses (Pokemon Stats)'!B517</f>
        <v>0</v>
      </c>
      <c r="B623" s="0" t="n">
        <f aca="false">'Form Responses (Pokemon Stats)'!D517</f>
        <v>0</v>
      </c>
      <c r="C623" s="0" t="n">
        <f aca="false">'Form Responses (Pokemon Stats)'!C517</f>
        <v>0</v>
      </c>
      <c r="F623" s="0" t="n">
        <f aca="false">'Form Responses (Pokemon Stats)'!E517</f>
        <v>0</v>
      </c>
      <c r="G623" s="0" t="str">
        <f aca="false">IFERROR(__xludf.dummyfunction("ROUND(B623/ FILTER('Pokemon CP/HP'!$M$2:$M1000, LOWER('Pokemon CP/HP'!$B$2:$B1000)=LOWER(A623)))"),"#DIV/0!")</f>
        <v>#DIV/0!</v>
      </c>
      <c r="H623" s="0" t="str">
        <f aca="false">IFERROR(__xludf.dummyfunction("FILTER('Leveling Info'!$B$2:$B1000, 'Leveling Info'!$A$2:$A1000 =G623)"),"#N/A")</f>
        <v>#N/A</v>
      </c>
      <c r="I623" s="14" t="e">
        <f aca="false">SQRT(G623)</f>
        <v>#VALUE!</v>
      </c>
      <c r="J623" s="14" t="str">
        <f aca="false">IFERROR(__xludf.dummyfunction("IF(F623 = H623,C623/FILTER('Base Stats'!$C$2:$C1000, LOWER('Base Stats'!$B$2:$B1000) = LOWER($A623)), """")"),"#N/A")</f>
        <v>#N/A</v>
      </c>
      <c r="K623" s="0" t="str">
        <f aca="false">IF(F623 = H623, C623/G623, "")</f>
        <v/>
      </c>
      <c r="L623" s="0" t="str">
        <f aca="false">IFERROR(__xludf.dummyfunction("IF(AND(NOT(K623 = """"), G623 &gt;= 15),K623/FILTER('Base Stats'!$C$2:$C1000, LOWER('Base Stats'!$B$2:$B1000) = LOWER($A623)), """")"),"#N/A")</f>
        <v>#N/A</v>
      </c>
      <c r="M623" s="0" t="str">
        <f aca="false">IFERROR(__xludf.dummyfunction("1.15 + 0.02 * FILTER('Base Stats'!$C$2:$C1000, LOWER('Base Stats'!$B$2:$B1000) = LOWER($A623))"),"1.15")</f>
        <v>1.15</v>
      </c>
      <c r="N623" s="0" t="e">
        <f aca="false">IFERROR(IF(AND(NOT(K623 = ""), G623 &gt;= 15),K623/M623, ""))</f>
        <v>#VALUE!</v>
      </c>
    </row>
    <row r="624" customFormat="false" ht="15.75" hidden="false" customHeight="false" outlineLevel="0" collapsed="false">
      <c r="A624" s="0" t="n">
        <f aca="false">'Form Responses (Pokemon Stats)'!B518</f>
        <v>0</v>
      </c>
      <c r="B624" s="0" t="n">
        <f aca="false">'Form Responses (Pokemon Stats)'!D518</f>
        <v>0</v>
      </c>
      <c r="C624" s="0" t="n">
        <f aca="false">'Form Responses (Pokemon Stats)'!C518</f>
        <v>0</v>
      </c>
      <c r="F624" s="0" t="n">
        <f aca="false">'Form Responses (Pokemon Stats)'!E518</f>
        <v>0</v>
      </c>
      <c r="G624" s="0" t="str">
        <f aca="false">IFERROR(__xludf.dummyfunction("ROUND(B624/ FILTER('Pokemon CP/HP'!$M$2:$M1000, LOWER('Pokemon CP/HP'!$B$2:$B1000)=LOWER(A624)))"),"#DIV/0!")</f>
        <v>#DIV/0!</v>
      </c>
      <c r="H624" s="0" t="str">
        <f aca="false">IFERROR(__xludf.dummyfunction("FILTER('Leveling Info'!$B$2:$B1000, 'Leveling Info'!$A$2:$A1000 =G624)"),"#N/A")</f>
        <v>#N/A</v>
      </c>
      <c r="I624" s="14" t="e">
        <f aca="false">SQRT(G624)</f>
        <v>#VALUE!</v>
      </c>
      <c r="J624" s="14" t="str">
        <f aca="false">IFERROR(__xludf.dummyfunction("IF(F624 = H624,C624/FILTER('Base Stats'!$C$2:$C1000, LOWER('Base Stats'!$B$2:$B1000) = LOWER($A624)), """")"),"#N/A")</f>
        <v>#N/A</v>
      </c>
      <c r="K624" s="0" t="str">
        <f aca="false">IF(F624 = H624, C624/G624, "")</f>
        <v/>
      </c>
      <c r="L624" s="0" t="str">
        <f aca="false">IFERROR(__xludf.dummyfunction("IF(AND(NOT(K624 = """"), G624 &gt;= 15),K624/FILTER('Base Stats'!$C$2:$C1000, LOWER('Base Stats'!$B$2:$B1000) = LOWER($A624)), """")"),"#N/A")</f>
        <v>#N/A</v>
      </c>
      <c r="M624" s="0" t="str">
        <f aca="false">IFERROR(__xludf.dummyfunction("1.15 + 0.02 * FILTER('Base Stats'!$C$2:$C1000, LOWER('Base Stats'!$B$2:$B1000) = LOWER($A624))"),"1.15")</f>
        <v>1.15</v>
      </c>
      <c r="N624" s="0" t="e">
        <f aca="false">IFERROR(IF(AND(NOT(K624 = ""), G624 &gt;= 15),K624/M624, ""))</f>
        <v>#VALUE!</v>
      </c>
    </row>
    <row r="625" customFormat="false" ht="15.75" hidden="false" customHeight="false" outlineLevel="0" collapsed="false">
      <c r="A625" s="0" t="n">
        <f aca="false">'Form Responses (Pokemon Stats)'!B519</f>
        <v>0</v>
      </c>
      <c r="B625" s="0" t="n">
        <f aca="false">'Form Responses (Pokemon Stats)'!D519</f>
        <v>0</v>
      </c>
      <c r="C625" s="0" t="n">
        <f aca="false">'Form Responses (Pokemon Stats)'!C519</f>
        <v>0</v>
      </c>
      <c r="F625" s="0" t="n">
        <f aca="false">'Form Responses (Pokemon Stats)'!E519</f>
        <v>0</v>
      </c>
      <c r="G625" s="0" t="str">
        <f aca="false">IFERROR(__xludf.dummyfunction("ROUND(B625/ FILTER('Pokemon CP/HP'!$M$2:$M1000, LOWER('Pokemon CP/HP'!$B$2:$B1000)=LOWER(A625)))"),"#DIV/0!")</f>
        <v>#DIV/0!</v>
      </c>
      <c r="H625" s="0" t="str">
        <f aca="false">IFERROR(__xludf.dummyfunction("FILTER('Leveling Info'!$B$2:$B1000, 'Leveling Info'!$A$2:$A1000 =G625)"),"#N/A")</f>
        <v>#N/A</v>
      </c>
      <c r="I625" s="14" t="e">
        <f aca="false">SQRT(G625)</f>
        <v>#VALUE!</v>
      </c>
      <c r="J625" s="14" t="str">
        <f aca="false">IFERROR(__xludf.dummyfunction("IF(F625 = H625,C625/FILTER('Base Stats'!$C$2:$C1000, LOWER('Base Stats'!$B$2:$B1000) = LOWER($A625)), """")"),"#N/A")</f>
        <v>#N/A</v>
      </c>
      <c r="K625" s="0" t="str">
        <f aca="false">IF(F625 = H625, C625/G625, "")</f>
        <v/>
      </c>
      <c r="L625" s="0" t="str">
        <f aca="false">IFERROR(__xludf.dummyfunction("IF(AND(NOT(K625 = """"), G625 &gt;= 15),K625/FILTER('Base Stats'!$C$2:$C1000, LOWER('Base Stats'!$B$2:$B1000) = LOWER($A625)), """")"),"#N/A")</f>
        <v>#N/A</v>
      </c>
      <c r="M625" s="0" t="str">
        <f aca="false">IFERROR(__xludf.dummyfunction("1.15 + 0.02 * FILTER('Base Stats'!$C$2:$C1000, LOWER('Base Stats'!$B$2:$B1000) = LOWER($A625))"),"1.15")</f>
        <v>1.15</v>
      </c>
      <c r="N625" s="0" t="e">
        <f aca="false">IFERROR(IF(AND(NOT(K625 = ""), G625 &gt;= 15),K625/M625, ""))</f>
        <v>#VALUE!</v>
      </c>
    </row>
    <row r="626" customFormat="false" ht="15.75" hidden="false" customHeight="false" outlineLevel="0" collapsed="false">
      <c r="A626" s="0" t="n">
        <f aca="false">'Form Responses (Pokemon Stats)'!B520</f>
        <v>0</v>
      </c>
      <c r="B626" s="0" t="n">
        <f aca="false">'Form Responses (Pokemon Stats)'!D520</f>
        <v>0</v>
      </c>
      <c r="C626" s="0" t="n">
        <f aca="false">'Form Responses (Pokemon Stats)'!C520</f>
        <v>0</v>
      </c>
      <c r="F626" s="0" t="n">
        <f aca="false">'Form Responses (Pokemon Stats)'!E520</f>
        <v>0</v>
      </c>
      <c r="G626" s="0" t="str">
        <f aca="false">IFERROR(__xludf.dummyfunction("ROUND(B626/ FILTER('Pokemon CP/HP'!$M$2:$M1000, LOWER('Pokemon CP/HP'!$B$2:$B1000)=LOWER(A626)))"),"#DIV/0!")</f>
        <v>#DIV/0!</v>
      </c>
      <c r="H626" s="0" t="str">
        <f aca="false">IFERROR(__xludf.dummyfunction("FILTER('Leveling Info'!$B$2:$B1000, 'Leveling Info'!$A$2:$A1000 =G626)"),"#N/A")</f>
        <v>#N/A</v>
      </c>
      <c r="I626" s="14" t="e">
        <f aca="false">SQRT(G626)</f>
        <v>#VALUE!</v>
      </c>
      <c r="J626" s="14" t="str">
        <f aca="false">IFERROR(__xludf.dummyfunction("IF(F626 = H626,C626/FILTER('Base Stats'!$C$2:$C1000, LOWER('Base Stats'!$B$2:$B1000) = LOWER($A626)), """")"),"#N/A")</f>
        <v>#N/A</v>
      </c>
      <c r="K626" s="0" t="str">
        <f aca="false">IF(F626 = H626, C626/G626, "")</f>
        <v/>
      </c>
      <c r="L626" s="0" t="str">
        <f aca="false">IFERROR(__xludf.dummyfunction("IF(AND(NOT(K626 = """"), G626 &gt;= 15),K626/FILTER('Base Stats'!$C$2:$C1000, LOWER('Base Stats'!$B$2:$B1000) = LOWER($A626)), """")"),"#N/A")</f>
        <v>#N/A</v>
      </c>
      <c r="M626" s="0" t="str">
        <f aca="false">IFERROR(__xludf.dummyfunction("1.15 + 0.02 * FILTER('Base Stats'!$C$2:$C1000, LOWER('Base Stats'!$B$2:$B1000) = LOWER($A626))"),"1.15")</f>
        <v>1.15</v>
      </c>
      <c r="N626" s="0" t="e">
        <f aca="false">IFERROR(IF(AND(NOT(K626 = ""), G626 &gt;= 15),K626/M626, ""))</f>
        <v>#VALUE!</v>
      </c>
    </row>
    <row r="627" customFormat="false" ht="15.75" hidden="false" customHeight="false" outlineLevel="0" collapsed="false">
      <c r="A627" s="0" t="n">
        <f aca="false">'Form Responses (Pokemon Stats)'!B521</f>
        <v>0</v>
      </c>
      <c r="B627" s="0" t="n">
        <f aca="false">'Form Responses (Pokemon Stats)'!D521</f>
        <v>0</v>
      </c>
      <c r="C627" s="0" t="n">
        <f aca="false">'Form Responses (Pokemon Stats)'!C521</f>
        <v>0</v>
      </c>
      <c r="F627" s="0" t="n">
        <f aca="false">'Form Responses (Pokemon Stats)'!E521</f>
        <v>0</v>
      </c>
      <c r="G627" s="0" t="str">
        <f aca="false">IFERROR(__xludf.dummyfunction("ROUND(B627/ FILTER('Pokemon CP/HP'!$M$2:$M1000, LOWER('Pokemon CP/HP'!$B$2:$B1000)=LOWER(A627)))"),"#DIV/0!")</f>
        <v>#DIV/0!</v>
      </c>
      <c r="H627" s="0" t="str">
        <f aca="false">IFERROR(__xludf.dummyfunction("FILTER('Leveling Info'!$B$2:$B1000, 'Leveling Info'!$A$2:$A1000 =G627)"),"#N/A")</f>
        <v>#N/A</v>
      </c>
      <c r="I627" s="14" t="e">
        <f aca="false">SQRT(G627)</f>
        <v>#VALUE!</v>
      </c>
      <c r="J627" s="14" t="str">
        <f aca="false">IFERROR(__xludf.dummyfunction("IF(F627 = H627,C627/FILTER('Base Stats'!$C$2:$C1000, LOWER('Base Stats'!$B$2:$B1000) = LOWER($A627)), """")"),"#N/A")</f>
        <v>#N/A</v>
      </c>
      <c r="K627" s="0" t="str">
        <f aca="false">IF(F627 = H627, C627/G627, "")</f>
        <v/>
      </c>
      <c r="L627" s="0" t="str">
        <f aca="false">IFERROR(__xludf.dummyfunction("IF(AND(NOT(K627 = """"), G627 &gt;= 15),K627/FILTER('Base Stats'!$C$2:$C1000, LOWER('Base Stats'!$B$2:$B1000) = LOWER($A627)), """")"),"#N/A")</f>
        <v>#N/A</v>
      </c>
      <c r="M627" s="0" t="str">
        <f aca="false">IFERROR(__xludf.dummyfunction("1.15 + 0.02 * FILTER('Base Stats'!$C$2:$C1000, LOWER('Base Stats'!$B$2:$B1000) = LOWER($A627))"),"1.15")</f>
        <v>1.15</v>
      </c>
      <c r="N627" s="0" t="e">
        <f aca="false">IFERROR(IF(AND(NOT(K627 = ""), G627 &gt;= 15),K627/M627, ""))</f>
        <v>#VALUE!</v>
      </c>
    </row>
    <row r="628" customFormat="false" ht="15.75" hidden="false" customHeight="false" outlineLevel="0" collapsed="false">
      <c r="A628" s="0" t="n">
        <f aca="false">'Form Responses (Pokemon Stats)'!B522</f>
        <v>0</v>
      </c>
      <c r="B628" s="0" t="n">
        <f aca="false">'Form Responses (Pokemon Stats)'!D522</f>
        <v>0</v>
      </c>
      <c r="C628" s="0" t="n">
        <f aca="false">'Form Responses (Pokemon Stats)'!C522</f>
        <v>0</v>
      </c>
      <c r="F628" s="0" t="n">
        <f aca="false">'Form Responses (Pokemon Stats)'!E522</f>
        <v>0</v>
      </c>
      <c r="G628" s="0" t="str">
        <f aca="false">IFERROR(__xludf.dummyfunction("ROUND(B628/ FILTER('Pokemon CP/HP'!$M$2:$M1000, LOWER('Pokemon CP/HP'!$B$2:$B1000)=LOWER(A628)))"),"#DIV/0!")</f>
        <v>#DIV/0!</v>
      </c>
      <c r="H628" s="0" t="str">
        <f aca="false">IFERROR(__xludf.dummyfunction("FILTER('Leveling Info'!$B$2:$B1000, 'Leveling Info'!$A$2:$A1000 =G628)"),"#N/A")</f>
        <v>#N/A</v>
      </c>
      <c r="I628" s="14" t="e">
        <f aca="false">SQRT(G628)</f>
        <v>#VALUE!</v>
      </c>
      <c r="J628" s="14" t="str">
        <f aca="false">IFERROR(__xludf.dummyfunction("IF(F628 = H628,C628/FILTER('Base Stats'!$C$2:$C1000, LOWER('Base Stats'!$B$2:$B1000) = LOWER($A628)), """")"),"#N/A")</f>
        <v>#N/A</v>
      </c>
      <c r="K628" s="0" t="str">
        <f aca="false">IF(F628 = H628, C628/G628, "")</f>
        <v/>
      </c>
      <c r="L628" s="0" t="str">
        <f aca="false">IFERROR(__xludf.dummyfunction("IF(AND(NOT(K628 = """"), G628 &gt;= 15),K628/FILTER('Base Stats'!$C$2:$C1000, LOWER('Base Stats'!$B$2:$B1000) = LOWER($A628)), """")"),"#N/A")</f>
        <v>#N/A</v>
      </c>
      <c r="M628" s="0" t="str">
        <f aca="false">IFERROR(__xludf.dummyfunction("1.15 + 0.02 * FILTER('Base Stats'!$C$2:$C1000, LOWER('Base Stats'!$B$2:$B1000) = LOWER($A628))"),"1.15")</f>
        <v>1.15</v>
      </c>
      <c r="N628" s="0" t="e">
        <f aca="false">IFERROR(IF(AND(NOT(K628 = ""), G628 &gt;= 15),K628/M628, ""))</f>
        <v>#VALUE!</v>
      </c>
    </row>
    <row r="629" customFormat="false" ht="15.75" hidden="false" customHeight="false" outlineLevel="0" collapsed="false">
      <c r="A629" s="0" t="n">
        <f aca="false">'Form Responses (Pokemon Stats)'!B523</f>
        <v>0</v>
      </c>
      <c r="B629" s="0" t="n">
        <f aca="false">'Form Responses (Pokemon Stats)'!D523</f>
        <v>0</v>
      </c>
      <c r="C629" s="0" t="n">
        <f aca="false">'Form Responses (Pokemon Stats)'!C523</f>
        <v>0</v>
      </c>
      <c r="F629" s="0" t="n">
        <f aca="false">'Form Responses (Pokemon Stats)'!E523</f>
        <v>0</v>
      </c>
      <c r="G629" s="0" t="str">
        <f aca="false">IFERROR(__xludf.dummyfunction("ROUND(B629/ FILTER('Pokemon CP/HP'!$M$2:$M1000, LOWER('Pokemon CP/HP'!$B$2:$B1000)=LOWER(A629)))"),"#DIV/0!")</f>
        <v>#DIV/0!</v>
      </c>
      <c r="H629" s="0" t="str">
        <f aca="false">IFERROR(__xludf.dummyfunction("FILTER('Leveling Info'!$B$2:$B1000, 'Leveling Info'!$A$2:$A1000 =G629)"),"#N/A")</f>
        <v>#N/A</v>
      </c>
      <c r="I629" s="14" t="e">
        <f aca="false">SQRT(G629)</f>
        <v>#VALUE!</v>
      </c>
      <c r="J629" s="14" t="str">
        <f aca="false">IFERROR(__xludf.dummyfunction("IF(F629 = H629,C629/FILTER('Base Stats'!$C$2:$C1000, LOWER('Base Stats'!$B$2:$B1000) = LOWER($A629)), """")"),"#N/A")</f>
        <v>#N/A</v>
      </c>
      <c r="K629" s="0" t="str">
        <f aca="false">IF(F629 = H629, C629/G629, "")</f>
        <v/>
      </c>
      <c r="L629" s="0" t="str">
        <f aca="false">IFERROR(__xludf.dummyfunction("IF(AND(NOT(K629 = """"), G629 &gt;= 15),K629/FILTER('Base Stats'!$C$2:$C1000, LOWER('Base Stats'!$B$2:$B1000) = LOWER($A629)), """")"),"#N/A")</f>
        <v>#N/A</v>
      </c>
      <c r="M629" s="0" t="str">
        <f aca="false">IFERROR(__xludf.dummyfunction("1.15 + 0.02 * FILTER('Base Stats'!$C$2:$C1000, LOWER('Base Stats'!$B$2:$B1000) = LOWER($A629))"),"1.15")</f>
        <v>1.15</v>
      </c>
      <c r="N629" s="0" t="e">
        <f aca="false">IFERROR(IF(AND(NOT(K629 = ""), G629 &gt;= 15),K629/M629, ""))</f>
        <v>#VALUE!</v>
      </c>
    </row>
    <row r="630" customFormat="false" ht="15.75" hidden="false" customHeight="false" outlineLevel="0" collapsed="false">
      <c r="A630" s="0" t="n">
        <f aca="false">'Form Responses (Pokemon Stats)'!B524</f>
        <v>0</v>
      </c>
      <c r="B630" s="0" t="n">
        <f aca="false">'Form Responses (Pokemon Stats)'!D524</f>
        <v>0</v>
      </c>
      <c r="C630" s="0" t="n">
        <f aca="false">'Form Responses (Pokemon Stats)'!C524</f>
        <v>0</v>
      </c>
      <c r="F630" s="0" t="n">
        <f aca="false">'Form Responses (Pokemon Stats)'!E524</f>
        <v>0</v>
      </c>
      <c r="G630" s="0" t="str">
        <f aca="false">IFERROR(__xludf.dummyfunction("ROUND(B630/ FILTER('Pokemon CP/HP'!$M$2:$M1000, LOWER('Pokemon CP/HP'!$B$2:$B1000)=LOWER(A630)))"),"#DIV/0!")</f>
        <v>#DIV/0!</v>
      </c>
      <c r="H630" s="0" t="str">
        <f aca="false">IFERROR(__xludf.dummyfunction("FILTER('Leveling Info'!$B$2:$B1000, 'Leveling Info'!$A$2:$A1000 =G630)"),"#N/A")</f>
        <v>#N/A</v>
      </c>
      <c r="I630" s="14" t="e">
        <f aca="false">SQRT(G630)</f>
        <v>#VALUE!</v>
      </c>
      <c r="J630" s="14" t="str">
        <f aca="false">IFERROR(__xludf.dummyfunction("IF(F630 = H630,C630/FILTER('Base Stats'!$C$2:$C1000, LOWER('Base Stats'!$B$2:$B1000) = LOWER($A630)), """")"),"#N/A")</f>
        <v>#N/A</v>
      </c>
      <c r="K630" s="0" t="str">
        <f aca="false">IF(F630 = H630, C630/G630, "")</f>
        <v/>
      </c>
      <c r="L630" s="0" t="str">
        <f aca="false">IFERROR(__xludf.dummyfunction("IF(AND(NOT(K630 = """"), G630 &gt;= 15),K630/FILTER('Base Stats'!$C$2:$C1000, LOWER('Base Stats'!$B$2:$B1000) = LOWER($A630)), """")"),"#N/A")</f>
        <v>#N/A</v>
      </c>
      <c r="M630" s="0" t="str">
        <f aca="false">IFERROR(__xludf.dummyfunction("1.15 + 0.02 * FILTER('Base Stats'!$C$2:$C1000, LOWER('Base Stats'!$B$2:$B1000) = LOWER($A630))"),"1.15")</f>
        <v>1.15</v>
      </c>
      <c r="N630" s="0" t="e">
        <f aca="false">IFERROR(IF(AND(NOT(K630 = ""), G630 &gt;= 15),K630/M630, ""))</f>
        <v>#VALUE!</v>
      </c>
    </row>
    <row r="631" customFormat="false" ht="15.75" hidden="false" customHeight="false" outlineLevel="0" collapsed="false">
      <c r="A631" s="0" t="n">
        <f aca="false">'Form Responses (Pokemon Stats)'!B525</f>
        <v>0</v>
      </c>
      <c r="B631" s="0" t="n">
        <f aca="false">'Form Responses (Pokemon Stats)'!D525</f>
        <v>0</v>
      </c>
      <c r="C631" s="0" t="n">
        <f aca="false">'Form Responses (Pokemon Stats)'!C525</f>
        <v>0</v>
      </c>
      <c r="F631" s="0" t="n">
        <f aca="false">'Form Responses (Pokemon Stats)'!E525</f>
        <v>0</v>
      </c>
      <c r="G631" s="0" t="str">
        <f aca="false">IFERROR(__xludf.dummyfunction("ROUND(B631/ FILTER('Pokemon CP/HP'!$M$2:$M1000, LOWER('Pokemon CP/HP'!$B$2:$B1000)=LOWER(A631)))"),"#DIV/0!")</f>
        <v>#DIV/0!</v>
      </c>
      <c r="H631" s="0" t="str">
        <f aca="false">IFERROR(__xludf.dummyfunction("FILTER('Leveling Info'!$B$2:$B1000, 'Leveling Info'!$A$2:$A1000 =G631)"),"#N/A")</f>
        <v>#N/A</v>
      </c>
      <c r="I631" s="14" t="e">
        <f aca="false">SQRT(G631)</f>
        <v>#VALUE!</v>
      </c>
      <c r="J631" s="14" t="str">
        <f aca="false">IFERROR(__xludf.dummyfunction("IF(F631 = H631,C631/FILTER('Base Stats'!$C$2:$C1000, LOWER('Base Stats'!$B$2:$B1000) = LOWER($A631)), """")"),"#N/A")</f>
        <v>#N/A</v>
      </c>
      <c r="K631" s="0" t="str">
        <f aca="false">IF(F631 = H631, C631/G631, "")</f>
        <v/>
      </c>
      <c r="L631" s="0" t="str">
        <f aca="false">IFERROR(__xludf.dummyfunction("IF(AND(NOT(K631 = """"), G631 &gt;= 15),K631/FILTER('Base Stats'!$C$2:$C1000, LOWER('Base Stats'!$B$2:$B1000) = LOWER($A631)), """")"),"#N/A")</f>
        <v>#N/A</v>
      </c>
      <c r="M631" s="0" t="str">
        <f aca="false">IFERROR(__xludf.dummyfunction("1.15 + 0.02 * FILTER('Base Stats'!$C$2:$C1000, LOWER('Base Stats'!$B$2:$B1000) = LOWER($A631))"),"1.15")</f>
        <v>1.15</v>
      </c>
      <c r="N631" s="0" t="e">
        <f aca="false">IFERROR(IF(AND(NOT(K631 = ""), G631 &gt;= 15),K631/M631, ""))</f>
        <v>#VALUE!</v>
      </c>
    </row>
    <row r="632" customFormat="false" ht="15.75" hidden="false" customHeight="false" outlineLevel="0" collapsed="false">
      <c r="A632" s="0" t="n">
        <f aca="false">'Form Responses (Pokemon Stats)'!B526</f>
        <v>0</v>
      </c>
      <c r="B632" s="0" t="n">
        <f aca="false">'Form Responses (Pokemon Stats)'!D526</f>
        <v>0</v>
      </c>
      <c r="C632" s="0" t="n">
        <f aca="false">'Form Responses (Pokemon Stats)'!C526</f>
        <v>0</v>
      </c>
      <c r="F632" s="0" t="n">
        <f aca="false">'Form Responses (Pokemon Stats)'!E526</f>
        <v>0</v>
      </c>
      <c r="G632" s="0" t="str">
        <f aca="false">IFERROR(__xludf.dummyfunction("ROUND(B632/ FILTER('Pokemon CP/HP'!$M$2:$M1000, LOWER('Pokemon CP/HP'!$B$2:$B1000)=LOWER(A632)))"),"#DIV/0!")</f>
        <v>#DIV/0!</v>
      </c>
      <c r="H632" s="0" t="str">
        <f aca="false">IFERROR(__xludf.dummyfunction("FILTER('Leveling Info'!$B$2:$B1000, 'Leveling Info'!$A$2:$A1000 =G632)"),"#N/A")</f>
        <v>#N/A</v>
      </c>
      <c r="I632" s="14" t="e">
        <f aca="false">SQRT(G632)</f>
        <v>#VALUE!</v>
      </c>
      <c r="J632" s="14" t="str">
        <f aca="false">IFERROR(__xludf.dummyfunction("IF(F632 = H632,C632/FILTER('Base Stats'!$C$2:$C1000, LOWER('Base Stats'!$B$2:$B1000) = LOWER($A632)), """")"),"#N/A")</f>
        <v>#N/A</v>
      </c>
      <c r="K632" s="0" t="str">
        <f aca="false">IF(F632 = H632, C632/G632, "")</f>
        <v/>
      </c>
      <c r="L632" s="0" t="str">
        <f aca="false">IFERROR(__xludf.dummyfunction("IF(AND(NOT(K632 = """"), G632 &gt;= 15),K632/FILTER('Base Stats'!$C$2:$C1000, LOWER('Base Stats'!$B$2:$B1000) = LOWER($A632)), """")"),"#N/A")</f>
        <v>#N/A</v>
      </c>
      <c r="M632" s="0" t="str">
        <f aca="false">IFERROR(__xludf.dummyfunction("1.15 + 0.02 * FILTER('Base Stats'!$C$2:$C1000, LOWER('Base Stats'!$B$2:$B1000) = LOWER($A632))"),"1.15")</f>
        <v>1.15</v>
      </c>
      <c r="N632" s="0" t="e">
        <f aca="false">IFERROR(IF(AND(NOT(K632 = ""), G632 &gt;= 15),K632/M632, ""))</f>
        <v>#VALUE!</v>
      </c>
    </row>
    <row r="633" customFormat="false" ht="15.75" hidden="false" customHeight="false" outlineLevel="0" collapsed="false">
      <c r="A633" s="0" t="n">
        <f aca="false">'Form Responses (Pokemon Stats)'!B527</f>
        <v>0</v>
      </c>
      <c r="B633" s="0" t="n">
        <f aca="false">'Form Responses (Pokemon Stats)'!D527</f>
        <v>0</v>
      </c>
      <c r="C633" s="0" t="n">
        <f aca="false">'Form Responses (Pokemon Stats)'!C527</f>
        <v>0</v>
      </c>
      <c r="F633" s="0" t="n">
        <f aca="false">'Form Responses (Pokemon Stats)'!E527</f>
        <v>0</v>
      </c>
      <c r="G633" s="0" t="str">
        <f aca="false">IFERROR(__xludf.dummyfunction("ROUND(B633/ FILTER('Pokemon CP/HP'!$M$2:$M1000, LOWER('Pokemon CP/HP'!$B$2:$B1000)=LOWER(A633)))"),"#DIV/0!")</f>
        <v>#DIV/0!</v>
      </c>
      <c r="H633" s="0" t="str">
        <f aca="false">IFERROR(__xludf.dummyfunction("FILTER('Leveling Info'!$B$2:$B1000, 'Leveling Info'!$A$2:$A1000 =G633)"),"#N/A")</f>
        <v>#N/A</v>
      </c>
      <c r="I633" s="14" t="e">
        <f aca="false">SQRT(G633)</f>
        <v>#VALUE!</v>
      </c>
      <c r="J633" s="14" t="str">
        <f aca="false">IFERROR(__xludf.dummyfunction("IF(F633 = H633,C633/FILTER('Base Stats'!$C$2:$C1000, LOWER('Base Stats'!$B$2:$B1000) = LOWER($A633)), """")"),"#N/A")</f>
        <v>#N/A</v>
      </c>
      <c r="K633" s="0" t="str">
        <f aca="false">IF(F633 = H633, C633/G633, "")</f>
        <v/>
      </c>
      <c r="L633" s="0" t="str">
        <f aca="false">IFERROR(__xludf.dummyfunction("IF(AND(NOT(K633 = """"), G633 &gt;= 15),K633/FILTER('Base Stats'!$C$2:$C1000, LOWER('Base Stats'!$B$2:$B1000) = LOWER($A633)), """")"),"#N/A")</f>
        <v>#N/A</v>
      </c>
      <c r="M633" s="0" t="str">
        <f aca="false">IFERROR(__xludf.dummyfunction("1.15 + 0.02 * FILTER('Base Stats'!$C$2:$C1000, LOWER('Base Stats'!$B$2:$B1000) = LOWER($A633))"),"1.15")</f>
        <v>1.15</v>
      </c>
      <c r="N633" s="0" t="e">
        <f aca="false">IFERROR(IF(AND(NOT(K633 = ""), G633 &gt;= 15),K633/M633, ""))</f>
        <v>#VALUE!</v>
      </c>
    </row>
    <row r="634" customFormat="false" ht="15.75" hidden="false" customHeight="false" outlineLevel="0" collapsed="false">
      <c r="A634" s="0" t="n">
        <f aca="false">'Form Responses (Pokemon Stats)'!B528</f>
        <v>0</v>
      </c>
      <c r="B634" s="0" t="n">
        <f aca="false">'Form Responses (Pokemon Stats)'!D528</f>
        <v>0</v>
      </c>
      <c r="C634" s="0" t="n">
        <f aca="false">'Form Responses (Pokemon Stats)'!C528</f>
        <v>0</v>
      </c>
      <c r="F634" s="0" t="n">
        <f aca="false">'Form Responses (Pokemon Stats)'!E528</f>
        <v>0</v>
      </c>
      <c r="G634" s="0" t="str">
        <f aca="false">IFERROR(__xludf.dummyfunction("ROUND(B634/ FILTER('Pokemon CP/HP'!$M$2:$M1000, LOWER('Pokemon CP/HP'!$B$2:$B1000)=LOWER(A634)))"),"#DIV/0!")</f>
        <v>#DIV/0!</v>
      </c>
      <c r="H634" s="0" t="str">
        <f aca="false">IFERROR(__xludf.dummyfunction("FILTER('Leveling Info'!$B$2:$B1000, 'Leveling Info'!$A$2:$A1000 =G634)"),"#N/A")</f>
        <v>#N/A</v>
      </c>
      <c r="I634" s="14" t="e">
        <f aca="false">SQRT(G634)</f>
        <v>#VALUE!</v>
      </c>
      <c r="J634" s="14" t="str">
        <f aca="false">IFERROR(__xludf.dummyfunction("IF(F634 = H634,C634/FILTER('Base Stats'!$C$2:$C1000, LOWER('Base Stats'!$B$2:$B1000) = LOWER($A634)), """")"),"#N/A")</f>
        <v>#N/A</v>
      </c>
      <c r="K634" s="0" t="str">
        <f aca="false">IF(F634 = H634, C634/G634, "")</f>
        <v/>
      </c>
      <c r="L634" s="0" t="str">
        <f aca="false">IFERROR(__xludf.dummyfunction("IF(AND(NOT(K634 = """"), G634 &gt;= 15),K634/FILTER('Base Stats'!$C$2:$C1000, LOWER('Base Stats'!$B$2:$B1000) = LOWER($A634)), """")"),"#N/A")</f>
        <v>#N/A</v>
      </c>
      <c r="M634" s="0" t="str">
        <f aca="false">IFERROR(__xludf.dummyfunction("1.15 + 0.02 * FILTER('Base Stats'!$C$2:$C1000, LOWER('Base Stats'!$B$2:$B1000) = LOWER($A634))"),"1.15")</f>
        <v>1.15</v>
      </c>
      <c r="N634" s="0" t="e">
        <f aca="false">IFERROR(IF(AND(NOT(K634 = ""), G634 &gt;= 15),K634/M634, ""))</f>
        <v>#VALUE!</v>
      </c>
    </row>
    <row r="635" customFormat="false" ht="15.75" hidden="false" customHeight="false" outlineLevel="0" collapsed="false">
      <c r="A635" s="0" t="n">
        <f aca="false">'Form Responses (Pokemon Stats)'!B529</f>
        <v>0</v>
      </c>
      <c r="B635" s="0" t="n">
        <f aca="false">'Form Responses (Pokemon Stats)'!D529</f>
        <v>0</v>
      </c>
      <c r="C635" s="0" t="n">
        <f aca="false">'Form Responses (Pokemon Stats)'!C529</f>
        <v>0</v>
      </c>
      <c r="F635" s="0" t="n">
        <f aca="false">'Form Responses (Pokemon Stats)'!E529</f>
        <v>0</v>
      </c>
      <c r="G635" s="0" t="str">
        <f aca="false">IFERROR(__xludf.dummyfunction("ROUND(B635/ FILTER('Pokemon CP/HP'!$M$2:$M1000, LOWER('Pokemon CP/HP'!$B$2:$B1000)=LOWER(A635)))"),"#DIV/0!")</f>
        <v>#DIV/0!</v>
      </c>
      <c r="H635" s="0" t="str">
        <f aca="false">IFERROR(__xludf.dummyfunction("FILTER('Leveling Info'!$B$2:$B1000, 'Leveling Info'!$A$2:$A1000 =G635)"),"#N/A")</f>
        <v>#N/A</v>
      </c>
      <c r="I635" s="14" t="e">
        <f aca="false">SQRT(G635)</f>
        <v>#VALUE!</v>
      </c>
      <c r="J635" s="14" t="str">
        <f aca="false">IFERROR(__xludf.dummyfunction("IF(F635 = H635,C635/FILTER('Base Stats'!$C$2:$C1000, LOWER('Base Stats'!$B$2:$B1000) = LOWER($A635)), """")"),"#N/A")</f>
        <v>#N/A</v>
      </c>
      <c r="K635" s="0" t="str">
        <f aca="false">IF(F635 = H635, C635/G635, "")</f>
        <v/>
      </c>
      <c r="L635" s="0" t="str">
        <f aca="false">IFERROR(__xludf.dummyfunction("IF(AND(NOT(K635 = """"), G635 &gt;= 15),K635/FILTER('Base Stats'!$C$2:$C1000, LOWER('Base Stats'!$B$2:$B1000) = LOWER($A635)), """")"),"#N/A")</f>
        <v>#N/A</v>
      </c>
      <c r="M635" s="0" t="str">
        <f aca="false">IFERROR(__xludf.dummyfunction("1.15 + 0.02 * FILTER('Base Stats'!$C$2:$C1000, LOWER('Base Stats'!$B$2:$B1000) = LOWER($A635))"),"1.15")</f>
        <v>1.15</v>
      </c>
      <c r="N635" s="0" t="e">
        <f aca="false">IFERROR(IF(AND(NOT(K635 = ""), G635 &gt;= 15),K635/M635, ""))</f>
        <v>#VALUE!</v>
      </c>
    </row>
    <row r="636" customFormat="false" ht="15.75" hidden="false" customHeight="false" outlineLevel="0" collapsed="false">
      <c r="A636" s="0" t="n">
        <f aca="false">'Form Responses (Pokemon Stats)'!B530</f>
        <v>0</v>
      </c>
      <c r="B636" s="0" t="n">
        <f aca="false">'Form Responses (Pokemon Stats)'!D530</f>
        <v>0</v>
      </c>
      <c r="C636" s="0" t="n">
        <f aca="false">'Form Responses (Pokemon Stats)'!C530</f>
        <v>0</v>
      </c>
      <c r="F636" s="0" t="n">
        <f aca="false">'Form Responses (Pokemon Stats)'!E530</f>
        <v>0</v>
      </c>
      <c r="G636" s="0" t="str">
        <f aca="false">IFERROR(__xludf.dummyfunction("ROUND(B636/ FILTER('Pokemon CP/HP'!$M$2:$M1000, LOWER('Pokemon CP/HP'!$B$2:$B1000)=LOWER(A636)))"),"#DIV/0!")</f>
        <v>#DIV/0!</v>
      </c>
      <c r="H636" s="0" t="str">
        <f aca="false">IFERROR(__xludf.dummyfunction("FILTER('Leveling Info'!$B$2:$B1000, 'Leveling Info'!$A$2:$A1000 =G636)"),"#N/A")</f>
        <v>#N/A</v>
      </c>
      <c r="I636" s="14" t="e">
        <f aca="false">SQRT(G636)</f>
        <v>#VALUE!</v>
      </c>
      <c r="J636" s="14" t="str">
        <f aca="false">IFERROR(__xludf.dummyfunction("IF(F636 = H636,C636/FILTER('Base Stats'!$C$2:$C1000, LOWER('Base Stats'!$B$2:$B1000) = LOWER($A636)), """")"),"#N/A")</f>
        <v>#N/A</v>
      </c>
      <c r="K636" s="0" t="str">
        <f aca="false">IF(F636 = H636, C636/G636, "")</f>
        <v/>
      </c>
      <c r="L636" s="0" t="str">
        <f aca="false">IFERROR(__xludf.dummyfunction("IF(AND(NOT(K636 = """"), G636 &gt;= 15),K636/FILTER('Base Stats'!$C$2:$C1000, LOWER('Base Stats'!$B$2:$B1000) = LOWER($A636)), """")"),"#N/A")</f>
        <v>#N/A</v>
      </c>
      <c r="M636" s="0" t="str">
        <f aca="false">IFERROR(__xludf.dummyfunction("1.15 + 0.02 * FILTER('Base Stats'!$C$2:$C1000, LOWER('Base Stats'!$B$2:$B1000) = LOWER($A636))"),"1.15")</f>
        <v>1.15</v>
      </c>
      <c r="N636" s="0" t="e">
        <f aca="false">IFERROR(IF(AND(NOT(K636 = ""), G636 &gt;= 15),K636/M636, ""))</f>
        <v>#VALUE!</v>
      </c>
    </row>
    <row r="637" customFormat="false" ht="15.75" hidden="false" customHeight="false" outlineLevel="0" collapsed="false">
      <c r="A637" s="0" t="n">
        <f aca="false">'Form Responses (Pokemon Stats)'!B531</f>
        <v>0</v>
      </c>
      <c r="B637" s="0" t="n">
        <f aca="false">'Form Responses (Pokemon Stats)'!D531</f>
        <v>0</v>
      </c>
      <c r="C637" s="0" t="n">
        <f aca="false">'Form Responses (Pokemon Stats)'!C531</f>
        <v>0</v>
      </c>
      <c r="F637" s="0" t="n">
        <f aca="false">'Form Responses (Pokemon Stats)'!E531</f>
        <v>0</v>
      </c>
      <c r="G637" s="0" t="str">
        <f aca="false">IFERROR(__xludf.dummyfunction("ROUND(B637/ FILTER('Pokemon CP/HP'!$M$2:$M1000, LOWER('Pokemon CP/HP'!$B$2:$B1000)=LOWER(A637)))"),"#DIV/0!")</f>
        <v>#DIV/0!</v>
      </c>
      <c r="H637" s="0" t="str">
        <f aca="false">IFERROR(__xludf.dummyfunction("FILTER('Leveling Info'!$B$2:$B1000, 'Leveling Info'!$A$2:$A1000 =G637)"),"#N/A")</f>
        <v>#N/A</v>
      </c>
      <c r="I637" s="14" t="e">
        <f aca="false">SQRT(G637)</f>
        <v>#VALUE!</v>
      </c>
      <c r="J637" s="14" t="str">
        <f aca="false">IFERROR(__xludf.dummyfunction("IF(F637 = H637,C637/FILTER('Base Stats'!$C$2:$C1000, LOWER('Base Stats'!$B$2:$B1000) = LOWER($A637)), """")"),"#N/A")</f>
        <v>#N/A</v>
      </c>
      <c r="K637" s="0" t="str">
        <f aca="false">IF(F637 = H637, C637/G637, "")</f>
        <v/>
      </c>
      <c r="L637" s="0" t="str">
        <f aca="false">IFERROR(__xludf.dummyfunction("IF(AND(NOT(K637 = """"), G637 &gt;= 15),K637/FILTER('Base Stats'!$C$2:$C1000, LOWER('Base Stats'!$B$2:$B1000) = LOWER($A637)), """")"),"#N/A")</f>
        <v>#N/A</v>
      </c>
      <c r="M637" s="0" t="str">
        <f aca="false">IFERROR(__xludf.dummyfunction("1.15 + 0.02 * FILTER('Base Stats'!$C$2:$C1000, LOWER('Base Stats'!$B$2:$B1000) = LOWER($A637))"),"1.15")</f>
        <v>1.15</v>
      </c>
      <c r="N637" s="0" t="e">
        <f aca="false">IFERROR(IF(AND(NOT(K637 = ""), G637 &gt;= 15),K637/M637, ""))</f>
        <v>#VALUE!</v>
      </c>
    </row>
    <row r="638" customFormat="false" ht="15.75" hidden="false" customHeight="false" outlineLevel="0" collapsed="false">
      <c r="A638" s="0" t="n">
        <f aca="false">'Form Responses (Pokemon Stats)'!B532</f>
        <v>0</v>
      </c>
      <c r="B638" s="0" t="n">
        <f aca="false">'Form Responses (Pokemon Stats)'!D532</f>
        <v>0</v>
      </c>
      <c r="C638" s="0" t="n">
        <f aca="false">'Form Responses (Pokemon Stats)'!C532</f>
        <v>0</v>
      </c>
      <c r="F638" s="0" t="n">
        <f aca="false">'Form Responses (Pokemon Stats)'!E532</f>
        <v>0</v>
      </c>
      <c r="G638" s="0" t="str">
        <f aca="false">IFERROR(__xludf.dummyfunction("ROUND(B638/ FILTER('Pokemon CP/HP'!$M$2:$M1000, LOWER('Pokemon CP/HP'!$B$2:$B1000)=LOWER(A638)))"),"#DIV/0!")</f>
        <v>#DIV/0!</v>
      </c>
      <c r="H638" s="0" t="str">
        <f aca="false">IFERROR(__xludf.dummyfunction("FILTER('Leveling Info'!$B$2:$B1000, 'Leveling Info'!$A$2:$A1000 =G638)"),"#N/A")</f>
        <v>#N/A</v>
      </c>
      <c r="I638" s="14" t="e">
        <f aca="false">SQRT(G638)</f>
        <v>#VALUE!</v>
      </c>
      <c r="J638" s="14" t="str">
        <f aca="false">IFERROR(__xludf.dummyfunction("IF(F638 = H638,C638/FILTER('Base Stats'!$C$2:$C1000, LOWER('Base Stats'!$B$2:$B1000) = LOWER($A638)), """")"),"#N/A")</f>
        <v>#N/A</v>
      </c>
      <c r="K638" s="0" t="str">
        <f aca="false">IF(F638 = H638, C638/G638, "")</f>
        <v/>
      </c>
      <c r="L638" s="0" t="str">
        <f aca="false">IFERROR(__xludf.dummyfunction("IF(AND(NOT(K638 = """"), G638 &gt;= 15),K638/FILTER('Base Stats'!$C$2:$C1000, LOWER('Base Stats'!$B$2:$B1000) = LOWER($A638)), """")"),"#N/A")</f>
        <v>#N/A</v>
      </c>
      <c r="M638" s="0" t="str">
        <f aca="false">IFERROR(__xludf.dummyfunction("1.15 + 0.02 * FILTER('Base Stats'!$C$2:$C1000, LOWER('Base Stats'!$B$2:$B1000) = LOWER($A638))"),"1.15")</f>
        <v>1.15</v>
      </c>
      <c r="N638" s="0" t="e">
        <f aca="false">IFERROR(IF(AND(NOT(K638 = ""), G638 &gt;= 15),K638/M638, ""))</f>
        <v>#VALUE!</v>
      </c>
    </row>
    <row r="639" customFormat="false" ht="15.75" hidden="false" customHeight="false" outlineLevel="0" collapsed="false">
      <c r="A639" s="0" t="n">
        <f aca="false">'Form Responses (Pokemon Stats)'!B533</f>
        <v>0</v>
      </c>
      <c r="B639" s="0" t="n">
        <f aca="false">'Form Responses (Pokemon Stats)'!D533</f>
        <v>0</v>
      </c>
      <c r="C639" s="0" t="n">
        <f aca="false">'Form Responses (Pokemon Stats)'!C533</f>
        <v>0</v>
      </c>
      <c r="F639" s="0" t="n">
        <f aca="false">'Form Responses (Pokemon Stats)'!E533</f>
        <v>0</v>
      </c>
      <c r="G639" s="0" t="str">
        <f aca="false">IFERROR(__xludf.dummyfunction("ROUND(B639/ FILTER('Pokemon CP/HP'!$M$2:$M1000, LOWER('Pokemon CP/HP'!$B$2:$B1000)=LOWER(A639)))"),"#DIV/0!")</f>
        <v>#DIV/0!</v>
      </c>
      <c r="H639" s="0" t="str">
        <f aca="false">IFERROR(__xludf.dummyfunction("FILTER('Leveling Info'!$B$2:$B1000, 'Leveling Info'!$A$2:$A1000 =G639)"),"#N/A")</f>
        <v>#N/A</v>
      </c>
      <c r="I639" s="14" t="e">
        <f aca="false">SQRT(G639)</f>
        <v>#VALUE!</v>
      </c>
      <c r="J639" s="14" t="str">
        <f aca="false">IFERROR(__xludf.dummyfunction("IF(F639 = H639,C639/FILTER('Base Stats'!$C$2:$C1000, LOWER('Base Stats'!$B$2:$B1000) = LOWER($A639)), """")"),"#N/A")</f>
        <v>#N/A</v>
      </c>
      <c r="K639" s="0" t="str">
        <f aca="false">IF(F639 = H639, C639/G639, "")</f>
        <v/>
      </c>
      <c r="L639" s="0" t="str">
        <f aca="false">IFERROR(__xludf.dummyfunction("IF(AND(NOT(K639 = """"), G639 &gt;= 15),K639/FILTER('Base Stats'!$C$2:$C1000, LOWER('Base Stats'!$B$2:$B1000) = LOWER($A639)), """")"),"#N/A")</f>
        <v>#N/A</v>
      </c>
      <c r="M639" s="0" t="str">
        <f aca="false">IFERROR(__xludf.dummyfunction("1.15 + 0.02 * FILTER('Base Stats'!$C$2:$C1000, LOWER('Base Stats'!$B$2:$B1000) = LOWER($A639))"),"1.15")</f>
        <v>1.15</v>
      </c>
      <c r="N639" s="0" t="e">
        <f aca="false">IFERROR(IF(AND(NOT(K639 = ""), G639 &gt;= 15),K639/M639, ""))</f>
        <v>#VALUE!</v>
      </c>
    </row>
    <row r="640" customFormat="false" ht="15.75" hidden="false" customHeight="false" outlineLevel="0" collapsed="false">
      <c r="A640" s="0" t="n">
        <f aca="false">'Form Responses (Pokemon Stats)'!B534</f>
        <v>0</v>
      </c>
      <c r="B640" s="0" t="n">
        <f aca="false">'Form Responses (Pokemon Stats)'!D534</f>
        <v>0</v>
      </c>
      <c r="C640" s="0" t="n">
        <f aca="false">'Form Responses (Pokemon Stats)'!C534</f>
        <v>0</v>
      </c>
      <c r="F640" s="0" t="n">
        <f aca="false">'Form Responses (Pokemon Stats)'!E534</f>
        <v>0</v>
      </c>
      <c r="G640" s="0" t="str">
        <f aca="false">IFERROR(__xludf.dummyfunction("ROUND(B640/ FILTER('Pokemon CP/HP'!$M$2:$M1000, LOWER('Pokemon CP/HP'!$B$2:$B1000)=LOWER(A640)))"),"#DIV/0!")</f>
        <v>#DIV/0!</v>
      </c>
      <c r="H640" s="0" t="str">
        <f aca="false">IFERROR(__xludf.dummyfunction("FILTER('Leveling Info'!$B$2:$B1000, 'Leveling Info'!$A$2:$A1000 =G640)"),"#N/A")</f>
        <v>#N/A</v>
      </c>
      <c r="I640" s="14" t="e">
        <f aca="false">SQRT(G640)</f>
        <v>#VALUE!</v>
      </c>
      <c r="J640" s="14" t="str">
        <f aca="false">IFERROR(__xludf.dummyfunction("IF(F640 = H640,C640/FILTER('Base Stats'!$C$2:$C1000, LOWER('Base Stats'!$B$2:$B1000) = LOWER($A640)), """")"),"#N/A")</f>
        <v>#N/A</v>
      </c>
      <c r="K640" s="0" t="str">
        <f aca="false">IF(F640 = H640, C640/G640, "")</f>
        <v/>
      </c>
      <c r="L640" s="0" t="str">
        <f aca="false">IFERROR(__xludf.dummyfunction("IF(AND(NOT(K640 = """"), G640 &gt;= 15),K640/FILTER('Base Stats'!$C$2:$C1000, LOWER('Base Stats'!$B$2:$B1000) = LOWER($A640)), """")"),"#N/A")</f>
        <v>#N/A</v>
      </c>
      <c r="M640" s="0" t="str">
        <f aca="false">IFERROR(__xludf.dummyfunction("1.15 + 0.02 * FILTER('Base Stats'!$C$2:$C1000, LOWER('Base Stats'!$B$2:$B1000) = LOWER($A640))"),"1.15")</f>
        <v>1.15</v>
      </c>
      <c r="N640" s="0" t="e">
        <f aca="false">IFERROR(IF(AND(NOT(K640 = ""), G640 &gt;= 15),K640/M640, ""))</f>
        <v>#VALUE!</v>
      </c>
    </row>
    <row r="641" customFormat="false" ht="15.75" hidden="false" customHeight="false" outlineLevel="0" collapsed="false">
      <c r="A641" s="0" t="n">
        <f aca="false">'Form Responses (Pokemon Stats)'!B535</f>
        <v>0</v>
      </c>
      <c r="B641" s="0" t="n">
        <f aca="false">'Form Responses (Pokemon Stats)'!D535</f>
        <v>0</v>
      </c>
      <c r="C641" s="0" t="n">
        <f aca="false">'Form Responses (Pokemon Stats)'!C535</f>
        <v>0</v>
      </c>
      <c r="F641" s="0" t="n">
        <f aca="false">'Form Responses (Pokemon Stats)'!E535</f>
        <v>0</v>
      </c>
      <c r="G641" s="0" t="str">
        <f aca="false">IFERROR(__xludf.dummyfunction("ROUND(B641/ FILTER('Pokemon CP/HP'!$M$2:$M1000, LOWER('Pokemon CP/HP'!$B$2:$B1000)=LOWER(A641)))"),"#DIV/0!")</f>
        <v>#DIV/0!</v>
      </c>
      <c r="H641" s="0" t="str">
        <f aca="false">IFERROR(__xludf.dummyfunction("FILTER('Leveling Info'!$B$2:$B1000, 'Leveling Info'!$A$2:$A1000 =G641)"),"#N/A")</f>
        <v>#N/A</v>
      </c>
      <c r="I641" s="14" t="e">
        <f aca="false">SQRT(G641)</f>
        <v>#VALUE!</v>
      </c>
      <c r="J641" s="14" t="str">
        <f aca="false">IFERROR(__xludf.dummyfunction("IF(F641 = H641,C641/FILTER('Base Stats'!$C$2:$C1000, LOWER('Base Stats'!$B$2:$B1000) = LOWER($A641)), """")"),"#N/A")</f>
        <v>#N/A</v>
      </c>
      <c r="K641" s="0" t="str">
        <f aca="false">IF(F641 = H641, C641/G641, "")</f>
        <v/>
      </c>
      <c r="L641" s="0" t="str">
        <f aca="false">IFERROR(__xludf.dummyfunction("IF(AND(NOT(K641 = """"), G641 &gt;= 15),K641/FILTER('Base Stats'!$C$2:$C1000, LOWER('Base Stats'!$B$2:$B1000) = LOWER($A641)), """")"),"#N/A")</f>
        <v>#N/A</v>
      </c>
      <c r="M641" s="0" t="str">
        <f aca="false">IFERROR(__xludf.dummyfunction("1.15 + 0.02 * FILTER('Base Stats'!$C$2:$C1000, LOWER('Base Stats'!$B$2:$B1000) = LOWER($A641))"),"1.15")</f>
        <v>1.15</v>
      </c>
      <c r="N641" s="0" t="e">
        <f aca="false">IFERROR(IF(AND(NOT(K641 = ""), G641 &gt;= 15),K641/M641, ""))</f>
        <v>#VALUE!</v>
      </c>
    </row>
    <row r="642" customFormat="false" ht="15.75" hidden="false" customHeight="false" outlineLevel="0" collapsed="false">
      <c r="A642" s="0" t="n">
        <f aca="false">'Form Responses (Pokemon Stats)'!B536</f>
        <v>0</v>
      </c>
      <c r="B642" s="0" t="n">
        <f aca="false">'Form Responses (Pokemon Stats)'!D536</f>
        <v>0</v>
      </c>
      <c r="C642" s="0" t="n">
        <f aca="false">'Form Responses (Pokemon Stats)'!C536</f>
        <v>0</v>
      </c>
      <c r="F642" s="0" t="n">
        <f aca="false">'Form Responses (Pokemon Stats)'!E536</f>
        <v>0</v>
      </c>
      <c r="G642" s="0" t="str">
        <f aca="false">IFERROR(__xludf.dummyfunction("ROUND(B642/ FILTER('Pokemon CP/HP'!$M$2:$M1000, LOWER('Pokemon CP/HP'!$B$2:$B1000)=LOWER(A642)))"),"#DIV/0!")</f>
        <v>#DIV/0!</v>
      </c>
      <c r="H642" s="0" t="str">
        <f aca="false">IFERROR(__xludf.dummyfunction("FILTER('Leveling Info'!$B$2:$B1000, 'Leveling Info'!$A$2:$A1000 =G642)"),"#N/A")</f>
        <v>#N/A</v>
      </c>
      <c r="I642" s="14" t="e">
        <f aca="false">SQRT(G642)</f>
        <v>#VALUE!</v>
      </c>
      <c r="J642" s="14" t="str">
        <f aca="false">IFERROR(__xludf.dummyfunction("IF(F642 = H642,C642/FILTER('Base Stats'!$C$2:$C1000, LOWER('Base Stats'!$B$2:$B1000) = LOWER($A642)), """")"),"#N/A")</f>
        <v>#N/A</v>
      </c>
      <c r="K642" s="0" t="str">
        <f aca="false">IF(F642 = H642, C642/G642, "")</f>
        <v/>
      </c>
      <c r="L642" s="0" t="str">
        <f aca="false">IFERROR(__xludf.dummyfunction("IF(AND(NOT(K642 = """"), G642 &gt;= 15),K642/FILTER('Base Stats'!$C$2:$C1000, LOWER('Base Stats'!$B$2:$B1000) = LOWER($A642)), """")"),"#N/A")</f>
        <v>#N/A</v>
      </c>
      <c r="M642" s="0" t="str">
        <f aca="false">IFERROR(__xludf.dummyfunction("1.15 + 0.02 * FILTER('Base Stats'!$C$2:$C1000, LOWER('Base Stats'!$B$2:$B1000) = LOWER($A642))"),"1.15")</f>
        <v>1.15</v>
      </c>
      <c r="N642" s="0" t="e">
        <f aca="false">IFERROR(IF(AND(NOT(K642 = ""), G642 &gt;= 15),K642/M642, ""))</f>
        <v>#VALUE!</v>
      </c>
    </row>
    <row r="643" customFormat="false" ht="15.75" hidden="false" customHeight="false" outlineLevel="0" collapsed="false">
      <c r="A643" s="0" t="n">
        <f aca="false">'Form Responses (Pokemon Stats)'!B537</f>
        <v>0</v>
      </c>
      <c r="B643" s="0" t="n">
        <f aca="false">'Form Responses (Pokemon Stats)'!D537</f>
        <v>0</v>
      </c>
      <c r="C643" s="0" t="n">
        <f aca="false">'Form Responses (Pokemon Stats)'!C537</f>
        <v>0</v>
      </c>
      <c r="F643" s="0" t="n">
        <f aca="false">'Form Responses (Pokemon Stats)'!E537</f>
        <v>0</v>
      </c>
      <c r="G643" s="0" t="str">
        <f aca="false">IFERROR(__xludf.dummyfunction("ROUND(B643/ FILTER('Pokemon CP/HP'!$M$2:$M1000, LOWER('Pokemon CP/HP'!$B$2:$B1000)=LOWER(A643)))"),"#DIV/0!")</f>
        <v>#DIV/0!</v>
      </c>
      <c r="H643" s="0" t="str">
        <f aca="false">IFERROR(__xludf.dummyfunction("FILTER('Leveling Info'!$B$2:$B1000, 'Leveling Info'!$A$2:$A1000 =G643)"),"#N/A")</f>
        <v>#N/A</v>
      </c>
      <c r="I643" s="14" t="e">
        <f aca="false">SQRT(G643)</f>
        <v>#VALUE!</v>
      </c>
      <c r="J643" s="14" t="str">
        <f aca="false">IFERROR(__xludf.dummyfunction("IF(F643 = H643,C643/FILTER('Base Stats'!$C$2:$C1000, LOWER('Base Stats'!$B$2:$B1000) = LOWER($A643)), """")"),"#N/A")</f>
        <v>#N/A</v>
      </c>
      <c r="K643" s="0" t="str">
        <f aca="false">IF(F643 = H643, C643/G643, "")</f>
        <v/>
      </c>
      <c r="L643" s="0" t="str">
        <f aca="false">IFERROR(__xludf.dummyfunction("IF(AND(NOT(K643 = """"), G643 &gt;= 15),K643/FILTER('Base Stats'!$C$2:$C1000, LOWER('Base Stats'!$B$2:$B1000) = LOWER($A643)), """")"),"#N/A")</f>
        <v>#N/A</v>
      </c>
      <c r="M643" s="0" t="str">
        <f aca="false">IFERROR(__xludf.dummyfunction("1.15 + 0.02 * FILTER('Base Stats'!$C$2:$C1000, LOWER('Base Stats'!$B$2:$B1000) = LOWER($A643))"),"1.15")</f>
        <v>1.15</v>
      </c>
      <c r="N643" s="0" t="e">
        <f aca="false">IFERROR(IF(AND(NOT(K643 = ""), G643 &gt;= 15),K643/M643, ""))</f>
        <v>#VALUE!</v>
      </c>
    </row>
    <row r="644" customFormat="false" ht="15.75" hidden="false" customHeight="false" outlineLevel="0" collapsed="false">
      <c r="A644" s="0" t="n">
        <f aca="false">'Form Responses (Pokemon Stats)'!B538</f>
        <v>0</v>
      </c>
      <c r="B644" s="0" t="n">
        <f aca="false">'Form Responses (Pokemon Stats)'!D538</f>
        <v>0</v>
      </c>
      <c r="C644" s="0" t="n">
        <f aca="false">'Form Responses (Pokemon Stats)'!C538</f>
        <v>0</v>
      </c>
      <c r="F644" s="0" t="n">
        <f aca="false">'Form Responses (Pokemon Stats)'!E538</f>
        <v>0</v>
      </c>
      <c r="G644" s="0" t="str">
        <f aca="false">IFERROR(__xludf.dummyfunction("ROUND(B644/ FILTER('Pokemon CP/HP'!$M$2:$M1000, LOWER('Pokemon CP/HP'!$B$2:$B1000)=LOWER(A644)))"),"#DIV/0!")</f>
        <v>#DIV/0!</v>
      </c>
      <c r="H644" s="0" t="str">
        <f aca="false">IFERROR(__xludf.dummyfunction("FILTER('Leveling Info'!$B$2:$B1000, 'Leveling Info'!$A$2:$A1000 =G644)"),"#N/A")</f>
        <v>#N/A</v>
      </c>
      <c r="I644" s="14" t="e">
        <f aca="false">SQRT(G644)</f>
        <v>#VALUE!</v>
      </c>
      <c r="J644" s="14" t="str">
        <f aca="false">IFERROR(__xludf.dummyfunction("IF(F644 = H644,C644/FILTER('Base Stats'!$C$2:$C1000, LOWER('Base Stats'!$B$2:$B1000) = LOWER($A644)), """")"),"#N/A")</f>
        <v>#N/A</v>
      </c>
      <c r="K644" s="0" t="str">
        <f aca="false">IF(F644 = H644, C644/G644, "")</f>
        <v/>
      </c>
      <c r="L644" s="0" t="str">
        <f aca="false">IFERROR(__xludf.dummyfunction("IF(AND(NOT(K644 = """"), G644 &gt;= 15),K644/FILTER('Base Stats'!$C$2:$C1000, LOWER('Base Stats'!$B$2:$B1000) = LOWER($A644)), """")"),"#N/A")</f>
        <v>#N/A</v>
      </c>
      <c r="M644" s="0" t="str">
        <f aca="false">IFERROR(__xludf.dummyfunction("1.15 + 0.02 * FILTER('Base Stats'!$C$2:$C1000, LOWER('Base Stats'!$B$2:$B1000) = LOWER($A644))"),"1.15")</f>
        <v>1.15</v>
      </c>
      <c r="N644" s="0" t="e">
        <f aca="false">IFERROR(IF(AND(NOT(K644 = ""), G644 &gt;= 15),K644/M644, ""))</f>
        <v>#VALUE!</v>
      </c>
    </row>
    <row r="645" customFormat="false" ht="15.75" hidden="false" customHeight="false" outlineLevel="0" collapsed="false">
      <c r="A645" s="0" t="n">
        <f aca="false">'Form Responses (Pokemon Stats)'!B539</f>
        <v>0</v>
      </c>
      <c r="B645" s="0" t="n">
        <f aca="false">'Form Responses (Pokemon Stats)'!D539</f>
        <v>0</v>
      </c>
      <c r="C645" s="0" t="n">
        <f aca="false">'Form Responses (Pokemon Stats)'!C539</f>
        <v>0</v>
      </c>
      <c r="F645" s="0" t="n">
        <f aca="false">'Form Responses (Pokemon Stats)'!E539</f>
        <v>0</v>
      </c>
      <c r="G645" s="0" t="str">
        <f aca="false">IFERROR(__xludf.dummyfunction("ROUND(B645/ FILTER('Pokemon CP/HP'!$M$2:$M1000, LOWER('Pokemon CP/HP'!$B$2:$B1000)=LOWER(A645)))"),"#DIV/0!")</f>
        <v>#DIV/0!</v>
      </c>
      <c r="H645" s="0" t="str">
        <f aca="false">IFERROR(__xludf.dummyfunction("FILTER('Leveling Info'!$B$2:$B1000, 'Leveling Info'!$A$2:$A1000 =G645)"),"#N/A")</f>
        <v>#N/A</v>
      </c>
      <c r="I645" s="14" t="e">
        <f aca="false">SQRT(G645)</f>
        <v>#VALUE!</v>
      </c>
      <c r="J645" s="14" t="str">
        <f aca="false">IFERROR(__xludf.dummyfunction("IF(F645 = H645,C645/FILTER('Base Stats'!$C$2:$C1000, LOWER('Base Stats'!$B$2:$B1000) = LOWER($A645)), """")"),"#N/A")</f>
        <v>#N/A</v>
      </c>
      <c r="K645" s="0" t="str">
        <f aca="false">IF(F645 = H645, C645/G645, "")</f>
        <v/>
      </c>
      <c r="L645" s="0" t="str">
        <f aca="false">IFERROR(__xludf.dummyfunction("IF(AND(NOT(K645 = """"), G645 &gt;= 15),K645/FILTER('Base Stats'!$C$2:$C1000, LOWER('Base Stats'!$B$2:$B1000) = LOWER($A645)), """")"),"#N/A")</f>
        <v>#N/A</v>
      </c>
      <c r="M645" s="0" t="str">
        <f aca="false">IFERROR(__xludf.dummyfunction("1.15 + 0.02 * FILTER('Base Stats'!$C$2:$C1000, LOWER('Base Stats'!$B$2:$B1000) = LOWER($A645))"),"1.15")</f>
        <v>1.15</v>
      </c>
      <c r="N645" s="0" t="e">
        <f aca="false">IFERROR(IF(AND(NOT(K645 = ""), G645 &gt;= 15),K645/M645, ""))</f>
        <v>#VALUE!</v>
      </c>
    </row>
    <row r="646" customFormat="false" ht="15.75" hidden="false" customHeight="false" outlineLevel="0" collapsed="false">
      <c r="A646" s="0" t="n">
        <f aca="false">'Form Responses (Pokemon Stats)'!B540</f>
        <v>0</v>
      </c>
      <c r="B646" s="0" t="n">
        <f aca="false">'Form Responses (Pokemon Stats)'!D540</f>
        <v>0</v>
      </c>
      <c r="C646" s="0" t="n">
        <f aca="false">'Form Responses (Pokemon Stats)'!C540</f>
        <v>0</v>
      </c>
      <c r="F646" s="0" t="n">
        <f aca="false">'Form Responses (Pokemon Stats)'!E540</f>
        <v>0</v>
      </c>
      <c r="G646" s="0" t="str">
        <f aca="false">IFERROR(__xludf.dummyfunction("ROUND(B646/ FILTER('Pokemon CP/HP'!$M$2:$M1000, LOWER('Pokemon CP/HP'!$B$2:$B1000)=LOWER(A646)))"),"#DIV/0!")</f>
        <v>#DIV/0!</v>
      </c>
      <c r="H646" s="0" t="str">
        <f aca="false">IFERROR(__xludf.dummyfunction("FILTER('Leveling Info'!$B$2:$B1000, 'Leveling Info'!$A$2:$A1000 =G646)"),"#N/A")</f>
        <v>#N/A</v>
      </c>
      <c r="I646" s="14" t="e">
        <f aca="false">SQRT(G646)</f>
        <v>#VALUE!</v>
      </c>
      <c r="J646" s="14" t="str">
        <f aca="false">IFERROR(__xludf.dummyfunction("IF(F646 = H646,C646/FILTER('Base Stats'!$C$2:$C1000, LOWER('Base Stats'!$B$2:$B1000) = LOWER($A646)), """")"),"#N/A")</f>
        <v>#N/A</v>
      </c>
      <c r="K646" s="0" t="str">
        <f aca="false">IF(F646 = H646, C646/G646, "")</f>
        <v/>
      </c>
      <c r="L646" s="0" t="str">
        <f aca="false">IFERROR(__xludf.dummyfunction("IF(AND(NOT(K646 = """"), G646 &gt;= 15),K646/FILTER('Base Stats'!$C$2:$C1000, LOWER('Base Stats'!$B$2:$B1000) = LOWER($A646)), """")"),"#N/A")</f>
        <v>#N/A</v>
      </c>
      <c r="M646" s="0" t="str">
        <f aca="false">IFERROR(__xludf.dummyfunction("1.15 + 0.02 * FILTER('Base Stats'!$C$2:$C1000, LOWER('Base Stats'!$B$2:$B1000) = LOWER($A646))"),"1.15")</f>
        <v>1.15</v>
      </c>
      <c r="N646" s="0" t="e">
        <f aca="false">IFERROR(IF(AND(NOT(K646 = ""), G646 &gt;= 15),K646/M646, ""))</f>
        <v>#VALUE!</v>
      </c>
    </row>
    <row r="647" customFormat="false" ht="15.75" hidden="false" customHeight="false" outlineLevel="0" collapsed="false">
      <c r="A647" s="0" t="n">
        <f aca="false">'Form Responses (Pokemon Stats)'!B541</f>
        <v>0</v>
      </c>
      <c r="B647" s="0" t="n">
        <f aca="false">'Form Responses (Pokemon Stats)'!D541</f>
        <v>0</v>
      </c>
      <c r="C647" s="0" t="n">
        <f aca="false">'Form Responses (Pokemon Stats)'!C541</f>
        <v>0</v>
      </c>
      <c r="F647" s="0" t="n">
        <f aca="false">'Form Responses (Pokemon Stats)'!E541</f>
        <v>0</v>
      </c>
      <c r="G647" s="0" t="str">
        <f aca="false">IFERROR(__xludf.dummyfunction("ROUND(B647/ FILTER('Pokemon CP/HP'!$M$2:$M1000, LOWER('Pokemon CP/HP'!$B$2:$B1000)=LOWER(A647)))"),"#DIV/0!")</f>
        <v>#DIV/0!</v>
      </c>
      <c r="H647" s="0" t="str">
        <f aca="false">IFERROR(__xludf.dummyfunction("FILTER('Leveling Info'!$B$2:$B1000, 'Leveling Info'!$A$2:$A1000 =G647)"),"#N/A")</f>
        <v>#N/A</v>
      </c>
      <c r="I647" s="14" t="e">
        <f aca="false">SQRT(G647)</f>
        <v>#VALUE!</v>
      </c>
      <c r="J647" s="14" t="str">
        <f aca="false">IFERROR(__xludf.dummyfunction("IF(F647 = H647,C647/FILTER('Base Stats'!$C$2:$C1000, LOWER('Base Stats'!$B$2:$B1000) = LOWER($A647)), """")"),"#N/A")</f>
        <v>#N/A</v>
      </c>
      <c r="K647" s="0" t="str">
        <f aca="false">IF(F647 = H647, C647/G647, "")</f>
        <v/>
      </c>
      <c r="L647" s="0" t="str">
        <f aca="false">IFERROR(__xludf.dummyfunction("IF(AND(NOT(K647 = """"), G647 &gt;= 15),K647/FILTER('Base Stats'!$C$2:$C1000, LOWER('Base Stats'!$B$2:$B1000) = LOWER($A647)), """")"),"#N/A")</f>
        <v>#N/A</v>
      </c>
      <c r="M647" s="0" t="str">
        <f aca="false">IFERROR(__xludf.dummyfunction("1.15 + 0.02 * FILTER('Base Stats'!$C$2:$C1000, LOWER('Base Stats'!$B$2:$B1000) = LOWER($A647))"),"1.15")</f>
        <v>1.15</v>
      </c>
      <c r="N647" s="0" t="e">
        <f aca="false">IFERROR(IF(AND(NOT(K647 = ""), G647 &gt;= 15),K647/M647, ""))</f>
        <v>#VALUE!</v>
      </c>
    </row>
    <row r="648" customFormat="false" ht="15.75" hidden="false" customHeight="false" outlineLevel="0" collapsed="false">
      <c r="A648" s="0" t="n">
        <f aca="false">'Form Responses (Pokemon Stats)'!B542</f>
        <v>0</v>
      </c>
      <c r="B648" s="0" t="n">
        <f aca="false">'Form Responses (Pokemon Stats)'!D542</f>
        <v>0</v>
      </c>
      <c r="C648" s="0" t="n">
        <f aca="false">'Form Responses (Pokemon Stats)'!C542</f>
        <v>0</v>
      </c>
      <c r="F648" s="0" t="n">
        <f aca="false">'Form Responses (Pokemon Stats)'!E542</f>
        <v>0</v>
      </c>
      <c r="G648" s="0" t="str">
        <f aca="false">IFERROR(__xludf.dummyfunction("ROUND(B648/ FILTER('Pokemon CP/HP'!$M$2:$M1000, LOWER('Pokemon CP/HP'!$B$2:$B1000)=LOWER(A648)))"),"#DIV/0!")</f>
        <v>#DIV/0!</v>
      </c>
      <c r="H648" s="0" t="str">
        <f aca="false">IFERROR(__xludf.dummyfunction("FILTER('Leveling Info'!$B$2:$B1000, 'Leveling Info'!$A$2:$A1000 =G648)"),"#N/A")</f>
        <v>#N/A</v>
      </c>
      <c r="I648" s="14" t="e">
        <f aca="false">SQRT(G648)</f>
        <v>#VALUE!</v>
      </c>
      <c r="J648" s="14" t="str">
        <f aca="false">IFERROR(__xludf.dummyfunction("IF(F648 = H648,C648/FILTER('Base Stats'!$C$2:$C1000, LOWER('Base Stats'!$B$2:$B1000) = LOWER($A648)), """")"),"#N/A")</f>
        <v>#N/A</v>
      </c>
      <c r="K648" s="0" t="str">
        <f aca="false">IF(F648 = H648, C648/G648, "")</f>
        <v/>
      </c>
      <c r="L648" s="0" t="str">
        <f aca="false">IFERROR(__xludf.dummyfunction("IF(AND(NOT(K648 = """"), G648 &gt;= 15),K648/FILTER('Base Stats'!$C$2:$C1000, LOWER('Base Stats'!$B$2:$B1000) = LOWER($A648)), """")"),"#N/A")</f>
        <v>#N/A</v>
      </c>
      <c r="M648" s="0" t="str">
        <f aca="false">IFERROR(__xludf.dummyfunction("1.15 + 0.02 * FILTER('Base Stats'!$C$2:$C1000, LOWER('Base Stats'!$B$2:$B1000) = LOWER($A648))"),"1.15")</f>
        <v>1.15</v>
      </c>
      <c r="N648" s="0" t="e">
        <f aca="false">IFERROR(IF(AND(NOT(K648 = ""), G648 &gt;= 15),K648/M648, ""))</f>
        <v>#VALUE!</v>
      </c>
    </row>
    <row r="649" customFormat="false" ht="15.75" hidden="false" customHeight="false" outlineLevel="0" collapsed="false">
      <c r="A649" s="0" t="n">
        <f aca="false">'Form Responses (Pokemon Stats)'!B543</f>
        <v>0</v>
      </c>
      <c r="B649" s="0" t="n">
        <f aca="false">'Form Responses (Pokemon Stats)'!D543</f>
        <v>0</v>
      </c>
      <c r="C649" s="0" t="n">
        <f aca="false">'Form Responses (Pokemon Stats)'!C543</f>
        <v>0</v>
      </c>
      <c r="F649" s="0" t="n">
        <f aca="false">'Form Responses (Pokemon Stats)'!E543</f>
        <v>0</v>
      </c>
      <c r="G649" s="0" t="str">
        <f aca="false">IFERROR(__xludf.dummyfunction("ROUND(B649/ FILTER('Pokemon CP/HP'!$M$2:$M1000, LOWER('Pokemon CP/HP'!$B$2:$B1000)=LOWER(A649)))"),"#DIV/0!")</f>
        <v>#DIV/0!</v>
      </c>
      <c r="H649" s="0" t="str">
        <f aca="false">IFERROR(__xludf.dummyfunction("FILTER('Leveling Info'!$B$2:$B1000, 'Leveling Info'!$A$2:$A1000 =G649)"),"#N/A")</f>
        <v>#N/A</v>
      </c>
      <c r="I649" s="14" t="e">
        <f aca="false">SQRT(G649)</f>
        <v>#VALUE!</v>
      </c>
      <c r="J649" s="14" t="str">
        <f aca="false">IFERROR(__xludf.dummyfunction("IF(F649 = H649,C649/FILTER('Base Stats'!$C$2:$C1000, LOWER('Base Stats'!$B$2:$B1000) = LOWER($A649)), """")"),"#N/A")</f>
        <v>#N/A</v>
      </c>
      <c r="K649" s="0" t="str">
        <f aca="false">IF(F649 = H649, C649/G649, "")</f>
        <v/>
      </c>
      <c r="L649" s="0" t="str">
        <f aca="false">IFERROR(__xludf.dummyfunction("IF(AND(NOT(K649 = """"), G649 &gt;= 15),K649/FILTER('Base Stats'!$C$2:$C1000, LOWER('Base Stats'!$B$2:$B1000) = LOWER($A649)), """")"),"#N/A")</f>
        <v>#N/A</v>
      </c>
      <c r="M649" s="0" t="str">
        <f aca="false">IFERROR(__xludf.dummyfunction("1.15 + 0.02 * FILTER('Base Stats'!$C$2:$C1000, LOWER('Base Stats'!$B$2:$B1000) = LOWER($A649))"),"1.15")</f>
        <v>1.15</v>
      </c>
      <c r="N649" s="0" t="e">
        <f aca="false">IFERROR(IF(AND(NOT(K649 = ""), G649 &gt;= 15),K649/M649, ""))</f>
        <v>#VALUE!</v>
      </c>
    </row>
    <row r="650" customFormat="false" ht="15.75" hidden="false" customHeight="false" outlineLevel="0" collapsed="false">
      <c r="A650" s="0" t="n">
        <f aca="false">'Form Responses (Pokemon Stats)'!B544</f>
        <v>0</v>
      </c>
      <c r="B650" s="0" t="n">
        <f aca="false">'Form Responses (Pokemon Stats)'!D544</f>
        <v>0</v>
      </c>
      <c r="C650" s="0" t="n">
        <f aca="false">'Form Responses (Pokemon Stats)'!C544</f>
        <v>0</v>
      </c>
      <c r="F650" s="0" t="n">
        <f aca="false">'Form Responses (Pokemon Stats)'!E544</f>
        <v>0</v>
      </c>
      <c r="G650" s="0" t="str">
        <f aca="false">IFERROR(__xludf.dummyfunction("ROUND(B650/ FILTER('Pokemon CP/HP'!$M$2:$M1000, LOWER('Pokemon CP/HP'!$B$2:$B1000)=LOWER(A650)))"),"#DIV/0!")</f>
        <v>#DIV/0!</v>
      </c>
      <c r="H650" s="0" t="str">
        <f aca="false">IFERROR(__xludf.dummyfunction("FILTER('Leveling Info'!$B$2:$B1000, 'Leveling Info'!$A$2:$A1000 =G650)"),"#N/A")</f>
        <v>#N/A</v>
      </c>
      <c r="I650" s="14" t="e">
        <f aca="false">SQRT(G650)</f>
        <v>#VALUE!</v>
      </c>
      <c r="J650" s="14" t="str">
        <f aca="false">IFERROR(__xludf.dummyfunction("IF(F650 = H650,C650/FILTER('Base Stats'!$C$2:$C1000, LOWER('Base Stats'!$B$2:$B1000) = LOWER($A650)), """")"),"#N/A")</f>
        <v>#N/A</v>
      </c>
      <c r="K650" s="0" t="str">
        <f aca="false">IF(F650 = H650, C650/G650, "")</f>
        <v/>
      </c>
      <c r="L650" s="0" t="str">
        <f aca="false">IFERROR(__xludf.dummyfunction("IF(AND(NOT(K650 = """"), G650 &gt;= 15),K650/FILTER('Base Stats'!$C$2:$C1000, LOWER('Base Stats'!$B$2:$B1000) = LOWER($A650)), """")"),"#N/A")</f>
        <v>#N/A</v>
      </c>
      <c r="M650" s="0" t="str">
        <f aca="false">IFERROR(__xludf.dummyfunction("1.15 + 0.02 * FILTER('Base Stats'!$C$2:$C1000, LOWER('Base Stats'!$B$2:$B1000) = LOWER($A650))"),"1.15")</f>
        <v>1.15</v>
      </c>
      <c r="N650" s="0" t="e">
        <f aca="false">IFERROR(IF(AND(NOT(K650 = ""), G650 &gt;= 15),K650/M650, ""))</f>
        <v>#VALUE!</v>
      </c>
    </row>
    <row r="651" customFormat="false" ht="15.75" hidden="false" customHeight="false" outlineLevel="0" collapsed="false">
      <c r="A651" s="0" t="n">
        <f aca="false">'Form Responses (Pokemon Stats)'!B545</f>
        <v>0</v>
      </c>
      <c r="B651" s="0" t="n">
        <f aca="false">'Form Responses (Pokemon Stats)'!D545</f>
        <v>0</v>
      </c>
      <c r="C651" s="0" t="n">
        <f aca="false">'Form Responses (Pokemon Stats)'!C545</f>
        <v>0</v>
      </c>
      <c r="F651" s="0" t="n">
        <f aca="false">'Form Responses (Pokemon Stats)'!E545</f>
        <v>0</v>
      </c>
      <c r="G651" s="0" t="str">
        <f aca="false">IFERROR(__xludf.dummyfunction("ROUND(B651/ FILTER('Pokemon CP/HP'!$M$2:$M1000, LOWER('Pokemon CP/HP'!$B$2:$B1000)=LOWER(A651)))"),"#DIV/0!")</f>
        <v>#DIV/0!</v>
      </c>
      <c r="H651" s="0" t="str">
        <f aca="false">IFERROR(__xludf.dummyfunction("FILTER('Leveling Info'!$B$2:$B1000, 'Leveling Info'!$A$2:$A1000 =G651)"),"#N/A")</f>
        <v>#N/A</v>
      </c>
      <c r="I651" s="14" t="e">
        <f aca="false">SQRT(G651)</f>
        <v>#VALUE!</v>
      </c>
      <c r="J651" s="14" t="str">
        <f aca="false">IFERROR(__xludf.dummyfunction("IF(F651 = H651,C651/FILTER('Base Stats'!$C$2:$C1000, LOWER('Base Stats'!$B$2:$B1000) = LOWER($A651)), """")"),"#N/A")</f>
        <v>#N/A</v>
      </c>
      <c r="K651" s="0" t="str">
        <f aca="false">IF(F651 = H651, C651/G651, "")</f>
        <v/>
      </c>
      <c r="L651" s="0" t="str">
        <f aca="false">IFERROR(__xludf.dummyfunction("IF(AND(NOT(K651 = """"), G651 &gt;= 15),K651/FILTER('Base Stats'!$C$2:$C1000, LOWER('Base Stats'!$B$2:$B1000) = LOWER($A651)), """")"),"#N/A")</f>
        <v>#N/A</v>
      </c>
      <c r="M651" s="0" t="str">
        <f aca="false">IFERROR(__xludf.dummyfunction("1.15 + 0.02 * FILTER('Base Stats'!$C$2:$C1000, LOWER('Base Stats'!$B$2:$B1000) = LOWER($A651))"),"1.15")</f>
        <v>1.15</v>
      </c>
      <c r="N651" s="0" t="e">
        <f aca="false">IFERROR(IF(AND(NOT(K651 = ""), G651 &gt;= 15),K651/M651, ""))</f>
        <v>#VALUE!</v>
      </c>
    </row>
    <row r="652" customFormat="false" ht="15.75" hidden="false" customHeight="false" outlineLevel="0" collapsed="false">
      <c r="A652" s="0" t="n">
        <f aca="false">'Form Responses (Pokemon Stats)'!B546</f>
        <v>0</v>
      </c>
      <c r="B652" s="0" t="n">
        <f aca="false">'Form Responses (Pokemon Stats)'!D546</f>
        <v>0</v>
      </c>
      <c r="C652" s="0" t="n">
        <f aca="false">'Form Responses (Pokemon Stats)'!C546</f>
        <v>0</v>
      </c>
      <c r="F652" s="0" t="n">
        <f aca="false">'Form Responses (Pokemon Stats)'!E546</f>
        <v>0</v>
      </c>
      <c r="G652" s="0" t="str">
        <f aca="false">IFERROR(__xludf.dummyfunction("ROUND(B652/ FILTER('Pokemon CP/HP'!$M$2:$M1000, LOWER('Pokemon CP/HP'!$B$2:$B1000)=LOWER(A652)))"),"#DIV/0!")</f>
        <v>#DIV/0!</v>
      </c>
      <c r="H652" s="0" t="str">
        <f aca="false">IFERROR(__xludf.dummyfunction("FILTER('Leveling Info'!$B$2:$B1000, 'Leveling Info'!$A$2:$A1000 =G652)"),"#N/A")</f>
        <v>#N/A</v>
      </c>
      <c r="I652" s="14" t="e">
        <f aca="false">SQRT(G652)</f>
        <v>#VALUE!</v>
      </c>
      <c r="J652" s="14" t="str">
        <f aca="false">IFERROR(__xludf.dummyfunction("IF(F652 = H652,C652/FILTER('Base Stats'!$C$2:$C1000, LOWER('Base Stats'!$B$2:$B1000) = LOWER($A652)), """")"),"#N/A")</f>
        <v>#N/A</v>
      </c>
      <c r="K652" s="0" t="str">
        <f aca="false">IF(F652 = H652, C652/G652, "")</f>
        <v/>
      </c>
      <c r="L652" s="0" t="str">
        <f aca="false">IFERROR(__xludf.dummyfunction("IF(AND(NOT(K652 = """"), G652 &gt;= 15),K652/FILTER('Base Stats'!$C$2:$C1000, LOWER('Base Stats'!$B$2:$B1000) = LOWER($A652)), """")"),"#N/A")</f>
        <v>#N/A</v>
      </c>
      <c r="M652" s="0" t="str">
        <f aca="false">IFERROR(__xludf.dummyfunction("1.15 + 0.02 * FILTER('Base Stats'!$C$2:$C1000, LOWER('Base Stats'!$B$2:$B1000) = LOWER($A652))"),"1.15")</f>
        <v>1.15</v>
      </c>
      <c r="N652" s="0" t="e">
        <f aca="false">IFERROR(IF(AND(NOT(K652 = ""), G652 &gt;= 15),K652/M652, ""))</f>
        <v>#VALUE!</v>
      </c>
    </row>
    <row r="653" customFormat="false" ht="15.75" hidden="false" customHeight="false" outlineLevel="0" collapsed="false">
      <c r="A653" s="0" t="n">
        <f aca="false">'Form Responses (Pokemon Stats)'!B547</f>
        <v>0</v>
      </c>
      <c r="B653" s="0" t="n">
        <f aca="false">'Form Responses (Pokemon Stats)'!D547</f>
        <v>0</v>
      </c>
      <c r="C653" s="0" t="n">
        <f aca="false">'Form Responses (Pokemon Stats)'!C547</f>
        <v>0</v>
      </c>
      <c r="F653" s="0" t="n">
        <f aca="false">'Form Responses (Pokemon Stats)'!E547</f>
        <v>0</v>
      </c>
      <c r="G653" s="0" t="str">
        <f aca="false">IFERROR(__xludf.dummyfunction("ROUND(B653/ FILTER('Pokemon CP/HP'!$M$2:$M1000, LOWER('Pokemon CP/HP'!$B$2:$B1000)=LOWER(A653)))"),"#DIV/0!")</f>
        <v>#DIV/0!</v>
      </c>
      <c r="H653" s="0" t="str">
        <f aca="false">IFERROR(__xludf.dummyfunction("FILTER('Leveling Info'!$B$2:$B1000, 'Leveling Info'!$A$2:$A1000 =G653)"),"#N/A")</f>
        <v>#N/A</v>
      </c>
      <c r="I653" s="14" t="e">
        <f aca="false">SQRT(G653)</f>
        <v>#VALUE!</v>
      </c>
      <c r="J653" s="14" t="str">
        <f aca="false">IFERROR(__xludf.dummyfunction("IF(F653 = H653,C653/FILTER('Base Stats'!$C$2:$C1000, LOWER('Base Stats'!$B$2:$B1000) = LOWER($A653)), """")"),"#N/A")</f>
        <v>#N/A</v>
      </c>
      <c r="K653" s="0" t="str">
        <f aca="false">IF(F653 = H653, C653/G653, "")</f>
        <v/>
      </c>
      <c r="L653" s="0" t="str">
        <f aca="false">IFERROR(__xludf.dummyfunction("IF(AND(NOT(K653 = """"), G653 &gt;= 15),K653/FILTER('Base Stats'!$C$2:$C1000, LOWER('Base Stats'!$B$2:$B1000) = LOWER($A653)), """")"),"#N/A")</f>
        <v>#N/A</v>
      </c>
      <c r="M653" s="0" t="str">
        <f aca="false">IFERROR(__xludf.dummyfunction("1.15 + 0.02 * FILTER('Base Stats'!$C$2:$C1000, LOWER('Base Stats'!$B$2:$B1000) = LOWER($A653))"),"1.15")</f>
        <v>1.15</v>
      </c>
      <c r="N653" s="0" t="e">
        <f aca="false">IFERROR(IF(AND(NOT(K653 = ""), G653 &gt;= 15),K653/M653, ""))</f>
        <v>#VALUE!</v>
      </c>
    </row>
    <row r="654" customFormat="false" ht="15.75" hidden="false" customHeight="false" outlineLevel="0" collapsed="false">
      <c r="A654" s="0" t="n">
        <f aca="false">'Form Responses (Pokemon Stats)'!B548</f>
        <v>0</v>
      </c>
      <c r="B654" s="0" t="n">
        <f aca="false">'Form Responses (Pokemon Stats)'!D548</f>
        <v>0</v>
      </c>
      <c r="C654" s="0" t="n">
        <f aca="false">'Form Responses (Pokemon Stats)'!C548</f>
        <v>0</v>
      </c>
      <c r="F654" s="0" t="n">
        <f aca="false">'Form Responses (Pokemon Stats)'!E548</f>
        <v>0</v>
      </c>
      <c r="G654" s="0" t="str">
        <f aca="false">IFERROR(__xludf.dummyfunction("ROUND(B654/ FILTER('Pokemon CP/HP'!$M$2:$M1000, LOWER('Pokemon CP/HP'!$B$2:$B1000)=LOWER(A654)))"),"#DIV/0!")</f>
        <v>#DIV/0!</v>
      </c>
      <c r="H654" s="0" t="str">
        <f aca="false">IFERROR(__xludf.dummyfunction("FILTER('Leveling Info'!$B$2:$B1000, 'Leveling Info'!$A$2:$A1000 =G654)"),"#N/A")</f>
        <v>#N/A</v>
      </c>
      <c r="I654" s="14" t="e">
        <f aca="false">SQRT(G654)</f>
        <v>#VALUE!</v>
      </c>
      <c r="J654" s="14" t="str">
        <f aca="false">IFERROR(__xludf.dummyfunction("IF(F654 = H654,C654/FILTER('Base Stats'!$C$2:$C1000, LOWER('Base Stats'!$B$2:$B1000) = LOWER($A654)), """")"),"#N/A")</f>
        <v>#N/A</v>
      </c>
      <c r="K654" s="0" t="str">
        <f aca="false">IF(F654 = H654, C654/G654, "")</f>
        <v/>
      </c>
      <c r="L654" s="0" t="str">
        <f aca="false">IFERROR(__xludf.dummyfunction("IF(AND(NOT(K654 = """"), G654 &gt;= 15),K654/FILTER('Base Stats'!$C$2:$C1000, LOWER('Base Stats'!$B$2:$B1000) = LOWER($A654)), """")"),"#N/A")</f>
        <v>#N/A</v>
      </c>
      <c r="M654" s="0" t="str">
        <f aca="false">IFERROR(__xludf.dummyfunction("1.15 + 0.02 * FILTER('Base Stats'!$C$2:$C1000, LOWER('Base Stats'!$B$2:$B1000) = LOWER($A654))"),"1.15")</f>
        <v>1.15</v>
      </c>
      <c r="N654" s="0" t="e">
        <f aca="false">IFERROR(IF(AND(NOT(K654 = ""), G654 &gt;= 15),K654/M654, ""))</f>
        <v>#VALUE!</v>
      </c>
    </row>
    <row r="655" customFormat="false" ht="15.75" hidden="false" customHeight="false" outlineLevel="0" collapsed="false">
      <c r="A655" s="0" t="n">
        <f aca="false">'Form Responses (Pokemon Stats)'!B549</f>
        <v>0</v>
      </c>
      <c r="B655" s="0" t="n">
        <f aca="false">'Form Responses (Pokemon Stats)'!D549</f>
        <v>0</v>
      </c>
      <c r="C655" s="0" t="n">
        <f aca="false">'Form Responses (Pokemon Stats)'!C549</f>
        <v>0</v>
      </c>
      <c r="F655" s="0" t="n">
        <f aca="false">'Form Responses (Pokemon Stats)'!E549</f>
        <v>0</v>
      </c>
      <c r="G655" s="0" t="str">
        <f aca="false">IFERROR(__xludf.dummyfunction("ROUND(B655/ FILTER('Pokemon CP/HP'!$M$2:$M1000, LOWER('Pokemon CP/HP'!$B$2:$B1000)=LOWER(A655)))"),"#DIV/0!")</f>
        <v>#DIV/0!</v>
      </c>
      <c r="H655" s="0" t="str">
        <f aca="false">IFERROR(__xludf.dummyfunction("FILTER('Leveling Info'!$B$2:$B1000, 'Leveling Info'!$A$2:$A1000 =G655)"),"#N/A")</f>
        <v>#N/A</v>
      </c>
      <c r="I655" s="14" t="e">
        <f aca="false">SQRT(G655)</f>
        <v>#VALUE!</v>
      </c>
      <c r="J655" s="14" t="str">
        <f aca="false">IFERROR(__xludf.dummyfunction("IF(F655 = H655,C655/FILTER('Base Stats'!$C$2:$C1000, LOWER('Base Stats'!$B$2:$B1000) = LOWER($A655)), """")"),"#N/A")</f>
        <v>#N/A</v>
      </c>
      <c r="K655" s="0" t="str">
        <f aca="false">IF(F655 = H655, C655/G655, "")</f>
        <v/>
      </c>
      <c r="L655" s="0" t="str">
        <f aca="false">IFERROR(__xludf.dummyfunction("IF(AND(NOT(K655 = """"), G655 &gt;= 15),K655/FILTER('Base Stats'!$C$2:$C1000, LOWER('Base Stats'!$B$2:$B1000) = LOWER($A655)), """")"),"#N/A")</f>
        <v>#N/A</v>
      </c>
      <c r="M655" s="0" t="str">
        <f aca="false">IFERROR(__xludf.dummyfunction("1.15 + 0.02 * FILTER('Base Stats'!$C$2:$C1000, LOWER('Base Stats'!$B$2:$B1000) = LOWER($A655))"),"1.15")</f>
        <v>1.15</v>
      </c>
      <c r="N655" s="0" t="e">
        <f aca="false">IFERROR(IF(AND(NOT(K655 = ""), G655 &gt;= 15),K655/M655, ""))</f>
        <v>#VALUE!</v>
      </c>
    </row>
    <row r="656" customFormat="false" ht="15.75" hidden="false" customHeight="false" outlineLevel="0" collapsed="false">
      <c r="A656" s="0" t="n">
        <f aca="false">'Form Responses (Pokemon Stats)'!B550</f>
        <v>0</v>
      </c>
      <c r="B656" s="0" t="n">
        <f aca="false">'Form Responses (Pokemon Stats)'!D550</f>
        <v>0</v>
      </c>
      <c r="C656" s="0" t="n">
        <f aca="false">'Form Responses (Pokemon Stats)'!C550</f>
        <v>0</v>
      </c>
      <c r="F656" s="0" t="n">
        <f aca="false">'Form Responses (Pokemon Stats)'!E550</f>
        <v>0</v>
      </c>
      <c r="G656" s="0" t="str">
        <f aca="false">IFERROR(__xludf.dummyfunction("ROUND(B656/ FILTER('Pokemon CP/HP'!$M$2:$M1000, LOWER('Pokemon CP/HP'!$B$2:$B1000)=LOWER(A656)))"),"#DIV/0!")</f>
        <v>#DIV/0!</v>
      </c>
      <c r="H656" s="0" t="str">
        <f aca="false">IFERROR(__xludf.dummyfunction("FILTER('Leveling Info'!$B$2:$B1000, 'Leveling Info'!$A$2:$A1000 =G656)"),"#N/A")</f>
        <v>#N/A</v>
      </c>
      <c r="I656" s="14" t="e">
        <f aca="false">SQRT(G656)</f>
        <v>#VALUE!</v>
      </c>
      <c r="J656" s="14" t="str">
        <f aca="false">IFERROR(__xludf.dummyfunction("IF(F656 = H656,C656/FILTER('Base Stats'!$C$2:$C1000, LOWER('Base Stats'!$B$2:$B1000) = LOWER($A656)), """")"),"#N/A")</f>
        <v>#N/A</v>
      </c>
      <c r="K656" s="0" t="str">
        <f aca="false">IF(F656 = H656, C656/G656, "")</f>
        <v/>
      </c>
      <c r="L656" s="0" t="str">
        <f aca="false">IFERROR(__xludf.dummyfunction("IF(AND(NOT(K656 = """"), G656 &gt;= 15),K656/FILTER('Base Stats'!$C$2:$C1000, LOWER('Base Stats'!$B$2:$B1000) = LOWER($A656)), """")"),"#N/A")</f>
        <v>#N/A</v>
      </c>
      <c r="M656" s="0" t="str">
        <f aca="false">IFERROR(__xludf.dummyfunction("1.15 + 0.02 * FILTER('Base Stats'!$C$2:$C1000, LOWER('Base Stats'!$B$2:$B1000) = LOWER($A656))"),"1.15")</f>
        <v>1.15</v>
      </c>
      <c r="N656" s="0" t="e">
        <f aca="false">IFERROR(IF(AND(NOT(K656 = ""), G656 &gt;= 15),K656/M656, ""))</f>
        <v>#VALUE!</v>
      </c>
    </row>
    <row r="657" customFormat="false" ht="15.75" hidden="false" customHeight="false" outlineLevel="0" collapsed="false">
      <c r="A657" s="0" t="n">
        <f aca="false">'Form Responses (Pokemon Stats)'!B551</f>
        <v>0</v>
      </c>
      <c r="B657" s="0" t="n">
        <f aca="false">'Form Responses (Pokemon Stats)'!D551</f>
        <v>0</v>
      </c>
      <c r="C657" s="0" t="n">
        <f aca="false">'Form Responses (Pokemon Stats)'!C551</f>
        <v>0</v>
      </c>
      <c r="F657" s="0" t="n">
        <f aca="false">'Form Responses (Pokemon Stats)'!E551</f>
        <v>0</v>
      </c>
      <c r="G657" s="0" t="str">
        <f aca="false">IFERROR(__xludf.dummyfunction("ROUND(B657/ FILTER('Pokemon CP/HP'!$M$2:$M1000, LOWER('Pokemon CP/HP'!$B$2:$B1000)=LOWER(A657)))"),"#DIV/0!")</f>
        <v>#DIV/0!</v>
      </c>
      <c r="H657" s="0" t="str">
        <f aca="false">IFERROR(__xludf.dummyfunction("FILTER('Leveling Info'!$B$2:$B1000, 'Leveling Info'!$A$2:$A1000 =G657)"),"#N/A")</f>
        <v>#N/A</v>
      </c>
      <c r="I657" s="14" t="e">
        <f aca="false">SQRT(G657)</f>
        <v>#VALUE!</v>
      </c>
      <c r="J657" s="14" t="str">
        <f aca="false">IFERROR(__xludf.dummyfunction("IF(F657 = H657,C657/FILTER('Base Stats'!$C$2:$C1000, LOWER('Base Stats'!$B$2:$B1000) = LOWER($A657)), """")"),"#N/A")</f>
        <v>#N/A</v>
      </c>
      <c r="K657" s="0" t="str">
        <f aca="false">IF(F657 = H657, C657/G657, "")</f>
        <v/>
      </c>
      <c r="L657" s="0" t="str">
        <f aca="false">IFERROR(__xludf.dummyfunction("IF(AND(NOT(K657 = """"), G657 &gt;= 15),K657/FILTER('Base Stats'!$C$2:$C1000, LOWER('Base Stats'!$B$2:$B1000) = LOWER($A657)), """")"),"#N/A")</f>
        <v>#N/A</v>
      </c>
      <c r="M657" s="0" t="str">
        <f aca="false">IFERROR(__xludf.dummyfunction("1.15 + 0.02 * FILTER('Base Stats'!$C$2:$C1000, LOWER('Base Stats'!$B$2:$B1000) = LOWER($A657))"),"1.15")</f>
        <v>1.15</v>
      </c>
      <c r="N657" s="0" t="e">
        <f aca="false">IFERROR(IF(AND(NOT(K657 = ""), G657 &gt;= 15),K657/M657, ""))</f>
        <v>#VALUE!</v>
      </c>
    </row>
    <row r="658" customFormat="false" ht="15.75" hidden="false" customHeight="false" outlineLevel="0" collapsed="false">
      <c r="A658" s="0" t="n">
        <f aca="false">'Form Responses (Pokemon Stats)'!B552</f>
        <v>0</v>
      </c>
      <c r="B658" s="0" t="n">
        <f aca="false">'Form Responses (Pokemon Stats)'!D552</f>
        <v>0</v>
      </c>
      <c r="C658" s="0" t="n">
        <f aca="false">'Form Responses (Pokemon Stats)'!C552</f>
        <v>0</v>
      </c>
      <c r="F658" s="0" t="n">
        <f aca="false">'Form Responses (Pokemon Stats)'!E552</f>
        <v>0</v>
      </c>
      <c r="G658" s="0" t="str">
        <f aca="false">IFERROR(__xludf.dummyfunction("ROUND(B658/ FILTER('Pokemon CP/HP'!$M$2:$M1000, LOWER('Pokemon CP/HP'!$B$2:$B1000)=LOWER(A658)))"),"#DIV/0!")</f>
        <v>#DIV/0!</v>
      </c>
      <c r="H658" s="0" t="str">
        <f aca="false">IFERROR(__xludf.dummyfunction("FILTER('Leveling Info'!$B$2:$B1000, 'Leveling Info'!$A$2:$A1000 =G658)"),"#N/A")</f>
        <v>#N/A</v>
      </c>
      <c r="I658" s="14" t="e">
        <f aca="false">SQRT(G658)</f>
        <v>#VALUE!</v>
      </c>
      <c r="J658" s="14" t="str">
        <f aca="false">IFERROR(__xludf.dummyfunction("IF(F658 = H658,C658/FILTER('Base Stats'!$C$2:$C1000, LOWER('Base Stats'!$B$2:$B1000) = LOWER($A658)), """")"),"#N/A")</f>
        <v>#N/A</v>
      </c>
      <c r="K658" s="0" t="str">
        <f aca="false">IF(F658 = H658, C658/G658, "")</f>
        <v/>
      </c>
      <c r="L658" s="0" t="str">
        <f aca="false">IFERROR(__xludf.dummyfunction("IF(AND(NOT(K658 = """"), G658 &gt;= 15),K658/FILTER('Base Stats'!$C$2:$C1000, LOWER('Base Stats'!$B$2:$B1000) = LOWER($A658)), """")"),"#N/A")</f>
        <v>#N/A</v>
      </c>
      <c r="M658" s="0" t="str">
        <f aca="false">IFERROR(__xludf.dummyfunction("1.15 + 0.02 * FILTER('Base Stats'!$C$2:$C1000, LOWER('Base Stats'!$B$2:$B1000) = LOWER($A658))"),"1.15")</f>
        <v>1.15</v>
      </c>
      <c r="N658" s="0" t="e">
        <f aca="false">IFERROR(IF(AND(NOT(K658 = ""), G658 &gt;= 15),K658/M658, ""))</f>
        <v>#VALUE!</v>
      </c>
    </row>
    <row r="659" customFormat="false" ht="15.75" hidden="false" customHeight="false" outlineLevel="0" collapsed="false">
      <c r="A659" s="0" t="n">
        <f aca="false">'Form Responses (Pokemon Stats)'!B553</f>
        <v>0</v>
      </c>
      <c r="B659" s="0" t="n">
        <f aca="false">'Form Responses (Pokemon Stats)'!D553</f>
        <v>0</v>
      </c>
      <c r="C659" s="0" t="n">
        <f aca="false">'Form Responses (Pokemon Stats)'!C553</f>
        <v>0</v>
      </c>
      <c r="F659" s="0" t="n">
        <f aca="false">'Form Responses (Pokemon Stats)'!E553</f>
        <v>0</v>
      </c>
      <c r="G659" s="0" t="str">
        <f aca="false">IFERROR(__xludf.dummyfunction("ROUND(B659/ FILTER('Pokemon CP/HP'!$M$2:$M1000, LOWER('Pokemon CP/HP'!$B$2:$B1000)=LOWER(A659)))"),"#DIV/0!")</f>
        <v>#DIV/0!</v>
      </c>
      <c r="H659" s="0" t="str">
        <f aca="false">IFERROR(__xludf.dummyfunction("FILTER('Leveling Info'!$B$2:$B1000, 'Leveling Info'!$A$2:$A1000 =G659)"),"#N/A")</f>
        <v>#N/A</v>
      </c>
      <c r="I659" s="14" t="e">
        <f aca="false">SQRT(G659)</f>
        <v>#VALUE!</v>
      </c>
      <c r="J659" s="14" t="str">
        <f aca="false">IFERROR(__xludf.dummyfunction("IF(F659 = H659,C659/FILTER('Base Stats'!$C$2:$C1000, LOWER('Base Stats'!$B$2:$B1000) = LOWER($A659)), """")"),"#N/A")</f>
        <v>#N/A</v>
      </c>
      <c r="K659" s="0" t="str">
        <f aca="false">IF(F659 = H659, C659/G659, "")</f>
        <v/>
      </c>
      <c r="L659" s="0" t="str">
        <f aca="false">IFERROR(__xludf.dummyfunction("IF(AND(NOT(K659 = """"), G659 &gt;= 15),K659/FILTER('Base Stats'!$C$2:$C1000, LOWER('Base Stats'!$B$2:$B1000) = LOWER($A659)), """")"),"#N/A")</f>
        <v>#N/A</v>
      </c>
      <c r="M659" s="0" t="str">
        <f aca="false">IFERROR(__xludf.dummyfunction("1.15 + 0.02 * FILTER('Base Stats'!$C$2:$C1000, LOWER('Base Stats'!$B$2:$B1000) = LOWER($A659))"),"1.15")</f>
        <v>1.15</v>
      </c>
      <c r="N659" s="0" t="e">
        <f aca="false">IFERROR(IF(AND(NOT(K659 = ""), G659 &gt;= 15),K659/M659, ""))</f>
        <v>#VALUE!</v>
      </c>
    </row>
    <row r="660" customFormat="false" ht="15.75" hidden="false" customHeight="false" outlineLevel="0" collapsed="false">
      <c r="A660" s="0" t="n">
        <f aca="false">'Form Responses (Pokemon Stats)'!B554</f>
        <v>0</v>
      </c>
      <c r="B660" s="0" t="n">
        <f aca="false">'Form Responses (Pokemon Stats)'!D554</f>
        <v>0</v>
      </c>
      <c r="C660" s="0" t="n">
        <f aca="false">'Form Responses (Pokemon Stats)'!C554</f>
        <v>0</v>
      </c>
      <c r="F660" s="0" t="n">
        <f aca="false">'Form Responses (Pokemon Stats)'!E554</f>
        <v>0</v>
      </c>
      <c r="G660" s="0" t="str">
        <f aca="false">IFERROR(__xludf.dummyfunction("ROUND(B660/ FILTER('Pokemon CP/HP'!$M$2:$M1000, LOWER('Pokemon CP/HP'!$B$2:$B1000)=LOWER(A660)))"),"#DIV/0!")</f>
        <v>#DIV/0!</v>
      </c>
      <c r="H660" s="0" t="str">
        <f aca="false">IFERROR(__xludf.dummyfunction("FILTER('Leveling Info'!$B$2:$B1000, 'Leveling Info'!$A$2:$A1000 =G660)"),"#N/A")</f>
        <v>#N/A</v>
      </c>
      <c r="I660" s="14" t="e">
        <f aca="false">SQRT(G660)</f>
        <v>#VALUE!</v>
      </c>
      <c r="J660" s="14" t="str">
        <f aca="false">IFERROR(__xludf.dummyfunction("IF(F660 = H660,C660/FILTER('Base Stats'!$C$2:$C1000, LOWER('Base Stats'!$B$2:$B1000) = LOWER($A660)), """")"),"#N/A")</f>
        <v>#N/A</v>
      </c>
      <c r="K660" s="0" t="str">
        <f aca="false">IF(F660 = H660, C660/G660, "")</f>
        <v/>
      </c>
      <c r="L660" s="0" t="str">
        <f aca="false">IFERROR(__xludf.dummyfunction("IF(AND(NOT(K660 = """"), G660 &gt;= 15),K660/FILTER('Base Stats'!$C$2:$C1000, LOWER('Base Stats'!$B$2:$B1000) = LOWER($A660)), """")"),"#N/A")</f>
        <v>#N/A</v>
      </c>
      <c r="M660" s="0" t="str">
        <f aca="false">IFERROR(__xludf.dummyfunction("1.15 + 0.02 * FILTER('Base Stats'!$C$2:$C1000, LOWER('Base Stats'!$B$2:$B1000) = LOWER($A660))"),"1.15")</f>
        <v>1.15</v>
      </c>
      <c r="N660" s="0" t="e">
        <f aca="false">IFERROR(IF(AND(NOT(K660 = ""), G660 &gt;= 15),K660/M660, ""))</f>
        <v>#VALUE!</v>
      </c>
    </row>
    <row r="661" customFormat="false" ht="15.75" hidden="false" customHeight="false" outlineLevel="0" collapsed="false">
      <c r="A661" s="0" t="n">
        <f aca="false">'Form Responses (Pokemon Stats)'!B555</f>
        <v>0</v>
      </c>
      <c r="B661" s="0" t="n">
        <f aca="false">'Form Responses (Pokemon Stats)'!D555</f>
        <v>0</v>
      </c>
      <c r="C661" s="0" t="n">
        <f aca="false">'Form Responses (Pokemon Stats)'!C555</f>
        <v>0</v>
      </c>
      <c r="F661" s="0" t="n">
        <f aca="false">'Form Responses (Pokemon Stats)'!E555</f>
        <v>0</v>
      </c>
      <c r="G661" s="0" t="str">
        <f aca="false">IFERROR(__xludf.dummyfunction("ROUND(B661/ FILTER('Pokemon CP/HP'!$M$2:$M1000, LOWER('Pokemon CP/HP'!$B$2:$B1000)=LOWER(A661)))"),"#DIV/0!")</f>
        <v>#DIV/0!</v>
      </c>
      <c r="H661" s="0" t="str">
        <f aca="false">IFERROR(__xludf.dummyfunction("FILTER('Leveling Info'!$B$2:$B1000, 'Leveling Info'!$A$2:$A1000 =G661)"),"#N/A")</f>
        <v>#N/A</v>
      </c>
      <c r="I661" s="14" t="e">
        <f aca="false">SQRT(G661)</f>
        <v>#VALUE!</v>
      </c>
      <c r="J661" s="14" t="str">
        <f aca="false">IFERROR(__xludf.dummyfunction("IF(F661 = H661,C661/FILTER('Base Stats'!$C$2:$C1000, LOWER('Base Stats'!$B$2:$B1000) = LOWER($A661)), """")"),"#N/A")</f>
        <v>#N/A</v>
      </c>
      <c r="K661" s="0" t="str">
        <f aca="false">IF(F661 = H661, C661/G661, "")</f>
        <v/>
      </c>
      <c r="L661" s="0" t="str">
        <f aca="false">IFERROR(__xludf.dummyfunction("IF(AND(NOT(K661 = """"), G661 &gt;= 15),K661/FILTER('Base Stats'!$C$2:$C1000, LOWER('Base Stats'!$B$2:$B1000) = LOWER($A661)), """")"),"#N/A")</f>
        <v>#N/A</v>
      </c>
      <c r="M661" s="0" t="str">
        <f aca="false">IFERROR(__xludf.dummyfunction("1.15 + 0.02 * FILTER('Base Stats'!$C$2:$C1000, LOWER('Base Stats'!$B$2:$B1000) = LOWER($A661))"),"1.15")</f>
        <v>1.15</v>
      </c>
      <c r="N661" s="0" t="e">
        <f aca="false">IFERROR(IF(AND(NOT(K661 = ""), G661 &gt;= 15),K661/M661, ""))</f>
        <v>#VALUE!</v>
      </c>
    </row>
    <row r="662" customFormat="false" ht="15.75" hidden="false" customHeight="false" outlineLevel="0" collapsed="false">
      <c r="A662" s="0" t="n">
        <f aca="false">'Form Responses (Pokemon Stats)'!B556</f>
        <v>0</v>
      </c>
      <c r="B662" s="0" t="n">
        <f aca="false">'Form Responses (Pokemon Stats)'!D556</f>
        <v>0</v>
      </c>
      <c r="C662" s="0" t="n">
        <f aca="false">'Form Responses (Pokemon Stats)'!C556</f>
        <v>0</v>
      </c>
      <c r="F662" s="0" t="n">
        <f aca="false">'Form Responses (Pokemon Stats)'!E556</f>
        <v>0</v>
      </c>
      <c r="G662" s="0" t="str">
        <f aca="false">IFERROR(__xludf.dummyfunction("ROUND(B662/ FILTER('Pokemon CP/HP'!$M$2:$M1000, LOWER('Pokemon CP/HP'!$B$2:$B1000)=LOWER(A662)))"),"#DIV/0!")</f>
        <v>#DIV/0!</v>
      </c>
      <c r="H662" s="0" t="str">
        <f aca="false">IFERROR(__xludf.dummyfunction("FILTER('Leveling Info'!$B$2:$B1000, 'Leveling Info'!$A$2:$A1000 =G662)"),"#N/A")</f>
        <v>#N/A</v>
      </c>
      <c r="I662" s="14" t="e">
        <f aca="false">SQRT(G662)</f>
        <v>#VALUE!</v>
      </c>
      <c r="J662" s="14" t="str">
        <f aca="false">IFERROR(__xludf.dummyfunction("IF(F662 = H662,C662/FILTER('Base Stats'!$C$2:$C1000, LOWER('Base Stats'!$B$2:$B1000) = LOWER($A662)), """")"),"#N/A")</f>
        <v>#N/A</v>
      </c>
      <c r="K662" s="0" t="str">
        <f aca="false">IF(F662 = H662, C662/G662, "")</f>
        <v/>
      </c>
      <c r="L662" s="0" t="str">
        <f aca="false">IFERROR(__xludf.dummyfunction("IF(AND(NOT(K662 = """"), G662 &gt;= 15),K662/FILTER('Base Stats'!$C$2:$C1000, LOWER('Base Stats'!$B$2:$B1000) = LOWER($A662)), """")"),"#N/A")</f>
        <v>#N/A</v>
      </c>
      <c r="M662" s="0" t="str">
        <f aca="false">IFERROR(__xludf.dummyfunction("1.15 + 0.02 * FILTER('Base Stats'!$C$2:$C1000, LOWER('Base Stats'!$B$2:$B1000) = LOWER($A662))"),"1.15")</f>
        <v>1.15</v>
      </c>
      <c r="N662" s="0" t="e">
        <f aca="false">IFERROR(IF(AND(NOT(K662 = ""), G662 &gt;= 15),K662/M662, ""))</f>
        <v>#VALUE!</v>
      </c>
    </row>
    <row r="663" customFormat="false" ht="15.75" hidden="false" customHeight="false" outlineLevel="0" collapsed="false">
      <c r="A663" s="0" t="n">
        <f aca="false">'Form Responses (Pokemon Stats)'!B557</f>
        <v>0</v>
      </c>
      <c r="B663" s="0" t="n">
        <f aca="false">'Form Responses (Pokemon Stats)'!D557</f>
        <v>0</v>
      </c>
      <c r="C663" s="0" t="n">
        <f aca="false">'Form Responses (Pokemon Stats)'!C557</f>
        <v>0</v>
      </c>
      <c r="F663" s="0" t="n">
        <f aca="false">'Form Responses (Pokemon Stats)'!E557</f>
        <v>0</v>
      </c>
      <c r="G663" s="0" t="str">
        <f aca="false">IFERROR(__xludf.dummyfunction("ROUND(B663/ FILTER('Pokemon CP/HP'!$M$2:$M1000, LOWER('Pokemon CP/HP'!$B$2:$B1000)=LOWER(A663)))"),"#DIV/0!")</f>
        <v>#DIV/0!</v>
      </c>
      <c r="H663" s="0" t="str">
        <f aca="false">IFERROR(__xludf.dummyfunction("FILTER('Leveling Info'!$B$2:$B1000, 'Leveling Info'!$A$2:$A1000 =G663)"),"#N/A")</f>
        <v>#N/A</v>
      </c>
      <c r="I663" s="14" t="e">
        <f aca="false">SQRT(G663)</f>
        <v>#VALUE!</v>
      </c>
      <c r="J663" s="14" t="str">
        <f aca="false">IFERROR(__xludf.dummyfunction("IF(F663 = H663,C663/FILTER('Base Stats'!$C$2:$C1000, LOWER('Base Stats'!$B$2:$B1000) = LOWER($A663)), """")"),"#N/A")</f>
        <v>#N/A</v>
      </c>
      <c r="K663" s="0" t="str">
        <f aca="false">IF(F663 = H663, C663/G663, "")</f>
        <v/>
      </c>
      <c r="L663" s="0" t="str">
        <f aca="false">IFERROR(__xludf.dummyfunction("IF(AND(NOT(K663 = """"), G663 &gt;= 15),K663/FILTER('Base Stats'!$C$2:$C1000, LOWER('Base Stats'!$B$2:$B1000) = LOWER($A663)), """")"),"#N/A")</f>
        <v>#N/A</v>
      </c>
      <c r="M663" s="0" t="str">
        <f aca="false">IFERROR(__xludf.dummyfunction("1.15 + 0.02 * FILTER('Base Stats'!$C$2:$C1000, LOWER('Base Stats'!$B$2:$B1000) = LOWER($A663))"),"1.15")</f>
        <v>1.15</v>
      </c>
      <c r="N663" s="0" t="e">
        <f aca="false">IFERROR(IF(AND(NOT(K663 = ""), G663 &gt;= 15),K663/M663, ""))</f>
        <v>#VALUE!</v>
      </c>
    </row>
    <row r="664" customFormat="false" ht="15.75" hidden="false" customHeight="false" outlineLevel="0" collapsed="false">
      <c r="A664" s="0" t="n">
        <f aca="false">'Form Responses (Pokemon Stats)'!B558</f>
        <v>0</v>
      </c>
      <c r="B664" s="0" t="n">
        <f aca="false">'Form Responses (Pokemon Stats)'!D558</f>
        <v>0</v>
      </c>
      <c r="C664" s="0" t="n">
        <f aca="false">'Form Responses (Pokemon Stats)'!C558</f>
        <v>0</v>
      </c>
      <c r="F664" s="0" t="n">
        <f aca="false">'Form Responses (Pokemon Stats)'!E558</f>
        <v>0</v>
      </c>
      <c r="G664" s="0" t="str">
        <f aca="false">IFERROR(__xludf.dummyfunction("ROUND(B664/ FILTER('Pokemon CP/HP'!$M$2:$M1000, LOWER('Pokemon CP/HP'!$B$2:$B1000)=LOWER(A664)))"),"#DIV/0!")</f>
        <v>#DIV/0!</v>
      </c>
      <c r="H664" s="0" t="str">
        <f aca="false">IFERROR(__xludf.dummyfunction("FILTER('Leveling Info'!$B$2:$B1000, 'Leveling Info'!$A$2:$A1000 =G664)"),"#N/A")</f>
        <v>#N/A</v>
      </c>
      <c r="I664" s="14" t="e">
        <f aca="false">SQRT(G664)</f>
        <v>#VALUE!</v>
      </c>
      <c r="J664" s="14" t="str">
        <f aca="false">IFERROR(__xludf.dummyfunction("IF(F664 = H664,C664/FILTER('Base Stats'!$C$2:$C1000, LOWER('Base Stats'!$B$2:$B1000) = LOWER($A664)), """")"),"#N/A")</f>
        <v>#N/A</v>
      </c>
      <c r="K664" s="0" t="str">
        <f aca="false">IF(F664 = H664, C664/G664, "")</f>
        <v/>
      </c>
      <c r="L664" s="0" t="str">
        <f aca="false">IFERROR(__xludf.dummyfunction("IF(AND(NOT(K664 = """"), G664 &gt;= 15),K664/FILTER('Base Stats'!$C$2:$C1000, LOWER('Base Stats'!$B$2:$B1000) = LOWER($A664)), """")"),"#N/A")</f>
        <v>#N/A</v>
      </c>
      <c r="M664" s="0" t="str">
        <f aca="false">IFERROR(__xludf.dummyfunction("1.15 + 0.02 * FILTER('Base Stats'!$C$2:$C1000, LOWER('Base Stats'!$B$2:$B1000) = LOWER($A664))"),"1.15")</f>
        <v>1.15</v>
      </c>
      <c r="N664" s="0" t="e">
        <f aca="false">IFERROR(IF(AND(NOT(K664 = ""), G664 &gt;= 15),K664/M664, ""))</f>
        <v>#VALUE!</v>
      </c>
    </row>
    <row r="665" customFormat="false" ht="15.75" hidden="false" customHeight="false" outlineLevel="0" collapsed="false">
      <c r="A665" s="0" t="n">
        <f aca="false">'Form Responses (Pokemon Stats)'!B559</f>
        <v>0</v>
      </c>
      <c r="B665" s="0" t="n">
        <f aca="false">'Form Responses (Pokemon Stats)'!D559</f>
        <v>0</v>
      </c>
      <c r="C665" s="0" t="n">
        <f aca="false">'Form Responses (Pokemon Stats)'!C559</f>
        <v>0</v>
      </c>
      <c r="F665" s="0" t="n">
        <f aca="false">'Form Responses (Pokemon Stats)'!E559</f>
        <v>0</v>
      </c>
      <c r="G665" s="0" t="str">
        <f aca="false">IFERROR(__xludf.dummyfunction("ROUND(B665/ FILTER('Pokemon CP/HP'!$M$2:$M1000, LOWER('Pokemon CP/HP'!$B$2:$B1000)=LOWER(A665)))"),"#DIV/0!")</f>
        <v>#DIV/0!</v>
      </c>
      <c r="H665" s="0" t="str">
        <f aca="false">IFERROR(__xludf.dummyfunction("FILTER('Leveling Info'!$B$2:$B1000, 'Leveling Info'!$A$2:$A1000 =G665)"),"#N/A")</f>
        <v>#N/A</v>
      </c>
      <c r="I665" s="14" t="e">
        <f aca="false">SQRT(G665)</f>
        <v>#VALUE!</v>
      </c>
      <c r="J665" s="14" t="str">
        <f aca="false">IFERROR(__xludf.dummyfunction("IF(F665 = H665,C665/FILTER('Base Stats'!$C$2:$C1000, LOWER('Base Stats'!$B$2:$B1000) = LOWER($A665)), """")"),"#N/A")</f>
        <v>#N/A</v>
      </c>
      <c r="K665" s="0" t="str">
        <f aca="false">IF(F665 = H665, C665/G665, "")</f>
        <v/>
      </c>
      <c r="L665" s="0" t="str">
        <f aca="false">IFERROR(__xludf.dummyfunction("IF(AND(NOT(K665 = """"), G665 &gt;= 15),K665/FILTER('Base Stats'!$C$2:$C1000, LOWER('Base Stats'!$B$2:$B1000) = LOWER($A665)), """")"),"#N/A")</f>
        <v>#N/A</v>
      </c>
      <c r="M665" s="0" t="str">
        <f aca="false">IFERROR(__xludf.dummyfunction("1.15 + 0.02 * FILTER('Base Stats'!$C$2:$C1000, LOWER('Base Stats'!$B$2:$B1000) = LOWER($A665))"),"1.15")</f>
        <v>1.15</v>
      </c>
      <c r="N665" s="0" t="e">
        <f aca="false">IFERROR(IF(AND(NOT(K665 = ""), G665 &gt;= 15),K665/M665, ""))</f>
        <v>#VALUE!</v>
      </c>
    </row>
    <row r="666" customFormat="false" ht="15.75" hidden="false" customHeight="false" outlineLevel="0" collapsed="false">
      <c r="A666" s="0" t="n">
        <f aca="false">'Form Responses (Pokemon Stats)'!B560</f>
        <v>0</v>
      </c>
      <c r="B666" s="0" t="n">
        <f aca="false">'Form Responses (Pokemon Stats)'!D560</f>
        <v>0</v>
      </c>
      <c r="C666" s="0" t="n">
        <f aca="false">'Form Responses (Pokemon Stats)'!C560</f>
        <v>0</v>
      </c>
      <c r="F666" s="0" t="n">
        <f aca="false">'Form Responses (Pokemon Stats)'!E560</f>
        <v>0</v>
      </c>
      <c r="G666" s="0" t="str">
        <f aca="false">IFERROR(__xludf.dummyfunction("ROUND(B666/ FILTER('Pokemon CP/HP'!$M$2:$M1000, LOWER('Pokemon CP/HP'!$B$2:$B1000)=LOWER(A666)))"),"#DIV/0!")</f>
        <v>#DIV/0!</v>
      </c>
      <c r="H666" s="0" t="str">
        <f aca="false">IFERROR(__xludf.dummyfunction("FILTER('Leveling Info'!$B$2:$B1000, 'Leveling Info'!$A$2:$A1000 =G666)"),"#N/A")</f>
        <v>#N/A</v>
      </c>
      <c r="I666" s="14" t="e">
        <f aca="false">SQRT(G666)</f>
        <v>#VALUE!</v>
      </c>
      <c r="J666" s="14" t="str">
        <f aca="false">IFERROR(__xludf.dummyfunction("IF(F666 = H666,C666/FILTER('Base Stats'!$C$2:$C1000, LOWER('Base Stats'!$B$2:$B1000) = LOWER($A666)), """")"),"#N/A")</f>
        <v>#N/A</v>
      </c>
      <c r="K666" s="0" t="str">
        <f aca="false">IF(F666 = H666, C666/G666, "")</f>
        <v/>
      </c>
      <c r="L666" s="0" t="str">
        <f aca="false">IFERROR(__xludf.dummyfunction("IF(AND(NOT(K666 = """"), G666 &gt;= 15),K666/FILTER('Base Stats'!$C$2:$C1000, LOWER('Base Stats'!$B$2:$B1000) = LOWER($A666)), """")"),"#N/A")</f>
        <v>#N/A</v>
      </c>
      <c r="M666" s="0" t="str">
        <f aca="false">IFERROR(__xludf.dummyfunction("1.15 + 0.02 * FILTER('Base Stats'!$C$2:$C1000, LOWER('Base Stats'!$B$2:$B1000) = LOWER($A666))"),"1.15")</f>
        <v>1.15</v>
      </c>
      <c r="N666" s="0" t="e">
        <f aca="false">IFERROR(IF(AND(NOT(K666 = ""), G666 &gt;= 15),K666/M666, ""))</f>
        <v>#VALUE!</v>
      </c>
    </row>
    <row r="667" customFormat="false" ht="15.75" hidden="false" customHeight="false" outlineLevel="0" collapsed="false">
      <c r="A667" s="0" t="n">
        <f aca="false">'Form Responses (Pokemon Stats)'!B561</f>
        <v>0</v>
      </c>
      <c r="B667" s="0" t="n">
        <f aca="false">'Form Responses (Pokemon Stats)'!D561</f>
        <v>0</v>
      </c>
      <c r="C667" s="0" t="n">
        <f aca="false">'Form Responses (Pokemon Stats)'!C561</f>
        <v>0</v>
      </c>
      <c r="F667" s="0" t="n">
        <f aca="false">'Form Responses (Pokemon Stats)'!E561</f>
        <v>0</v>
      </c>
      <c r="G667" s="0" t="str">
        <f aca="false">IFERROR(__xludf.dummyfunction("ROUND(B667/ FILTER('Pokemon CP/HP'!$M$2:$M1000, LOWER('Pokemon CP/HP'!$B$2:$B1000)=LOWER(A667)))"),"#DIV/0!")</f>
        <v>#DIV/0!</v>
      </c>
      <c r="H667" s="0" t="str">
        <f aca="false">IFERROR(__xludf.dummyfunction("FILTER('Leveling Info'!$B$2:$B1000, 'Leveling Info'!$A$2:$A1000 =G667)"),"#N/A")</f>
        <v>#N/A</v>
      </c>
      <c r="I667" s="14" t="e">
        <f aca="false">SQRT(G667)</f>
        <v>#VALUE!</v>
      </c>
      <c r="J667" s="14" t="str">
        <f aca="false">IFERROR(__xludf.dummyfunction("IF(F667 = H667,C667/FILTER('Base Stats'!$C$2:$C1000, LOWER('Base Stats'!$B$2:$B1000) = LOWER($A667)), """")"),"#N/A")</f>
        <v>#N/A</v>
      </c>
      <c r="K667" s="0" t="str">
        <f aca="false">IF(F667 = H667, C667/G667, "")</f>
        <v/>
      </c>
      <c r="L667" s="0" t="str">
        <f aca="false">IFERROR(__xludf.dummyfunction("IF(AND(NOT(K667 = """"), G667 &gt;= 15),K667/FILTER('Base Stats'!$C$2:$C1000, LOWER('Base Stats'!$B$2:$B1000) = LOWER($A667)), """")"),"#N/A")</f>
        <v>#N/A</v>
      </c>
      <c r="M667" s="0" t="str">
        <f aca="false">IFERROR(__xludf.dummyfunction("1.15 + 0.02 * FILTER('Base Stats'!$C$2:$C1000, LOWER('Base Stats'!$B$2:$B1000) = LOWER($A667))"),"1.15")</f>
        <v>1.15</v>
      </c>
      <c r="N667" s="0" t="e">
        <f aca="false">IFERROR(IF(AND(NOT(K667 = ""), G667 &gt;= 15),K667/M667, ""))</f>
        <v>#VALUE!</v>
      </c>
    </row>
    <row r="668" customFormat="false" ht="15.75" hidden="false" customHeight="false" outlineLevel="0" collapsed="false">
      <c r="A668" s="0" t="n">
        <f aca="false">'Form Responses (Pokemon Stats)'!B562</f>
        <v>0</v>
      </c>
      <c r="B668" s="0" t="n">
        <f aca="false">'Form Responses (Pokemon Stats)'!D562</f>
        <v>0</v>
      </c>
      <c r="C668" s="0" t="n">
        <f aca="false">'Form Responses (Pokemon Stats)'!C562</f>
        <v>0</v>
      </c>
      <c r="F668" s="0" t="n">
        <f aca="false">'Form Responses (Pokemon Stats)'!E562</f>
        <v>0</v>
      </c>
      <c r="G668" s="0" t="str">
        <f aca="false">IFERROR(__xludf.dummyfunction("ROUND(B668/ FILTER('Pokemon CP/HP'!$M$2:$M1000, LOWER('Pokemon CP/HP'!$B$2:$B1000)=LOWER(A668)))"),"#DIV/0!")</f>
        <v>#DIV/0!</v>
      </c>
      <c r="H668" s="0" t="str">
        <f aca="false">IFERROR(__xludf.dummyfunction("FILTER('Leveling Info'!$B$2:$B1000, 'Leveling Info'!$A$2:$A1000 =G668)"),"#N/A")</f>
        <v>#N/A</v>
      </c>
      <c r="I668" s="14" t="e">
        <f aca="false">SQRT(G668)</f>
        <v>#VALUE!</v>
      </c>
      <c r="J668" s="14" t="str">
        <f aca="false">IFERROR(__xludf.dummyfunction("IF(F668 = H668,C668/FILTER('Base Stats'!$C$2:$C1000, LOWER('Base Stats'!$B$2:$B1000) = LOWER($A668)), """")"),"#N/A")</f>
        <v>#N/A</v>
      </c>
      <c r="K668" s="0" t="str">
        <f aca="false">IF(F668 = H668, C668/G668, "")</f>
        <v/>
      </c>
      <c r="L668" s="0" t="str">
        <f aca="false">IFERROR(__xludf.dummyfunction("IF(AND(NOT(K668 = """"), G668 &gt;= 15),K668/FILTER('Base Stats'!$C$2:$C1000, LOWER('Base Stats'!$B$2:$B1000) = LOWER($A668)), """")"),"#N/A")</f>
        <v>#N/A</v>
      </c>
      <c r="M668" s="0" t="str">
        <f aca="false">IFERROR(__xludf.dummyfunction("1.15 + 0.02 * FILTER('Base Stats'!$C$2:$C1000, LOWER('Base Stats'!$B$2:$B1000) = LOWER($A668))"),"1.15")</f>
        <v>1.15</v>
      </c>
      <c r="N668" s="0" t="e">
        <f aca="false">IFERROR(IF(AND(NOT(K668 = ""), G668 &gt;= 15),K668/M668, ""))</f>
        <v>#VALUE!</v>
      </c>
    </row>
    <row r="669" customFormat="false" ht="15.75" hidden="false" customHeight="false" outlineLevel="0" collapsed="false">
      <c r="A669" s="0" t="n">
        <f aca="false">'Form Responses (Pokemon Stats)'!B563</f>
        <v>0</v>
      </c>
      <c r="B669" s="0" t="n">
        <f aca="false">'Form Responses (Pokemon Stats)'!D563</f>
        <v>0</v>
      </c>
      <c r="C669" s="0" t="n">
        <f aca="false">'Form Responses (Pokemon Stats)'!C563</f>
        <v>0</v>
      </c>
      <c r="F669" s="0" t="n">
        <f aca="false">'Form Responses (Pokemon Stats)'!E563</f>
        <v>0</v>
      </c>
      <c r="G669" s="0" t="str">
        <f aca="false">IFERROR(__xludf.dummyfunction("ROUND(B669/ FILTER('Pokemon CP/HP'!$M$2:$M1000, LOWER('Pokemon CP/HP'!$B$2:$B1000)=LOWER(A669)))"),"#DIV/0!")</f>
        <v>#DIV/0!</v>
      </c>
      <c r="H669" s="0" t="str">
        <f aca="false">IFERROR(__xludf.dummyfunction("FILTER('Leveling Info'!$B$2:$B1000, 'Leveling Info'!$A$2:$A1000 =G669)"),"#N/A")</f>
        <v>#N/A</v>
      </c>
      <c r="I669" s="14" t="e">
        <f aca="false">SQRT(G669)</f>
        <v>#VALUE!</v>
      </c>
      <c r="J669" s="14" t="str">
        <f aca="false">IFERROR(__xludf.dummyfunction("IF(F669 = H669,C669/FILTER('Base Stats'!$C$2:$C1000, LOWER('Base Stats'!$B$2:$B1000) = LOWER($A669)), """")"),"#N/A")</f>
        <v>#N/A</v>
      </c>
      <c r="K669" s="0" t="str">
        <f aca="false">IF(F669 = H669, C669/G669, "")</f>
        <v/>
      </c>
      <c r="L669" s="0" t="str">
        <f aca="false">IFERROR(__xludf.dummyfunction("IF(AND(NOT(K669 = """"), G669 &gt;= 15),K669/FILTER('Base Stats'!$C$2:$C1000, LOWER('Base Stats'!$B$2:$B1000) = LOWER($A669)), """")"),"#N/A")</f>
        <v>#N/A</v>
      </c>
      <c r="M669" s="0" t="str">
        <f aca="false">IFERROR(__xludf.dummyfunction("1.15 + 0.02 * FILTER('Base Stats'!$C$2:$C1000, LOWER('Base Stats'!$B$2:$B1000) = LOWER($A669))"),"1.15")</f>
        <v>1.15</v>
      </c>
      <c r="N669" s="0" t="e">
        <f aca="false">IFERROR(IF(AND(NOT(K669 = ""), G669 &gt;= 15),K669/M669, ""))</f>
        <v>#VALUE!</v>
      </c>
    </row>
    <row r="670" customFormat="false" ht="15.75" hidden="false" customHeight="false" outlineLevel="0" collapsed="false">
      <c r="A670" s="0" t="n">
        <f aca="false">'Form Responses (Pokemon Stats)'!B564</f>
        <v>0</v>
      </c>
      <c r="B670" s="0" t="n">
        <f aca="false">'Form Responses (Pokemon Stats)'!D564</f>
        <v>0</v>
      </c>
      <c r="C670" s="0" t="n">
        <f aca="false">'Form Responses (Pokemon Stats)'!C564</f>
        <v>0</v>
      </c>
      <c r="F670" s="0" t="n">
        <f aca="false">'Form Responses (Pokemon Stats)'!E564</f>
        <v>0</v>
      </c>
      <c r="G670" s="0" t="str">
        <f aca="false">IFERROR(__xludf.dummyfunction("ROUND(B670/ FILTER('Pokemon CP/HP'!$M$2:$M1000, LOWER('Pokemon CP/HP'!$B$2:$B1000)=LOWER(A670)))"),"#DIV/0!")</f>
        <v>#DIV/0!</v>
      </c>
      <c r="H670" s="0" t="str">
        <f aca="false">IFERROR(__xludf.dummyfunction("FILTER('Leveling Info'!$B$2:$B1000, 'Leveling Info'!$A$2:$A1000 =G670)"),"#N/A")</f>
        <v>#N/A</v>
      </c>
      <c r="I670" s="14" t="e">
        <f aca="false">SQRT(G670)</f>
        <v>#VALUE!</v>
      </c>
      <c r="J670" s="14" t="str">
        <f aca="false">IFERROR(__xludf.dummyfunction("IF(F670 = H670,C670/FILTER('Base Stats'!$C$2:$C1000, LOWER('Base Stats'!$B$2:$B1000) = LOWER($A670)), """")"),"#N/A")</f>
        <v>#N/A</v>
      </c>
      <c r="K670" s="0" t="str">
        <f aca="false">IF(F670 = H670, C670/G670, "")</f>
        <v/>
      </c>
      <c r="L670" s="0" t="str">
        <f aca="false">IFERROR(__xludf.dummyfunction("IF(AND(NOT(K670 = """"), G670 &gt;= 15),K670/FILTER('Base Stats'!$C$2:$C1000, LOWER('Base Stats'!$B$2:$B1000) = LOWER($A670)), """")"),"#N/A")</f>
        <v>#N/A</v>
      </c>
      <c r="M670" s="0" t="str">
        <f aca="false">IFERROR(__xludf.dummyfunction("1.15 + 0.02 * FILTER('Base Stats'!$C$2:$C1000, LOWER('Base Stats'!$B$2:$B1000) = LOWER($A670))"),"1.15")</f>
        <v>1.15</v>
      </c>
      <c r="N670" s="0" t="e">
        <f aca="false">IFERROR(IF(AND(NOT(K670 = ""), G670 &gt;= 15),K670/M670, ""))</f>
        <v>#VALUE!</v>
      </c>
    </row>
    <row r="671" customFormat="false" ht="15.75" hidden="false" customHeight="false" outlineLevel="0" collapsed="false">
      <c r="A671" s="0" t="n">
        <f aca="false">'Form Responses (Pokemon Stats)'!B565</f>
        <v>0</v>
      </c>
      <c r="B671" s="0" t="n">
        <f aca="false">'Form Responses (Pokemon Stats)'!D565</f>
        <v>0</v>
      </c>
      <c r="C671" s="0" t="n">
        <f aca="false">'Form Responses (Pokemon Stats)'!C565</f>
        <v>0</v>
      </c>
      <c r="F671" s="0" t="n">
        <f aca="false">'Form Responses (Pokemon Stats)'!E565</f>
        <v>0</v>
      </c>
      <c r="G671" s="0" t="str">
        <f aca="false">IFERROR(__xludf.dummyfunction("ROUND(B671/ FILTER('Pokemon CP/HP'!$M$2:$M1000, LOWER('Pokemon CP/HP'!$B$2:$B1000)=LOWER(A671)))"),"#DIV/0!")</f>
        <v>#DIV/0!</v>
      </c>
      <c r="H671" s="0" t="str">
        <f aca="false">IFERROR(__xludf.dummyfunction("FILTER('Leveling Info'!$B$2:$B1000, 'Leveling Info'!$A$2:$A1000 =G671)"),"#N/A")</f>
        <v>#N/A</v>
      </c>
      <c r="I671" s="14" t="e">
        <f aca="false">SQRT(G671)</f>
        <v>#VALUE!</v>
      </c>
      <c r="J671" s="14" t="str">
        <f aca="false">IFERROR(__xludf.dummyfunction("IF(F671 = H671,C671/FILTER('Base Stats'!$C$2:$C1000, LOWER('Base Stats'!$B$2:$B1000) = LOWER($A671)), """")"),"#N/A")</f>
        <v>#N/A</v>
      </c>
      <c r="K671" s="0" t="str">
        <f aca="false">IF(F671 = H671, C671/G671, "")</f>
        <v/>
      </c>
      <c r="L671" s="0" t="str">
        <f aca="false">IFERROR(__xludf.dummyfunction("IF(AND(NOT(K671 = """"), G671 &gt;= 15),K671/FILTER('Base Stats'!$C$2:$C1000, LOWER('Base Stats'!$B$2:$B1000) = LOWER($A671)), """")"),"#N/A")</f>
        <v>#N/A</v>
      </c>
      <c r="M671" s="0" t="str">
        <f aca="false">IFERROR(__xludf.dummyfunction("1.15 + 0.02 * FILTER('Base Stats'!$C$2:$C1000, LOWER('Base Stats'!$B$2:$B1000) = LOWER($A671))"),"1.15")</f>
        <v>1.15</v>
      </c>
      <c r="N671" s="0" t="e">
        <f aca="false">IFERROR(IF(AND(NOT(K671 = ""), G671 &gt;= 15),K671/M671, ""))</f>
        <v>#VALUE!</v>
      </c>
    </row>
    <row r="672" customFormat="false" ht="15.75" hidden="false" customHeight="false" outlineLevel="0" collapsed="false">
      <c r="A672" s="0" t="n">
        <f aca="false">'Form Responses (Pokemon Stats)'!B566</f>
        <v>0</v>
      </c>
      <c r="B672" s="0" t="n">
        <f aca="false">'Form Responses (Pokemon Stats)'!D566</f>
        <v>0</v>
      </c>
      <c r="C672" s="0" t="n">
        <f aca="false">'Form Responses (Pokemon Stats)'!C566</f>
        <v>0</v>
      </c>
      <c r="F672" s="0" t="n">
        <f aca="false">'Form Responses (Pokemon Stats)'!E566</f>
        <v>0</v>
      </c>
      <c r="G672" s="0" t="str">
        <f aca="false">IFERROR(__xludf.dummyfunction("ROUND(B672/ FILTER('Pokemon CP/HP'!$M$2:$M1000, LOWER('Pokemon CP/HP'!$B$2:$B1000)=LOWER(A672)))"),"#DIV/0!")</f>
        <v>#DIV/0!</v>
      </c>
      <c r="H672" s="0" t="str">
        <f aca="false">IFERROR(__xludf.dummyfunction("FILTER('Leveling Info'!$B$2:$B1000, 'Leveling Info'!$A$2:$A1000 =G672)"),"#N/A")</f>
        <v>#N/A</v>
      </c>
      <c r="I672" s="14" t="e">
        <f aca="false">SQRT(G672)</f>
        <v>#VALUE!</v>
      </c>
      <c r="J672" s="14" t="str">
        <f aca="false">IFERROR(__xludf.dummyfunction("IF(F672 = H672,C672/FILTER('Base Stats'!$C$2:$C1000, LOWER('Base Stats'!$B$2:$B1000) = LOWER($A672)), """")"),"#N/A")</f>
        <v>#N/A</v>
      </c>
      <c r="K672" s="0" t="str">
        <f aca="false">IF(F672 = H672, C672/G672, "")</f>
        <v/>
      </c>
      <c r="L672" s="0" t="str">
        <f aca="false">IFERROR(__xludf.dummyfunction("IF(AND(NOT(K672 = """"), G672 &gt;= 15),K672/FILTER('Base Stats'!$C$2:$C1000, LOWER('Base Stats'!$B$2:$B1000) = LOWER($A672)), """")"),"#N/A")</f>
        <v>#N/A</v>
      </c>
      <c r="M672" s="0" t="str">
        <f aca="false">IFERROR(__xludf.dummyfunction("1.15 + 0.02 * FILTER('Base Stats'!$C$2:$C1000, LOWER('Base Stats'!$B$2:$B1000) = LOWER($A672))"),"1.15")</f>
        <v>1.15</v>
      </c>
      <c r="N672" s="0" t="e">
        <f aca="false">IFERROR(IF(AND(NOT(K672 = ""), G672 &gt;= 15),K672/M672, ""))</f>
        <v>#VALUE!</v>
      </c>
    </row>
    <row r="673" customFormat="false" ht="15.75" hidden="false" customHeight="false" outlineLevel="0" collapsed="false">
      <c r="A673" s="0" t="n">
        <f aca="false">'Form Responses (Pokemon Stats)'!B567</f>
        <v>0</v>
      </c>
      <c r="B673" s="0" t="n">
        <f aca="false">'Form Responses (Pokemon Stats)'!D567</f>
        <v>0</v>
      </c>
      <c r="C673" s="0" t="n">
        <f aca="false">'Form Responses (Pokemon Stats)'!C567</f>
        <v>0</v>
      </c>
      <c r="F673" s="0" t="n">
        <f aca="false">'Form Responses (Pokemon Stats)'!E567</f>
        <v>0</v>
      </c>
      <c r="G673" s="0" t="str">
        <f aca="false">IFERROR(__xludf.dummyfunction("ROUND(B673/ FILTER('Pokemon CP/HP'!$M$2:$M1000, LOWER('Pokemon CP/HP'!$B$2:$B1000)=LOWER(A673)))"),"#DIV/0!")</f>
        <v>#DIV/0!</v>
      </c>
      <c r="H673" s="0" t="str">
        <f aca="false">IFERROR(__xludf.dummyfunction("FILTER('Leveling Info'!$B$2:$B1000, 'Leveling Info'!$A$2:$A1000 =G673)"),"#N/A")</f>
        <v>#N/A</v>
      </c>
      <c r="I673" s="14" t="e">
        <f aca="false">SQRT(G673)</f>
        <v>#VALUE!</v>
      </c>
      <c r="J673" s="14" t="str">
        <f aca="false">IFERROR(__xludf.dummyfunction("IF(F673 = H673,C673/FILTER('Base Stats'!$C$2:$C1000, LOWER('Base Stats'!$B$2:$B1000) = LOWER($A673)), """")"),"#N/A")</f>
        <v>#N/A</v>
      </c>
      <c r="K673" s="0" t="str">
        <f aca="false">IF(F673 = H673, C673/G673, "")</f>
        <v/>
      </c>
      <c r="L673" s="0" t="str">
        <f aca="false">IFERROR(__xludf.dummyfunction("IF(AND(NOT(K673 = """"), G673 &gt;= 15),K673/FILTER('Base Stats'!$C$2:$C1000, LOWER('Base Stats'!$B$2:$B1000) = LOWER($A673)), """")"),"#N/A")</f>
        <v>#N/A</v>
      </c>
      <c r="M673" s="0" t="str">
        <f aca="false">IFERROR(__xludf.dummyfunction("1.15 + 0.02 * FILTER('Base Stats'!$C$2:$C1000, LOWER('Base Stats'!$B$2:$B1000) = LOWER($A673))"),"1.15")</f>
        <v>1.15</v>
      </c>
      <c r="N673" s="0" t="e">
        <f aca="false">IFERROR(IF(AND(NOT(K673 = ""), G673 &gt;= 15),K673/M673, ""))</f>
        <v>#VALUE!</v>
      </c>
    </row>
    <row r="674" customFormat="false" ht="15.75" hidden="false" customHeight="false" outlineLevel="0" collapsed="false">
      <c r="A674" s="0" t="n">
        <f aca="false">'Form Responses (Pokemon Stats)'!B568</f>
        <v>0</v>
      </c>
      <c r="B674" s="0" t="n">
        <f aca="false">'Form Responses (Pokemon Stats)'!D568</f>
        <v>0</v>
      </c>
      <c r="C674" s="0" t="n">
        <f aca="false">'Form Responses (Pokemon Stats)'!C568</f>
        <v>0</v>
      </c>
      <c r="F674" s="0" t="n">
        <f aca="false">'Form Responses (Pokemon Stats)'!E568</f>
        <v>0</v>
      </c>
      <c r="G674" s="0" t="str">
        <f aca="false">IFERROR(__xludf.dummyfunction("ROUND(B674/ FILTER('Pokemon CP/HP'!$M$2:$M1000, LOWER('Pokemon CP/HP'!$B$2:$B1000)=LOWER(A674)))"),"#DIV/0!")</f>
        <v>#DIV/0!</v>
      </c>
      <c r="H674" s="0" t="str">
        <f aca="false">IFERROR(__xludf.dummyfunction("FILTER('Leveling Info'!$B$2:$B1000, 'Leveling Info'!$A$2:$A1000 =G674)"),"#N/A")</f>
        <v>#N/A</v>
      </c>
      <c r="I674" s="14" t="e">
        <f aca="false">SQRT(G674)</f>
        <v>#VALUE!</v>
      </c>
      <c r="J674" s="14" t="str">
        <f aca="false">IFERROR(__xludf.dummyfunction("IF(F674 = H674,C674/FILTER('Base Stats'!$C$2:$C1000, LOWER('Base Stats'!$B$2:$B1000) = LOWER($A674)), """")"),"#N/A")</f>
        <v>#N/A</v>
      </c>
      <c r="K674" s="0" t="str">
        <f aca="false">IF(F674 = H674, C674/G674, "")</f>
        <v/>
      </c>
      <c r="L674" s="0" t="str">
        <f aca="false">IFERROR(__xludf.dummyfunction("IF(AND(NOT(K674 = """"), G674 &gt;= 15),K674/FILTER('Base Stats'!$C$2:$C1000, LOWER('Base Stats'!$B$2:$B1000) = LOWER($A674)), """")"),"#N/A")</f>
        <v>#N/A</v>
      </c>
      <c r="M674" s="0" t="str">
        <f aca="false">IFERROR(__xludf.dummyfunction("1.15 + 0.02 * FILTER('Base Stats'!$C$2:$C1000, LOWER('Base Stats'!$B$2:$B1000) = LOWER($A674))"),"1.15")</f>
        <v>1.15</v>
      </c>
      <c r="N674" s="0" t="e">
        <f aca="false">IFERROR(IF(AND(NOT(K674 = ""), G674 &gt;= 15),K674/M674, ""))</f>
        <v>#VALUE!</v>
      </c>
    </row>
    <row r="675" customFormat="false" ht="15.75" hidden="false" customHeight="false" outlineLevel="0" collapsed="false">
      <c r="A675" s="0" t="n">
        <f aca="false">'Form Responses (Pokemon Stats)'!B569</f>
        <v>0</v>
      </c>
      <c r="B675" s="0" t="n">
        <f aca="false">'Form Responses (Pokemon Stats)'!D569</f>
        <v>0</v>
      </c>
      <c r="C675" s="0" t="n">
        <f aca="false">'Form Responses (Pokemon Stats)'!C569</f>
        <v>0</v>
      </c>
      <c r="F675" s="0" t="n">
        <f aca="false">'Form Responses (Pokemon Stats)'!E569</f>
        <v>0</v>
      </c>
      <c r="G675" s="0" t="str">
        <f aca="false">IFERROR(__xludf.dummyfunction("ROUND(B675/ FILTER('Pokemon CP/HP'!$M$2:$M1000, LOWER('Pokemon CP/HP'!$B$2:$B1000)=LOWER(A675)))"),"#DIV/0!")</f>
        <v>#DIV/0!</v>
      </c>
      <c r="H675" s="0" t="str">
        <f aca="false">IFERROR(__xludf.dummyfunction("FILTER('Leveling Info'!$B$2:$B1000, 'Leveling Info'!$A$2:$A1000 =G675)"),"#N/A")</f>
        <v>#N/A</v>
      </c>
      <c r="I675" s="14" t="e">
        <f aca="false">SQRT(G675)</f>
        <v>#VALUE!</v>
      </c>
      <c r="J675" s="14" t="str">
        <f aca="false">IFERROR(__xludf.dummyfunction("IF(F675 = H675,C675/FILTER('Base Stats'!$C$2:$C1000, LOWER('Base Stats'!$B$2:$B1000) = LOWER($A675)), """")"),"#N/A")</f>
        <v>#N/A</v>
      </c>
      <c r="K675" s="0" t="str">
        <f aca="false">IF(F675 = H675, C675/G675, "")</f>
        <v/>
      </c>
      <c r="L675" s="0" t="str">
        <f aca="false">IFERROR(__xludf.dummyfunction("IF(AND(NOT(K675 = """"), G675 &gt;= 15),K675/FILTER('Base Stats'!$C$2:$C1000, LOWER('Base Stats'!$B$2:$B1000) = LOWER($A675)), """")"),"#N/A")</f>
        <v>#N/A</v>
      </c>
      <c r="M675" s="0" t="str">
        <f aca="false">IFERROR(__xludf.dummyfunction("1.15 + 0.02 * FILTER('Base Stats'!$C$2:$C1000, LOWER('Base Stats'!$B$2:$B1000) = LOWER($A675))"),"1.15")</f>
        <v>1.15</v>
      </c>
      <c r="N675" s="0" t="e">
        <f aca="false">IFERROR(IF(AND(NOT(K675 = ""), G675 &gt;= 15),K675/M675, ""))</f>
        <v>#VALUE!</v>
      </c>
    </row>
    <row r="676" customFormat="false" ht="15.75" hidden="false" customHeight="false" outlineLevel="0" collapsed="false">
      <c r="A676" s="0" t="n">
        <f aca="false">'Form Responses (Pokemon Stats)'!B570</f>
        <v>0</v>
      </c>
      <c r="B676" s="0" t="n">
        <f aca="false">'Form Responses (Pokemon Stats)'!D570</f>
        <v>0</v>
      </c>
      <c r="C676" s="0" t="n">
        <f aca="false">'Form Responses (Pokemon Stats)'!C570</f>
        <v>0</v>
      </c>
      <c r="F676" s="0" t="n">
        <f aca="false">'Form Responses (Pokemon Stats)'!E570</f>
        <v>0</v>
      </c>
      <c r="G676" s="0" t="str">
        <f aca="false">IFERROR(__xludf.dummyfunction("ROUND(B676/ FILTER('Pokemon CP/HP'!$M$2:$M1000, LOWER('Pokemon CP/HP'!$B$2:$B1000)=LOWER(A676)))"),"#DIV/0!")</f>
        <v>#DIV/0!</v>
      </c>
      <c r="H676" s="0" t="str">
        <f aca="false">IFERROR(__xludf.dummyfunction("FILTER('Leveling Info'!$B$2:$B1000, 'Leveling Info'!$A$2:$A1000 =G676)"),"#N/A")</f>
        <v>#N/A</v>
      </c>
      <c r="I676" s="14" t="e">
        <f aca="false">SQRT(G676)</f>
        <v>#VALUE!</v>
      </c>
      <c r="J676" s="14" t="str">
        <f aca="false">IFERROR(__xludf.dummyfunction("IF(F676 = H676,C676/FILTER('Base Stats'!$C$2:$C1000, LOWER('Base Stats'!$B$2:$B1000) = LOWER($A676)), """")"),"#N/A")</f>
        <v>#N/A</v>
      </c>
      <c r="K676" s="0" t="str">
        <f aca="false">IF(F676 = H676, C676/G676, "")</f>
        <v/>
      </c>
      <c r="L676" s="0" t="str">
        <f aca="false">IFERROR(__xludf.dummyfunction("IF(AND(NOT(K676 = """"), G676 &gt;= 15),K676/FILTER('Base Stats'!$C$2:$C1000, LOWER('Base Stats'!$B$2:$B1000) = LOWER($A676)), """")"),"#N/A")</f>
        <v>#N/A</v>
      </c>
      <c r="M676" s="0" t="str">
        <f aca="false">IFERROR(__xludf.dummyfunction("1.15 + 0.02 * FILTER('Base Stats'!$C$2:$C1000, LOWER('Base Stats'!$B$2:$B1000) = LOWER($A676))"),"1.15")</f>
        <v>1.15</v>
      </c>
      <c r="N676" s="0" t="e">
        <f aca="false">IFERROR(IF(AND(NOT(K676 = ""), G676 &gt;= 15),K676/M676, ""))</f>
        <v>#VALUE!</v>
      </c>
    </row>
    <row r="677" customFormat="false" ht="15.75" hidden="false" customHeight="false" outlineLevel="0" collapsed="false">
      <c r="A677" s="0" t="n">
        <f aca="false">'Form Responses (Pokemon Stats)'!B571</f>
        <v>0</v>
      </c>
      <c r="B677" s="0" t="n">
        <f aca="false">'Form Responses (Pokemon Stats)'!D571</f>
        <v>0</v>
      </c>
      <c r="C677" s="0" t="n">
        <f aca="false">'Form Responses (Pokemon Stats)'!C571</f>
        <v>0</v>
      </c>
      <c r="F677" s="0" t="n">
        <f aca="false">'Form Responses (Pokemon Stats)'!E571</f>
        <v>0</v>
      </c>
      <c r="G677" s="0" t="str">
        <f aca="false">IFERROR(__xludf.dummyfunction("ROUND(B677/ FILTER('Pokemon CP/HP'!$M$2:$M1000, LOWER('Pokemon CP/HP'!$B$2:$B1000)=LOWER(A677)))"),"#DIV/0!")</f>
        <v>#DIV/0!</v>
      </c>
      <c r="H677" s="0" t="str">
        <f aca="false">IFERROR(__xludf.dummyfunction("FILTER('Leveling Info'!$B$2:$B1000, 'Leveling Info'!$A$2:$A1000 =G677)"),"#N/A")</f>
        <v>#N/A</v>
      </c>
      <c r="I677" s="14" t="e">
        <f aca="false">SQRT(G677)</f>
        <v>#VALUE!</v>
      </c>
      <c r="J677" s="14" t="str">
        <f aca="false">IFERROR(__xludf.dummyfunction("IF(F677 = H677,C677/FILTER('Base Stats'!$C$2:$C1000, LOWER('Base Stats'!$B$2:$B1000) = LOWER($A677)), """")"),"#N/A")</f>
        <v>#N/A</v>
      </c>
      <c r="K677" s="0" t="str">
        <f aca="false">IF(F677 = H677, C677/G677, "")</f>
        <v/>
      </c>
      <c r="L677" s="0" t="str">
        <f aca="false">IFERROR(__xludf.dummyfunction("IF(AND(NOT(K677 = """"), G677 &gt;= 15),K677/FILTER('Base Stats'!$C$2:$C1000, LOWER('Base Stats'!$B$2:$B1000) = LOWER($A677)), """")"),"#N/A")</f>
        <v>#N/A</v>
      </c>
      <c r="M677" s="0" t="str">
        <f aca="false">IFERROR(__xludf.dummyfunction("1.15 + 0.02 * FILTER('Base Stats'!$C$2:$C1000, LOWER('Base Stats'!$B$2:$B1000) = LOWER($A677))"),"1.15")</f>
        <v>1.15</v>
      </c>
      <c r="N677" s="0" t="e">
        <f aca="false">IFERROR(IF(AND(NOT(K677 = ""), G677 &gt;= 15),K677/M677, ""))</f>
        <v>#VALUE!</v>
      </c>
    </row>
    <row r="678" customFormat="false" ht="15.75" hidden="false" customHeight="false" outlineLevel="0" collapsed="false">
      <c r="A678" s="0" t="n">
        <f aca="false">'Form Responses (Pokemon Stats)'!B572</f>
        <v>0</v>
      </c>
      <c r="B678" s="0" t="n">
        <f aca="false">'Form Responses (Pokemon Stats)'!D572</f>
        <v>0</v>
      </c>
      <c r="C678" s="0" t="n">
        <f aca="false">'Form Responses (Pokemon Stats)'!C572</f>
        <v>0</v>
      </c>
      <c r="F678" s="0" t="n">
        <f aca="false">'Form Responses (Pokemon Stats)'!E572</f>
        <v>0</v>
      </c>
      <c r="G678" s="0" t="str">
        <f aca="false">IFERROR(__xludf.dummyfunction("ROUND(B678/ FILTER('Pokemon CP/HP'!$M$2:$M1000, LOWER('Pokemon CP/HP'!$B$2:$B1000)=LOWER(A678)))"),"#DIV/0!")</f>
        <v>#DIV/0!</v>
      </c>
      <c r="H678" s="0" t="str">
        <f aca="false">IFERROR(__xludf.dummyfunction("FILTER('Leveling Info'!$B$2:$B1000, 'Leveling Info'!$A$2:$A1000 =G678)"),"#N/A")</f>
        <v>#N/A</v>
      </c>
      <c r="I678" s="14" t="e">
        <f aca="false">SQRT(G678)</f>
        <v>#VALUE!</v>
      </c>
      <c r="J678" s="14" t="str">
        <f aca="false">IFERROR(__xludf.dummyfunction("IF(F678 = H678,C678/FILTER('Base Stats'!$C$2:$C1000, LOWER('Base Stats'!$B$2:$B1000) = LOWER($A678)), """")"),"#N/A")</f>
        <v>#N/A</v>
      </c>
      <c r="K678" s="0" t="str">
        <f aca="false">IF(F678 = H678, C678/G678, "")</f>
        <v/>
      </c>
      <c r="L678" s="0" t="str">
        <f aca="false">IFERROR(__xludf.dummyfunction("IF(AND(NOT(K678 = """"), G678 &gt;= 15),K678/FILTER('Base Stats'!$C$2:$C1000, LOWER('Base Stats'!$B$2:$B1000) = LOWER($A678)), """")"),"#N/A")</f>
        <v>#N/A</v>
      </c>
      <c r="M678" s="0" t="str">
        <f aca="false">IFERROR(__xludf.dummyfunction("1.15 + 0.02 * FILTER('Base Stats'!$C$2:$C1000, LOWER('Base Stats'!$B$2:$B1000) = LOWER($A678))"),"1.15")</f>
        <v>1.15</v>
      </c>
      <c r="N678" s="0" t="e">
        <f aca="false">IFERROR(IF(AND(NOT(K678 = ""), G678 &gt;= 15),K678/M678, ""))</f>
        <v>#VALUE!</v>
      </c>
    </row>
    <row r="679" customFormat="false" ht="15.75" hidden="false" customHeight="false" outlineLevel="0" collapsed="false">
      <c r="A679" s="0" t="n">
        <f aca="false">'Form Responses (Pokemon Stats)'!B573</f>
        <v>0</v>
      </c>
      <c r="B679" s="0" t="n">
        <f aca="false">'Form Responses (Pokemon Stats)'!D573</f>
        <v>0</v>
      </c>
      <c r="C679" s="0" t="n">
        <f aca="false">'Form Responses (Pokemon Stats)'!C573</f>
        <v>0</v>
      </c>
      <c r="F679" s="0" t="n">
        <f aca="false">'Form Responses (Pokemon Stats)'!E573</f>
        <v>0</v>
      </c>
      <c r="G679" s="0" t="str">
        <f aca="false">IFERROR(__xludf.dummyfunction("ROUND(B679/ FILTER('Pokemon CP/HP'!$M$2:$M1000, LOWER('Pokemon CP/HP'!$B$2:$B1000)=LOWER(A679)))"),"#DIV/0!")</f>
        <v>#DIV/0!</v>
      </c>
      <c r="H679" s="0" t="str">
        <f aca="false">IFERROR(__xludf.dummyfunction("FILTER('Leveling Info'!$B$2:$B1000, 'Leveling Info'!$A$2:$A1000 =G679)"),"#N/A")</f>
        <v>#N/A</v>
      </c>
      <c r="I679" s="14" t="e">
        <f aca="false">SQRT(G679)</f>
        <v>#VALUE!</v>
      </c>
      <c r="J679" s="14" t="str">
        <f aca="false">IFERROR(__xludf.dummyfunction("IF(F679 = H679,C679/FILTER('Base Stats'!$C$2:$C1000, LOWER('Base Stats'!$B$2:$B1000) = LOWER($A679)), """")"),"#N/A")</f>
        <v>#N/A</v>
      </c>
      <c r="K679" s="0" t="str">
        <f aca="false">IF(F679 = H679, C679/G679, "")</f>
        <v/>
      </c>
      <c r="L679" s="0" t="str">
        <f aca="false">IFERROR(__xludf.dummyfunction("IF(AND(NOT(K679 = """"), G679 &gt;= 15),K679/FILTER('Base Stats'!$C$2:$C1000, LOWER('Base Stats'!$B$2:$B1000) = LOWER($A679)), """")"),"#N/A")</f>
        <v>#N/A</v>
      </c>
      <c r="M679" s="0" t="str">
        <f aca="false">IFERROR(__xludf.dummyfunction("1.15 + 0.02 * FILTER('Base Stats'!$C$2:$C1000, LOWER('Base Stats'!$B$2:$B1000) = LOWER($A679))"),"1.15")</f>
        <v>1.15</v>
      </c>
      <c r="N679" s="0" t="e">
        <f aca="false">IFERROR(IF(AND(NOT(K679 = ""), G679 &gt;= 15),K679/M679, ""))</f>
        <v>#VALUE!</v>
      </c>
    </row>
    <row r="680" customFormat="false" ht="15.75" hidden="false" customHeight="false" outlineLevel="0" collapsed="false">
      <c r="A680" s="0" t="n">
        <f aca="false">'Form Responses (Pokemon Stats)'!B574</f>
        <v>0</v>
      </c>
      <c r="B680" s="0" t="n">
        <f aca="false">'Form Responses (Pokemon Stats)'!D574</f>
        <v>0</v>
      </c>
      <c r="C680" s="0" t="n">
        <f aca="false">'Form Responses (Pokemon Stats)'!C574</f>
        <v>0</v>
      </c>
      <c r="F680" s="0" t="n">
        <f aca="false">'Form Responses (Pokemon Stats)'!E574</f>
        <v>0</v>
      </c>
      <c r="G680" s="0" t="str">
        <f aca="false">IFERROR(__xludf.dummyfunction("ROUND(B680/ FILTER('Pokemon CP/HP'!$M$2:$M1000, LOWER('Pokemon CP/HP'!$B$2:$B1000)=LOWER(A680)))"),"#DIV/0!")</f>
        <v>#DIV/0!</v>
      </c>
      <c r="H680" s="0" t="str">
        <f aca="false">IFERROR(__xludf.dummyfunction("FILTER('Leveling Info'!$B$2:$B1000, 'Leveling Info'!$A$2:$A1000 =G680)"),"#N/A")</f>
        <v>#N/A</v>
      </c>
      <c r="I680" s="14" t="e">
        <f aca="false">SQRT(G680)</f>
        <v>#VALUE!</v>
      </c>
      <c r="J680" s="14" t="str">
        <f aca="false">IFERROR(__xludf.dummyfunction("IF(F680 = H680,C680/FILTER('Base Stats'!$C$2:$C1000, LOWER('Base Stats'!$B$2:$B1000) = LOWER($A680)), """")"),"#N/A")</f>
        <v>#N/A</v>
      </c>
      <c r="K680" s="0" t="str">
        <f aca="false">IF(F680 = H680, C680/G680, "")</f>
        <v/>
      </c>
      <c r="L680" s="0" t="str">
        <f aca="false">IFERROR(__xludf.dummyfunction("IF(AND(NOT(K680 = """"), G680 &gt;= 15),K680/FILTER('Base Stats'!$C$2:$C1000, LOWER('Base Stats'!$B$2:$B1000) = LOWER($A680)), """")"),"#N/A")</f>
        <v>#N/A</v>
      </c>
      <c r="M680" s="0" t="str">
        <f aca="false">IFERROR(__xludf.dummyfunction("1.15 + 0.02 * FILTER('Base Stats'!$C$2:$C1000, LOWER('Base Stats'!$B$2:$B1000) = LOWER($A680))"),"1.15")</f>
        <v>1.15</v>
      </c>
      <c r="N680" s="0" t="e">
        <f aca="false">IFERROR(IF(AND(NOT(K680 = ""), G680 &gt;= 15),K680/M680, ""))</f>
        <v>#VALUE!</v>
      </c>
    </row>
    <row r="681" customFormat="false" ht="15.75" hidden="false" customHeight="false" outlineLevel="0" collapsed="false">
      <c r="A681" s="0" t="n">
        <f aca="false">'Form Responses (Pokemon Stats)'!B575</f>
        <v>0</v>
      </c>
      <c r="B681" s="0" t="n">
        <f aca="false">'Form Responses (Pokemon Stats)'!D575</f>
        <v>0</v>
      </c>
      <c r="C681" s="0" t="n">
        <f aca="false">'Form Responses (Pokemon Stats)'!C575</f>
        <v>0</v>
      </c>
      <c r="F681" s="0" t="n">
        <f aca="false">'Form Responses (Pokemon Stats)'!E575</f>
        <v>0</v>
      </c>
      <c r="G681" s="0" t="str">
        <f aca="false">IFERROR(__xludf.dummyfunction("ROUND(B681/ FILTER('Pokemon CP/HP'!$M$2:$M1000, LOWER('Pokemon CP/HP'!$B$2:$B1000)=LOWER(A681)))"),"#DIV/0!")</f>
        <v>#DIV/0!</v>
      </c>
      <c r="H681" s="0" t="str">
        <f aca="false">IFERROR(__xludf.dummyfunction("FILTER('Leveling Info'!$B$2:$B1000, 'Leveling Info'!$A$2:$A1000 =G681)"),"#N/A")</f>
        <v>#N/A</v>
      </c>
      <c r="I681" s="14" t="e">
        <f aca="false">SQRT(G681)</f>
        <v>#VALUE!</v>
      </c>
      <c r="J681" s="14" t="str">
        <f aca="false">IFERROR(__xludf.dummyfunction("IF(F681 = H681,C681/FILTER('Base Stats'!$C$2:$C1000, LOWER('Base Stats'!$B$2:$B1000) = LOWER($A681)), """")"),"#N/A")</f>
        <v>#N/A</v>
      </c>
      <c r="K681" s="0" t="str">
        <f aca="false">IF(F681 = H681, C681/G681, "")</f>
        <v/>
      </c>
      <c r="L681" s="0" t="str">
        <f aca="false">IFERROR(__xludf.dummyfunction("IF(AND(NOT(K681 = """"), G681 &gt;= 15),K681/FILTER('Base Stats'!$C$2:$C1000, LOWER('Base Stats'!$B$2:$B1000) = LOWER($A681)), """")"),"#N/A")</f>
        <v>#N/A</v>
      </c>
      <c r="M681" s="0" t="str">
        <f aca="false">IFERROR(__xludf.dummyfunction("1.15 + 0.02 * FILTER('Base Stats'!$C$2:$C1000, LOWER('Base Stats'!$B$2:$B1000) = LOWER($A681))"),"1.15")</f>
        <v>1.15</v>
      </c>
      <c r="N681" s="0" t="e">
        <f aca="false">IFERROR(IF(AND(NOT(K681 = ""), G681 &gt;= 15),K681/M681, ""))</f>
        <v>#VALUE!</v>
      </c>
    </row>
    <row r="682" customFormat="false" ht="15.75" hidden="false" customHeight="false" outlineLevel="0" collapsed="false">
      <c r="A682" s="0" t="n">
        <f aca="false">'Form Responses (Pokemon Stats)'!B576</f>
        <v>0</v>
      </c>
      <c r="B682" s="0" t="n">
        <f aca="false">'Form Responses (Pokemon Stats)'!D576</f>
        <v>0</v>
      </c>
      <c r="C682" s="0" t="n">
        <f aca="false">'Form Responses (Pokemon Stats)'!C576</f>
        <v>0</v>
      </c>
      <c r="F682" s="0" t="n">
        <f aca="false">'Form Responses (Pokemon Stats)'!E576</f>
        <v>0</v>
      </c>
      <c r="G682" s="0" t="str">
        <f aca="false">IFERROR(__xludf.dummyfunction("ROUND(B682/ FILTER('Pokemon CP/HP'!$M$2:$M1000, LOWER('Pokemon CP/HP'!$B$2:$B1000)=LOWER(A682)))"),"#DIV/0!")</f>
        <v>#DIV/0!</v>
      </c>
      <c r="H682" s="0" t="str">
        <f aca="false">IFERROR(__xludf.dummyfunction("FILTER('Leveling Info'!$B$2:$B1000, 'Leveling Info'!$A$2:$A1000 =G682)"),"#N/A")</f>
        <v>#N/A</v>
      </c>
      <c r="I682" s="14" t="e">
        <f aca="false">SQRT(G682)</f>
        <v>#VALUE!</v>
      </c>
      <c r="J682" s="14" t="str">
        <f aca="false">IFERROR(__xludf.dummyfunction("IF(F682 = H682,C682/FILTER('Base Stats'!$C$2:$C1000, LOWER('Base Stats'!$B$2:$B1000) = LOWER($A682)), """")"),"#N/A")</f>
        <v>#N/A</v>
      </c>
      <c r="K682" s="0" t="str">
        <f aca="false">IF(F682 = H682, C682/G682, "")</f>
        <v/>
      </c>
      <c r="L682" s="0" t="str">
        <f aca="false">IFERROR(__xludf.dummyfunction("IF(AND(NOT(K682 = """"), G682 &gt;= 15),K682/FILTER('Base Stats'!$C$2:$C1000, LOWER('Base Stats'!$B$2:$B1000) = LOWER($A682)), """")"),"#N/A")</f>
        <v>#N/A</v>
      </c>
      <c r="M682" s="0" t="str">
        <f aca="false">IFERROR(__xludf.dummyfunction("1.15 + 0.02 * FILTER('Base Stats'!$C$2:$C1000, LOWER('Base Stats'!$B$2:$B1000) = LOWER($A682))"),"1.15")</f>
        <v>1.15</v>
      </c>
      <c r="N682" s="0" t="e">
        <f aca="false">IFERROR(IF(AND(NOT(K682 = ""), G682 &gt;= 15),K682/M682, ""))</f>
        <v>#VALUE!</v>
      </c>
    </row>
    <row r="683" customFormat="false" ht="15.75" hidden="false" customHeight="false" outlineLevel="0" collapsed="false">
      <c r="A683" s="0" t="n">
        <f aca="false">'Form Responses (Pokemon Stats)'!B577</f>
        <v>0</v>
      </c>
      <c r="B683" s="0" t="n">
        <f aca="false">'Form Responses (Pokemon Stats)'!D577</f>
        <v>0</v>
      </c>
      <c r="C683" s="0" t="n">
        <f aca="false">'Form Responses (Pokemon Stats)'!C577</f>
        <v>0</v>
      </c>
      <c r="F683" s="0" t="n">
        <f aca="false">'Form Responses (Pokemon Stats)'!E577</f>
        <v>0</v>
      </c>
      <c r="G683" s="0" t="str">
        <f aca="false">IFERROR(__xludf.dummyfunction("ROUND(B683/ FILTER('Pokemon CP/HP'!$M$2:$M1000, LOWER('Pokemon CP/HP'!$B$2:$B1000)=LOWER(A683)))"),"#DIV/0!")</f>
        <v>#DIV/0!</v>
      </c>
      <c r="H683" s="0" t="str">
        <f aca="false">IFERROR(__xludf.dummyfunction("FILTER('Leveling Info'!$B$2:$B1000, 'Leveling Info'!$A$2:$A1000 =G683)"),"#N/A")</f>
        <v>#N/A</v>
      </c>
      <c r="I683" s="14" t="e">
        <f aca="false">SQRT(G683)</f>
        <v>#VALUE!</v>
      </c>
      <c r="J683" s="14" t="str">
        <f aca="false">IFERROR(__xludf.dummyfunction("IF(F683 = H683,C683/FILTER('Base Stats'!$C$2:$C1000, LOWER('Base Stats'!$B$2:$B1000) = LOWER($A683)), """")"),"#N/A")</f>
        <v>#N/A</v>
      </c>
      <c r="K683" s="0" t="str">
        <f aca="false">IF(F683 = H683, C683/G683, "")</f>
        <v/>
      </c>
      <c r="L683" s="0" t="str">
        <f aca="false">IFERROR(__xludf.dummyfunction("IF(AND(NOT(K683 = """"), G683 &gt;= 15),K683/FILTER('Base Stats'!$C$2:$C1000, LOWER('Base Stats'!$B$2:$B1000) = LOWER($A683)), """")"),"#N/A")</f>
        <v>#N/A</v>
      </c>
      <c r="M683" s="0" t="str">
        <f aca="false">IFERROR(__xludf.dummyfunction("1.15 + 0.02 * FILTER('Base Stats'!$C$2:$C1000, LOWER('Base Stats'!$B$2:$B1000) = LOWER($A683))"),"1.15")</f>
        <v>1.15</v>
      </c>
      <c r="N683" s="0" t="e">
        <f aca="false">IFERROR(IF(AND(NOT(K683 = ""), G683 &gt;= 15),K683/M683, ""))</f>
        <v>#VALUE!</v>
      </c>
    </row>
    <row r="684" customFormat="false" ht="15.75" hidden="false" customHeight="false" outlineLevel="0" collapsed="false">
      <c r="A684" s="0" t="n">
        <f aca="false">'Form Responses (Pokemon Stats)'!B578</f>
        <v>0</v>
      </c>
      <c r="B684" s="0" t="n">
        <f aca="false">'Form Responses (Pokemon Stats)'!D578</f>
        <v>0</v>
      </c>
      <c r="C684" s="0" t="n">
        <f aca="false">'Form Responses (Pokemon Stats)'!C578</f>
        <v>0</v>
      </c>
      <c r="F684" s="0" t="n">
        <f aca="false">'Form Responses (Pokemon Stats)'!E578</f>
        <v>0</v>
      </c>
      <c r="G684" s="0" t="str">
        <f aca="false">IFERROR(__xludf.dummyfunction("ROUND(B684/ FILTER('Pokemon CP/HP'!$M$2:$M1000, LOWER('Pokemon CP/HP'!$B$2:$B1000)=LOWER(A684)))"),"#DIV/0!")</f>
        <v>#DIV/0!</v>
      </c>
      <c r="H684" s="0" t="str">
        <f aca="false">IFERROR(__xludf.dummyfunction("FILTER('Leveling Info'!$B$2:$B1000, 'Leveling Info'!$A$2:$A1000 =G684)"),"#N/A")</f>
        <v>#N/A</v>
      </c>
      <c r="I684" s="14" t="e">
        <f aca="false">SQRT(G684)</f>
        <v>#VALUE!</v>
      </c>
      <c r="J684" s="14" t="str">
        <f aca="false">IFERROR(__xludf.dummyfunction("IF(F684 = H684,C684/FILTER('Base Stats'!$C$2:$C1000, LOWER('Base Stats'!$B$2:$B1000) = LOWER($A684)), """")"),"#N/A")</f>
        <v>#N/A</v>
      </c>
      <c r="K684" s="0" t="str">
        <f aca="false">IF(F684 = H684, C684/G684, "")</f>
        <v/>
      </c>
      <c r="L684" s="0" t="str">
        <f aca="false">IFERROR(__xludf.dummyfunction("IF(AND(NOT(K684 = """"), G684 &gt;= 15),K684/FILTER('Base Stats'!$C$2:$C1000, LOWER('Base Stats'!$B$2:$B1000) = LOWER($A684)), """")"),"#N/A")</f>
        <v>#N/A</v>
      </c>
      <c r="M684" s="0" t="str">
        <f aca="false">IFERROR(__xludf.dummyfunction("1.15 + 0.02 * FILTER('Base Stats'!$C$2:$C1000, LOWER('Base Stats'!$B$2:$B1000) = LOWER($A684))"),"1.15")</f>
        <v>1.15</v>
      </c>
      <c r="N684" s="0" t="e">
        <f aca="false">IFERROR(IF(AND(NOT(K684 = ""), G684 &gt;= 15),K684/M684, ""))</f>
        <v>#VALUE!</v>
      </c>
    </row>
    <row r="685" customFormat="false" ht="15.75" hidden="false" customHeight="false" outlineLevel="0" collapsed="false">
      <c r="A685" s="0" t="n">
        <f aca="false">'Form Responses (Pokemon Stats)'!B579</f>
        <v>0</v>
      </c>
      <c r="B685" s="0" t="n">
        <f aca="false">'Form Responses (Pokemon Stats)'!D579</f>
        <v>0</v>
      </c>
      <c r="C685" s="0" t="n">
        <f aca="false">'Form Responses (Pokemon Stats)'!C579</f>
        <v>0</v>
      </c>
      <c r="F685" s="0" t="n">
        <f aca="false">'Form Responses (Pokemon Stats)'!E579</f>
        <v>0</v>
      </c>
      <c r="G685" s="0" t="str">
        <f aca="false">IFERROR(__xludf.dummyfunction("ROUND(B685/ FILTER('Pokemon CP/HP'!$M$2:$M1000, LOWER('Pokemon CP/HP'!$B$2:$B1000)=LOWER(A685)))"),"#DIV/0!")</f>
        <v>#DIV/0!</v>
      </c>
      <c r="H685" s="0" t="str">
        <f aca="false">IFERROR(__xludf.dummyfunction("FILTER('Leveling Info'!$B$2:$B1000, 'Leveling Info'!$A$2:$A1000 =G685)"),"#N/A")</f>
        <v>#N/A</v>
      </c>
      <c r="I685" s="14" t="e">
        <f aca="false">SQRT(G685)</f>
        <v>#VALUE!</v>
      </c>
      <c r="J685" s="14" t="str">
        <f aca="false">IFERROR(__xludf.dummyfunction("IF(F685 = H685,C685/FILTER('Base Stats'!$C$2:$C1000, LOWER('Base Stats'!$B$2:$B1000) = LOWER($A685)), """")"),"#N/A")</f>
        <v>#N/A</v>
      </c>
      <c r="K685" s="0" t="str">
        <f aca="false">IF(F685 = H685, C685/G685, "")</f>
        <v/>
      </c>
      <c r="L685" s="0" t="str">
        <f aca="false">IFERROR(__xludf.dummyfunction("IF(AND(NOT(K685 = """"), G685 &gt;= 15),K685/FILTER('Base Stats'!$C$2:$C1000, LOWER('Base Stats'!$B$2:$B1000) = LOWER($A685)), """")"),"#N/A")</f>
        <v>#N/A</v>
      </c>
      <c r="M685" s="0" t="str">
        <f aca="false">IFERROR(__xludf.dummyfunction("1.15 + 0.02 * FILTER('Base Stats'!$C$2:$C1000, LOWER('Base Stats'!$B$2:$B1000) = LOWER($A685))"),"1.15")</f>
        <v>1.15</v>
      </c>
      <c r="N685" s="0" t="e">
        <f aca="false">IFERROR(IF(AND(NOT(K685 = ""), G685 &gt;= 15),K685/M685, ""))</f>
        <v>#VALUE!</v>
      </c>
    </row>
    <row r="686" customFormat="false" ht="15.75" hidden="false" customHeight="false" outlineLevel="0" collapsed="false">
      <c r="A686" s="0" t="n">
        <f aca="false">'Form Responses (Pokemon Stats)'!B580</f>
        <v>0</v>
      </c>
      <c r="B686" s="0" t="n">
        <f aca="false">'Form Responses (Pokemon Stats)'!D580</f>
        <v>0</v>
      </c>
      <c r="C686" s="0" t="n">
        <f aca="false">'Form Responses (Pokemon Stats)'!C580</f>
        <v>0</v>
      </c>
      <c r="F686" s="0" t="n">
        <f aca="false">'Form Responses (Pokemon Stats)'!E580</f>
        <v>0</v>
      </c>
      <c r="G686" s="0" t="str">
        <f aca="false">IFERROR(__xludf.dummyfunction("ROUND(B686/ FILTER('Pokemon CP/HP'!$M$2:$M1000, LOWER('Pokemon CP/HP'!$B$2:$B1000)=LOWER(A686)))"),"#DIV/0!")</f>
        <v>#DIV/0!</v>
      </c>
      <c r="H686" s="0" t="str">
        <f aca="false">IFERROR(__xludf.dummyfunction("FILTER('Leveling Info'!$B$2:$B1000, 'Leveling Info'!$A$2:$A1000 =G686)"),"#N/A")</f>
        <v>#N/A</v>
      </c>
      <c r="I686" s="14" t="e">
        <f aca="false">SQRT(G686)</f>
        <v>#VALUE!</v>
      </c>
      <c r="J686" s="14" t="str">
        <f aca="false">IFERROR(__xludf.dummyfunction("IF(F686 = H686,C686/FILTER('Base Stats'!$C$2:$C1000, LOWER('Base Stats'!$B$2:$B1000) = LOWER($A686)), """")"),"#N/A")</f>
        <v>#N/A</v>
      </c>
      <c r="K686" s="0" t="str">
        <f aca="false">IF(F686 = H686, C686/G686, "")</f>
        <v/>
      </c>
      <c r="L686" s="0" t="str">
        <f aca="false">IFERROR(__xludf.dummyfunction("IF(AND(NOT(K686 = """"), G686 &gt;= 15),K686/FILTER('Base Stats'!$C$2:$C1000, LOWER('Base Stats'!$B$2:$B1000) = LOWER($A686)), """")"),"#N/A")</f>
        <v>#N/A</v>
      </c>
      <c r="M686" s="0" t="str">
        <f aca="false">IFERROR(__xludf.dummyfunction("1.15 + 0.02 * FILTER('Base Stats'!$C$2:$C1000, LOWER('Base Stats'!$B$2:$B1000) = LOWER($A686))"),"1.15")</f>
        <v>1.15</v>
      </c>
      <c r="N686" s="0" t="e">
        <f aca="false">IFERROR(IF(AND(NOT(K686 = ""), G686 &gt;= 15),K686/M686, ""))</f>
        <v>#VALUE!</v>
      </c>
    </row>
    <row r="687" customFormat="false" ht="15.75" hidden="false" customHeight="false" outlineLevel="0" collapsed="false">
      <c r="A687" s="0" t="n">
        <f aca="false">'Form Responses (Pokemon Stats)'!B581</f>
        <v>0</v>
      </c>
      <c r="B687" s="0" t="n">
        <f aca="false">'Form Responses (Pokemon Stats)'!D581</f>
        <v>0</v>
      </c>
      <c r="C687" s="0" t="n">
        <f aca="false">'Form Responses (Pokemon Stats)'!C581</f>
        <v>0</v>
      </c>
      <c r="F687" s="0" t="n">
        <f aca="false">'Form Responses (Pokemon Stats)'!E581</f>
        <v>0</v>
      </c>
      <c r="G687" s="0" t="str">
        <f aca="false">IFERROR(__xludf.dummyfunction("ROUND(B687/ FILTER('Pokemon CP/HP'!$M$2:$M1000, LOWER('Pokemon CP/HP'!$B$2:$B1000)=LOWER(A687)))"),"#DIV/0!")</f>
        <v>#DIV/0!</v>
      </c>
      <c r="H687" s="0" t="str">
        <f aca="false">IFERROR(__xludf.dummyfunction("FILTER('Leveling Info'!$B$2:$B1000, 'Leveling Info'!$A$2:$A1000 =G687)"),"#N/A")</f>
        <v>#N/A</v>
      </c>
      <c r="I687" s="14" t="e">
        <f aca="false">SQRT(G687)</f>
        <v>#VALUE!</v>
      </c>
      <c r="J687" s="14" t="str">
        <f aca="false">IFERROR(__xludf.dummyfunction("IF(F687 = H687,C687/FILTER('Base Stats'!$C$2:$C1000, LOWER('Base Stats'!$B$2:$B1000) = LOWER($A687)), """")"),"#N/A")</f>
        <v>#N/A</v>
      </c>
      <c r="K687" s="0" t="str">
        <f aca="false">IF(F687 = H687, C687/G687, "")</f>
        <v/>
      </c>
      <c r="L687" s="0" t="str">
        <f aca="false">IFERROR(__xludf.dummyfunction("IF(AND(NOT(K687 = """"), G687 &gt;= 15),K687/FILTER('Base Stats'!$C$2:$C1000, LOWER('Base Stats'!$B$2:$B1000) = LOWER($A687)), """")"),"#N/A")</f>
        <v>#N/A</v>
      </c>
      <c r="M687" s="0" t="str">
        <f aca="false">IFERROR(__xludf.dummyfunction("1.15 + 0.02 * FILTER('Base Stats'!$C$2:$C1000, LOWER('Base Stats'!$B$2:$B1000) = LOWER($A687))"),"1.15")</f>
        <v>1.15</v>
      </c>
      <c r="N687" s="0" t="e">
        <f aca="false">IFERROR(IF(AND(NOT(K687 = ""), G687 &gt;= 15),K687/M687, ""))</f>
        <v>#VALUE!</v>
      </c>
    </row>
    <row r="688" customFormat="false" ht="15.75" hidden="false" customHeight="false" outlineLevel="0" collapsed="false">
      <c r="A688" s="0" t="n">
        <f aca="false">'Form Responses (Pokemon Stats)'!B582</f>
        <v>0</v>
      </c>
      <c r="B688" s="0" t="n">
        <f aca="false">'Form Responses (Pokemon Stats)'!D582</f>
        <v>0</v>
      </c>
      <c r="C688" s="0" t="n">
        <f aca="false">'Form Responses (Pokemon Stats)'!C582</f>
        <v>0</v>
      </c>
      <c r="F688" s="0" t="n">
        <f aca="false">'Form Responses (Pokemon Stats)'!E582</f>
        <v>0</v>
      </c>
      <c r="G688" s="0" t="str">
        <f aca="false">IFERROR(__xludf.dummyfunction("ROUND(B688/ FILTER('Pokemon CP/HP'!$M$2:$M1000, LOWER('Pokemon CP/HP'!$B$2:$B1000)=LOWER(A688)))"),"#DIV/0!")</f>
        <v>#DIV/0!</v>
      </c>
      <c r="H688" s="0" t="str">
        <f aca="false">IFERROR(__xludf.dummyfunction("FILTER('Leveling Info'!$B$2:$B1000, 'Leveling Info'!$A$2:$A1000 =G688)"),"#N/A")</f>
        <v>#N/A</v>
      </c>
      <c r="I688" s="14" t="e">
        <f aca="false">SQRT(G688)</f>
        <v>#VALUE!</v>
      </c>
      <c r="J688" s="14" t="str">
        <f aca="false">IFERROR(__xludf.dummyfunction("IF(F688 = H688,C688/FILTER('Base Stats'!$C$2:$C1000, LOWER('Base Stats'!$B$2:$B1000) = LOWER($A688)), """")"),"#N/A")</f>
        <v>#N/A</v>
      </c>
      <c r="K688" s="0" t="str">
        <f aca="false">IF(F688 = H688, C688/G688, "")</f>
        <v/>
      </c>
      <c r="L688" s="0" t="str">
        <f aca="false">IFERROR(__xludf.dummyfunction("IF(AND(NOT(K688 = """"), G688 &gt;= 15),K688/FILTER('Base Stats'!$C$2:$C1000, LOWER('Base Stats'!$B$2:$B1000) = LOWER($A688)), """")"),"#N/A")</f>
        <v>#N/A</v>
      </c>
      <c r="M688" s="0" t="str">
        <f aca="false">IFERROR(__xludf.dummyfunction("1.15 + 0.02 * FILTER('Base Stats'!$C$2:$C1000, LOWER('Base Stats'!$B$2:$B1000) = LOWER($A688))"),"1.15")</f>
        <v>1.15</v>
      </c>
      <c r="N688" s="0" t="e">
        <f aca="false">IFERROR(IF(AND(NOT(K688 = ""), G688 &gt;= 15),K688/M688, ""))</f>
        <v>#VALUE!</v>
      </c>
    </row>
    <row r="689" customFormat="false" ht="15.75" hidden="false" customHeight="false" outlineLevel="0" collapsed="false">
      <c r="A689" s="0" t="n">
        <f aca="false">'Form Responses (Pokemon Stats)'!B583</f>
        <v>0</v>
      </c>
      <c r="B689" s="0" t="n">
        <f aca="false">'Form Responses (Pokemon Stats)'!D583</f>
        <v>0</v>
      </c>
      <c r="C689" s="0" t="n">
        <f aca="false">'Form Responses (Pokemon Stats)'!C583</f>
        <v>0</v>
      </c>
      <c r="F689" s="0" t="n">
        <f aca="false">'Form Responses (Pokemon Stats)'!E583</f>
        <v>0</v>
      </c>
      <c r="G689" s="0" t="str">
        <f aca="false">IFERROR(__xludf.dummyfunction("ROUND(B689/ FILTER('Pokemon CP/HP'!$M$2:$M1000, LOWER('Pokemon CP/HP'!$B$2:$B1000)=LOWER(A689)))"),"#DIV/0!")</f>
        <v>#DIV/0!</v>
      </c>
      <c r="H689" s="0" t="str">
        <f aca="false">IFERROR(__xludf.dummyfunction("FILTER('Leveling Info'!$B$2:$B1000, 'Leveling Info'!$A$2:$A1000 =G689)"),"#N/A")</f>
        <v>#N/A</v>
      </c>
      <c r="I689" s="14" t="e">
        <f aca="false">SQRT(G689)</f>
        <v>#VALUE!</v>
      </c>
      <c r="J689" s="14" t="str">
        <f aca="false">IFERROR(__xludf.dummyfunction("IF(F689 = H689,C689/FILTER('Base Stats'!$C$2:$C1000, LOWER('Base Stats'!$B$2:$B1000) = LOWER($A689)), """")"),"#N/A")</f>
        <v>#N/A</v>
      </c>
      <c r="K689" s="0" t="str">
        <f aca="false">IF(F689 = H689, C689/G689, "")</f>
        <v/>
      </c>
      <c r="L689" s="0" t="str">
        <f aca="false">IFERROR(__xludf.dummyfunction("IF(AND(NOT(K689 = """"), G689 &gt;= 15),K689/FILTER('Base Stats'!$C$2:$C1000, LOWER('Base Stats'!$B$2:$B1000) = LOWER($A689)), """")"),"#N/A")</f>
        <v>#N/A</v>
      </c>
      <c r="M689" s="0" t="str">
        <f aca="false">IFERROR(__xludf.dummyfunction("1.15 + 0.02 * FILTER('Base Stats'!$C$2:$C1000, LOWER('Base Stats'!$B$2:$B1000) = LOWER($A689))"),"1.15")</f>
        <v>1.15</v>
      </c>
      <c r="N689" s="0" t="e">
        <f aca="false">IFERROR(IF(AND(NOT(K689 = ""), G689 &gt;= 15),K689/M689, ""))</f>
        <v>#VALUE!</v>
      </c>
    </row>
    <row r="690" customFormat="false" ht="15.75" hidden="false" customHeight="false" outlineLevel="0" collapsed="false">
      <c r="A690" s="0" t="n">
        <f aca="false">'Form Responses (Pokemon Stats)'!B584</f>
        <v>0</v>
      </c>
      <c r="B690" s="0" t="n">
        <f aca="false">'Form Responses (Pokemon Stats)'!D584</f>
        <v>0</v>
      </c>
      <c r="C690" s="0" t="n">
        <f aca="false">'Form Responses (Pokemon Stats)'!C584</f>
        <v>0</v>
      </c>
      <c r="F690" s="0" t="n">
        <f aca="false">'Form Responses (Pokemon Stats)'!E584</f>
        <v>0</v>
      </c>
      <c r="G690" s="0" t="str">
        <f aca="false">IFERROR(__xludf.dummyfunction("ROUND(B690/ FILTER('Pokemon CP/HP'!$M$2:$M1000, LOWER('Pokemon CP/HP'!$B$2:$B1000)=LOWER(A690)))"),"#DIV/0!")</f>
        <v>#DIV/0!</v>
      </c>
      <c r="H690" s="0" t="str">
        <f aca="false">IFERROR(__xludf.dummyfunction("FILTER('Leveling Info'!$B$2:$B1000, 'Leveling Info'!$A$2:$A1000 =G690)"),"#N/A")</f>
        <v>#N/A</v>
      </c>
      <c r="I690" s="14" t="e">
        <f aca="false">SQRT(G690)</f>
        <v>#VALUE!</v>
      </c>
      <c r="J690" s="14" t="str">
        <f aca="false">IFERROR(__xludf.dummyfunction("IF(F690 = H690,C690/FILTER('Base Stats'!$C$2:$C1000, LOWER('Base Stats'!$B$2:$B1000) = LOWER($A690)), """")"),"#N/A")</f>
        <v>#N/A</v>
      </c>
      <c r="K690" s="0" t="str">
        <f aca="false">IF(F690 = H690, C690/G690, "")</f>
        <v/>
      </c>
      <c r="L690" s="0" t="str">
        <f aca="false">IFERROR(__xludf.dummyfunction("IF(AND(NOT(K690 = """"), G690 &gt;= 15),K690/FILTER('Base Stats'!$C$2:$C1000, LOWER('Base Stats'!$B$2:$B1000) = LOWER($A690)), """")"),"#N/A")</f>
        <v>#N/A</v>
      </c>
      <c r="M690" s="0" t="str">
        <f aca="false">IFERROR(__xludf.dummyfunction("1.15 + 0.02 * FILTER('Base Stats'!$C$2:$C1000, LOWER('Base Stats'!$B$2:$B1000) = LOWER($A690))"),"1.15")</f>
        <v>1.15</v>
      </c>
      <c r="N690" s="0" t="e">
        <f aca="false">IFERROR(IF(AND(NOT(K690 = ""), G690 &gt;= 15),K690/M690, ""))</f>
        <v>#VALUE!</v>
      </c>
    </row>
    <row r="691" customFormat="false" ht="15.75" hidden="false" customHeight="false" outlineLevel="0" collapsed="false">
      <c r="A691" s="0" t="n">
        <f aca="false">'Form Responses (Pokemon Stats)'!B585</f>
        <v>0</v>
      </c>
      <c r="B691" s="0" t="n">
        <f aca="false">'Form Responses (Pokemon Stats)'!D585</f>
        <v>0</v>
      </c>
      <c r="C691" s="0" t="n">
        <f aca="false">'Form Responses (Pokemon Stats)'!C585</f>
        <v>0</v>
      </c>
      <c r="F691" s="0" t="n">
        <f aca="false">'Form Responses (Pokemon Stats)'!E585</f>
        <v>0</v>
      </c>
      <c r="G691" s="0" t="str">
        <f aca="false">IFERROR(__xludf.dummyfunction("ROUND(B691/ FILTER('Pokemon CP/HP'!$M$2:$M1000, LOWER('Pokemon CP/HP'!$B$2:$B1000)=LOWER(A691)))"),"#DIV/0!")</f>
        <v>#DIV/0!</v>
      </c>
      <c r="H691" s="0" t="str">
        <f aca="false">IFERROR(__xludf.dummyfunction("FILTER('Leveling Info'!$B$2:$B1000, 'Leveling Info'!$A$2:$A1000 =G691)"),"#N/A")</f>
        <v>#N/A</v>
      </c>
      <c r="I691" s="14" t="e">
        <f aca="false">SQRT(G691)</f>
        <v>#VALUE!</v>
      </c>
      <c r="J691" s="14" t="str">
        <f aca="false">IFERROR(__xludf.dummyfunction("IF(F691 = H691,C691/FILTER('Base Stats'!$C$2:$C1000, LOWER('Base Stats'!$B$2:$B1000) = LOWER($A691)), """")"),"#N/A")</f>
        <v>#N/A</v>
      </c>
      <c r="K691" s="0" t="str">
        <f aca="false">IF(F691 = H691, C691/G691, "")</f>
        <v/>
      </c>
      <c r="L691" s="0" t="str">
        <f aca="false">IFERROR(__xludf.dummyfunction("IF(AND(NOT(K691 = """"), G691 &gt;= 15),K691/FILTER('Base Stats'!$C$2:$C1000, LOWER('Base Stats'!$B$2:$B1000) = LOWER($A691)), """")"),"#N/A")</f>
        <v>#N/A</v>
      </c>
      <c r="M691" s="0" t="str">
        <f aca="false">IFERROR(__xludf.dummyfunction("1.15 + 0.02 * FILTER('Base Stats'!$C$2:$C1000, LOWER('Base Stats'!$B$2:$B1000) = LOWER($A691))"),"1.15")</f>
        <v>1.15</v>
      </c>
      <c r="N691" s="0" t="e">
        <f aca="false">IFERROR(IF(AND(NOT(K691 = ""), G691 &gt;= 15),K691/M691, ""))</f>
        <v>#VALUE!</v>
      </c>
    </row>
    <row r="692" customFormat="false" ht="15.75" hidden="false" customHeight="false" outlineLevel="0" collapsed="false">
      <c r="A692" s="0" t="n">
        <f aca="false">'Form Responses (Pokemon Stats)'!B586</f>
        <v>0</v>
      </c>
      <c r="B692" s="0" t="n">
        <f aca="false">'Form Responses (Pokemon Stats)'!D586</f>
        <v>0</v>
      </c>
      <c r="C692" s="0" t="n">
        <f aca="false">'Form Responses (Pokemon Stats)'!C586</f>
        <v>0</v>
      </c>
      <c r="F692" s="0" t="n">
        <f aca="false">'Form Responses (Pokemon Stats)'!E586</f>
        <v>0</v>
      </c>
      <c r="G692" s="0" t="str">
        <f aca="false">IFERROR(__xludf.dummyfunction("ROUND(B692/ FILTER('Pokemon CP/HP'!$M$2:$M1000, LOWER('Pokemon CP/HP'!$B$2:$B1000)=LOWER(A692)))"),"#DIV/0!")</f>
        <v>#DIV/0!</v>
      </c>
      <c r="H692" s="0" t="str">
        <f aca="false">IFERROR(__xludf.dummyfunction("FILTER('Leveling Info'!$B$2:$B1000, 'Leveling Info'!$A$2:$A1000 =G692)"),"#N/A")</f>
        <v>#N/A</v>
      </c>
      <c r="I692" s="14" t="e">
        <f aca="false">SQRT(G692)</f>
        <v>#VALUE!</v>
      </c>
      <c r="J692" s="14" t="str">
        <f aca="false">IFERROR(__xludf.dummyfunction("IF(F692 = H692,C692/FILTER('Base Stats'!$C$2:$C1000, LOWER('Base Stats'!$B$2:$B1000) = LOWER($A692)), """")"),"#N/A")</f>
        <v>#N/A</v>
      </c>
      <c r="K692" s="0" t="str">
        <f aca="false">IF(F692 = H692, C692/G692, "")</f>
        <v/>
      </c>
      <c r="L692" s="0" t="str">
        <f aca="false">IFERROR(__xludf.dummyfunction("IF(AND(NOT(K692 = """"), G692 &gt;= 15),K692/FILTER('Base Stats'!$C$2:$C1000, LOWER('Base Stats'!$B$2:$B1000) = LOWER($A692)), """")"),"#N/A")</f>
        <v>#N/A</v>
      </c>
      <c r="M692" s="0" t="str">
        <f aca="false">IFERROR(__xludf.dummyfunction("1.15 + 0.02 * FILTER('Base Stats'!$C$2:$C1000, LOWER('Base Stats'!$B$2:$B1000) = LOWER($A692))"),"1.15")</f>
        <v>1.15</v>
      </c>
      <c r="N692" s="0" t="e">
        <f aca="false">IFERROR(IF(AND(NOT(K692 = ""), G692 &gt;= 15),K692/M692, ""))</f>
        <v>#VALUE!</v>
      </c>
    </row>
    <row r="693" customFormat="false" ht="15.75" hidden="false" customHeight="false" outlineLevel="0" collapsed="false">
      <c r="A693" s="0" t="n">
        <f aca="false">'Form Responses (Pokemon Stats)'!B587</f>
        <v>0</v>
      </c>
      <c r="B693" s="0" t="n">
        <f aca="false">'Form Responses (Pokemon Stats)'!D587</f>
        <v>0</v>
      </c>
      <c r="C693" s="0" t="n">
        <f aca="false">'Form Responses (Pokemon Stats)'!C587</f>
        <v>0</v>
      </c>
      <c r="F693" s="0" t="n">
        <f aca="false">'Form Responses (Pokemon Stats)'!E587</f>
        <v>0</v>
      </c>
      <c r="G693" s="0" t="str">
        <f aca="false">IFERROR(__xludf.dummyfunction("ROUND(B693/ FILTER('Pokemon CP/HP'!$M$2:$M1000, LOWER('Pokemon CP/HP'!$B$2:$B1000)=LOWER(A693)))"),"#DIV/0!")</f>
        <v>#DIV/0!</v>
      </c>
      <c r="H693" s="0" t="str">
        <f aca="false">IFERROR(__xludf.dummyfunction("FILTER('Leveling Info'!$B$2:$B1000, 'Leveling Info'!$A$2:$A1000 =G693)"),"#N/A")</f>
        <v>#N/A</v>
      </c>
      <c r="I693" s="14" t="e">
        <f aca="false">SQRT(G693)</f>
        <v>#VALUE!</v>
      </c>
      <c r="J693" s="14" t="str">
        <f aca="false">IFERROR(__xludf.dummyfunction("IF(F693 = H693,C693/FILTER('Base Stats'!$C$2:$C1000, LOWER('Base Stats'!$B$2:$B1000) = LOWER($A693)), """")"),"#N/A")</f>
        <v>#N/A</v>
      </c>
      <c r="K693" s="0" t="str">
        <f aca="false">IF(F693 = H693, C693/G693, "")</f>
        <v/>
      </c>
      <c r="L693" s="0" t="str">
        <f aca="false">IFERROR(__xludf.dummyfunction("IF(AND(NOT(K693 = """"), G693 &gt;= 15),K693/FILTER('Base Stats'!$C$2:$C1000, LOWER('Base Stats'!$B$2:$B1000) = LOWER($A693)), """")"),"#N/A")</f>
        <v>#N/A</v>
      </c>
      <c r="M693" s="0" t="str">
        <f aca="false">IFERROR(__xludf.dummyfunction("1.15 + 0.02 * FILTER('Base Stats'!$C$2:$C1000, LOWER('Base Stats'!$B$2:$B1000) = LOWER($A693))"),"1.15")</f>
        <v>1.15</v>
      </c>
      <c r="N693" s="0" t="e">
        <f aca="false">IFERROR(IF(AND(NOT(K693 = ""), G693 &gt;= 15),K693/M693, ""))</f>
        <v>#VALUE!</v>
      </c>
    </row>
    <row r="694" customFormat="false" ht="15.75" hidden="false" customHeight="false" outlineLevel="0" collapsed="false">
      <c r="A694" s="0" t="n">
        <f aca="false">'Form Responses (Pokemon Stats)'!B588</f>
        <v>0</v>
      </c>
      <c r="B694" s="0" t="n">
        <f aca="false">'Form Responses (Pokemon Stats)'!D588</f>
        <v>0</v>
      </c>
      <c r="C694" s="0" t="n">
        <f aca="false">'Form Responses (Pokemon Stats)'!C588</f>
        <v>0</v>
      </c>
      <c r="F694" s="0" t="n">
        <f aca="false">'Form Responses (Pokemon Stats)'!E588</f>
        <v>0</v>
      </c>
      <c r="G694" s="0" t="str">
        <f aca="false">IFERROR(__xludf.dummyfunction("ROUND(B694/ FILTER('Pokemon CP/HP'!$M$2:$M1000, LOWER('Pokemon CP/HP'!$B$2:$B1000)=LOWER(A694)))"),"#DIV/0!")</f>
        <v>#DIV/0!</v>
      </c>
      <c r="H694" s="0" t="str">
        <f aca="false">IFERROR(__xludf.dummyfunction("FILTER('Leveling Info'!$B$2:$B1000, 'Leveling Info'!$A$2:$A1000 =G694)"),"#N/A")</f>
        <v>#N/A</v>
      </c>
      <c r="I694" s="14" t="e">
        <f aca="false">SQRT(G694)</f>
        <v>#VALUE!</v>
      </c>
      <c r="J694" s="14" t="str">
        <f aca="false">IFERROR(__xludf.dummyfunction("IF(F694 = H694,C694/FILTER('Base Stats'!$C$2:$C1000, LOWER('Base Stats'!$B$2:$B1000) = LOWER($A694)), """")"),"#N/A")</f>
        <v>#N/A</v>
      </c>
      <c r="K694" s="0" t="str">
        <f aca="false">IF(F694 = H694, C694/G694, "")</f>
        <v/>
      </c>
      <c r="L694" s="0" t="str">
        <f aca="false">IFERROR(__xludf.dummyfunction("IF(AND(NOT(K694 = """"), G694 &gt;= 15),K694/FILTER('Base Stats'!$C$2:$C1000, LOWER('Base Stats'!$B$2:$B1000) = LOWER($A694)), """")"),"#N/A")</f>
        <v>#N/A</v>
      </c>
      <c r="M694" s="0" t="str">
        <f aca="false">IFERROR(__xludf.dummyfunction("1.15 + 0.02 * FILTER('Base Stats'!$C$2:$C1000, LOWER('Base Stats'!$B$2:$B1000) = LOWER($A694))"),"1.15")</f>
        <v>1.15</v>
      </c>
      <c r="N694" s="0" t="e">
        <f aca="false">IFERROR(IF(AND(NOT(K694 = ""), G694 &gt;= 15),K694/M694, ""))</f>
        <v>#VALUE!</v>
      </c>
    </row>
    <row r="695" customFormat="false" ht="15.75" hidden="false" customHeight="false" outlineLevel="0" collapsed="false">
      <c r="A695" s="0" t="n">
        <f aca="false">'Form Responses (Pokemon Stats)'!B589</f>
        <v>0</v>
      </c>
      <c r="B695" s="0" t="n">
        <f aca="false">'Form Responses (Pokemon Stats)'!D589</f>
        <v>0</v>
      </c>
      <c r="C695" s="0" t="n">
        <f aca="false">'Form Responses (Pokemon Stats)'!C589</f>
        <v>0</v>
      </c>
      <c r="F695" s="0" t="n">
        <f aca="false">'Form Responses (Pokemon Stats)'!E589</f>
        <v>0</v>
      </c>
      <c r="G695" s="0" t="str">
        <f aca="false">IFERROR(__xludf.dummyfunction("ROUND(B695/ FILTER('Pokemon CP/HP'!$M$2:$M1000, LOWER('Pokemon CP/HP'!$B$2:$B1000)=LOWER(A695)))"),"#DIV/0!")</f>
        <v>#DIV/0!</v>
      </c>
      <c r="H695" s="0" t="str">
        <f aca="false">IFERROR(__xludf.dummyfunction("FILTER('Leveling Info'!$B$2:$B1000, 'Leveling Info'!$A$2:$A1000 =G695)"),"#N/A")</f>
        <v>#N/A</v>
      </c>
      <c r="I695" s="14" t="e">
        <f aca="false">SQRT(G695)</f>
        <v>#VALUE!</v>
      </c>
      <c r="J695" s="14" t="str">
        <f aca="false">IFERROR(__xludf.dummyfunction("IF(F695 = H695,C695/FILTER('Base Stats'!$C$2:$C1000, LOWER('Base Stats'!$B$2:$B1000) = LOWER($A695)), """")"),"#N/A")</f>
        <v>#N/A</v>
      </c>
      <c r="K695" s="0" t="str">
        <f aca="false">IF(F695 = H695, C695/G695, "")</f>
        <v/>
      </c>
      <c r="L695" s="0" t="str">
        <f aca="false">IFERROR(__xludf.dummyfunction("IF(AND(NOT(K695 = """"), G695 &gt;= 15),K695/FILTER('Base Stats'!$C$2:$C1000, LOWER('Base Stats'!$B$2:$B1000) = LOWER($A695)), """")"),"#N/A")</f>
        <v>#N/A</v>
      </c>
      <c r="M695" s="0" t="str">
        <f aca="false">IFERROR(__xludf.dummyfunction("1.15 + 0.02 * FILTER('Base Stats'!$C$2:$C1000, LOWER('Base Stats'!$B$2:$B1000) = LOWER($A695))"),"1.15")</f>
        <v>1.15</v>
      </c>
      <c r="N695" s="0" t="e">
        <f aca="false">IFERROR(IF(AND(NOT(K695 = ""), G695 &gt;= 15),K695/M695, ""))</f>
        <v>#VALUE!</v>
      </c>
    </row>
    <row r="696" customFormat="false" ht="15.75" hidden="false" customHeight="false" outlineLevel="0" collapsed="false">
      <c r="A696" s="0" t="n">
        <f aca="false">'Form Responses (Pokemon Stats)'!B590</f>
        <v>0</v>
      </c>
      <c r="B696" s="0" t="n">
        <f aca="false">'Form Responses (Pokemon Stats)'!D590</f>
        <v>0</v>
      </c>
      <c r="C696" s="0" t="n">
        <f aca="false">'Form Responses (Pokemon Stats)'!C590</f>
        <v>0</v>
      </c>
      <c r="F696" s="0" t="n">
        <f aca="false">'Form Responses (Pokemon Stats)'!E590</f>
        <v>0</v>
      </c>
      <c r="G696" s="0" t="str">
        <f aca="false">IFERROR(__xludf.dummyfunction("ROUND(B696/ FILTER('Pokemon CP/HP'!$M$2:$M1000, LOWER('Pokemon CP/HP'!$B$2:$B1000)=LOWER(A696)))"),"#DIV/0!")</f>
        <v>#DIV/0!</v>
      </c>
      <c r="H696" s="0" t="str">
        <f aca="false">IFERROR(__xludf.dummyfunction("FILTER('Leveling Info'!$B$2:$B1000, 'Leveling Info'!$A$2:$A1000 =G696)"),"#N/A")</f>
        <v>#N/A</v>
      </c>
      <c r="I696" s="14" t="e">
        <f aca="false">SQRT(G696)</f>
        <v>#VALUE!</v>
      </c>
      <c r="J696" s="14" t="str">
        <f aca="false">IFERROR(__xludf.dummyfunction("IF(F696 = H696,C696/FILTER('Base Stats'!$C$2:$C1000, LOWER('Base Stats'!$B$2:$B1000) = LOWER($A696)), """")"),"#N/A")</f>
        <v>#N/A</v>
      </c>
      <c r="K696" s="0" t="str">
        <f aca="false">IF(F696 = H696, C696/G696, "")</f>
        <v/>
      </c>
      <c r="L696" s="0" t="str">
        <f aca="false">IFERROR(__xludf.dummyfunction("IF(AND(NOT(K696 = """"), G696 &gt;= 15),K696/FILTER('Base Stats'!$C$2:$C1000, LOWER('Base Stats'!$B$2:$B1000) = LOWER($A696)), """")"),"#N/A")</f>
        <v>#N/A</v>
      </c>
      <c r="M696" s="0" t="str">
        <f aca="false">IFERROR(__xludf.dummyfunction("1.15 + 0.02 * FILTER('Base Stats'!$C$2:$C1000, LOWER('Base Stats'!$B$2:$B1000) = LOWER($A696))"),"1.15")</f>
        <v>1.15</v>
      </c>
      <c r="N696" s="0" t="e">
        <f aca="false">IFERROR(IF(AND(NOT(K696 = ""), G696 &gt;= 15),K696/M696, ""))</f>
        <v>#VALUE!</v>
      </c>
    </row>
    <row r="697" customFormat="false" ht="15.75" hidden="false" customHeight="false" outlineLevel="0" collapsed="false">
      <c r="A697" s="0" t="n">
        <f aca="false">'Form Responses (Pokemon Stats)'!B591</f>
        <v>0</v>
      </c>
      <c r="B697" s="0" t="n">
        <f aca="false">'Form Responses (Pokemon Stats)'!D591</f>
        <v>0</v>
      </c>
      <c r="C697" s="0" t="n">
        <f aca="false">'Form Responses (Pokemon Stats)'!C591</f>
        <v>0</v>
      </c>
      <c r="F697" s="0" t="n">
        <f aca="false">'Form Responses (Pokemon Stats)'!E591</f>
        <v>0</v>
      </c>
      <c r="G697" s="0" t="str">
        <f aca="false">IFERROR(__xludf.dummyfunction("ROUND(B697/ FILTER('Pokemon CP/HP'!$M$2:$M1000, LOWER('Pokemon CP/HP'!$B$2:$B1000)=LOWER(A697)))"),"#DIV/0!")</f>
        <v>#DIV/0!</v>
      </c>
      <c r="H697" s="0" t="str">
        <f aca="false">IFERROR(__xludf.dummyfunction("FILTER('Leveling Info'!$B$2:$B1000, 'Leveling Info'!$A$2:$A1000 =G697)"),"#N/A")</f>
        <v>#N/A</v>
      </c>
      <c r="I697" s="14" t="e">
        <f aca="false">SQRT(G697)</f>
        <v>#VALUE!</v>
      </c>
      <c r="J697" s="14" t="str">
        <f aca="false">IFERROR(__xludf.dummyfunction("IF(F697 = H697,C697/FILTER('Base Stats'!$C$2:$C1000, LOWER('Base Stats'!$B$2:$B1000) = LOWER($A697)), """")"),"#N/A")</f>
        <v>#N/A</v>
      </c>
      <c r="K697" s="0" t="str">
        <f aca="false">IF(F697 = H697, C697/G697, "")</f>
        <v/>
      </c>
      <c r="L697" s="0" t="str">
        <f aca="false">IFERROR(__xludf.dummyfunction("IF(AND(NOT(K697 = """"), G697 &gt;= 15),K697/FILTER('Base Stats'!$C$2:$C1000, LOWER('Base Stats'!$B$2:$B1000) = LOWER($A697)), """")"),"#N/A")</f>
        <v>#N/A</v>
      </c>
      <c r="M697" s="0" t="str">
        <f aca="false">IFERROR(__xludf.dummyfunction("1.15 + 0.02 * FILTER('Base Stats'!$C$2:$C1000, LOWER('Base Stats'!$B$2:$B1000) = LOWER($A697))"),"1.15")</f>
        <v>1.15</v>
      </c>
      <c r="N697" s="0" t="e">
        <f aca="false">IFERROR(IF(AND(NOT(K697 = ""), G697 &gt;= 15),K697/M697, ""))</f>
        <v>#VALUE!</v>
      </c>
    </row>
    <row r="698" customFormat="false" ht="15.75" hidden="false" customHeight="false" outlineLevel="0" collapsed="false">
      <c r="A698" s="0" t="n">
        <f aca="false">'Form Responses (Pokemon Stats)'!B592</f>
        <v>0</v>
      </c>
      <c r="B698" s="0" t="n">
        <f aca="false">'Form Responses (Pokemon Stats)'!D592</f>
        <v>0</v>
      </c>
      <c r="C698" s="0" t="n">
        <f aca="false">'Form Responses (Pokemon Stats)'!C592</f>
        <v>0</v>
      </c>
      <c r="F698" s="0" t="n">
        <f aca="false">'Form Responses (Pokemon Stats)'!E592</f>
        <v>0</v>
      </c>
      <c r="G698" s="0" t="str">
        <f aca="false">IFERROR(__xludf.dummyfunction("ROUND(B698/ FILTER('Pokemon CP/HP'!$M$2:$M1000, LOWER('Pokemon CP/HP'!$B$2:$B1000)=LOWER(A698)))"),"#DIV/0!")</f>
        <v>#DIV/0!</v>
      </c>
      <c r="H698" s="0" t="str">
        <f aca="false">IFERROR(__xludf.dummyfunction("FILTER('Leveling Info'!$B$2:$B1000, 'Leveling Info'!$A$2:$A1000 =G698)"),"#N/A")</f>
        <v>#N/A</v>
      </c>
      <c r="I698" s="14" t="e">
        <f aca="false">SQRT(G698)</f>
        <v>#VALUE!</v>
      </c>
      <c r="J698" s="14" t="str">
        <f aca="false">IFERROR(__xludf.dummyfunction("IF(F698 = H698,C698/FILTER('Base Stats'!$C$2:$C1000, LOWER('Base Stats'!$B$2:$B1000) = LOWER($A698)), """")"),"#N/A")</f>
        <v>#N/A</v>
      </c>
      <c r="K698" s="0" t="str">
        <f aca="false">IF(F698 = H698, C698/G698, "")</f>
        <v/>
      </c>
      <c r="L698" s="0" t="str">
        <f aca="false">IFERROR(__xludf.dummyfunction("IF(AND(NOT(K698 = """"), G698 &gt;= 15),K698/FILTER('Base Stats'!$C$2:$C1000, LOWER('Base Stats'!$B$2:$B1000) = LOWER($A698)), """")"),"#N/A")</f>
        <v>#N/A</v>
      </c>
      <c r="M698" s="0" t="str">
        <f aca="false">IFERROR(__xludf.dummyfunction("1.15 + 0.02 * FILTER('Base Stats'!$C$2:$C1000, LOWER('Base Stats'!$B$2:$B1000) = LOWER($A698))"),"1.15")</f>
        <v>1.15</v>
      </c>
      <c r="N698" s="0" t="e">
        <f aca="false">IFERROR(IF(AND(NOT(K698 = ""), G698 &gt;= 15),K698/M698, ""))</f>
        <v>#VALUE!</v>
      </c>
    </row>
    <row r="699" customFormat="false" ht="15.75" hidden="false" customHeight="false" outlineLevel="0" collapsed="false">
      <c r="A699" s="0" t="n">
        <f aca="false">'Form Responses (Pokemon Stats)'!B593</f>
        <v>0</v>
      </c>
      <c r="B699" s="0" t="n">
        <f aca="false">'Form Responses (Pokemon Stats)'!D593</f>
        <v>0</v>
      </c>
      <c r="C699" s="0" t="n">
        <f aca="false">'Form Responses (Pokemon Stats)'!C593</f>
        <v>0</v>
      </c>
      <c r="F699" s="0" t="n">
        <f aca="false">'Form Responses (Pokemon Stats)'!E593</f>
        <v>0</v>
      </c>
      <c r="G699" s="0" t="str">
        <f aca="false">IFERROR(__xludf.dummyfunction("ROUND(B699/ FILTER('Pokemon CP/HP'!$M$2:$M1000, LOWER('Pokemon CP/HP'!$B$2:$B1000)=LOWER(A699)))"),"#DIV/0!")</f>
        <v>#DIV/0!</v>
      </c>
      <c r="H699" s="0" t="str">
        <f aca="false">IFERROR(__xludf.dummyfunction("FILTER('Leveling Info'!$B$2:$B1000, 'Leveling Info'!$A$2:$A1000 =G699)"),"#N/A")</f>
        <v>#N/A</v>
      </c>
      <c r="I699" s="14" t="e">
        <f aca="false">SQRT(G699)</f>
        <v>#VALUE!</v>
      </c>
      <c r="J699" s="14" t="str">
        <f aca="false">IFERROR(__xludf.dummyfunction("IF(F699 = H699,C699/FILTER('Base Stats'!$C$2:$C1000, LOWER('Base Stats'!$B$2:$B1000) = LOWER($A699)), """")"),"#N/A")</f>
        <v>#N/A</v>
      </c>
      <c r="K699" s="0" t="str">
        <f aca="false">IF(F699 = H699, C699/G699, "")</f>
        <v/>
      </c>
      <c r="L699" s="0" t="str">
        <f aca="false">IFERROR(__xludf.dummyfunction("IF(AND(NOT(K699 = """"), G699 &gt;= 15),K699/FILTER('Base Stats'!$C$2:$C1000, LOWER('Base Stats'!$B$2:$B1000) = LOWER($A699)), """")"),"#N/A")</f>
        <v>#N/A</v>
      </c>
      <c r="M699" s="0" t="str">
        <f aca="false">IFERROR(__xludf.dummyfunction("1.15 + 0.02 * FILTER('Base Stats'!$C$2:$C1000, LOWER('Base Stats'!$B$2:$B1000) = LOWER($A699))"),"1.15")</f>
        <v>1.15</v>
      </c>
      <c r="N699" s="0" t="e">
        <f aca="false">IFERROR(IF(AND(NOT(K699 = ""), G699 &gt;= 15),K699/M699, ""))</f>
        <v>#VALUE!</v>
      </c>
    </row>
    <row r="700" customFormat="false" ht="15.75" hidden="false" customHeight="false" outlineLevel="0" collapsed="false">
      <c r="A700" s="0" t="n">
        <f aca="false">'Form Responses (Pokemon Stats)'!B594</f>
        <v>0</v>
      </c>
      <c r="B700" s="0" t="n">
        <f aca="false">'Form Responses (Pokemon Stats)'!D594</f>
        <v>0</v>
      </c>
      <c r="C700" s="0" t="n">
        <f aca="false">'Form Responses (Pokemon Stats)'!C594</f>
        <v>0</v>
      </c>
      <c r="F700" s="0" t="n">
        <f aca="false">'Form Responses (Pokemon Stats)'!E594</f>
        <v>0</v>
      </c>
      <c r="G700" s="0" t="str">
        <f aca="false">IFERROR(__xludf.dummyfunction("ROUND(B700/ FILTER('Pokemon CP/HP'!$M$2:$M1000, LOWER('Pokemon CP/HP'!$B$2:$B1000)=LOWER(A700)))"),"#DIV/0!")</f>
        <v>#DIV/0!</v>
      </c>
      <c r="H700" s="0" t="str">
        <f aca="false">IFERROR(__xludf.dummyfunction("FILTER('Leveling Info'!$B$2:$B1000, 'Leveling Info'!$A$2:$A1000 =G700)"),"#N/A")</f>
        <v>#N/A</v>
      </c>
      <c r="I700" s="14" t="e">
        <f aca="false">SQRT(G700)</f>
        <v>#VALUE!</v>
      </c>
      <c r="J700" s="14" t="str">
        <f aca="false">IFERROR(__xludf.dummyfunction("IF(F700 = H700,C700/FILTER('Base Stats'!$C$2:$C1000, LOWER('Base Stats'!$B$2:$B1000) = LOWER($A700)), """")"),"#N/A")</f>
        <v>#N/A</v>
      </c>
      <c r="K700" s="0" t="str">
        <f aca="false">IF(F700 = H700, C700/G700, "")</f>
        <v/>
      </c>
      <c r="L700" s="0" t="str">
        <f aca="false">IFERROR(__xludf.dummyfunction("IF(AND(NOT(K700 = """"), G700 &gt;= 15),K700/FILTER('Base Stats'!$C$2:$C1000, LOWER('Base Stats'!$B$2:$B1000) = LOWER($A700)), """")"),"#N/A")</f>
        <v>#N/A</v>
      </c>
      <c r="M700" s="0" t="str">
        <f aca="false">IFERROR(__xludf.dummyfunction("1.15 + 0.02 * FILTER('Base Stats'!$C$2:$C1000, LOWER('Base Stats'!$B$2:$B1000) = LOWER($A700))"),"1.15")</f>
        <v>1.15</v>
      </c>
      <c r="N700" s="0" t="e">
        <f aca="false">IFERROR(IF(AND(NOT(K700 = ""), G700 &gt;= 15),K700/M700, ""))</f>
        <v>#VALUE!</v>
      </c>
    </row>
    <row r="701" customFormat="false" ht="15.75" hidden="false" customHeight="false" outlineLevel="0" collapsed="false">
      <c r="A701" s="0" t="n">
        <f aca="false">'Form Responses (Pokemon Stats)'!B595</f>
        <v>0</v>
      </c>
      <c r="B701" s="0" t="n">
        <f aca="false">'Form Responses (Pokemon Stats)'!D595</f>
        <v>0</v>
      </c>
      <c r="C701" s="0" t="n">
        <f aca="false">'Form Responses (Pokemon Stats)'!C595</f>
        <v>0</v>
      </c>
      <c r="F701" s="0" t="n">
        <f aca="false">'Form Responses (Pokemon Stats)'!E595</f>
        <v>0</v>
      </c>
      <c r="G701" s="0" t="str">
        <f aca="false">IFERROR(__xludf.dummyfunction("ROUND(B701/ FILTER('Pokemon CP/HP'!$M$2:$M1000, LOWER('Pokemon CP/HP'!$B$2:$B1000)=LOWER(A701)))"),"#DIV/0!")</f>
        <v>#DIV/0!</v>
      </c>
      <c r="H701" s="0" t="str">
        <f aca="false">IFERROR(__xludf.dummyfunction("FILTER('Leveling Info'!$B$2:$B1000, 'Leveling Info'!$A$2:$A1000 =G701)"),"#N/A")</f>
        <v>#N/A</v>
      </c>
      <c r="I701" s="14" t="e">
        <f aca="false">SQRT(G701)</f>
        <v>#VALUE!</v>
      </c>
      <c r="J701" s="14" t="str">
        <f aca="false">IFERROR(__xludf.dummyfunction("IF(F701 = H701,C701/FILTER('Base Stats'!$C$2:$C1000, LOWER('Base Stats'!$B$2:$B1000) = LOWER($A701)), """")"),"#N/A")</f>
        <v>#N/A</v>
      </c>
      <c r="K701" s="0" t="str">
        <f aca="false">IF(F701 = H701, C701/G701, "")</f>
        <v/>
      </c>
      <c r="L701" s="0" t="str">
        <f aca="false">IFERROR(__xludf.dummyfunction("IF(AND(NOT(K701 = """"), G701 &gt;= 15),K701/FILTER('Base Stats'!$C$2:$C1000, LOWER('Base Stats'!$B$2:$B1000) = LOWER($A701)), """")"),"#N/A")</f>
        <v>#N/A</v>
      </c>
      <c r="M701" s="0" t="str">
        <f aca="false">IFERROR(__xludf.dummyfunction("1.15 + 0.02 * FILTER('Base Stats'!$C$2:$C1000, LOWER('Base Stats'!$B$2:$B1000) = LOWER($A701))"),"1.15")</f>
        <v>1.15</v>
      </c>
      <c r="N701" s="0" t="e">
        <f aca="false">IFERROR(IF(AND(NOT(K701 = ""), G701 &gt;= 15),K701/M701, ""))</f>
        <v>#VALUE!</v>
      </c>
    </row>
    <row r="702" customFormat="false" ht="15.75" hidden="false" customHeight="false" outlineLevel="0" collapsed="false">
      <c r="A702" s="0" t="n">
        <f aca="false">'Form Responses (Pokemon Stats)'!B596</f>
        <v>0</v>
      </c>
      <c r="B702" s="0" t="n">
        <f aca="false">'Form Responses (Pokemon Stats)'!D596</f>
        <v>0</v>
      </c>
      <c r="C702" s="0" t="n">
        <f aca="false">'Form Responses (Pokemon Stats)'!C596</f>
        <v>0</v>
      </c>
      <c r="F702" s="0" t="n">
        <f aca="false">'Form Responses (Pokemon Stats)'!E596</f>
        <v>0</v>
      </c>
      <c r="G702" s="0" t="str">
        <f aca="false">IFERROR(__xludf.dummyfunction("ROUND(B702/ FILTER('Pokemon CP/HP'!$M$2:$M1000, LOWER('Pokemon CP/HP'!$B$2:$B1000)=LOWER(A702)))"),"#DIV/0!")</f>
        <v>#DIV/0!</v>
      </c>
      <c r="H702" s="0" t="str">
        <f aca="false">IFERROR(__xludf.dummyfunction("FILTER('Leveling Info'!$B$2:$B1000, 'Leveling Info'!$A$2:$A1000 =G702)"),"#N/A")</f>
        <v>#N/A</v>
      </c>
      <c r="I702" s="14" t="e">
        <f aca="false">SQRT(G702)</f>
        <v>#VALUE!</v>
      </c>
      <c r="J702" s="14" t="str">
        <f aca="false">IFERROR(__xludf.dummyfunction("IF(F702 = H702,C702/FILTER('Base Stats'!$C$2:$C1000, LOWER('Base Stats'!$B$2:$B1000) = LOWER($A702)), """")"),"#N/A")</f>
        <v>#N/A</v>
      </c>
      <c r="K702" s="0" t="str">
        <f aca="false">IF(F702 = H702, C702/G702, "")</f>
        <v/>
      </c>
      <c r="L702" s="0" t="str">
        <f aca="false">IFERROR(__xludf.dummyfunction("IF(AND(NOT(K702 = """"), G702 &gt;= 15),K702/FILTER('Base Stats'!$C$2:$C1000, LOWER('Base Stats'!$B$2:$B1000) = LOWER($A702)), """")"),"#N/A")</f>
        <v>#N/A</v>
      </c>
      <c r="M702" s="0" t="str">
        <f aca="false">IFERROR(__xludf.dummyfunction("1.15 + 0.02 * FILTER('Base Stats'!$C$2:$C1000, LOWER('Base Stats'!$B$2:$B1000) = LOWER($A702))"),"1.15")</f>
        <v>1.15</v>
      </c>
      <c r="N702" s="0" t="e">
        <f aca="false">IFERROR(IF(AND(NOT(K702 = ""), G702 &gt;= 15),K702/M702, ""))</f>
        <v>#VALUE!</v>
      </c>
    </row>
    <row r="703" customFormat="false" ht="15.75" hidden="false" customHeight="false" outlineLevel="0" collapsed="false">
      <c r="A703" s="0" t="n">
        <f aca="false">'Form Responses (Pokemon Stats)'!B597</f>
        <v>0</v>
      </c>
      <c r="B703" s="0" t="n">
        <f aca="false">'Form Responses (Pokemon Stats)'!D597</f>
        <v>0</v>
      </c>
      <c r="C703" s="0" t="n">
        <f aca="false">'Form Responses (Pokemon Stats)'!C597</f>
        <v>0</v>
      </c>
      <c r="F703" s="0" t="n">
        <f aca="false">'Form Responses (Pokemon Stats)'!E597</f>
        <v>0</v>
      </c>
      <c r="G703" s="0" t="str">
        <f aca="false">IFERROR(__xludf.dummyfunction("ROUND(B703/ FILTER('Pokemon CP/HP'!$M$2:$M1000, LOWER('Pokemon CP/HP'!$B$2:$B1000)=LOWER(A703)))"),"#DIV/0!")</f>
        <v>#DIV/0!</v>
      </c>
      <c r="H703" s="0" t="str">
        <f aca="false">IFERROR(__xludf.dummyfunction("FILTER('Leveling Info'!$B$2:$B1000, 'Leveling Info'!$A$2:$A1000 =G703)"),"#N/A")</f>
        <v>#N/A</v>
      </c>
      <c r="I703" s="14" t="e">
        <f aca="false">SQRT(G703)</f>
        <v>#VALUE!</v>
      </c>
      <c r="J703" s="14" t="str">
        <f aca="false">IFERROR(__xludf.dummyfunction("IF(F703 = H703,C703/FILTER('Base Stats'!$C$2:$C1000, LOWER('Base Stats'!$B$2:$B1000) = LOWER($A703)), """")"),"#N/A")</f>
        <v>#N/A</v>
      </c>
      <c r="K703" s="0" t="str">
        <f aca="false">IF(F703 = H703, C703/G703, "")</f>
        <v/>
      </c>
      <c r="L703" s="0" t="str">
        <f aca="false">IFERROR(__xludf.dummyfunction("IF(AND(NOT(K703 = """"), G703 &gt;= 15),K703/FILTER('Base Stats'!$C$2:$C1000, LOWER('Base Stats'!$B$2:$B1000) = LOWER($A703)), """")"),"#N/A")</f>
        <v>#N/A</v>
      </c>
      <c r="M703" s="0" t="str">
        <f aca="false">IFERROR(__xludf.dummyfunction("1.15 + 0.02 * FILTER('Base Stats'!$C$2:$C1000, LOWER('Base Stats'!$B$2:$B1000) = LOWER($A703))"),"1.15")</f>
        <v>1.15</v>
      </c>
      <c r="N703" s="0" t="e">
        <f aca="false">IFERROR(IF(AND(NOT(K703 = ""), G703 &gt;= 15),K703/M703, ""))</f>
        <v>#VALUE!</v>
      </c>
    </row>
    <row r="704" customFormat="false" ht="15.75" hidden="false" customHeight="false" outlineLevel="0" collapsed="false">
      <c r="A704" s="0" t="n">
        <f aca="false">'Form Responses (Pokemon Stats)'!B598</f>
        <v>0</v>
      </c>
      <c r="B704" s="0" t="n">
        <f aca="false">'Form Responses (Pokemon Stats)'!D598</f>
        <v>0</v>
      </c>
      <c r="C704" s="0" t="n">
        <f aca="false">'Form Responses (Pokemon Stats)'!C598</f>
        <v>0</v>
      </c>
      <c r="F704" s="0" t="n">
        <f aca="false">'Form Responses (Pokemon Stats)'!E598</f>
        <v>0</v>
      </c>
      <c r="G704" s="0" t="str">
        <f aca="false">IFERROR(__xludf.dummyfunction("ROUND(B704/ FILTER('Pokemon CP/HP'!$M$2:$M1000, LOWER('Pokemon CP/HP'!$B$2:$B1000)=LOWER(A704)))"),"#DIV/0!")</f>
        <v>#DIV/0!</v>
      </c>
      <c r="H704" s="0" t="str">
        <f aca="false">IFERROR(__xludf.dummyfunction("FILTER('Leveling Info'!$B$2:$B1000, 'Leveling Info'!$A$2:$A1000 =G704)"),"#N/A")</f>
        <v>#N/A</v>
      </c>
      <c r="I704" s="14" t="e">
        <f aca="false">SQRT(G704)</f>
        <v>#VALUE!</v>
      </c>
      <c r="J704" s="14" t="str">
        <f aca="false">IFERROR(__xludf.dummyfunction("IF(F704 = H704,C704/FILTER('Base Stats'!$C$2:$C1000, LOWER('Base Stats'!$B$2:$B1000) = LOWER($A704)), """")"),"#N/A")</f>
        <v>#N/A</v>
      </c>
      <c r="K704" s="0" t="str">
        <f aca="false">IF(F704 = H704, C704/G704, "")</f>
        <v/>
      </c>
      <c r="L704" s="0" t="str">
        <f aca="false">IFERROR(__xludf.dummyfunction("IF(AND(NOT(K704 = """"), G704 &gt;= 15),K704/FILTER('Base Stats'!$C$2:$C1000, LOWER('Base Stats'!$B$2:$B1000) = LOWER($A704)), """")"),"#N/A")</f>
        <v>#N/A</v>
      </c>
      <c r="M704" s="0" t="str">
        <f aca="false">IFERROR(__xludf.dummyfunction("1.15 + 0.02 * FILTER('Base Stats'!$C$2:$C1000, LOWER('Base Stats'!$B$2:$B1000) = LOWER($A704))"),"1.15")</f>
        <v>1.15</v>
      </c>
      <c r="N704" s="0" t="e">
        <f aca="false">IFERROR(IF(AND(NOT(K704 = ""), G704 &gt;= 15),K704/M704, ""))</f>
        <v>#VALUE!</v>
      </c>
    </row>
    <row r="705" customFormat="false" ht="15.75" hidden="false" customHeight="false" outlineLevel="0" collapsed="false">
      <c r="A705" s="0" t="n">
        <f aca="false">'Form Responses (Pokemon Stats)'!B599</f>
        <v>0</v>
      </c>
      <c r="B705" s="0" t="n">
        <f aca="false">'Form Responses (Pokemon Stats)'!D599</f>
        <v>0</v>
      </c>
      <c r="C705" s="0" t="n">
        <f aca="false">'Form Responses (Pokemon Stats)'!C599</f>
        <v>0</v>
      </c>
      <c r="F705" s="0" t="n">
        <f aca="false">'Form Responses (Pokemon Stats)'!E599</f>
        <v>0</v>
      </c>
      <c r="G705" s="0" t="str">
        <f aca="false">IFERROR(__xludf.dummyfunction("ROUND(B705/ FILTER('Pokemon CP/HP'!$M$2:$M1000, LOWER('Pokemon CP/HP'!$B$2:$B1000)=LOWER(A705)))"),"#DIV/0!")</f>
        <v>#DIV/0!</v>
      </c>
      <c r="H705" s="0" t="str">
        <f aca="false">IFERROR(__xludf.dummyfunction("FILTER('Leveling Info'!$B$2:$B1000, 'Leveling Info'!$A$2:$A1000 =G705)"),"#N/A")</f>
        <v>#N/A</v>
      </c>
      <c r="I705" s="14" t="e">
        <f aca="false">SQRT(G705)</f>
        <v>#VALUE!</v>
      </c>
      <c r="J705" s="14" t="str">
        <f aca="false">IFERROR(__xludf.dummyfunction("IF(F705 = H705,C705/FILTER('Base Stats'!$C$2:$C1000, LOWER('Base Stats'!$B$2:$B1000) = LOWER($A705)), """")"),"#N/A")</f>
        <v>#N/A</v>
      </c>
      <c r="K705" s="0" t="str">
        <f aca="false">IF(F705 = H705, C705/G705, "")</f>
        <v/>
      </c>
      <c r="L705" s="0" t="str">
        <f aca="false">IFERROR(__xludf.dummyfunction("IF(AND(NOT(K705 = """"), G705 &gt;= 15),K705/FILTER('Base Stats'!$C$2:$C1000, LOWER('Base Stats'!$B$2:$B1000) = LOWER($A705)), """")"),"#N/A")</f>
        <v>#N/A</v>
      </c>
      <c r="M705" s="0" t="str">
        <f aca="false">IFERROR(__xludf.dummyfunction("1.15 + 0.02 * FILTER('Base Stats'!$C$2:$C1000, LOWER('Base Stats'!$B$2:$B1000) = LOWER($A705))"),"1.15")</f>
        <v>1.15</v>
      </c>
      <c r="N705" s="0" t="e">
        <f aca="false">IFERROR(IF(AND(NOT(K705 = ""), G705 &gt;= 15),K705/M705, ""))</f>
        <v>#VALUE!</v>
      </c>
    </row>
    <row r="706" customFormat="false" ht="15.75" hidden="false" customHeight="false" outlineLevel="0" collapsed="false">
      <c r="A706" s="0" t="n">
        <f aca="false">'Form Responses (Pokemon Stats)'!B600</f>
        <v>0</v>
      </c>
      <c r="B706" s="0" t="n">
        <f aca="false">'Form Responses (Pokemon Stats)'!D600</f>
        <v>0</v>
      </c>
      <c r="C706" s="0" t="n">
        <f aca="false">'Form Responses (Pokemon Stats)'!C600</f>
        <v>0</v>
      </c>
      <c r="F706" s="0" t="n">
        <f aca="false">'Form Responses (Pokemon Stats)'!E600</f>
        <v>0</v>
      </c>
      <c r="G706" s="0" t="str">
        <f aca="false">IFERROR(__xludf.dummyfunction("ROUND(B706/ FILTER('Pokemon CP/HP'!$M$2:$M1000, LOWER('Pokemon CP/HP'!$B$2:$B1000)=LOWER(A706)))"),"#DIV/0!")</f>
        <v>#DIV/0!</v>
      </c>
      <c r="H706" s="0" t="str">
        <f aca="false">IFERROR(__xludf.dummyfunction("FILTER('Leveling Info'!$B$2:$B1000, 'Leveling Info'!$A$2:$A1000 =G706)"),"#N/A")</f>
        <v>#N/A</v>
      </c>
      <c r="I706" s="14" t="e">
        <f aca="false">SQRT(G706)</f>
        <v>#VALUE!</v>
      </c>
      <c r="J706" s="14" t="str">
        <f aca="false">IFERROR(__xludf.dummyfunction("IF(F706 = H706,C706/FILTER('Base Stats'!$C$2:$C1000, LOWER('Base Stats'!$B$2:$B1000) = LOWER($A706)), """")"),"#N/A")</f>
        <v>#N/A</v>
      </c>
      <c r="K706" s="0" t="str">
        <f aca="false">IF(F706 = H706, C706/G706, "")</f>
        <v/>
      </c>
      <c r="L706" s="0" t="str">
        <f aca="false">IFERROR(__xludf.dummyfunction("IF(AND(NOT(K706 = """"), G706 &gt;= 15),K706/FILTER('Base Stats'!$C$2:$C1000, LOWER('Base Stats'!$B$2:$B1000) = LOWER($A706)), """")"),"#N/A")</f>
        <v>#N/A</v>
      </c>
      <c r="M706" s="0" t="str">
        <f aca="false">IFERROR(__xludf.dummyfunction("1.15 + 0.02 * FILTER('Base Stats'!$C$2:$C1000, LOWER('Base Stats'!$B$2:$B1000) = LOWER($A706))"),"1.15")</f>
        <v>1.15</v>
      </c>
      <c r="N706" s="0" t="e">
        <f aca="false">IFERROR(IF(AND(NOT(K706 = ""), G706 &gt;= 15),K706/M706, ""))</f>
        <v>#VALUE!</v>
      </c>
    </row>
    <row r="707" customFormat="false" ht="15.75" hidden="false" customHeight="false" outlineLevel="0" collapsed="false">
      <c r="A707" s="0" t="n">
        <f aca="false">'Form Responses (Pokemon Stats)'!B601</f>
        <v>0</v>
      </c>
      <c r="B707" s="0" t="n">
        <f aca="false">'Form Responses (Pokemon Stats)'!D601</f>
        <v>0</v>
      </c>
      <c r="C707" s="0" t="n">
        <f aca="false">'Form Responses (Pokemon Stats)'!C601</f>
        <v>0</v>
      </c>
      <c r="F707" s="0" t="n">
        <f aca="false">'Form Responses (Pokemon Stats)'!E601</f>
        <v>0</v>
      </c>
      <c r="G707" s="0" t="str">
        <f aca="false">IFERROR(__xludf.dummyfunction("ROUND(B707/ FILTER('Pokemon CP/HP'!$M$2:$M1000, LOWER('Pokemon CP/HP'!$B$2:$B1000)=LOWER(A707)))"),"#DIV/0!")</f>
        <v>#DIV/0!</v>
      </c>
      <c r="H707" s="0" t="str">
        <f aca="false">IFERROR(__xludf.dummyfunction("FILTER('Leveling Info'!$B$2:$B1000, 'Leveling Info'!$A$2:$A1000 =G707)"),"#N/A")</f>
        <v>#N/A</v>
      </c>
      <c r="I707" s="14" t="e">
        <f aca="false">SQRT(G707)</f>
        <v>#VALUE!</v>
      </c>
      <c r="J707" s="14" t="str">
        <f aca="false">IFERROR(__xludf.dummyfunction("IF(F707 = H707,C707/FILTER('Base Stats'!$C$2:$C1000, LOWER('Base Stats'!$B$2:$B1000) = LOWER($A707)), """")"),"#N/A")</f>
        <v>#N/A</v>
      </c>
      <c r="K707" s="0" t="str">
        <f aca="false">IF(F707 = H707, C707/G707, "")</f>
        <v/>
      </c>
      <c r="L707" s="0" t="str">
        <f aca="false">IFERROR(__xludf.dummyfunction("IF(AND(NOT(K707 = """"), G707 &gt;= 15),K707/FILTER('Base Stats'!$C$2:$C1000, LOWER('Base Stats'!$B$2:$B1000) = LOWER($A707)), """")"),"#N/A")</f>
        <v>#N/A</v>
      </c>
      <c r="M707" s="0" t="str">
        <f aca="false">IFERROR(__xludf.dummyfunction("1.15 + 0.02 * FILTER('Base Stats'!$C$2:$C1000, LOWER('Base Stats'!$B$2:$B1000) = LOWER($A707))"),"1.15")</f>
        <v>1.15</v>
      </c>
      <c r="N707" s="0" t="e">
        <f aca="false">IFERROR(IF(AND(NOT(K707 = ""), G707 &gt;= 15),K707/M707, ""))</f>
        <v>#VALUE!</v>
      </c>
    </row>
    <row r="708" customFormat="false" ht="15.75" hidden="false" customHeight="false" outlineLevel="0" collapsed="false">
      <c r="A708" s="0" t="n">
        <f aca="false">'Form Responses (Pokemon Stats)'!B602</f>
        <v>0</v>
      </c>
      <c r="B708" s="0" t="n">
        <f aca="false">'Form Responses (Pokemon Stats)'!D602</f>
        <v>0</v>
      </c>
      <c r="C708" s="0" t="n">
        <f aca="false">'Form Responses (Pokemon Stats)'!C602</f>
        <v>0</v>
      </c>
      <c r="F708" s="0" t="n">
        <f aca="false">'Form Responses (Pokemon Stats)'!E602</f>
        <v>0</v>
      </c>
      <c r="G708" s="0" t="str">
        <f aca="false">IFERROR(__xludf.dummyfunction("ROUND(B708/ FILTER('Pokemon CP/HP'!$M$2:$M1000, LOWER('Pokemon CP/HP'!$B$2:$B1000)=LOWER(A708)))"),"#DIV/0!")</f>
        <v>#DIV/0!</v>
      </c>
      <c r="H708" s="0" t="str">
        <f aca="false">IFERROR(__xludf.dummyfunction("FILTER('Leveling Info'!$B$2:$B1000, 'Leveling Info'!$A$2:$A1000 =G708)"),"#N/A")</f>
        <v>#N/A</v>
      </c>
      <c r="I708" s="14" t="e">
        <f aca="false">SQRT(G708)</f>
        <v>#VALUE!</v>
      </c>
      <c r="J708" s="14" t="str">
        <f aca="false">IFERROR(__xludf.dummyfunction("IF(F708 = H708,C708/FILTER('Base Stats'!$C$2:$C1000, LOWER('Base Stats'!$B$2:$B1000) = LOWER($A708)), """")"),"#N/A")</f>
        <v>#N/A</v>
      </c>
      <c r="K708" s="0" t="str">
        <f aca="false">IF(F708 = H708, C708/G708, "")</f>
        <v/>
      </c>
      <c r="L708" s="0" t="str">
        <f aca="false">IFERROR(__xludf.dummyfunction("IF(AND(NOT(K708 = """"), G708 &gt;= 15),K708/FILTER('Base Stats'!$C$2:$C1000, LOWER('Base Stats'!$B$2:$B1000) = LOWER($A708)), """")"),"#N/A")</f>
        <v>#N/A</v>
      </c>
      <c r="M708" s="0" t="str">
        <f aca="false">IFERROR(__xludf.dummyfunction("1.15 + 0.02 * FILTER('Base Stats'!$C$2:$C1000, LOWER('Base Stats'!$B$2:$B1000) = LOWER($A708))"),"1.15")</f>
        <v>1.15</v>
      </c>
      <c r="N708" s="0" t="e">
        <f aca="false">IFERROR(IF(AND(NOT(K708 = ""), G708 &gt;= 15),K708/M708, ""))</f>
        <v>#VALUE!</v>
      </c>
    </row>
    <row r="709" customFormat="false" ht="15.75" hidden="false" customHeight="false" outlineLevel="0" collapsed="false">
      <c r="A709" s="0" t="n">
        <f aca="false">'Form Responses (Pokemon Stats)'!B603</f>
        <v>0</v>
      </c>
      <c r="B709" s="0" t="n">
        <f aca="false">'Form Responses (Pokemon Stats)'!D603</f>
        <v>0</v>
      </c>
      <c r="C709" s="0" t="n">
        <f aca="false">'Form Responses (Pokemon Stats)'!C603</f>
        <v>0</v>
      </c>
      <c r="F709" s="0" t="n">
        <f aca="false">'Form Responses (Pokemon Stats)'!E603</f>
        <v>0</v>
      </c>
      <c r="G709" s="0" t="str">
        <f aca="false">IFERROR(__xludf.dummyfunction("ROUND(B709/ FILTER('Pokemon CP/HP'!$M$2:$M1000, LOWER('Pokemon CP/HP'!$B$2:$B1000)=LOWER(A709)))"),"#DIV/0!")</f>
        <v>#DIV/0!</v>
      </c>
      <c r="H709" s="0" t="str">
        <f aca="false">IFERROR(__xludf.dummyfunction("FILTER('Leveling Info'!$B$2:$B1000, 'Leveling Info'!$A$2:$A1000 =G709)"),"#N/A")</f>
        <v>#N/A</v>
      </c>
      <c r="I709" s="14" t="e">
        <f aca="false">SQRT(G709)</f>
        <v>#VALUE!</v>
      </c>
      <c r="J709" s="14" t="str">
        <f aca="false">IFERROR(__xludf.dummyfunction("IF(F709 = H709,C709/FILTER('Base Stats'!$C$2:$C1000, LOWER('Base Stats'!$B$2:$B1000) = LOWER($A709)), """")"),"#N/A")</f>
        <v>#N/A</v>
      </c>
      <c r="K709" s="0" t="str">
        <f aca="false">IF(F709 = H709, C709/G709, "")</f>
        <v/>
      </c>
      <c r="L709" s="0" t="str">
        <f aca="false">IFERROR(__xludf.dummyfunction("IF(AND(NOT(K709 = """"), G709 &gt;= 15),K709/FILTER('Base Stats'!$C$2:$C1000, LOWER('Base Stats'!$B$2:$B1000) = LOWER($A709)), """")"),"#N/A")</f>
        <v>#N/A</v>
      </c>
      <c r="M709" s="0" t="str">
        <f aca="false">IFERROR(__xludf.dummyfunction("1.15 + 0.02 * FILTER('Base Stats'!$C$2:$C1000, LOWER('Base Stats'!$B$2:$B1000) = LOWER($A709))"),"1.15")</f>
        <v>1.15</v>
      </c>
      <c r="N709" s="0" t="e">
        <f aca="false">IFERROR(IF(AND(NOT(K709 = ""), G709 &gt;= 15),K709/M709, ""))</f>
        <v>#VALUE!</v>
      </c>
    </row>
    <row r="710" customFormat="false" ht="15.75" hidden="false" customHeight="false" outlineLevel="0" collapsed="false">
      <c r="A710" s="0" t="n">
        <f aca="false">'Form Responses (Pokemon Stats)'!B604</f>
        <v>0</v>
      </c>
      <c r="B710" s="0" t="n">
        <f aca="false">'Form Responses (Pokemon Stats)'!D604</f>
        <v>0</v>
      </c>
      <c r="C710" s="0" t="n">
        <f aca="false">'Form Responses (Pokemon Stats)'!C604</f>
        <v>0</v>
      </c>
      <c r="F710" s="0" t="n">
        <f aca="false">'Form Responses (Pokemon Stats)'!E604</f>
        <v>0</v>
      </c>
      <c r="G710" s="0" t="str">
        <f aca="false">IFERROR(__xludf.dummyfunction("ROUND(B710/ FILTER('Pokemon CP/HP'!$M$2:$M1000, LOWER('Pokemon CP/HP'!$B$2:$B1000)=LOWER(A710)))"),"#DIV/0!")</f>
        <v>#DIV/0!</v>
      </c>
      <c r="H710" s="0" t="str">
        <f aca="false">IFERROR(__xludf.dummyfunction("FILTER('Leveling Info'!$B$2:$B1000, 'Leveling Info'!$A$2:$A1000 =G710)"),"#N/A")</f>
        <v>#N/A</v>
      </c>
      <c r="I710" s="14" t="e">
        <f aca="false">SQRT(G710)</f>
        <v>#VALUE!</v>
      </c>
      <c r="J710" s="14" t="str">
        <f aca="false">IFERROR(__xludf.dummyfunction("IF(F710 = H710,C710/FILTER('Base Stats'!$C$2:$C1000, LOWER('Base Stats'!$B$2:$B1000) = LOWER($A710)), """")"),"#N/A")</f>
        <v>#N/A</v>
      </c>
      <c r="K710" s="0" t="str">
        <f aca="false">IF(F710 = H710, C710/G710, "")</f>
        <v/>
      </c>
      <c r="L710" s="0" t="str">
        <f aca="false">IFERROR(__xludf.dummyfunction("IF(AND(NOT(K710 = """"), G710 &gt;= 15),K710/FILTER('Base Stats'!$C$2:$C1000, LOWER('Base Stats'!$B$2:$B1000) = LOWER($A710)), """")"),"#N/A")</f>
        <v>#N/A</v>
      </c>
      <c r="M710" s="0" t="str">
        <f aca="false">IFERROR(__xludf.dummyfunction("1.15 + 0.02 * FILTER('Base Stats'!$C$2:$C1000, LOWER('Base Stats'!$B$2:$B1000) = LOWER($A710))"),"1.15")</f>
        <v>1.15</v>
      </c>
      <c r="N710" s="0" t="e">
        <f aca="false">IFERROR(IF(AND(NOT(K710 = ""), G710 &gt;= 15),K710/M710, ""))</f>
        <v>#VALUE!</v>
      </c>
    </row>
    <row r="711" customFormat="false" ht="15.75" hidden="false" customHeight="false" outlineLevel="0" collapsed="false">
      <c r="A711" s="0" t="n">
        <f aca="false">'Form Responses (Pokemon Stats)'!B605</f>
        <v>0</v>
      </c>
      <c r="B711" s="0" t="n">
        <f aca="false">'Form Responses (Pokemon Stats)'!D605</f>
        <v>0</v>
      </c>
      <c r="C711" s="0" t="n">
        <f aca="false">'Form Responses (Pokemon Stats)'!C605</f>
        <v>0</v>
      </c>
      <c r="F711" s="0" t="n">
        <f aca="false">'Form Responses (Pokemon Stats)'!E605</f>
        <v>0</v>
      </c>
      <c r="G711" s="0" t="str">
        <f aca="false">IFERROR(__xludf.dummyfunction("ROUND(B711/ FILTER('Pokemon CP/HP'!$M$2:$M1000, LOWER('Pokemon CP/HP'!$B$2:$B1000)=LOWER(A711)))"),"#DIV/0!")</f>
        <v>#DIV/0!</v>
      </c>
      <c r="H711" s="0" t="str">
        <f aca="false">IFERROR(__xludf.dummyfunction("FILTER('Leveling Info'!$B$2:$B1000, 'Leveling Info'!$A$2:$A1000 =G711)"),"#N/A")</f>
        <v>#N/A</v>
      </c>
      <c r="I711" s="14" t="e">
        <f aca="false">SQRT(G711)</f>
        <v>#VALUE!</v>
      </c>
      <c r="J711" s="14" t="str">
        <f aca="false">IFERROR(__xludf.dummyfunction("IF(F711 = H711,C711/FILTER('Base Stats'!$C$2:$C1000, LOWER('Base Stats'!$B$2:$B1000) = LOWER($A711)), """")"),"#N/A")</f>
        <v>#N/A</v>
      </c>
      <c r="K711" s="0" t="str">
        <f aca="false">IF(F711 = H711, C711/G711, "")</f>
        <v/>
      </c>
      <c r="L711" s="0" t="str">
        <f aca="false">IFERROR(__xludf.dummyfunction("IF(AND(NOT(K711 = """"), G711 &gt;= 15),K711/FILTER('Base Stats'!$C$2:$C1000, LOWER('Base Stats'!$B$2:$B1000) = LOWER($A711)), """")"),"#N/A")</f>
        <v>#N/A</v>
      </c>
      <c r="M711" s="0" t="str">
        <f aca="false">IFERROR(__xludf.dummyfunction("1.15 + 0.02 * FILTER('Base Stats'!$C$2:$C1000, LOWER('Base Stats'!$B$2:$B1000) = LOWER($A711))"),"1.15")</f>
        <v>1.15</v>
      </c>
      <c r="N711" s="0" t="e">
        <f aca="false">IFERROR(IF(AND(NOT(K711 = ""), G711 &gt;= 15),K711/M711, ""))</f>
        <v>#VALUE!</v>
      </c>
    </row>
    <row r="712" customFormat="false" ht="15.75" hidden="false" customHeight="false" outlineLevel="0" collapsed="false">
      <c r="A712" s="0" t="n">
        <f aca="false">'Form Responses (Pokemon Stats)'!B606</f>
        <v>0</v>
      </c>
      <c r="B712" s="0" t="n">
        <f aca="false">'Form Responses (Pokemon Stats)'!D606</f>
        <v>0</v>
      </c>
      <c r="C712" s="0" t="n">
        <f aca="false">'Form Responses (Pokemon Stats)'!C606</f>
        <v>0</v>
      </c>
      <c r="F712" s="0" t="n">
        <f aca="false">'Form Responses (Pokemon Stats)'!E606</f>
        <v>0</v>
      </c>
      <c r="G712" s="0" t="str">
        <f aca="false">IFERROR(__xludf.dummyfunction("ROUND(B712/ FILTER('Pokemon CP/HP'!$M$2:$M1000, LOWER('Pokemon CP/HP'!$B$2:$B1000)=LOWER(A712)))"),"#DIV/0!")</f>
        <v>#DIV/0!</v>
      </c>
      <c r="H712" s="0" t="str">
        <f aca="false">IFERROR(__xludf.dummyfunction("FILTER('Leveling Info'!$B$2:$B1000, 'Leveling Info'!$A$2:$A1000 =G712)"),"#N/A")</f>
        <v>#N/A</v>
      </c>
      <c r="I712" s="14" t="e">
        <f aca="false">SQRT(G712)</f>
        <v>#VALUE!</v>
      </c>
      <c r="J712" s="14" t="str">
        <f aca="false">IFERROR(__xludf.dummyfunction("IF(F712 = H712,C712/FILTER('Base Stats'!$C$2:$C1000, LOWER('Base Stats'!$B$2:$B1000) = LOWER($A712)), """")"),"#N/A")</f>
        <v>#N/A</v>
      </c>
      <c r="K712" s="0" t="str">
        <f aca="false">IF(F712 = H712, C712/G712, "")</f>
        <v/>
      </c>
      <c r="L712" s="0" t="str">
        <f aca="false">IFERROR(__xludf.dummyfunction("IF(AND(NOT(K712 = """"), G712 &gt;= 15),K712/FILTER('Base Stats'!$C$2:$C1000, LOWER('Base Stats'!$B$2:$B1000) = LOWER($A712)), """")"),"#N/A")</f>
        <v>#N/A</v>
      </c>
      <c r="M712" s="0" t="str">
        <f aca="false">IFERROR(__xludf.dummyfunction("1.15 + 0.02 * FILTER('Base Stats'!$C$2:$C1000, LOWER('Base Stats'!$B$2:$B1000) = LOWER($A712))"),"1.15")</f>
        <v>1.15</v>
      </c>
      <c r="N712" s="0" t="e">
        <f aca="false">IFERROR(IF(AND(NOT(K712 = ""), G712 &gt;= 15),K712/M712, ""))</f>
        <v>#VALUE!</v>
      </c>
    </row>
    <row r="713" customFormat="false" ht="15.75" hidden="false" customHeight="false" outlineLevel="0" collapsed="false">
      <c r="A713" s="0" t="n">
        <f aca="false">'Form Responses (Pokemon Stats)'!B607</f>
        <v>0</v>
      </c>
      <c r="B713" s="0" t="n">
        <f aca="false">'Form Responses (Pokemon Stats)'!D607</f>
        <v>0</v>
      </c>
      <c r="C713" s="0" t="n">
        <f aca="false">'Form Responses (Pokemon Stats)'!C607</f>
        <v>0</v>
      </c>
      <c r="F713" s="0" t="n">
        <f aca="false">'Form Responses (Pokemon Stats)'!E607</f>
        <v>0</v>
      </c>
      <c r="G713" s="0" t="str">
        <f aca="false">IFERROR(__xludf.dummyfunction("ROUND(B713/ FILTER('Pokemon CP/HP'!$M$2:$M1000, LOWER('Pokemon CP/HP'!$B$2:$B1000)=LOWER(A713)))"),"#DIV/0!")</f>
        <v>#DIV/0!</v>
      </c>
      <c r="H713" s="0" t="str">
        <f aca="false">IFERROR(__xludf.dummyfunction("FILTER('Leveling Info'!$B$2:$B1000, 'Leveling Info'!$A$2:$A1000 =G713)"),"#N/A")</f>
        <v>#N/A</v>
      </c>
      <c r="I713" s="14" t="e">
        <f aca="false">SQRT(G713)</f>
        <v>#VALUE!</v>
      </c>
      <c r="J713" s="14" t="str">
        <f aca="false">IFERROR(__xludf.dummyfunction("IF(F713 = H713,C713/FILTER('Base Stats'!$C$2:$C1000, LOWER('Base Stats'!$B$2:$B1000) = LOWER($A713)), """")"),"#N/A")</f>
        <v>#N/A</v>
      </c>
      <c r="K713" s="0" t="str">
        <f aca="false">IF(F713 = H713, C713/G713, "")</f>
        <v/>
      </c>
      <c r="L713" s="0" t="str">
        <f aca="false">IFERROR(__xludf.dummyfunction("IF(AND(NOT(K713 = """"), G713 &gt;= 15),K713/FILTER('Base Stats'!$C$2:$C1000, LOWER('Base Stats'!$B$2:$B1000) = LOWER($A713)), """")"),"#N/A")</f>
        <v>#N/A</v>
      </c>
      <c r="M713" s="0" t="str">
        <f aca="false">IFERROR(__xludf.dummyfunction("1.15 + 0.02 * FILTER('Base Stats'!$C$2:$C1000, LOWER('Base Stats'!$B$2:$B1000) = LOWER($A713))"),"1.15")</f>
        <v>1.15</v>
      </c>
      <c r="N713" s="0" t="e">
        <f aca="false">IFERROR(IF(AND(NOT(K713 = ""), G713 &gt;= 15),K713/M713, ""))</f>
        <v>#VALUE!</v>
      </c>
    </row>
    <row r="714" customFormat="false" ht="15.75" hidden="false" customHeight="false" outlineLevel="0" collapsed="false">
      <c r="A714" s="0" t="n">
        <f aca="false">'Form Responses (Pokemon Stats)'!B608</f>
        <v>0</v>
      </c>
      <c r="B714" s="0" t="n">
        <f aca="false">'Form Responses (Pokemon Stats)'!D608</f>
        <v>0</v>
      </c>
      <c r="C714" s="0" t="n">
        <f aca="false">'Form Responses (Pokemon Stats)'!C608</f>
        <v>0</v>
      </c>
      <c r="F714" s="0" t="n">
        <f aca="false">'Form Responses (Pokemon Stats)'!E608</f>
        <v>0</v>
      </c>
      <c r="G714" s="0" t="str">
        <f aca="false">IFERROR(__xludf.dummyfunction("ROUND(B714/ FILTER('Pokemon CP/HP'!$M$2:$M1000, LOWER('Pokemon CP/HP'!$B$2:$B1000)=LOWER(A714)))"),"#DIV/0!")</f>
        <v>#DIV/0!</v>
      </c>
      <c r="H714" s="0" t="str">
        <f aca="false">IFERROR(__xludf.dummyfunction("FILTER('Leveling Info'!$B$2:$B1000, 'Leveling Info'!$A$2:$A1000 =G714)"),"#N/A")</f>
        <v>#N/A</v>
      </c>
      <c r="I714" s="14" t="e">
        <f aca="false">SQRT(G714)</f>
        <v>#VALUE!</v>
      </c>
      <c r="J714" s="14" t="str">
        <f aca="false">IFERROR(__xludf.dummyfunction("IF(F714 = H714,C714/FILTER('Base Stats'!$C$2:$C1000, LOWER('Base Stats'!$B$2:$B1000) = LOWER($A714)), """")"),"#N/A")</f>
        <v>#N/A</v>
      </c>
      <c r="K714" s="0" t="str">
        <f aca="false">IF(F714 = H714, C714/G714, "")</f>
        <v/>
      </c>
      <c r="L714" s="0" t="str">
        <f aca="false">IFERROR(__xludf.dummyfunction("IF(AND(NOT(K714 = """"), G714 &gt;= 15),K714/FILTER('Base Stats'!$C$2:$C1000, LOWER('Base Stats'!$B$2:$B1000) = LOWER($A714)), """")"),"#N/A")</f>
        <v>#N/A</v>
      </c>
      <c r="M714" s="0" t="str">
        <f aca="false">IFERROR(__xludf.dummyfunction("1.15 + 0.02 * FILTER('Base Stats'!$C$2:$C1000, LOWER('Base Stats'!$B$2:$B1000) = LOWER($A714))"),"1.15")</f>
        <v>1.15</v>
      </c>
      <c r="N714" s="0" t="e">
        <f aca="false">IFERROR(IF(AND(NOT(K714 = ""), G714 &gt;= 15),K714/M714, ""))</f>
        <v>#VALUE!</v>
      </c>
    </row>
    <row r="715" customFormat="false" ht="15.75" hidden="false" customHeight="false" outlineLevel="0" collapsed="false">
      <c r="A715" s="0" t="n">
        <f aca="false">'Form Responses (Pokemon Stats)'!B609</f>
        <v>0</v>
      </c>
      <c r="B715" s="0" t="n">
        <f aca="false">'Form Responses (Pokemon Stats)'!D609</f>
        <v>0</v>
      </c>
      <c r="C715" s="0" t="n">
        <f aca="false">'Form Responses (Pokemon Stats)'!C609</f>
        <v>0</v>
      </c>
      <c r="F715" s="0" t="n">
        <f aca="false">'Form Responses (Pokemon Stats)'!E609</f>
        <v>0</v>
      </c>
      <c r="G715" s="0" t="str">
        <f aca="false">IFERROR(__xludf.dummyfunction("ROUND(B715/ FILTER('Pokemon CP/HP'!$M$2:$M1000, LOWER('Pokemon CP/HP'!$B$2:$B1000)=LOWER(A715)))"),"#DIV/0!")</f>
        <v>#DIV/0!</v>
      </c>
      <c r="H715" s="0" t="str">
        <f aca="false">IFERROR(__xludf.dummyfunction("FILTER('Leveling Info'!$B$2:$B1000, 'Leveling Info'!$A$2:$A1000 =G715)"),"#N/A")</f>
        <v>#N/A</v>
      </c>
      <c r="I715" s="14" t="e">
        <f aca="false">SQRT(G715)</f>
        <v>#VALUE!</v>
      </c>
      <c r="J715" s="14" t="str">
        <f aca="false">IFERROR(__xludf.dummyfunction("IF(F715 = H715,C715/FILTER('Base Stats'!$C$2:$C1000, LOWER('Base Stats'!$B$2:$B1000) = LOWER($A715)), """")"),"#N/A")</f>
        <v>#N/A</v>
      </c>
      <c r="K715" s="0" t="str">
        <f aca="false">IF(F715 = H715, C715/G715, "")</f>
        <v/>
      </c>
      <c r="L715" s="0" t="str">
        <f aca="false">IFERROR(__xludf.dummyfunction("IF(AND(NOT(K715 = """"), G715 &gt;= 15),K715/FILTER('Base Stats'!$C$2:$C1000, LOWER('Base Stats'!$B$2:$B1000) = LOWER($A715)), """")"),"#N/A")</f>
        <v>#N/A</v>
      </c>
      <c r="M715" s="0" t="str">
        <f aca="false">IFERROR(__xludf.dummyfunction("1.15 + 0.02 * FILTER('Base Stats'!$C$2:$C1000, LOWER('Base Stats'!$B$2:$B1000) = LOWER($A715))"),"1.15")</f>
        <v>1.15</v>
      </c>
      <c r="N715" s="0" t="e">
        <f aca="false">IFERROR(IF(AND(NOT(K715 = ""), G715 &gt;= 15),K715/M715, ""))</f>
        <v>#VALUE!</v>
      </c>
    </row>
    <row r="716" customFormat="false" ht="15.75" hidden="false" customHeight="false" outlineLevel="0" collapsed="false">
      <c r="A716" s="0" t="n">
        <f aca="false">'Form Responses (Pokemon Stats)'!B610</f>
        <v>0</v>
      </c>
      <c r="B716" s="0" t="n">
        <f aca="false">'Form Responses (Pokemon Stats)'!D610</f>
        <v>0</v>
      </c>
      <c r="C716" s="0" t="n">
        <f aca="false">'Form Responses (Pokemon Stats)'!C610</f>
        <v>0</v>
      </c>
      <c r="F716" s="0" t="n">
        <f aca="false">'Form Responses (Pokemon Stats)'!E610</f>
        <v>0</v>
      </c>
      <c r="G716" s="0" t="str">
        <f aca="false">IFERROR(__xludf.dummyfunction("ROUND(B716/ FILTER('Pokemon CP/HP'!$M$2:$M1000, LOWER('Pokemon CP/HP'!$B$2:$B1000)=LOWER(A716)))"),"#DIV/0!")</f>
        <v>#DIV/0!</v>
      </c>
      <c r="H716" s="0" t="str">
        <f aca="false">IFERROR(__xludf.dummyfunction("FILTER('Leveling Info'!$B$2:$B1000, 'Leveling Info'!$A$2:$A1000 =G716)"),"#N/A")</f>
        <v>#N/A</v>
      </c>
      <c r="I716" s="14" t="e">
        <f aca="false">SQRT(G716)</f>
        <v>#VALUE!</v>
      </c>
      <c r="J716" s="14" t="str">
        <f aca="false">IFERROR(__xludf.dummyfunction("IF(F716 = H716,C716/FILTER('Base Stats'!$C$2:$C1000, LOWER('Base Stats'!$B$2:$B1000) = LOWER($A716)), """")"),"#N/A")</f>
        <v>#N/A</v>
      </c>
      <c r="K716" s="0" t="str">
        <f aca="false">IF(F716 = H716, C716/G716, "")</f>
        <v/>
      </c>
      <c r="L716" s="0" t="str">
        <f aca="false">IFERROR(__xludf.dummyfunction("IF(AND(NOT(K716 = """"), G716 &gt;= 15),K716/FILTER('Base Stats'!$C$2:$C1000, LOWER('Base Stats'!$B$2:$B1000) = LOWER($A716)), """")"),"#N/A")</f>
        <v>#N/A</v>
      </c>
      <c r="M716" s="0" t="str">
        <f aca="false">IFERROR(__xludf.dummyfunction("1.15 + 0.02 * FILTER('Base Stats'!$C$2:$C1000, LOWER('Base Stats'!$B$2:$B1000) = LOWER($A716))"),"1.15")</f>
        <v>1.15</v>
      </c>
      <c r="N716" s="0" t="e">
        <f aca="false">IFERROR(IF(AND(NOT(K716 = ""), G716 &gt;= 15),K716/M716, ""))</f>
        <v>#VALUE!</v>
      </c>
    </row>
    <row r="717" customFormat="false" ht="15.75" hidden="false" customHeight="false" outlineLevel="0" collapsed="false">
      <c r="A717" s="0" t="n">
        <f aca="false">'Form Responses (Pokemon Stats)'!B611</f>
        <v>0</v>
      </c>
      <c r="B717" s="0" t="n">
        <f aca="false">'Form Responses (Pokemon Stats)'!D611</f>
        <v>0</v>
      </c>
      <c r="C717" s="0" t="n">
        <f aca="false">'Form Responses (Pokemon Stats)'!C611</f>
        <v>0</v>
      </c>
      <c r="F717" s="0" t="n">
        <f aca="false">'Form Responses (Pokemon Stats)'!E611</f>
        <v>0</v>
      </c>
      <c r="G717" s="0" t="str">
        <f aca="false">IFERROR(__xludf.dummyfunction("ROUND(B717/ FILTER('Pokemon CP/HP'!$M$2:$M1000, LOWER('Pokemon CP/HP'!$B$2:$B1000)=LOWER(A717)))"),"#DIV/0!")</f>
        <v>#DIV/0!</v>
      </c>
      <c r="H717" s="0" t="str">
        <f aca="false">IFERROR(__xludf.dummyfunction("FILTER('Leveling Info'!$B$2:$B1000, 'Leveling Info'!$A$2:$A1000 =G717)"),"#N/A")</f>
        <v>#N/A</v>
      </c>
      <c r="I717" s="14" t="e">
        <f aca="false">SQRT(G717)</f>
        <v>#VALUE!</v>
      </c>
      <c r="J717" s="14" t="str">
        <f aca="false">IFERROR(__xludf.dummyfunction("IF(F717 = H717,C717/FILTER('Base Stats'!$C$2:$C1000, LOWER('Base Stats'!$B$2:$B1000) = LOWER($A717)), """")"),"#N/A")</f>
        <v>#N/A</v>
      </c>
      <c r="K717" s="0" t="str">
        <f aca="false">IF(F717 = H717, C717/G717, "")</f>
        <v/>
      </c>
      <c r="L717" s="0" t="str">
        <f aca="false">IFERROR(__xludf.dummyfunction("IF(AND(NOT(K717 = """"), G717 &gt;= 15),K717/FILTER('Base Stats'!$C$2:$C1000, LOWER('Base Stats'!$B$2:$B1000) = LOWER($A717)), """")"),"#N/A")</f>
        <v>#N/A</v>
      </c>
      <c r="M717" s="0" t="str">
        <f aca="false">IFERROR(__xludf.dummyfunction("1.15 + 0.02 * FILTER('Base Stats'!$C$2:$C1000, LOWER('Base Stats'!$B$2:$B1000) = LOWER($A717))"),"1.15")</f>
        <v>1.15</v>
      </c>
      <c r="N717" s="0" t="e">
        <f aca="false">IFERROR(IF(AND(NOT(K717 = ""), G717 &gt;= 15),K717/M717, ""))</f>
        <v>#VALUE!</v>
      </c>
    </row>
    <row r="718" customFormat="false" ht="15.75" hidden="false" customHeight="false" outlineLevel="0" collapsed="false">
      <c r="A718" s="0" t="n">
        <f aca="false">'Form Responses (Pokemon Stats)'!B612</f>
        <v>0</v>
      </c>
      <c r="B718" s="0" t="n">
        <f aca="false">'Form Responses (Pokemon Stats)'!D612</f>
        <v>0</v>
      </c>
      <c r="C718" s="0" t="n">
        <f aca="false">'Form Responses (Pokemon Stats)'!C612</f>
        <v>0</v>
      </c>
      <c r="F718" s="0" t="n">
        <f aca="false">'Form Responses (Pokemon Stats)'!E612</f>
        <v>0</v>
      </c>
      <c r="G718" s="0" t="str">
        <f aca="false">IFERROR(__xludf.dummyfunction("ROUND(B718/ FILTER('Pokemon CP/HP'!$M$2:$M1000, LOWER('Pokemon CP/HP'!$B$2:$B1000)=LOWER(A718)))"),"#DIV/0!")</f>
        <v>#DIV/0!</v>
      </c>
      <c r="H718" s="0" t="str">
        <f aca="false">IFERROR(__xludf.dummyfunction("FILTER('Leveling Info'!$B$2:$B1000, 'Leveling Info'!$A$2:$A1000 =G718)"),"#N/A")</f>
        <v>#N/A</v>
      </c>
      <c r="I718" s="14" t="e">
        <f aca="false">SQRT(G718)</f>
        <v>#VALUE!</v>
      </c>
      <c r="J718" s="14" t="str">
        <f aca="false">IFERROR(__xludf.dummyfunction("IF(F718 = H718,C718/FILTER('Base Stats'!$C$2:$C1000, LOWER('Base Stats'!$B$2:$B1000) = LOWER($A718)), """")"),"#N/A")</f>
        <v>#N/A</v>
      </c>
      <c r="K718" s="0" t="str">
        <f aca="false">IF(F718 = H718, C718/G718, "")</f>
        <v/>
      </c>
      <c r="L718" s="0" t="str">
        <f aca="false">IFERROR(__xludf.dummyfunction("IF(AND(NOT(K718 = """"), G718 &gt;= 15),K718/FILTER('Base Stats'!$C$2:$C1000, LOWER('Base Stats'!$B$2:$B1000) = LOWER($A718)), """")"),"#N/A")</f>
        <v>#N/A</v>
      </c>
      <c r="M718" s="0" t="str">
        <f aca="false">IFERROR(__xludf.dummyfunction("1.15 + 0.02 * FILTER('Base Stats'!$C$2:$C1000, LOWER('Base Stats'!$B$2:$B1000) = LOWER($A718))"),"1.15")</f>
        <v>1.15</v>
      </c>
      <c r="N718" s="0" t="e">
        <f aca="false">IFERROR(IF(AND(NOT(K718 = ""), G718 &gt;= 15),K718/M718, ""))</f>
        <v>#VALUE!</v>
      </c>
    </row>
    <row r="719" customFormat="false" ht="15.75" hidden="false" customHeight="false" outlineLevel="0" collapsed="false">
      <c r="A719" s="0" t="n">
        <f aca="false">'Form Responses (Pokemon Stats)'!B613</f>
        <v>0</v>
      </c>
      <c r="B719" s="0" t="n">
        <f aca="false">'Form Responses (Pokemon Stats)'!D613</f>
        <v>0</v>
      </c>
      <c r="C719" s="0" t="n">
        <f aca="false">'Form Responses (Pokemon Stats)'!C613</f>
        <v>0</v>
      </c>
      <c r="F719" s="0" t="n">
        <f aca="false">'Form Responses (Pokemon Stats)'!E613</f>
        <v>0</v>
      </c>
      <c r="G719" s="0" t="str">
        <f aca="false">IFERROR(__xludf.dummyfunction("ROUND(B719/ FILTER('Pokemon CP/HP'!$M$2:$M1000, LOWER('Pokemon CP/HP'!$B$2:$B1000)=LOWER(A719)))"),"#DIV/0!")</f>
        <v>#DIV/0!</v>
      </c>
      <c r="H719" s="0" t="str">
        <f aca="false">IFERROR(__xludf.dummyfunction("FILTER('Leveling Info'!$B$2:$B1000, 'Leveling Info'!$A$2:$A1000 =G719)"),"#N/A")</f>
        <v>#N/A</v>
      </c>
      <c r="I719" s="14" t="e">
        <f aca="false">SQRT(G719)</f>
        <v>#VALUE!</v>
      </c>
      <c r="J719" s="14" t="str">
        <f aca="false">IFERROR(__xludf.dummyfunction("IF(F719 = H719,C719/FILTER('Base Stats'!$C$2:$C1000, LOWER('Base Stats'!$B$2:$B1000) = LOWER($A719)), """")"),"#N/A")</f>
        <v>#N/A</v>
      </c>
      <c r="K719" s="0" t="str">
        <f aca="false">IF(F719 = H719, C719/G719, "")</f>
        <v/>
      </c>
      <c r="L719" s="0" t="str">
        <f aca="false">IFERROR(__xludf.dummyfunction("IF(AND(NOT(K719 = """"), G719 &gt;= 15),K719/FILTER('Base Stats'!$C$2:$C1000, LOWER('Base Stats'!$B$2:$B1000) = LOWER($A719)), """")"),"#N/A")</f>
        <v>#N/A</v>
      </c>
      <c r="M719" s="0" t="str">
        <f aca="false">IFERROR(__xludf.dummyfunction("1.15 + 0.02 * FILTER('Base Stats'!$C$2:$C1000, LOWER('Base Stats'!$B$2:$B1000) = LOWER($A719))"),"1.15")</f>
        <v>1.15</v>
      </c>
      <c r="N719" s="0" t="e">
        <f aca="false">IFERROR(IF(AND(NOT(K719 = ""), G719 &gt;= 15),K719/M719, ""))</f>
        <v>#VALUE!</v>
      </c>
    </row>
    <row r="720" customFormat="false" ht="15.75" hidden="false" customHeight="false" outlineLevel="0" collapsed="false">
      <c r="A720" s="0" t="n">
        <f aca="false">'Form Responses (Pokemon Stats)'!B614</f>
        <v>0</v>
      </c>
      <c r="B720" s="0" t="n">
        <f aca="false">'Form Responses (Pokemon Stats)'!D614</f>
        <v>0</v>
      </c>
      <c r="C720" s="0" t="n">
        <f aca="false">'Form Responses (Pokemon Stats)'!C614</f>
        <v>0</v>
      </c>
      <c r="F720" s="0" t="n">
        <f aca="false">'Form Responses (Pokemon Stats)'!E614</f>
        <v>0</v>
      </c>
      <c r="G720" s="0" t="str">
        <f aca="false">IFERROR(__xludf.dummyfunction("ROUND(B720/ FILTER('Pokemon CP/HP'!$M$2:$M1000, LOWER('Pokemon CP/HP'!$B$2:$B1000)=LOWER(A720)))"),"#DIV/0!")</f>
        <v>#DIV/0!</v>
      </c>
      <c r="H720" s="0" t="str">
        <f aca="false">IFERROR(__xludf.dummyfunction("FILTER('Leveling Info'!$B$2:$B1000, 'Leveling Info'!$A$2:$A1000 =G720)"),"#N/A")</f>
        <v>#N/A</v>
      </c>
      <c r="I720" s="14" t="e">
        <f aca="false">SQRT(G720)</f>
        <v>#VALUE!</v>
      </c>
      <c r="J720" s="14" t="str">
        <f aca="false">IFERROR(__xludf.dummyfunction("IF(F720 = H720,C720/FILTER('Base Stats'!$C$2:$C1000, LOWER('Base Stats'!$B$2:$B1000) = LOWER($A720)), """")"),"#N/A")</f>
        <v>#N/A</v>
      </c>
      <c r="K720" s="0" t="str">
        <f aca="false">IF(F720 = H720, C720/G720, "")</f>
        <v/>
      </c>
      <c r="L720" s="0" t="str">
        <f aca="false">IFERROR(__xludf.dummyfunction("IF(AND(NOT(K720 = """"), G720 &gt;= 15),K720/FILTER('Base Stats'!$C$2:$C1000, LOWER('Base Stats'!$B$2:$B1000) = LOWER($A720)), """")"),"#N/A")</f>
        <v>#N/A</v>
      </c>
      <c r="M720" s="0" t="str">
        <f aca="false">IFERROR(__xludf.dummyfunction("1.15 + 0.02 * FILTER('Base Stats'!$C$2:$C1000, LOWER('Base Stats'!$B$2:$B1000) = LOWER($A720))"),"1.15")</f>
        <v>1.15</v>
      </c>
      <c r="N720" s="0" t="e">
        <f aca="false">IFERROR(IF(AND(NOT(K720 = ""), G720 &gt;= 15),K720/M720, ""))</f>
        <v>#VALUE!</v>
      </c>
    </row>
    <row r="721" customFormat="false" ht="15.75" hidden="false" customHeight="false" outlineLevel="0" collapsed="false">
      <c r="A721" s="0" t="n">
        <f aca="false">'Form Responses (Pokemon Stats)'!B615</f>
        <v>0</v>
      </c>
      <c r="B721" s="0" t="n">
        <f aca="false">'Form Responses (Pokemon Stats)'!D615</f>
        <v>0</v>
      </c>
      <c r="C721" s="0" t="n">
        <f aca="false">'Form Responses (Pokemon Stats)'!C615</f>
        <v>0</v>
      </c>
      <c r="F721" s="0" t="n">
        <f aca="false">'Form Responses (Pokemon Stats)'!E615</f>
        <v>0</v>
      </c>
      <c r="G721" s="0" t="str">
        <f aca="false">IFERROR(__xludf.dummyfunction("ROUND(B721/ FILTER('Pokemon CP/HP'!$M$2:$M1000, LOWER('Pokemon CP/HP'!$B$2:$B1000)=LOWER(A721)))"),"#DIV/0!")</f>
        <v>#DIV/0!</v>
      </c>
      <c r="H721" s="0" t="str">
        <f aca="false">IFERROR(__xludf.dummyfunction("FILTER('Leveling Info'!$B$2:$B1000, 'Leveling Info'!$A$2:$A1000 =G721)"),"#N/A")</f>
        <v>#N/A</v>
      </c>
      <c r="I721" s="14" t="e">
        <f aca="false">SQRT(G721)</f>
        <v>#VALUE!</v>
      </c>
      <c r="J721" s="14" t="str">
        <f aca="false">IFERROR(__xludf.dummyfunction("IF(F721 = H721,C721/FILTER('Base Stats'!$C$2:$C1000, LOWER('Base Stats'!$B$2:$B1000) = LOWER($A721)), """")"),"#N/A")</f>
        <v>#N/A</v>
      </c>
      <c r="K721" s="0" t="str">
        <f aca="false">IF(F721 = H721, C721/G721, "")</f>
        <v/>
      </c>
      <c r="L721" s="0" t="str">
        <f aca="false">IFERROR(__xludf.dummyfunction("IF(AND(NOT(K721 = """"), G721 &gt;= 15),K721/FILTER('Base Stats'!$C$2:$C1000, LOWER('Base Stats'!$B$2:$B1000) = LOWER($A721)), """")"),"#N/A")</f>
        <v>#N/A</v>
      </c>
      <c r="M721" s="0" t="str">
        <f aca="false">IFERROR(__xludf.dummyfunction("1.15 + 0.02 * FILTER('Base Stats'!$C$2:$C1000, LOWER('Base Stats'!$B$2:$B1000) = LOWER($A721))"),"1.15")</f>
        <v>1.15</v>
      </c>
      <c r="N721" s="0" t="e">
        <f aca="false">IFERROR(IF(AND(NOT(K721 = ""), G721 &gt;= 15),K721/M721, ""))</f>
        <v>#VALUE!</v>
      </c>
    </row>
    <row r="722" customFormat="false" ht="15.75" hidden="false" customHeight="false" outlineLevel="0" collapsed="false">
      <c r="A722" s="0" t="n">
        <f aca="false">'Form Responses (Pokemon Stats)'!B616</f>
        <v>0</v>
      </c>
      <c r="B722" s="0" t="n">
        <f aca="false">'Form Responses (Pokemon Stats)'!D616</f>
        <v>0</v>
      </c>
      <c r="C722" s="0" t="n">
        <f aca="false">'Form Responses (Pokemon Stats)'!C616</f>
        <v>0</v>
      </c>
      <c r="F722" s="0" t="n">
        <f aca="false">'Form Responses (Pokemon Stats)'!E616</f>
        <v>0</v>
      </c>
      <c r="G722" s="0" t="str">
        <f aca="false">IFERROR(__xludf.dummyfunction("ROUND(B722/ FILTER('Pokemon CP/HP'!$M$2:$M1000, LOWER('Pokemon CP/HP'!$B$2:$B1000)=LOWER(A722)))"),"#DIV/0!")</f>
        <v>#DIV/0!</v>
      </c>
      <c r="H722" s="0" t="str">
        <f aca="false">IFERROR(__xludf.dummyfunction("FILTER('Leveling Info'!$B$2:$B1000, 'Leveling Info'!$A$2:$A1000 =G722)"),"#N/A")</f>
        <v>#N/A</v>
      </c>
      <c r="I722" s="14" t="e">
        <f aca="false">SQRT(G722)</f>
        <v>#VALUE!</v>
      </c>
      <c r="J722" s="14" t="str">
        <f aca="false">IFERROR(__xludf.dummyfunction("IF(F722 = H722,C722/FILTER('Base Stats'!$C$2:$C1000, LOWER('Base Stats'!$B$2:$B1000) = LOWER($A722)), """")"),"#N/A")</f>
        <v>#N/A</v>
      </c>
      <c r="K722" s="0" t="str">
        <f aca="false">IF(F722 = H722, C722/G722, "")</f>
        <v/>
      </c>
      <c r="L722" s="0" t="str">
        <f aca="false">IFERROR(__xludf.dummyfunction("IF(AND(NOT(K722 = """"), G722 &gt;= 15),K722/FILTER('Base Stats'!$C$2:$C1000, LOWER('Base Stats'!$B$2:$B1000) = LOWER($A722)), """")"),"#N/A")</f>
        <v>#N/A</v>
      </c>
      <c r="M722" s="0" t="str">
        <f aca="false">IFERROR(__xludf.dummyfunction("1.15 + 0.02 * FILTER('Base Stats'!$C$2:$C1000, LOWER('Base Stats'!$B$2:$B1000) = LOWER($A722))"),"1.15")</f>
        <v>1.15</v>
      </c>
      <c r="N722" s="0" t="e">
        <f aca="false">IFERROR(IF(AND(NOT(K722 = ""), G722 &gt;= 15),K722/M722, ""))</f>
        <v>#VALUE!</v>
      </c>
    </row>
    <row r="723" customFormat="false" ht="15.75" hidden="false" customHeight="false" outlineLevel="0" collapsed="false">
      <c r="A723" s="0" t="n">
        <f aca="false">'Form Responses (Pokemon Stats)'!B617</f>
        <v>0</v>
      </c>
      <c r="B723" s="0" t="n">
        <f aca="false">'Form Responses (Pokemon Stats)'!D617</f>
        <v>0</v>
      </c>
      <c r="C723" s="0" t="n">
        <f aca="false">'Form Responses (Pokemon Stats)'!C617</f>
        <v>0</v>
      </c>
      <c r="F723" s="0" t="n">
        <f aca="false">'Form Responses (Pokemon Stats)'!E617</f>
        <v>0</v>
      </c>
      <c r="G723" s="0" t="str">
        <f aca="false">IFERROR(__xludf.dummyfunction("ROUND(B723/ FILTER('Pokemon CP/HP'!$M$2:$M1000, LOWER('Pokemon CP/HP'!$B$2:$B1000)=LOWER(A723)))"),"#DIV/0!")</f>
        <v>#DIV/0!</v>
      </c>
      <c r="H723" s="0" t="str">
        <f aca="false">IFERROR(__xludf.dummyfunction("FILTER('Leveling Info'!$B$2:$B1000, 'Leveling Info'!$A$2:$A1000 =G723)"),"#N/A")</f>
        <v>#N/A</v>
      </c>
      <c r="I723" s="14" t="e">
        <f aca="false">SQRT(G723)</f>
        <v>#VALUE!</v>
      </c>
      <c r="J723" s="14" t="str">
        <f aca="false">IFERROR(__xludf.dummyfunction("IF(F723 = H723,C723/FILTER('Base Stats'!$C$2:$C1000, LOWER('Base Stats'!$B$2:$B1000) = LOWER($A723)), """")"),"#N/A")</f>
        <v>#N/A</v>
      </c>
      <c r="K723" s="0" t="str">
        <f aca="false">IF(F723 = H723, C723/G723, "")</f>
        <v/>
      </c>
      <c r="L723" s="0" t="str">
        <f aca="false">IFERROR(__xludf.dummyfunction("IF(AND(NOT(K723 = """"), G723 &gt;= 15),K723/FILTER('Base Stats'!$C$2:$C1000, LOWER('Base Stats'!$B$2:$B1000) = LOWER($A723)), """")"),"#N/A")</f>
        <v>#N/A</v>
      </c>
      <c r="M723" s="0" t="str">
        <f aca="false">IFERROR(__xludf.dummyfunction("1.15 + 0.02 * FILTER('Base Stats'!$C$2:$C1000, LOWER('Base Stats'!$B$2:$B1000) = LOWER($A723))"),"1.15")</f>
        <v>1.15</v>
      </c>
      <c r="N723" s="0" t="e">
        <f aca="false">IFERROR(IF(AND(NOT(K723 = ""), G723 &gt;= 15),K723/M723, ""))</f>
        <v>#VALUE!</v>
      </c>
    </row>
    <row r="724" customFormat="false" ht="15.75" hidden="false" customHeight="false" outlineLevel="0" collapsed="false">
      <c r="A724" s="0" t="n">
        <f aca="false">'Form Responses (Pokemon Stats)'!B618</f>
        <v>0</v>
      </c>
      <c r="B724" s="0" t="n">
        <f aca="false">'Form Responses (Pokemon Stats)'!D618</f>
        <v>0</v>
      </c>
      <c r="C724" s="0" t="n">
        <f aca="false">'Form Responses (Pokemon Stats)'!C618</f>
        <v>0</v>
      </c>
      <c r="F724" s="0" t="n">
        <f aca="false">'Form Responses (Pokemon Stats)'!E618</f>
        <v>0</v>
      </c>
      <c r="G724" s="0" t="str">
        <f aca="false">IFERROR(__xludf.dummyfunction("ROUND(B724/ FILTER('Pokemon CP/HP'!$M$2:$M1000, LOWER('Pokemon CP/HP'!$B$2:$B1000)=LOWER(A724)))"),"#DIV/0!")</f>
        <v>#DIV/0!</v>
      </c>
      <c r="H724" s="0" t="str">
        <f aca="false">IFERROR(__xludf.dummyfunction("FILTER('Leveling Info'!$B$2:$B1000, 'Leveling Info'!$A$2:$A1000 =G724)"),"#N/A")</f>
        <v>#N/A</v>
      </c>
      <c r="I724" s="14" t="e">
        <f aca="false">SQRT(G724)</f>
        <v>#VALUE!</v>
      </c>
      <c r="J724" s="14" t="str">
        <f aca="false">IFERROR(__xludf.dummyfunction("IF(F724 = H724,C724/FILTER('Base Stats'!$C$2:$C1000, LOWER('Base Stats'!$B$2:$B1000) = LOWER($A724)), """")"),"#N/A")</f>
        <v>#N/A</v>
      </c>
      <c r="K724" s="0" t="str">
        <f aca="false">IF(F724 = H724, C724/G724, "")</f>
        <v/>
      </c>
      <c r="L724" s="0" t="str">
        <f aca="false">IFERROR(__xludf.dummyfunction("IF(AND(NOT(K724 = """"), G724 &gt;= 15),K724/FILTER('Base Stats'!$C$2:$C1000, LOWER('Base Stats'!$B$2:$B1000) = LOWER($A724)), """")"),"#N/A")</f>
        <v>#N/A</v>
      </c>
      <c r="M724" s="0" t="str">
        <f aca="false">IFERROR(__xludf.dummyfunction("1.15 + 0.02 * FILTER('Base Stats'!$C$2:$C1000, LOWER('Base Stats'!$B$2:$B1000) = LOWER($A724))"),"1.15")</f>
        <v>1.15</v>
      </c>
      <c r="N724" s="0" t="e">
        <f aca="false">IFERROR(IF(AND(NOT(K724 = ""), G724 &gt;= 15),K724/M724, ""))</f>
        <v>#VALUE!</v>
      </c>
    </row>
    <row r="725" customFormat="false" ht="15.75" hidden="false" customHeight="false" outlineLevel="0" collapsed="false">
      <c r="A725" s="0" t="n">
        <f aca="false">'Form Responses (Pokemon Stats)'!B619</f>
        <v>0</v>
      </c>
      <c r="B725" s="0" t="n">
        <f aca="false">'Form Responses (Pokemon Stats)'!D619</f>
        <v>0</v>
      </c>
      <c r="C725" s="0" t="n">
        <f aca="false">'Form Responses (Pokemon Stats)'!C619</f>
        <v>0</v>
      </c>
      <c r="F725" s="0" t="n">
        <f aca="false">'Form Responses (Pokemon Stats)'!E619</f>
        <v>0</v>
      </c>
      <c r="G725" s="0" t="str">
        <f aca="false">IFERROR(__xludf.dummyfunction("ROUND(B725/ FILTER('Pokemon CP/HP'!$M$2:$M1000, LOWER('Pokemon CP/HP'!$B$2:$B1000)=LOWER(A725)))"),"#DIV/0!")</f>
        <v>#DIV/0!</v>
      </c>
      <c r="H725" s="0" t="str">
        <f aca="false">IFERROR(__xludf.dummyfunction("FILTER('Leveling Info'!$B$2:$B1000, 'Leveling Info'!$A$2:$A1000 =G725)"),"#N/A")</f>
        <v>#N/A</v>
      </c>
      <c r="I725" s="14" t="e">
        <f aca="false">SQRT(G725)</f>
        <v>#VALUE!</v>
      </c>
      <c r="J725" s="14" t="str">
        <f aca="false">IFERROR(__xludf.dummyfunction("IF(F725 = H725,C725/FILTER('Base Stats'!$C$2:$C1000, LOWER('Base Stats'!$B$2:$B1000) = LOWER($A725)), """")"),"#N/A")</f>
        <v>#N/A</v>
      </c>
      <c r="K725" s="0" t="str">
        <f aca="false">IF(F725 = H725, C725/G725, "")</f>
        <v/>
      </c>
      <c r="L725" s="0" t="str">
        <f aca="false">IFERROR(__xludf.dummyfunction("IF(AND(NOT(K725 = """"), G725 &gt;= 15),K725/FILTER('Base Stats'!$C$2:$C1000, LOWER('Base Stats'!$B$2:$B1000) = LOWER($A725)), """")"),"#N/A")</f>
        <v>#N/A</v>
      </c>
      <c r="M725" s="0" t="str">
        <f aca="false">IFERROR(__xludf.dummyfunction("1.15 + 0.02 * FILTER('Base Stats'!$C$2:$C1000, LOWER('Base Stats'!$B$2:$B1000) = LOWER($A725))"),"1.15")</f>
        <v>1.15</v>
      </c>
      <c r="N725" s="0" t="e">
        <f aca="false">IFERROR(IF(AND(NOT(K725 = ""), G725 &gt;= 15),K725/M725, ""))</f>
        <v>#VALUE!</v>
      </c>
    </row>
    <row r="726" customFormat="false" ht="15.75" hidden="false" customHeight="false" outlineLevel="0" collapsed="false">
      <c r="A726" s="0" t="n">
        <f aca="false">'Form Responses (Pokemon Stats)'!B620</f>
        <v>0</v>
      </c>
      <c r="B726" s="0" t="n">
        <f aca="false">'Form Responses (Pokemon Stats)'!D620</f>
        <v>0</v>
      </c>
      <c r="C726" s="0" t="n">
        <f aca="false">'Form Responses (Pokemon Stats)'!C620</f>
        <v>0</v>
      </c>
      <c r="F726" s="0" t="n">
        <f aca="false">'Form Responses (Pokemon Stats)'!E620</f>
        <v>0</v>
      </c>
      <c r="G726" s="0" t="str">
        <f aca="false">IFERROR(__xludf.dummyfunction("ROUND(B726/ FILTER('Pokemon CP/HP'!$M$2:$M1000, LOWER('Pokemon CP/HP'!$B$2:$B1000)=LOWER(A726)))"),"#DIV/0!")</f>
        <v>#DIV/0!</v>
      </c>
      <c r="H726" s="0" t="str">
        <f aca="false">IFERROR(__xludf.dummyfunction("FILTER('Leveling Info'!$B$2:$B1000, 'Leveling Info'!$A$2:$A1000 =G726)"),"#N/A")</f>
        <v>#N/A</v>
      </c>
      <c r="I726" s="14" t="e">
        <f aca="false">SQRT(G726)</f>
        <v>#VALUE!</v>
      </c>
      <c r="J726" s="14" t="str">
        <f aca="false">IFERROR(__xludf.dummyfunction("IF(F726 = H726,C726/FILTER('Base Stats'!$C$2:$C1000, LOWER('Base Stats'!$B$2:$B1000) = LOWER($A726)), """")"),"#N/A")</f>
        <v>#N/A</v>
      </c>
      <c r="K726" s="0" t="str">
        <f aca="false">IF(F726 = H726, C726/G726, "")</f>
        <v/>
      </c>
      <c r="L726" s="0" t="str">
        <f aca="false">IFERROR(__xludf.dummyfunction("IF(AND(NOT(K726 = """"), G726 &gt;= 15),K726/FILTER('Base Stats'!$C$2:$C1000, LOWER('Base Stats'!$B$2:$B1000) = LOWER($A726)), """")"),"#N/A")</f>
        <v>#N/A</v>
      </c>
      <c r="M726" s="0" t="str">
        <f aca="false">IFERROR(__xludf.dummyfunction("1.15 + 0.02 * FILTER('Base Stats'!$C$2:$C1000, LOWER('Base Stats'!$B$2:$B1000) = LOWER($A726))"),"1.15")</f>
        <v>1.15</v>
      </c>
      <c r="N726" s="0" t="e">
        <f aca="false">IFERROR(IF(AND(NOT(K726 = ""), G726 &gt;= 15),K726/M726, ""))</f>
        <v>#VALUE!</v>
      </c>
    </row>
    <row r="727" customFormat="false" ht="15.75" hidden="false" customHeight="false" outlineLevel="0" collapsed="false">
      <c r="A727" s="0" t="n">
        <f aca="false">'Form Responses (Pokemon Stats)'!B621</f>
        <v>0</v>
      </c>
      <c r="B727" s="0" t="n">
        <f aca="false">'Form Responses (Pokemon Stats)'!D621</f>
        <v>0</v>
      </c>
      <c r="C727" s="0" t="n">
        <f aca="false">'Form Responses (Pokemon Stats)'!C621</f>
        <v>0</v>
      </c>
      <c r="F727" s="0" t="n">
        <f aca="false">'Form Responses (Pokemon Stats)'!E621</f>
        <v>0</v>
      </c>
      <c r="G727" s="0" t="str">
        <f aca="false">IFERROR(__xludf.dummyfunction("ROUND(B727/ FILTER('Pokemon CP/HP'!$M$2:$M1000, LOWER('Pokemon CP/HP'!$B$2:$B1000)=LOWER(A727)))"),"#DIV/0!")</f>
        <v>#DIV/0!</v>
      </c>
      <c r="H727" s="0" t="str">
        <f aca="false">IFERROR(__xludf.dummyfunction("FILTER('Leveling Info'!$B$2:$B1000, 'Leveling Info'!$A$2:$A1000 =G727)"),"#N/A")</f>
        <v>#N/A</v>
      </c>
      <c r="I727" s="14" t="e">
        <f aca="false">SQRT(G727)</f>
        <v>#VALUE!</v>
      </c>
      <c r="J727" s="14" t="str">
        <f aca="false">IFERROR(__xludf.dummyfunction("IF(F727 = H727,C727/FILTER('Base Stats'!$C$2:$C1000, LOWER('Base Stats'!$B$2:$B1000) = LOWER($A727)), """")"),"#N/A")</f>
        <v>#N/A</v>
      </c>
      <c r="K727" s="0" t="str">
        <f aca="false">IF(F727 = H727, C727/G727, "")</f>
        <v/>
      </c>
      <c r="L727" s="0" t="str">
        <f aca="false">IFERROR(__xludf.dummyfunction("IF(AND(NOT(K727 = """"), G727 &gt;= 15),K727/FILTER('Base Stats'!$C$2:$C1000, LOWER('Base Stats'!$B$2:$B1000) = LOWER($A727)), """")"),"#N/A")</f>
        <v>#N/A</v>
      </c>
      <c r="M727" s="0" t="str">
        <f aca="false">IFERROR(__xludf.dummyfunction("1.15 + 0.02 * FILTER('Base Stats'!$C$2:$C1000, LOWER('Base Stats'!$B$2:$B1000) = LOWER($A727))"),"1.15")</f>
        <v>1.15</v>
      </c>
      <c r="N727" s="0" t="e">
        <f aca="false">IFERROR(IF(AND(NOT(K727 = ""), G727 &gt;= 15),K727/M727, ""))</f>
        <v>#VALUE!</v>
      </c>
    </row>
    <row r="728" customFormat="false" ht="15.75" hidden="false" customHeight="false" outlineLevel="0" collapsed="false">
      <c r="A728" s="0" t="n">
        <f aca="false">'Form Responses (Pokemon Stats)'!B622</f>
        <v>0</v>
      </c>
      <c r="B728" s="0" t="n">
        <f aca="false">'Form Responses (Pokemon Stats)'!D622</f>
        <v>0</v>
      </c>
      <c r="C728" s="0" t="n">
        <f aca="false">'Form Responses (Pokemon Stats)'!C622</f>
        <v>0</v>
      </c>
      <c r="F728" s="0" t="n">
        <f aca="false">'Form Responses (Pokemon Stats)'!E622</f>
        <v>0</v>
      </c>
      <c r="G728" s="0" t="str">
        <f aca="false">IFERROR(__xludf.dummyfunction("ROUND(B728/ FILTER('Pokemon CP/HP'!$M$2:$M1000, LOWER('Pokemon CP/HP'!$B$2:$B1000)=LOWER(A728)))"),"#DIV/0!")</f>
        <v>#DIV/0!</v>
      </c>
      <c r="H728" s="0" t="str">
        <f aca="false">IFERROR(__xludf.dummyfunction("FILTER('Leveling Info'!$B$2:$B1000, 'Leveling Info'!$A$2:$A1000 =G728)"),"#N/A")</f>
        <v>#N/A</v>
      </c>
      <c r="I728" s="14" t="e">
        <f aca="false">SQRT(G728)</f>
        <v>#VALUE!</v>
      </c>
      <c r="J728" s="14" t="str">
        <f aca="false">IFERROR(__xludf.dummyfunction("IF(F728 = H728,C728/FILTER('Base Stats'!$C$2:$C1000, LOWER('Base Stats'!$B$2:$B1000) = LOWER($A728)), """")"),"#N/A")</f>
        <v>#N/A</v>
      </c>
      <c r="K728" s="0" t="str">
        <f aca="false">IF(F728 = H728, C728/G728, "")</f>
        <v/>
      </c>
      <c r="L728" s="0" t="str">
        <f aca="false">IFERROR(__xludf.dummyfunction("IF(AND(NOT(K728 = """"), G728 &gt;= 15),K728/FILTER('Base Stats'!$C$2:$C1000, LOWER('Base Stats'!$B$2:$B1000) = LOWER($A728)), """")"),"#N/A")</f>
        <v>#N/A</v>
      </c>
      <c r="M728" s="0" t="str">
        <f aca="false">IFERROR(__xludf.dummyfunction("1.15 + 0.02 * FILTER('Base Stats'!$C$2:$C1000, LOWER('Base Stats'!$B$2:$B1000) = LOWER($A728))"),"1.15")</f>
        <v>1.15</v>
      </c>
      <c r="N728" s="0" t="e">
        <f aca="false">IFERROR(IF(AND(NOT(K728 = ""), G728 &gt;= 15),K728/M728, ""))</f>
        <v>#VALUE!</v>
      </c>
    </row>
    <row r="729" customFormat="false" ht="15.75" hidden="false" customHeight="false" outlineLevel="0" collapsed="false">
      <c r="A729" s="0" t="n">
        <f aca="false">'Form Responses (Pokemon Stats)'!B623</f>
        <v>0</v>
      </c>
      <c r="B729" s="0" t="n">
        <f aca="false">'Form Responses (Pokemon Stats)'!D623</f>
        <v>0</v>
      </c>
      <c r="C729" s="0" t="n">
        <f aca="false">'Form Responses (Pokemon Stats)'!C623</f>
        <v>0</v>
      </c>
      <c r="F729" s="0" t="n">
        <f aca="false">'Form Responses (Pokemon Stats)'!E623</f>
        <v>0</v>
      </c>
      <c r="G729" s="0" t="str">
        <f aca="false">IFERROR(__xludf.dummyfunction("ROUND(B729/ FILTER('Pokemon CP/HP'!$M$2:$M1000, LOWER('Pokemon CP/HP'!$B$2:$B1000)=LOWER(A729)))"),"#DIV/0!")</f>
        <v>#DIV/0!</v>
      </c>
      <c r="H729" s="0" t="str">
        <f aca="false">IFERROR(__xludf.dummyfunction("FILTER('Leveling Info'!$B$2:$B1000, 'Leveling Info'!$A$2:$A1000 =G729)"),"#N/A")</f>
        <v>#N/A</v>
      </c>
      <c r="I729" s="14" t="e">
        <f aca="false">SQRT(G729)</f>
        <v>#VALUE!</v>
      </c>
      <c r="J729" s="14" t="str">
        <f aca="false">IFERROR(__xludf.dummyfunction("IF(F729 = H729,C729/FILTER('Base Stats'!$C$2:$C1000, LOWER('Base Stats'!$B$2:$B1000) = LOWER($A729)), """")"),"#N/A")</f>
        <v>#N/A</v>
      </c>
      <c r="K729" s="0" t="str">
        <f aca="false">IF(F729 = H729, C729/G729, "")</f>
        <v/>
      </c>
      <c r="L729" s="0" t="str">
        <f aca="false">IFERROR(__xludf.dummyfunction("IF(AND(NOT(K729 = """"), G729 &gt;= 15),K729/FILTER('Base Stats'!$C$2:$C1000, LOWER('Base Stats'!$B$2:$B1000) = LOWER($A729)), """")"),"#N/A")</f>
        <v>#N/A</v>
      </c>
      <c r="M729" s="0" t="str">
        <f aca="false">IFERROR(__xludf.dummyfunction("1.15 + 0.02 * FILTER('Base Stats'!$C$2:$C1000, LOWER('Base Stats'!$B$2:$B1000) = LOWER($A729))"),"1.15")</f>
        <v>1.15</v>
      </c>
      <c r="N729" s="0" t="e">
        <f aca="false">IFERROR(IF(AND(NOT(K729 = ""), G729 &gt;= 15),K729/M729, ""))</f>
        <v>#VALUE!</v>
      </c>
    </row>
    <row r="730" customFormat="false" ht="15.75" hidden="false" customHeight="false" outlineLevel="0" collapsed="false">
      <c r="A730" s="0" t="n">
        <f aca="false">'Form Responses (Pokemon Stats)'!B624</f>
        <v>0</v>
      </c>
      <c r="B730" s="0" t="n">
        <f aca="false">'Form Responses (Pokemon Stats)'!D624</f>
        <v>0</v>
      </c>
      <c r="C730" s="0" t="n">
        <f aca="false">'Form Responses (Pokemon Stats)'!C624</f>
        <v>0</v>
      </c>
      <c r="F730" s="0" t="n">
        <f aca="false">'Form Responses (Pokemon Stats)'!E624</f>
        <v>0</v>
      </c>
      <c r="G730" s="0" t="str">
        <f aca="false">IFERROR(__xludf.dummyfunction("ROUND(B730/ FILTER('Pokemon CP/HP'!$M$2:$M1000, LOWER('Pokemon CP/HP'!$B$2:$B1000)=LOWER(A730)))"),"#DIV/0!")</f>
        <v>#DIV/0!</v>
      </c>
      <c r="H730" s="0" t="str">
        <f aca="false">IFERROR(__xludf.dummyfunction("FILTER('Leveling Info'!$B$2:$B1000, 'Leveling Info'!$A$2:$A1000 =G730)"),"#N/A")</f>
        <v>#N/A</v>
      </c>
      <c r="I730" s="14" t="e">
        <f aca="false">SQRT(G730)</f>
        <v>#VALUE!</v>
      </c>
      <c r="J730" s="14" t="str">
        <f aca="false">IFERROR(__xludf.dummyfunction("IF(F730 = H730,C730/FILTER('Base Stats'!$C$2:$C1000, LOWER('Base Stats'!$B$2:$B1000) = LOWER($A730)), """")"),"#N/A")</f>
        <v>#N/A</v>
      </c>
      <c r="K730" s="0" t="str">
        <f aca="false">IF(F730 = H730, C730/G730, "")</f>
        <v/>
      </c>
      <c r="L730" s="0" t="str">
        <f aca="false">IFERROR(__xludf.dummyfunction("IF(AND(NOT(K730 = """"), G730 &gt;= 15),K730/FILTER('Base Stats'!$C$2:$C1000, LOWER('Base Stats'!$B$2:$B1000) = LOWER($A730)), """")"),"#N/A")</f>
        <v>#N/A</v>
      </c>
      <c r="M730" s="0" t="str">
        <f aca="false">IFERROR(__xludf.dummyfunction("1.15 + 0.02 * FILTER('Base Stats'!$C$2:$C1000, LOWER('Base Stats'!$B$2:$B1000) = LOWER($A730))"),"1.15")</f>
        <v>1.15</v>
      </c>
      <c r="N730" s="0" t="e">
        <f aca="false">IFERROR(IF(AND(NOT(K730 = ""), G730 &gt;= 15),K730/M730, ""))</f>
        <v>#VALUE!</v>
      </c>
    </row>
    <row r="731" customFormat="false" ht="15.75" hidden="false" customHeight="false" outlineLevel="0" collapsed="false">
      <c r="A731" s="0" t="n">
        <f aca="false">'Form Responses (Pokemon Stats)'!B625</f>
        <v>0</v>
      </c>
      <c r="B731" s="0" t="n">
        <f aca="false">'Form Responses (Pokemon Stats)'!D625</f>
        <v>0</v>
      </c>
      <c r="C731" s="0" t="n">
        <f aca="false">'Form Responses (Pokemon Stats)'!C625</f>
        <v>0</v>
      </c>
      <c r="F731" s="0" t="n">
        <f aca="false">'Form Responses (Pokemon Stats)'!E625</f>
        <v>0</v>
      </c>
      <c r="G731" s="0" t="str">
        <f aca="false">IFERROR(__xludf.dummyfunction("ROUND(B731/ FILTER('Pokemon CP/HP'!$M$2:$M1000, LOWER('Pokemon CP/HP'!$B$2:$B1000)=LOWER(A731)))"),"#DIV/0!")</f>
        <v>#DIV/0!</v>
      </c>
      <c r="H731" s="0" t="str">
        <f aca="false">IFERROR(__xludf.dummyfunction("FILTER('Leveling Info'!$B$2:$B1000, 'Leveling Info'!$A$2:$A1000 =G731)"),"#N/A")</f>
        <v>#N/A</v>
      </c>
      <c r="I731" s="14" t="e">
        <f aca="false">SQRT(G731)</f>
        <v>#VALUE!</v>
      </c>
      <c r="J731" s="14" t="str">
        <f aca="false">IFERROR(__xludf.dummyfunction("IF(F731 = H731,C731/FILTER('Base Stats'!$C$2:$C1000, LOWER('Base Stats'!$B$2:$B1000) = LOWER($A731)), """")"),"#N/A")</f>
        <v>#N/A</v>
      </c>
      <c r="K731" s="0" t="str">
        <f aca="false">IF(F731 = H731, C731/G731, "")</f>
        <v/>
      </c>
      <c r="L731" s="0" t="str">
        <f aca="false">IFERROR(__xludf.dummyfunction("IF(AND(NOT(K731 = """"), G731 &gt;= 15),K731/FILTER('Base Stats'!$C$2:$C1000, LOWER('Base Stats'!$B$2:$B1000) = LOWER($A731)), """")"),"#N/A")</f>
        <v>#N/A</v>
      </c>
      <c r="M731" s="0" t="str">
        <f aca="false">IFERROR(__xludf.dummyfunction("1.15 + 0.02 * FILTER('Base Stats'!$C$2:$C1000, LOWER('Base Stats'!$B$2:$B1000) = LOWER($A731))"),"1.15")</f>
        <v>1.15</v>
      </c>
      <c r="N731" s="0" t="e">
        <f aca="false">IFERROR(IF(AND(NOT(K731 = ""), G731 &gt;= 15),K731/M731, ""))</f>
        <v>#VALUE!</v>
      </c>
    </row>
    <row r="732" customFormat="false" ht="15.75" hidden="false" customHeight="false" outlineLevel="0" collapsed="false">
      <c r="A732" s="0" t="n">
        <f aca="false">'Form Responses (Pokemon Stats)'!B626</f>
        <v>0</v>
      </c>
      <c r="B732" s="0" t="n">
        <f aca="false">'Form Responses (Pokemon Stats)'!D626</f>
        <v>0</v>
      </c>
      <c r="C732" s="0" t="n">
        <f aca="false">'Form Responses (Pokemon Stats)'!C626</f>
        <v>0</v>
      </c>
      <c r="F732" s="0" t="n">
        <f aca="false">'Form Responses (Pokemon Stats)'!E626</f>
        <v>0</v>
      </c>
      <c r="G732" s="0" t="str">
        <f aca="false">IFERROR(__xludf.dummyfunction("ROUND(B732/ FILTER('Pokemon CP/HP'!$M$2:$M1000, LOWER('Pokemon CP/HP'!$B$2:$B1000)=LOWER(A732)))"),"#DIV/0!")</f>
        <v>#DIV/0!</v>
      </c>
      <c r="H732" s="0" t="str">
        <f aca="false">IFERROR(__xludf.dummyfunction("FILTER('Leveling Info'!$B$2:$B1000, 'Leveling Info'!$A$2:$A1000 =G732)"),"#N/A")</f>
        <v>#N/A</v>
      </c>
      <c r="I732" s="14" t="e">
        <f aca="false">SQRT(G732)</f>
        <v>#VALUE!</v>
      </c>
      <c r="J732" s="14" t="str">
        <f aca="false">IFERROR(__xludf.dummyfunction("IF(F732 = H732,C732/FILTER('Base Stats'!$C$2:$C1000, LOWER('Base Stats'!$B$2:$B1000) = LOWER($A732)), """")"),"#N/A")</f>
        <v>#N/A</v>
      </c>
      <c r="K732" s="0" t="str">
        <f aca="false">IF(F732 = H732, C732/G732, "")</f>
        <v/>
      </c>
      <c r="L732" s="0" t="str">
        <f aca="false">IFERROR(__xludf.dummyfunction("IF(AND(NOT(K732 = """"), G732 &gt;= 15),K732/FILTER('Base Stats'!$C$2:$C1000, LOWER('Base Stats'!$B$2:$B1000) = LOWER($A732)), """")"),"#N/A")</f>
        <v>#N/A</v>
      </c>
      <c r="M732" s="0" t="str">
        <f aca="false">IFERROR(__xludf.dummyfunction("1.15 + 0.02 * FILTER('Base Stats'!$C$2:$C1000, LOWER('Base Stats'!$B$2:$B1000) = LOWER($A732))"),"1.15")</f>
        <v>1.15</v>
      </c>
      <c r="N732" s="0" t="e">
        <f aca="false">IFERROR(IF(AND(NOT(K732 = ""), G732 &gt;= 15),K732/M732, ""))</f>
        <v>#VALUE!</v>
      </c>
    </row>
    <row r="733" customFormat="false" ht="15.75" hidden="false" customHeight="false" outlineLevel="0" collapsed="false">
      <c r="A733" s="0" t="n">
        <f aca="false">'Form Responses (Pokemon Stats)'!B627</f>
        <v>0</v>
      </c>
      <c r="B733" s="0" t="n">
        <f aca="false">'Form Responses (Pokemon Stats)'!D627</f>
        <v>0</v>
      </c>
      <c r="C733" s="0" t="n">
        <f aca="false">'Form Responses (Pokemon Stats)'!C627</f>
        <v>0</v>
      </c>
      <c r="F733" s="0" t="n">
        <f aca="false">'Form Responses (Pokemon Stats)'!E627</f>
        <v>0</v>
      </c>
      <c r="G733" s="0" t="str">
        <f aca="false">IFERROR(__xludf.dummyfunction("ROUND(B733/ FILTER('Pokemon CP/HP'!$M$2:$M1000, LOWER('Pokemon CP/HP'!$B$2:$B1000)=LOWER(A733)))"),"#DIV/0!")</f>
        <v>#DIV/0!</v>
      </c>
      <c r="H733" s="0" t="str">
        <f aca="false">IFERROR(__xludf.dummyfunction("FILTER('Leveling Info'!$B$2:$B1000, 'Leveling Info'!$A$2:$A1000 =G733)"),"#N/A")</f>
        <v>#N/A</v>
      </c>
      <c r="I733" s="14" t="e">
        <f aca="false">SQRT(G733)</f>
        <v>#VALUE!</v>
      </c>
      <c r="J733" s="14" t="str">
        <f aca="false">IFERROR(__xludf.dummyfunction("IF(F733 = H733,C733/FILTER('Base Stats'!$C$2:$C1000, LOWER('Base Stats'!$B$2:$B1000) = LOWER($A733)), """")"),"#N/A")</f>
        <v>#N/A</v>
      </c>
      <c r="K733" s="0" t="str">
        <f aca="false">IF(F733 = H733, C733/G733, "")</f>
        <v/>
      </c>
      <c r="L733" s="0" t="str">
        <f aca="false">IFERROR(__xludf.dummyfunction("IF(AND(NOT(K733 = """"), G733 &gt;= 15),K733/FILTER('Base Stats'!$C$2:$C1000, LOWER('Base Stats'!$B$2:$B1000) = LOWER($A733)), """")"),"#N/A")</f>
        <v>#N/A</v>
      </c>
      <c r="M733" s="0" t="str">
        <f aca="false">IFERROR(__xludf.dummyfunction("1.15 + 0.02 * FILTER('Base Stats'!$C$2:$C1000, LOWER('Base Stats'!$B$2:$B1000) = LOWER($A733))"),"1.15")</f>
        <v>1.15</v>
      </c>
      <c r="N733" s="0" t="e">
        <f aca="false">IFERROR(IF(AND(NOT(K733 = ""), G733 &gt;= 15),K733/M733, ""))</f>
        <v>#VALUE!</v>
      </c>
    </row>
    <row r="734" customFormat="false" ht="15.75" hidden="false" customHeight="false" outlineLevel="0" collapsed="false">
      <c r="A734" s="0" t="n">
        <f aca="false">'Form Responses (Pokemon Stats)'!B628</f>
        <v>0</v>
      </c>
      <c r="B734" s="0" t="n">
        <f aca="false">'Form Responses (Pokemon Stats)'!D628</f>
        <v>0</v>
      </c>
      <c r="C734" s="0" t="n">
        <f aca="false">'Form Responses (Pokemon Stats)'!C628</f>
        <v>0</v>
      </c>
      <c r="F734" s="0" t="n">
        <f aca="false">'Form Responses (Pokemon Stats)'!E628</f>
        <v>0</v>
      </c>
      <c r="G734" s="0" t="str">
        <f aca="false">IFERROR(__xludf.dummyfunction("ROUND(B734/ FILTER('Pokemon CP/HP'!$M$2:$M1000, LOWER('Pokemon CP/HP'!$B$2:$B1000)=LOWER(A734)))"),"#DIV/0!")</f>
        <v>#DIV/0!</v>
      </c>
      <c r="H734" s="0" t="str">
        <f aca="false">IFERROR(__xludf.dummyfunction("FILTER('Leveling Info'!$B$2:$B1000, 'Leveling Info'!$A$2:$A1000 =G734)"),"#N/A")</f>
        <v>#N/A</v>
      </c>
      <c r="I734" s="14" t="e">
        <f aca="false">SQRT(G734)</f>
        <v>#VALUE!</v>
      </c>
      <c r="J734" s="14" t="str">
        <f aca="false">IFERROR(__xludf.dummyfunction("IF(F734 = H734,C734/FILTER('Base Stats'!$C$2:$C1000, LOWER('Base Stats'!$B$2:$B1000) = LOWER($A734)), """")"),"#N/A")</f>
        <v>#N/A</v>
      </c>
      <c r="K734" s="0" t="str">
        <f aca="false">IF(F734 = H734, C734/G734, "")</f>
        <v/>
      </c>
      <c r="L734" s="0" t="str">
        <f aca="false">IFERROR(__xludf.dummyfunction("IF(AND(NOT(K734 = """"), G734 &gt;= 15),K734/FILTER('Base Stats'!$C$2:$C1000, LOWER('Base Stats'!$B$2:$B1000) = LOWER($A734)), """")"),"#N/A")</f>
        <v>#N/A</v>
      </c>
      <c r="M734" s="0" t="str">
        <f aca="false">IFERROR(__xludf.dummyfunction("1.15 + 0.02 * FILTER('Base Stats'!$C$2:$C1000, LOWER('Base Stats'!$B$2:$B1000) = LOWER($A734))"),"1.15")</f>
        <v>1.15</v>
      </c>
      <c r="N734" s="0" t="e">
        <f aca="false">IFERROR(IF(AND(NOT(K734 = ""), G734 &gt;= 15),K734/M734, ""))</f>
        <v>#VALUE!</v>
      </c>
    </row>
    <row r="735" customFormat="false" ht="15.75" hidden="false" customHeight="false" outlineLevel="0" collapsed="false">
      <c r="A735" s="0" t="n">
        <f aca="false">'Form Responses (Pokemon Stats)'!B629</f>
        <v>0</v>
      </c>
      <c r="B735" s="0" t="n">
        <f aca="false">'Form Responses (Pokemon Stats)'!D629</f>
        <v>0</v>
      </c>
      <c r="C735" s="0" t="n">
        <f aca="false">'Form Responses (Pokemon Stats)'!C629</f>
        <v>0</v>
      </c>
      <c r="F735" s="0" t="n">
        <f aca="false">'Form Responses (Pokemon Stats)'!E629</f>
        <v>0</v>
      </c>
      <c r="G735" s="0" t="str">
        <f aca="false">IFERROR(__xludf.dummyfunction("ROUND(B735/ FILTER('Pokemon CP/HP'!$M$2:$M1000, LOWER('Pokemon CP/HP'!$B$2:$B1000)=LOWER(A735)))"),"#DIV/0!")</f>
        <v>#DIV/0!</v>
      </c>
      <c r="H735" s="0" t="str">
        <f aca="false">IFERROR(__xludf.dummyfunction("FILTER('Leveling Info'!$B$2:$B1000, 'Leveling Info'!$A$2:$A1000 =G735)"),"#N/A")</f>
        <v>#N/A</v>
      </c>
      <c r="I735" s="14" t="e">
        <f aca="false">SQRT(G735)</f>
        <v>#VALUE!</v>
      </c>
      <c r="J735" s="14" t="str">
        <f aca="false">IFERROR(__xludf.dummyfunction("IF(F735 = H735,C735/FILTER('Base Stats'!$C$2:$C1000, LOWER('Base Stats'!$B$2:$B1000) = LOWER($A735)), """")"),"#N/A")</f>
        <v>#N/A</v>
      </c>
      <c r="K735" s="0" t="str">
        <f aca="false">IF(F735 = H735, C735/G735, "")</f>
        <v/>
      </c>
      <c r="L735" s="0" t="str">
        <f aca="false">IFERROR(__xludf.dummyfunction("IF(AND(NOT(K735 = """"), G735 &gt;= 15),K735/FILTER('Base Stats'!$C$2:$C1000, LOWER('Base Stats'!$B$2:$B1000) = LOWER($A735)), """")"),"#N/A")</f>
        <v>#N/A</v>
      </c>
      <c r="M735" s="0" t="str">
        <f aca="false">IFERROR(__xludf.dummyfunction("1.15 + 0.02 * FILTER('Base Stats'!$C$2:$C1000, LOWER('Base Stats'!$B$2:$B1000) = LOWER($A735))"),"1.15")</f>
        <v>1.15</v>
      </c>
      <c r="N735" s="0" t="e">
        <f aca="false">IFERROR(IF(AND(NOT(K735 = ""), G735 &gt;= 15),K735/M735, ""))</f>
        <v>#VALUE!</v>
      </c>
    </row>
    <row r="736" customFormat="false" ht="15.75" hidden="false" customHeight="false" outlineLevel="0" collapsed="false">
      <c r="A736" s="0" t="n">
        <f aca="false">'Form Responses (Pokemon Stats)'!B630</f>
        <v>0</v>
      </c>
      <c r="B736" s="0" t="n">
        <f aca="false">'Form Responses (Pokemon Stats)'!D630</f>
        <v>0</v>
      </c>
      <c r="C736" s="0" t="n">
        <f aca="false">'Form Responses (Pokemon Stats)'!C630</f>
        <v>0</v>
      </c>
      <c r="F736" s="0" t="n">
        <f aca="false">'Form Responses (Pokemon Stats)'!E630</f>
        <v>0</v>
      </c>
      <c r="G736" s="0" t="str">
        <f aca="false">IFERROR(__xludf.dummyfunction("ROUND(B736/ FILTER('Pokemon CP/HP'!$M$2:$M1000, LOWER('Pokemon CP/HP'!$B$2:$B1000)=LOWER(A736)))"),"#DIV/0!")</f>
        <v>#DIV/0!</v>
      </c>
      <c r="H736" s="0" t="str">
        <f aca="false">IFERROR(__xludf.dummyfunction("FILTER('Leveling Info'!$B$2:$B1000, 'Leveling Info'!$A$2:$A1000 =G736)"),"#N/A")</f>
        <v>#N/A</v>
      </c>
      <c r="I736" s="14" t="e">
        <f aca="false">SQRT(G736)</f>
        <v>#VALUE!</v>
      </c>
      <c r="J736" s="14" t="str">
        <f aca="false">IFERROR(__xludf.dummyfunction("IF(F736 = H736,C736/FILTER('Base Stats'!$C$2:$C1000, LOWER('Base Stats'!$B$2:$B1000) = LOWER($A736)), """")"),"#N/A")</f>
        <v>#N/A</v>
      </c>
      <c r="K736" s="0" t="str">
        <f aca="false">IF(F736 = H736, C736/G736, "")</f>
        <v/>
      </c>
      <c r="L736" s="0" t="str">
        <f aca="false">IFERROR(__xludf.dummyfunction("IF(AND(NOT(K736 = """"), G736 &gt;= 15),K736/FILTER('Base Stats'!$C$2:$C1000, LOWER('Base Stats'!$B$2:$B1000) = LOWER($A736)), """")"),"#N/A")</f>
        <v>#N/A</v>
      </c>
      <c r="M736" s="0" t="str">
        <f aca="false">IFERROR(__xludf.dummyfunction("1.15 + 0.02 * FILTER('Base Stats'!$C$2:$C1000, LOWER('Base Stats'!$B$2:$B1000) = LOWER($A736))"),"1.15")</f>
        <v>1.15</v>
      </c>
      <c r="N736" s="0" t="e">
        <f aca="false">IFERROR(IF(AND(NOT(K736 = ""), G736 &gt;= 15),K736/M736, ""))</f>
        <v>#VALUE!</v>
      </c>
    </row>
    <row r="737" customFormat="false" ht="15.75" hidden="false" customHeight="false" outlineLevel="0" collapsed="false">
      <c r="A737" s="0" t="n">
        <f aca="false">'Form Responses (Pokemon Stats)'!B631</f>
        <v>0</v>
      </c>
      <c r="B737" s="0" t="n">
        <f aca="false">'Form Responses (Pokemon Stats)'!D631</f>
        <v>0</v>
      </c>
      <c r="C737" s="0" t="n">
        <f aca="false">'Form Responses (Pokemon Stats)'!C631</f>
        <v>0</v>
      </c>
      <c r="F737" s="0" t="n">
        <f aca="false">'Form Responses (Pokemon Stats)'!E631</f>
        <v>0</v>
      </c>
      <c r="G737" s="0" t="str">
        <f aca="false">IFERROR(__xludf.dummyfunction("ROUND(B737/ FILTER('Pokemon CP/HP'!$M$2:$M1000, LOWER('Pokemon CP/HP'!$B$2:$B1000)=LOWER(A737)))"),"#DIV/0!")</f>
        <v>#DIV/0!</v>
      </c>
      <c r="H737" s="0" t="str">
        <f aca="false">IFERROR(__xludf.dummyfunction("FILTER('Leveling Info'!$B$2:$B1000, 'Leveling Info'!$A$2:$A1000 =G737)"),"#N/A")</f>
        <v>#N/A</v>
      </c>
      <c r="I737" s="14" t="e">
        <f aca="false">SQRT(G737)</f>
        <v>#VALUE!</v>
      </c>
      <c r="J737" s="14" t="str">
        <f aca="false">IFERROR(__xludf.dummyfunction("IF(F737 = H737,C737/FILTER('Base Stats'!$C$2:$C1000, LOWER('Base Stats'!$B$2:$B1000) = LOWER($A737)), """")"),"#N/A")</f>
        <v>#N/A</v>
      </c>
      <c r="K737" s="0" t="str">
        <f aca="false">IF(F737 = H737, C737/G737, "")</f>
        <v/>
      </c>
      <c r="L737" s="0" t="str">
        <f aca="false">IFERROR(__xludf.dummyfunction("IF(AND(NOT(K737 = """"), G737 &gt;= 15),K737/FILTER('Base Stats'!$C$2:$C1000, LOWER('Base Stats'!$B$2:$B1000) = LOWER($A737)), """")"),"#N/A")</f>
        <v>#N/A</v>
      </c>
      <c r="M737" s="0" t="str">
        <f aca="false">IFERROR(__xludf.dummyfunction("1.15 + 0.02 * FILTER('Base Stats'!$C$2:$C1000, LOWER('Base Stats'!$B$2:$B1000) = LOWER($A737))"),"1.15")</f>
        <v>1.15</v>
      </c>
      <c r="N737" s="0" t="e">
        <f aca="false">IFERROR(IF(AND(NOT(K737 = ""), G737 &gt;= 15),K737/M737, ""))</f>
        <v>#VALUE!</v>
      </c>
    </row>
    <row r="738" customFormat="false" ht="15.75" hidden="false" customHeight="false" outlineLevel="0" collapsed="false">
      <c r="A738" s="0" t="n">
        <f aca="false">'Form Responses (Pokemon Stats)'!B632</f>
        <v>0</v>
      </c>
      <c r="B738" s="0" t="n">
        <f aca="false">'Form Responses (Pokemon Stats)'!D632</f>
        <v>0</v>
      </c>
      <c r="C738" s="0" t="n">
        <f aca="false">'Form Responses (Pokemon Stats)'!C632</f>
        <v>0</v>
      </c>
      <c r="F738" s="0" t="n">
        <f aca="false">'Form Responses (Pokemon Stats)'!E632</f>
        <v>0</v>
      </c>
      <c r="G738" s="0" t="str">
        <f aca="false">IFERROR(__xludf.dummyfunction("ROUND(B738/ FILTER('Pokemon CP/HP'!$M$2:$M1000, LOWER('Pokemon CP/HP'!$B$2:$B1000)=LOWER(A738)))"),"#DIV/0!")</f>
        <v>#DIV/0!</v>
      </c>
      <c r="H738" s="0" t="str">
        <f aca="false">IFERROR(__xludf.dummyfunction("FILTER('Leveling Info'!$B$2:$B1000, 'Leveling Info'!$A$2:$A1000 =G738)"),"#N/A")</f>
        <v>#N/A</v>
      </c>
      <c r="I738" s="14" t="e">
        <f aca="false">SQRT(G738)</f>
        <v>#VALUE!</v>
      </c>
      <c r="J738" s="14" t="str">
        <f aca="false">IFERROR(__xludf.dummyfunction("IF(F738 = H738,C738/FILTER('Base Stats'!$C$2:$C1000, LOWER('Base Stats'!$B$2:$B1000) = LOWER($A738)), """")"),"#N/A")</f>
        <v>#N/A</v>
      </c>
      <c r="K738" s="0" t="str">
        <f aca="false">IF(F738 = H738, C738/G738, "")</f>
        <v/>
      </c>
      <c r="L738" s="0" t="str">
        <f aca="false">IFERROR(__xludf.dummyfunction("IF(AND(NOT(K738 = """"), G738 &gt;= 15),K738/FILTER('Base Stats'!$C$2:$C1000, LOWER('Base Stats'!$B$2:$B1000) = LOWER($A738)), """")"),"#N/A")</f>
        <v>#N/A</v>
      </c>
      <c r="M738" s="0" t="str">
        <f aca="false">IFERROR(__xludf.dummyfunction("1.15 + 0.02 * FILTER('Base Stats'!$C$2:$C1000, LOWER('Base Stats'!$B$2:$B1000) = LOWER($A738))"),"1.15")</f>
        <v>1.15</v>
      </c>
      <c r="N738" s="0" t="e">
        <f aca="false">IFERROR(IF(AND(NOT(K738 = ""), G738 &gt;= 15),K738/M738, ""))</f>
        <v>#VALUE!</v>
      </c>
    </row>
    <row r="739" customFormat="false" ht="15.75" hidden="false" customHeight="false" outlineLevel="0" collapsed="false">
      <c r="A739" s="0" t="n">
        <f aca="false">'Form Responses (Pokemon Stats)'!B633</f>
        <v>0</v>
      </c>
      <c r="B739" s="0" t="n">
        <f aca="false">'Form Responses (Pokemon Stats)'!D633</f>
        <v>0</v>
      </c>
      <c r="C739" s="0" t="n">
        <f aca="false">'Form Responses (Pokemon Stats)'!C633</f>
        <v>0</v>
      </c>
      <c r="F739" s="0" t="n">
        <f aca="false">'Form Responses (Pokemon Stats)'!E633</f>
        <v>0</v>
      </c>
      <c r="G739" s="0" t="str">
        <f aca="false">IFERROR(__xludf.dummyfunction("ROUND(B739/ FILTER('Pokemon CP/HP'!$M$2:$M1000, LOWER('Pokemon CP/HP'!$B$2:$B1000)=LOWER(A739)))"),"#DIV/0!")</f>
        <v>#DIV/0!</v>
      </c>
      <c r="H739" s="0" t="str">
        <f aca="false">IFERROR(__xludf.dummyfunction("FILTER('Leveling Info'!$B$2:$B1000, 'Leveling Info'!$A$2:$A1000 =G739)"),"#N/A")</f>
        <v>#N/A</v>
      </c>
      <c r="I739" s="14" t="e">
        <f aca="false">SQRT(G739)</f>
        <v>#VALUE!</v>
      </c>
      <c r="J739" s="14" t="str">
        <f aca="false">IFERROR(__xludf.dummyfunction("IF(F739 = H739,C739/FILTER('Base Stats'!$C$2:$C1000, LOWER('Base Stats'!$B$2:$B1000) = LOWER($A739)), """")"),"#N/A")</f>
        <v>#N/A</v>
      </c>
      <c r="K739" s="0" t="str">
        <f aca="false">IF(F739 = H739, C739/G739, "")</f>
        <v/>
      </c>
      <c r="L739" s="0" t="str">
        <f aca="false">IFERROR(__xludf.dummyfunction("IF(AND(NOT(K739 = """"), G739 &gt;= 15),K739/FILTER('Base Stats'!$C$2:$C1000, LOWER('Base Stats'!$B$2:$B1000) = LOWER($A739)), """")"),"#N/A")</f>
        <v>#N/A</v>
      </c>
      <c r="M739" s="0" t="str">
        <f aca="false">IFERROR(__xludf.dummyfunction("1.15 + 0.02 * FILTER('Base Stats'!$C$2:$C1000, LOWER('Base Stats'!$B$2:$B1000) = LOWER($A739))"),"1.15")</f>
        <v>1.15</v>
      </c>
      <c r="N739" s="0" t="e">
        <f aca="false">IFERROR(IF(AND(NOT(K739 = ""), G739 &gt;= 15),K739/M739, ""))</f>
        <v>#VALUE!</v>
      </c>
    </row>
    <row r="740" customFormat="false" ht="15.75" hidden="false" customHeight="false" outlineLevel="0" collapsed="false">
      <c r="A740" s="0" t="n">
        <f aca="false">'Form Responses (Pokemon Stats)'!B634</f>
        <v>0</v>
      </c>
      <c r="B740" s="0" t="n">
        <f aca="false">'Form Responses (Pokemon Stats)'!D634</f>
        <v>0</v>
      </c>
      <c r="C740" s="0" t="n">
        <f aca="false">'Form Responses (Pokemon Stats)'!C634</f>
        <v>0</v>
      </c>
      <c r="F740" s="0" t="n">
        <f aca="false">'Form Responses (Pokemon Stats)'!E634</f>
        <v>0</v>
      </c>
      <c r="G740" s="0" t="str">
        <f aca="false">IFERROR(__xludf.dummyfunction("ROUND(B740/ FILTER('Pokemon CP/HP'!$M$2:$M1000, LOWER('Pokemon CP/HP'!$B$2:$B1000)=LOWER(A740)))"),"#DIV/0!")</f>
        <v>#DIV/0!</v>
      </c>
      <c r="H740" s="0" t="str">
        <f aca="false">IFERROR(__xludf.dummyfunction("FILTER('Leveling Info'!$B$2:$B1000, 'Leveling Info'!$A$2:$A1000 =G740)"),"#N/A")</f>
        <v>#N/A</v>
      </c>
      <c r="I740" s="14" t="e">
        <f aca="false">SQRT(G740)</f>
        <v>#VALUE!</v>
      </c>
      <c r="J740" s="14" t="str">
        <f aca="false">IFERROR(__xludf.dummyfunction("IF(F740 = H740,C740/FILTER('Base Stats'!$C$2:$C1000, LOWER('Base Stats'!$B$2:$B1000) = LOWER($A740)), """")"),"#N/A")</f>
        <v>#N/A</v>
      </c>
      <c r="K740" s="0" t="str">
        <f aca="false">IF(F740 = H740, C740/G740, "")</f>
        <v/>
      </c>
      <c r="L740" s="0" t="str">
        <f aca="false">IFERROR(__xludf.dummyfunction("IF(AND(NOT(K740 = """"), G740 &gt;= 15),K740/FILTER('Base Stats'!$C$2:$C1000, LOWER('Base Stats'!$B$2:$B1000) = LOWER($A740)), """")"),"#N/A")</f>
        <v>#N/A</v>
      </c>
      <c r="M740" s="0" t="str">
        <f aca="false">IFERROR(__xludf.dummyfunction("1.15 + 0.02 * FILTER('Base Stats'!$C$2:$C1000, LOWER('Base Stats'!$B$2:$B1000) = LOWER($A740))"),"1.15")</f>
        <v>1.15</v>
      </c>
      <c r="N740" s="0" t="e">
        <f aca="false">IFERROR(IF(AND(NOT(K740 = ""), G740 &gt;= 15),K740/M740, ""))</f>
        <v>#VALUE!</v>
      </c>
    </row>
    <row r="741" customFormat="false" ht="15.75" hidden="false" customHeight="false" outlineLevel="0" collapsed="false">
      <c r="A741" s="0" t="n">
        <f aca="false">'Form Responses (Pokemon Stats)'!B635</f>
        <v>0</v>
      </c>
      <c r="B741" s="0" t="n">
        <f aca="false">'Form Responses (Pokemon Stats)'!D635</f>
        <v>0</v>
      </c>
      <c r="C741" s="0" t="n">
        <f aca="false">'Form Responses (Pokemon Stats)'!C635</f>
        <v>0</v>
      </c>
      <c r="F741" s="0" t="n">
        <f aca="false">'Form Responses (Pokemon Stats)'!E635</f>
        <v>0</v>
      </c>
      <c r="G741" s="0" t="str">
        <f aca="false">IFERROR(__xludf.dummyfunction("ROUND(B741/ FILTER('Pokemon CP/HP'!$M$2:$M1000, LOWER('Pokemon CP/HP'!$B$2:$B1000)=LOWER(A741)))"),"#DIV/0!")</f>
        <v>#DIV/0!</v>
      </c>
      <c r="H741" s="0" t="str">
        <f aca="false">IFERROR(__xludf.dummyfunction("FILTER('Leveling Info'!$B$2:$B1000, 'Leveling Info'!$A$2:$A1000 =G741)"),"#N/A")</f>
        <v>#N/A</v>
      </c>
      <c r="I741" s="14" t="e">
        <f aca="false">SQRT(G741)</f>
        <v>#VALUE!</v>
      </c>
      <c r="J741" s="14" t="str">
        <f aca="false">IFERROR(__xludf.dummyfunction("IF(F741 = H741,C741/FILTER('Base Stats'!$C$2:$C1000, LOWER('Base Stats'!$B$2:$B1000) = LOWER($A741)), """")"),"#N/A")</f>
        <v>#N/A</v>
      </c>
      <c r="K741" s="0" t="str">
        <f aca="false">IF(F741 = H741, C741/G741, "")</f>
        <v/>
      </c>
      <c r="L741" s="0" t="str">
        <f aca="false">IFERROR(__xludf.dummyfunction("IF(AND(NOT(K741 = """"), G741 &gt;= 15),K741/FILTER('Base Stats'!$C$2:$C1000, LOWER('Base Stats'!$B$2:$B1000) = LOWER($A741)), """")"),"#N/A")</f>
        <v>#N/A</v>
      </c>
      <c r="M741" s="0" t="str">
        <f aca="false">IFERROR(__xludf.dummyfunction("1.15 + 0.02 * FILTER('Base Stats'!$C$2:$C1000, LOWER('Base Stats'!$B$2:$B1000) = LOWER($A741))"),"1.15")</f>
        <v>1.15</v>
      </c>
      <c r="N741" s="0" t="e">
        <f aca="false">IFERROR(IF(AND(NOT(K741 = ""), G741 &gt;= 15),K741/M741, ""))</f>
        <v>#VALUE!</v>
      </c>
    </row>
    <row r="742" customFormat="false" ht="15.75" hidden="false" customHeight="false" outlineLevel="0" collapsed="false">
      <c r="A742" s="0" t="n">
        <f aca="false">'Form Responses (Pokemon Stats)'!B636</f>
        <v>0</v>
      </c>
      <c r="B742" s="0" t="n">
        <f aca="false">'Form Responses (Pokemon Stats)'!D636</f>
        <v>0</v>
      </c>
      <c r="C742" s="0" t="n">
        <f aca="false">'Form Responses (Pokemon Stats)'!C636</f>
        <v>0</v>
      </c>
      <c r="F742" s="0" t="n">
        <f aca="false">'Form Responses (Pokemon Stats)'!E636</f>
        <v>0</v>
      </c>
      <c r="G742" s="0" t="str">
        <f aca="false">IFERROR(__xludf.dummyfunction("ROUND(B742/ FILTER('Pokemon CP/HP'!$M$2:$M1000, LOWER('Pokemon CP/HP'!$B$2:$B1000)=LOWER(A742)))"),"#DIV/0!")</f>
        <v>#DIV/0!</v>
      </c>
      <c r="H742" s="0" t="str">
        <f aca="false">IFERROR(__xludf.dummyfunction("FILTER('Leveling Info'!$B$2:$B1000, 'Leveling Info'!$A$2:$A1000 =G742)"),"#N/A")</f>
        <v>#N/A</v>
      </c>
      <c r="I742" s="14" t="e">
        <f aca="false">SQRT(G742)</f>
        <v>#VALUE!</v>
      </c>
      <c r="J742" s="14" t="str">
        <f aca="false">IFERROR(__xludf.dummyfunction("IF(F742 = H742,C742/FILTER('Base Stats'!$C$2:$C1000, LOWER('Base Stats'!$B$2:$B1000) = LOWER($A742)), """")"),"#N/A")</f>
        <v>#N/A</v>
      </c>
      <c r="K742" s="0" t="str">
        <f aca="false">IF(F742 = H742, C742/G742, "")</f>
        <v/>
      </c>
      <c r="L742" s="0" t="str">
        <f aca="false">IFERROR(__xludf.dummyfunction("IF(AND(NOT(K742 = """"), G742 &gt;= 15),K742/FILTER('Base Stats'!$C$2:$C1000, LOWER('Base Stats'!$B$2:$B1000) = LOWER($A742)), """")"),"#N/A")</f>
        <v>#N/A</v>
      </c>
      <c r="M742" s="0" t="str">
        <f aca="false">IFERROR(__xludf.dummyfunction("1.15 + 0.02 * FILTER('Base Stats'!$C$2:$C1000, LOWER('Base Stats'!$B$2:$B1000) = LOWER($A742))"),"1.15")</f>
        <v>1.15</v>
      </c>
      <c r="N742" s="0" t="e">
        <f aca="false">IFERROR(IF(AND(NOT(K742 = ""), G742 &gt;= 15),K742/M742, ""))</f>
        <v>#VALUE!</v>
      </c>
    </row>
    <row r="743" customFormat="false" ht="15.75" hidden="false" customHeight="false" outlineLevel="0" collapsed="false">
      <c r="A743" s="0" t="n">
        <f aca="false">'Form Responses (Pokemon Stats)'!B637</f>
        <v>0</v>
      </c>
      <c r="B743" s="0" t="n">
        <f aca="false">'Form Responses (Pokemon Stats)'!D637</f>
        <v>0</v>
      </c>
      <c r="C743" s="0" t="n">
        <f aca="false">'Form Responses (Pokemon Stats)'!C637</f>
        <v>0</v>
      </c>
      <c r="F743" s="0" t="n">
        <f aca="false">'Form Responses (Pokemon Stats)'!E637</f>
        <v>0</v>
      </c>
      <c r="G743" s="0" t="str">
        <f aca="false">IFERROR(__xludf.dummyfunction("ROUND(B743/ FILTER('Pokemon CP/HP'!$M$2:$M1000, LOWER('Pokemon CP/HP'!$B$2:$B1000)=LOWER(A743)))"),"#DIV/0!")</f>
        <v>#DIV/0!</v>
      </c>
      <c r="H743" s="0" t="str">
        <f aca="false">IFERROR(__xludf.dummyfunction("FILTER('Leveling Info'!$B$2:$B1000, 'Leveling Info'!$A$2:$A1000 =G743)"),"#N/A")</f>
        <v>#N/A</v>
      </c>
      <c r="I743" s="14" t="e">
        <f aca="false">SQRT(G743)</f>
        <v>#VALUE!</v>
      </c>
      <c r="J743" s="14" t="str">
        <f aca="false">IFERROR(__xludf.dummyfunction("IF(F743 = H743,C743/FILTER('Base Stats'!$C$2:$C1000, LOWER('Base Stats'!$B$2:$B1000) = LOWER($A743)), """")"),"#N/A")</f>
        <v>#N/A</v>
      </c>
      <c r="K743" s="0" t="str">
        <f aca="false">IF(F743 = H743, C743/G743, "")</f>
        <v/>
      </c>
      <c r="L743" s="0" t="str">
        <f aca="false">IFERROR(__xludf.dummyfunction("IF(AND(NOT(K743 = """"), G743 &gt;= 15),K743/FILTER('Base Stats'!$C$2:$C1000, LOWER('Base Stats'!$B$2:$B1000) = LOWER($A743)), """")"),"#N/A")</f>
        <v>#N/A</v>
      </c>
      <c r="M743" s="0" t="str">
        <f aca="false">IFERROR(__xludf.dummyfunction("1.15 + 0.02 * FILTER('Base Stats'!$C$2:$C1000, LOWER('Base Stats'!$B$2:$B1000) = LOWER($A743))"),"1.15")</f>
        <v>1.15</v>
      </c>
      <c r="N743" s="0" t="e">
        <f aca="false">IFERROR(IF(AND(NOT(K743 = ""), G743 &gt;= 15),K743/M743, ""))</f>
        <v>#VALUE!</v>
      </c>
    </row>
    <row r="744" customFormat="false" ht="15.75" hidden="false" customHeight="false" outlineLevel="0" collapsed="false">
      <c r="A744" s="0" t="n">
        <f aca="false">'Form Responses (Pokemon Stats)'!B638</f>
        <v>0</v>
      </c>
      <c r="B744" s="0" t="n">
        <f aca="false">'Form Responses (Pokemon Stats)'!D638</f>
        <v>0</v>
      </c>
      <c r="C744" s="0" t="n">
        <f aca="false">'Form Responses (Pokemon Stats)'!C638</f>
        <v>0</v>
      </c>
      <c r="F744" s="0" t="n">
        <f aca="false">'Form Responses (Pokemon Stats)'!E638</f>
        <v>0</v>
      </c>
      <c r="G744" s="0" t="str">
        <f aca="false">IFERROR(__xludf.dummyfunction("ROUND(B744/ FILTER('Pokemon CP/HP'!$M$2:$M1000, LOWER('Pokemon CP/HP'!$B$2:$B1000)=LOWER(A744)))"),"#DIV/0!")</f>
        <v>#DIV/0!</v>
      </c>
      <c r="H744" s="0" t="str">
        <f aca="false">IFERROR(__xludf.dummyfunction("FILTER('Leveling Info'!$B$2:$B1000, 'Leveling Info'!$A$2:$A1000 =G744)"),"#N/A")</f>
        <v>#N/A</v>
      </c>
      <c r="I744" s="14" t="e">
        <f aca="false">SQRT(G744)</f>
        <v>#VALUE!</v>
      </c>
      <c r="J744" s="14" t="str">
        <f aca="false">IFERROR(__xludf.dummyfunction("IF(F744 = H744,C744/FILTER('Base Stats'!$C$2:$C1000, LOWER('Base Stats'!$B$2:$B1000) = LOWER($A744)), """")"),"#N/A")</f>
        <v>#N/A</v>
      </c>
      <c r="K744" s="0" t="str">
        <f aca="false">IF(F744 = H744, C744/G744, "")</f>
        <v/>
      </c>
      <c r="L744" s="0" t="str">
        <f aca="false">IFERROR(__xludf.dummyfunction("IF(AND(NOT(K744 = """"), G744 &gt;= 15),K744/FILTER('Base Stats'!$C$2:$C1000, LOWER('Base Stats'!$B$2:$B1000) = LOWER($A744)), """")"),"#N/A")</f>
        <v>#N/A</v>
      </c>
      <c r="M744" s="0" t="str">
        <f aca="false">IFERROR(__xludf.dummyfunction("1.15 + 0.02 * FILTER('Base Stats'!$C$2:$C1000, LOWER('Base Stats'!$B$2:$B1000) = LOWER($A744))"),"1.15")</f>
        <v>1.15</v>
      </c>
      <c r="N744" s="0" t="e">
        <f aca="false">IFERROR(IF(AND(NOT(K744 = ""), G744 &gt;= 15),K744/M744, ""))</f>
        <v>#VALUE!</v>
      </c>
    </row>
    <row r="745" customFormat="false" ht="15.75" hidden="false" customHeight="false" outlineLevel="0" collapsed="false">
      <c r="A745" s="0" t="n">
        <f aca="false">'Form Responses (Pokemon Stats)'!B639</f>
        <v>0</v>
      </c>
      <c r="B745" s="0" t="n">
        <f aca="false">'Form Responses (Pokemon Stats)'!D639</f>
        <v>0</v>
      </c>
      <c r="C745" s="0" t="n">
        <f aca="false">'Form Responses (Pokemon Stats)'!C639</f>
        <v>0</v>
      </c>
      <c r="F745" s="0" t="n">
        <f aca="false">'Form Responses (Pokemon Stats)'!E639</f>
        <v>0</v>
      </c>
      <c r="G745" s="0" t="str">
        <f aca="false">IFERROR(__xludf.dummyfunction("ROUND(B745/ FILTER('Pokemon CP/HP'!$M$2:$M1000, LOWER('Pokemon CP/HP'!$B$2:$B1000)=LOWER(A745)))"),"#DIV/0!")</f>
        <v>#DIV/0!</v>
      </c>
      <c r="H745" s="0" t="str">
        <f aca="false">IFERROR(__xludf.dummyfunction("FILTER('Leveling Info'!$B$2:$B1000, 'Leveling Info'!$A$2:$A1000 =G745)"),"#N/A")</f>
        <v>#N/A</v>
      </c>
      <c r="I745" s="14" t="e">
        <f aca="false">SQRT(G745)</f>
        <v>#VALUE!</v>
      </c>
      <c r="J745" s="14" t="str">
        <f aca="false">IFERROR(__xludf.dummyfunction("IF(F745 = H745,C745/FILTER('Base Stats'!$C$2:$C1000, LOWER('Base Stats'!$B$2:$B1000) = LOWER($A745)), """")"),"#N/A")</f>
        <v>#N/A</v>
      </c>
      <c r="K745" s="0" t="str">
        <f aca="false">IF(F745 = H745, C745/G745, "")</f>
        <v/>
      </c>
      <c r="L745" s="0" t="str">
        <f aca="false">IFERROR(__xludf.dummyfunction("IF(AND(NOT(K745 = """"), G745 &gt;= 15),K745/FILTER('Base Stats'!$C$2:$C1000, LOWER('Base Stats'!$B$2:$B1000) = LOWER($A745)), """")"),"#N/A")</f>
        <v>#N/A</v>
      </c>
      <c r="M745" s="0" t="str">
        <f aca="false">IFERROR(__xludf.dummyfunction("1.15 + 0.02 * FILTER('Base Stats'!$C$2:$C1000, LOWER('Base Stats'!$B$2:$B1000) = LOWER($A745))"),"1.15")</f>
        <v>1.15</v>
      </c>
      <c r="N745" s="0" t="e">
        <f aca="false">IFERROR(IF(AND(NOT(K745 = ""), G745 &gt;= 15),K745/M745, ""))</f>
        <v>#VALUE!</v>
      </c>
    </row>
    <row r="746" customFormat="false" ht="15.75" hidden="false" customHeight="false" outlineLevel="0" collapsed="false">
      <c r="A746" s="0" t="n">
        <f aca="false">'Form Responses (Pokemon Stats)'!B640</f>
        <v>0</v>
      </c>
      <c r="B746" s="0" t="n">
        <f aca="false">'Form Responses (Pokemon Stats)'!D640</f>
        <v>0</v>
      </c>
      <c r="C746" s="0" t="n">
        <f aca="false">'Form Responses (Pokemon Stats)'!C640</f>
        <v>0</v>
      </c>
      <c r="F746" s="0" t="n">
        <f aca="false">'Form Responses (Pokemon Stats)'!E640</f>
        <v>0</v>
      </c>
      <c r="G746" s="0" t="str">
        <f aca="false">IFERROR(__xludf.dummyfunction("ROUND(B746/ FILTER('Pokemon CP/HP'!$M$2:$M1000, LOWER('Pokemon CP/HP'!$B$2:$B1000)=LOWER(A746)))"),"#DIV/0!")</f>
        <v>#DIV/0!</v>
      </c>
      <c r="H746" s="0" t="str">
        <f aca="false">IFERROR(__xludf.dummyfunction("FILTER('Leveling Info'!$B$2:$B1000, 'Leveling Info'!$A$2:$A1000 =G746)"),"#N/A")</f>
        <v>#N/A</v>
      </c>
      <c r="I746" s="14" t="e">
        <f aca="false">SQRT(G746)</f>
        <v>#VALUE!</v>
      </c>
      <c r="J746" s="14" t="str">
        <f aca="false">IFERROR(__xludf.dummyfunction("IF(F746 = H746,C746/FILTER('Base Stats'!$C$2:$C1000, LOWER('Base Stats'!$B$2:$B1000) = LOWER($A746)), """")"),"#N/A")</f>
        <v>#N/A</v>
      </c>
      <c r="K746" s="0" t="str">
        <f aca="false">IF(F746 = H746, C746/G746, "")</f>
        <v/>
      </c>
      <c r="L746" s="0" t="str">
        <f aca="false">IFERROR(__xludf.dummyfunction("IF(AND(NOT(K746 = """"), G746 &gt;= 15),K746/FILTER('Base Stats'!$C$2:$C1000, LOWER('Base Stats'!$B$2:$B1000) = LOWER($A746)), """")"),"#N/A")</f>
        <v>#N/A</v>
      </c>
      <c r="M746" s="0" t="str">
        <f aca="false">IFERROR(__xludf.dummyfunction("1.15 + 0.02 * FILTER('Base Stats'!$C$2:$C1000, LOWER('Base Stats'!$B$2:$B1000) = LOWER($A746))"),"1.15")</f>
        <v>1.15</v>
      </c>
      <c r="N746" s="0" t="e">
        <f aca="false">IFERROR(IF(AND(NOT(K746 = ""), G746 &gt;= 15),K746/M746, ""))</f>
        <v>#VALUE!</v>
      </c>
    </row>
    <row r="747" customFormat="false" ht="15.75" hidden="false" customHeight="false" outlineLevel="0" collapsed="false">
      <c r="A747" s="0" t="n">
        <f aca="false">'Form Responses (Pokemon Stats)'!B641</f>
        <v>0</v>
      </c>
      <c r="B747" s="0" t="n">
        <f aca="false">'Form Responses (Pokemon Stats)'!D641</f>
        <v>0</v>
      </c>
      <c r="C747" s="0" t="n">
        <f aca="false">'Form Responses (Pokemon Stats)'!C641</f>
        <v>0</v>
      </c>
      <c r="F747" s="0" t="n">
        <f aca="false">'Form Responses (Pokemon Stats)'!E641</f>
        <v>0</v>
      </c>
      <c r="G747" s="0" t="str">
        <f aca="false">IFERROR(__xludf.dummyfunction("ROUND(B747/ FILTER('Pokemon CP/HP'!$M$2:$M1000, LOWER('Pokemon CP/HP'!$B$2:$B1000)=LOWER(A747)))"),"#DIV/0!")</f>
        <v>#DIV/0!</v>
      </c>
      <c r="H747" s="0" t="str">
        <f aca="false">IFERROR(__xludf.dummyfunction("FILTER('Leveling Info'!$B$2:$B1000, 'Leveling Info'!$A$2:$A1000 =G747)"),"#N/A")</f>
        <v>#N/A</v>
      </c>
      <c r="I747" s="14" t="e">
        <f aca="false">SQRT(G747)</f>
        <v>#VALUE!</v>
      </c>
      <c r="J747" s="14" t="str">
        <f aca="false">IFERROR(__xludf.dummyfunction("IF(F747 = H747,C747/FILTER('Base Stats'!$C$2:$C1000, LOWER('Base Stats'!$B$2:$B1000) = LOWER($A747)), """")"),"#N/A")</f>
        <v>#N/A</v>
      </c>
      <c r="K747" s="0" t="str">
        <f aca="false">IF(F747 = H747, C747/G747, "")</f>
        <v/>
      </c>
      <c r="L747" s="0" t="str">
        <f aca="false">IFERROR(__xludf.dummyfunction("IF(AND(NOT(K747 = """"), G747 &gt;= 15),K747/FILTER('Base Stats'!$C$2:$C1000, LOWER('Base Stats'!$B$2:$B1000) = LOWER($A747)), """")"),"#N/A")</f>
        <v>#N/A</v>
      </c>
      <c r="M747" s="0" t="str">
        <f aca="false">IFERROR(__xludf.dummyfunction("1.15 + 0.02 * FILTER('Base Stats'!$C$2:$C1000, LOWER('Base Stats'!$B$2:$B1000) = LOWER($A747))"),"1.15")</f>
        <v>1.15</v>
      </c>
      <c r="N747" s="0" t="e">
        <f aca="false">IFERROR(IF(AND(NOT(K747 = ""), G747 &gt;= 15),K747/M747, ""))</f>
        <v>#VALUE!</v>
      </c>
    </row>
    <row r="748" customFormat="false" ht="15.75" hidden="false" customHeight="false" outlineLevel="0" collapsed="false">
      <c r="A748" s="0" t="n">
        <f aca="false">'Form Responses (Pokemon Stats)'!B642</f>
        <v>0</v>
      </c>
      <c r="B748" s="0" t="n">
        <f aca="false">'Form Responses (Pokemon Stats)'!D642</f>
        <v>0</v>
      </c>
      <c r="C748" s="0" t="n">
        <f aca="false">'Form Responses (Pokemon Stats)'!C642</f>
        <v>0</v>
      </c>
      <c r="F748" s="0" t="n">
        <f aca="false">'Form Responses (Pokemon Stats)'!E642</f>
        <v>0</v>
      </c>
      <c r="G748" s="0" t="str">
        <f aca="false">IFERROR(__xludf.dummyfunction("ROUND(B748/ FILTER('Pokemon CP/HP'!$M$2:$M1000, LOWER('Pokemon CP/HP'!$B$2:$B1000)=LOWER(A748)))"),"#DIV/0!")</f>
        <v>#DIV/0!</v>
      </c>
      <c r="H748" s="0" t="str">
        <f aca="false">IFERROR(__xludf.dummyfunction("FILTER('Leveling Info'!$B$2:$B1000, 'Leveling Info'!$A$2:$A1000 =G748)"),"#N/A")</f>
        <v>#N/A</v>
      </c>
      <c r="I748" s="14" t="e">
        <f aca="false">SQRT(G748)</f>
        <v>#VALUE!</v>
      </c>
      <c r="J748" s="14" t="str">
        <f aca="false">IFERROR(__xludf.dummyfunction("IF(F748 = H748,C748/FILTER('Base Stats'!$C$2:$C1000, LOWER('Base Stats'!$B$2:$B1000) = LOWER($A748)), """")"),"#N/A")</f>
        <v>#N/A</v>
      </c>
      <c r="K748" s="0" t="str">
        <f aca="false">IF(F748 = H748, C748/G748, "")</f>
        <v/>
      </c>
      <c r="L748" s="0" t="str">
        <f aca="false">IFERROR(__xludf.dummyfunction("IF(AND(NOT(K748 = """"), G748 &gt;= 15),K748/FILTER('Base Stats'!$C$2:$C1000, LOWER('Base Stats'!$B$2:$B1000) = LOWER($A748)), """")"),"#N/A")</f>
        <v>#N/A</v>
      </c>
      <c r="M748" s="0" t="str">
        <f aca="false">IFERROR(__xludf.dummyfunction("1.15 + 0.02 * FILTER('Base Stats'!$C$2:$C1000, LOWER('Base Stats'!$B$2:$B1000) = LOWER($A748))"),"1.15")</f>
        <v>1.15</v>
      </c>
      <c r="N748" s="0" t="e">
        <f aca="false">IFERROR(IF(AND(NOT(K748 = ""), G748 &gt;= 15),K748/M748, ""))</f>
        <v>#VALUE!</v>
      </c>
    </row>
    <row r="749" customFormat="false" ht="15.75" hidden="false" customHeight="false" outlineLevel="0" collapsed="false">
      <c r="A749" s="0" t="n">
        <f aca="false">'Form Responses (Pokemon Stats)'!B643</f>
        <v>0</v>
      </c>
      <c r="B749" s="0" t="n">
        <f aca="false">'Form Responses (Pokemon Stats)'!D643</f>
        <v>0</v>
      </c>
      <c r="C749" s="0" t="n">
        <f aca="false">'Form Responses (Pokemon Stats)'!C643</f>
        <v>0</v>
      </c>
      <c r="F749" s="0" t="n">
        <f aca="false">'Form Responses (Pokemon Stats)'!E643</f>
        <v>0</v>
      </c>
      <c r="G749" s="0" t="str">
        <f aca="false">IFERROR(__xludf.dummyfunction("ROUND(B749/ FILTER('Pokemon CP/HP'!$M$2:$M1000, LOWER('Pokemon CP/HP'!$B$2:$B1000)=LOWER(A749)))"),"#DIV/0!")</f>
        <v>#DIV/0!</v>
      </c>
      <c r="H749" s="0" t="str">
        <f aca="false">IFERROR(__xludf.dummyfunction("FILTER('Leveling Info'!$B$2:$B1000, 'Leveling Info'!$A$2:$A1000 =G749)"),"#N/A")</f>
        <v>#N/A</v>
      </c>
      <c r="I749" s="14" t="e">
        <f aca="false">SQRT(G749)</f>
        <v>#VALUE!</v>
      </c>
      <c r="J749" s="14" t="str">
        <f aca="false">IFERROR(__xludf.dummyfunction("IF(F749 = H749,C749/FILTER('Base Stats'!$C$2:$C1000, LOWER('Base Stats'!$B$2:$B1000) = LOWER($A749)), """")"),"#N/A")</f>
        <v>#N/A</v>
      </c>
      <c r="K749" s="0" t="str">
        <f aca="false">IF(F749 = H749, C749/G749, "")</f>
        <v/>
      </c>
      <c r="L749" s="0" t="str">
        <f aca="false">IFERROR(__xludf.dummyfunction("IF(AND(NOT(K749 = """"), G749 &gt;= 15),K749/FILTER('Base Stats'!$C$2:$C1000, LOWER('Base Stats'!$B$2:$B1000) = LOWER($A749)), """")"),"#N/A")</f>
        <v>#N/A</v>
      </c>
      <c r="M749" s="0" t="str">
        <f aca="false">IFERROR(__xludf.dummyfunction("1.15 + 0.02 * FILTER('Base Stats'!$C$2:$C1000, LOWER('Base Stats'!$B$2:$B1000) = LOWER($A749))"),"1.15")</f>
        <v>1.15</v>
      </c>
      <c r="N749" s="0" t="e">
        <f aca="false">IFERROR(IF(AND(NOT(K749 = ""), G749 &gt;= 15),K749/M749, ""))</f>
        <v>#VALUE!</v>
      </c>
    </row>
    <row r="750" customFormat="false" ht="15.75" hidden="false" customHeight="false" outlineLevel="0" collapsed="false">
      <c r="A750" s="0" t="n">
        <f aca="false">'Form Responses (Pokemon Stats)'!B644</f>
        <v>0</v>
      </c>
      <c r="B750" s="0" t="n">
        <f aca="false">'Form Responses (Pokemon Stats)'!D644</f>
        <v>0</v>
      </c>
      <c r="C750" s="0" t="n">
        <f aca="false">'Form Responses (Pokemon Stats)'!C644</f>
        <v>0</v>
      </c>
      <c r="F750" s="0" t="n">
        <f aca="false">'Form Responses (Pokemon Stats)'!E644</f>
        <v>0</v>
      </c>
      <c r="G750" s="0" t="str">
        <f aca="false">IFERROR(__xludf.dummyfunction("ROUND(B750/ FILTER('Pokemon CP/HP'!$M$2:$M1000, LOWER('Pokemon CP/HP'!$B$2:$B1000)=LOWER(A750)))"),"#DIV/0!")</f>
        <v>#DIV/0!</v>
      </c>
      <c r="H750" s="0" t="str">
        <f aca="false">IFERROR(__xludf.dummyfunction("FILTER('Leveling Info'!$B$2:$B1000, 'Leveling Info'!$A$2:$A1000 =G750)"),"#N/A")</f>
        <v>#N/A</v>
      </c>
      <c r="I750" s="14" t="e">
        <f aca="false">SQRT(G750)</f>
        <v>#VALUE!</v>
      </c>
      <c r="J750" s="14" t="str">
        <f aca="false">IFERROR(__xludf.dummyfunction("IF(F750 = H750,C750/FILTER('Base Stats'!$C$2:$C1000, LOWER('Base Stats'!$B$2:$B1000) = LOWER($A750)), """")"),"#N/A")</f>
        <v>#N/A</v>
      </c>
      <c r="K750" s="0" t="str">
        <f aca="false">IF(F750 = H750, C750/G750, "")</f>
        <v/>
      </c>
      <c r="L750" s="0" t="str">
        <f aca="false">IFERROR(__xludf.dummyfunction("IF(AND(NOT(K750 = """"), G750 &gt;= 15),K750/FILTER('Base Stats'!$C$2:$C1000, LOWER('Base Stats'!$B$2:$B1000) = LOWER($A750)), """")"),"#N/A")</f>
        <v>#N/A</v>
      </c>
      <c r="M750" s="0" t="str">
        <f aca="false">IFERROR(__xludf.dummyfunction("1.15 + 0.02 * FILTER('Base Stats'!$C$2:$C1000, LOWER('Base Stats'!$B$2:$B1000) = LOWER($A750))"),"1.15")</f>
        <v>1.15</v>
      </c>
      <c r="N750" s="0" t="e">
        <f aca="false">IFERROR(IF(AND(NOT(K750 = ""), G750 &gt;= 15),K750/M750, ""))</f>
        <v>#VALUE!</v>
      </c>
    </row>
    <row r="751" customFormat="false" ht="15.75" hidden="false" customHeight="false" outlineLevel="0" collapsed="false">
      <c r="A751" s="0" t="n">
        <f aca="false">'Form Responses (Pokemon Stats)'!B645</f>
        <v>0</v>
      </c>
      <c r="B751" s="0" t="n">
        <f aca="false">'Form Responses (Pokemon Stats)'!D645</f>
        <v>0</v>
      </c>
      <c r="C751" s="0" t="n">
        <f aca="false">'Form Responses (Pokemon Stats)'!C645</f>
        <v>0</v>
      </c>
      <c r="F751" s="0" t="n">
        <f aca="false">'Form Responses (Pokemon Stats)'!E645</f>
        <v>0</v>
      </c>
      <c r="G751" s="0" t="str">
        <f aca="false">IFERROR(__xludf.dummyfunction("ROUND(B751/ FILTER('Pokemon CP/HP'!$M$2:$M1000, LOWER('Pokemon CP/HP'!$B$2:$B1000)=LOWER(A751)))"),"#DIV/0!")</f>
        <v>#DIV/0!</v>
      </c>
      <c r="H751" s="0" t="str">
        <f aca="false">IFERROR(__xludf.dummyfunction("FILTER('Leveling Info'!$B$2:$B1000, 'Leveling Info'!$A$2:$A1000 =G751)"),"#N/A")</f>
        <v>#N/A</v>
      </c>
      <c r="I751" s="14" t="e">
        <f aca="false">SQRT(G751)</f>
        <v>#VALUE!</v>
      </c>
      <c r="J751" s="14" t="str">
        <f aca="false">IFERROR(__xludf.dummyfunction("IF(F751 = H751,C751/FILTER('Base Stats'!$C$2:$C1000, LOWER('Base Stats'!$B$2:$B1000) = LOWER($A751)), """")"),"#N/A")</f>
        <v>#N/A</v>
      </c>
      <c r="K751" s="0" t="str">
        <f aca="false">IF(F751 = H751, C751/G751, "")</f>
        <v/>
      </c>
      <c r="L751" s="0" t="str">
        <f aca="false">IFERROR(__xludf.dummyfunction("IF(AND(NOT(K751 = """"), G751 &gt;= 15),K751/FILTER('Base Stats'!$C$2:$C1000, LOWER('Base Stats'!$B$2:$B1000) = LOWER($A751)), """")"),"#N/A")</f>
        <v>#N/A</v>
      </c>
      <c r="M751" s="0" t="str">
        <f aca="false">IFERROR(__xludf.dummyfunction("1.15 + 0.02 * FILTER('Base Stats'!$C$2:$C1000, LOWER('Base Stats'!$B$2:$B1000) = LOWER($A751))"),"1.15")</f>
        <v>1.15</v>
      </c>
      <c r="N751" s="0" t="e">
        <f aca="false">IFERROR(IF(AND(NOT(K751 = ""), G751 &gt;= 15),K751/M751, ""))</f>
        <v>#VALUE!</v>
      </c>
    </row>
    <row r="752" customFormat="false" ht="15.75" hidden="false" customHeight="false" outlineLevel="0" collapsed="false">
      <c r="A752" s="0" t="n">
        <f aca="false">'Form Responses (Pokemon Stats)'!B646</f>
        <v>0</v>
      </c>
      <c r="B752" s="0" t="n">
        <f aca="false">'Form Responses (Pokemon Stats)'!D646</f>
        <v>0</v>
      </c>
      <c r="C752" s="0" t="n">
        <f aca="false">'Form Responses (Pokemon Stats)'!C646</f>
        <v>0</v>
      </c>
      <c r="F752" s="0" t="n">
        <f aca="false">'Form Responses (Pokemon Stats)'!E646</f>
        <v>0</v>
      </c>
      <c r="G752" s="0" t="str">
        <f aca="false">IFERROR(__xludf.dummyfunction("ROUND(B752/ FILTER('Pokemon CP/HP'!$M$2:$M1000, LOWER('Pokemon CP/HP'!$B$2:$B1000)=LOWER(A752)))"),"#DIV/0!")</f>
        <v>#DIV/0!</v>
      </c>
      <c r="H752" s="0" t="str">
        <f aca="false">IFERROR(__xludf.dummyfunction("FILTER('Leveling Info'!$B$2:$B1000, 'Leveling Info'!$A$2:$A1000 =G752)"),"#N/A")</f>
        <v>#N/A</v>
      </c>
      <c r="I752" s="14" t="e">
        <f aca="false">SQRT(G752)</f>
        <v>#VALUE!</v>
      </c>
      <c r="J752" s="14" t="str">
        <f aca="false">IFERROR(__xludf.dummyfunction("IF(F752 = H752,C752/FILTER('Base Stats'!$C$2:$C1000, LOWER('Base Stats'!$B$2:$B1000) = LOWER($A752)), """")"),"#N/A")</f>
        <v>#N/A</v>
      </c>
      <c r="K752" s="0" t="str">
        <f aca="false">IF(F752 = H752, C752/G752, "")</f>
        <v/>
      </c>
      <c r="L752" s="0" t="str">
        <f aca="false">IFERROR(__xludf.dummyfunction("IF(AND(NOT(K752 = """"), G752 &gt;= 15),K752/FILTER('Base Stats'!$C$2:$C1000, LOWER('Base Stats'!$B$2:$B1000) = LOWER($A752)), """")"),"#N/A")</f>
        <v>#N/A</v>
      </c>
      <c r="M752" s="0" t="str">
        <f aca="false">IFERROR(__xludf.dummyfunction("1.15 + 0.02 * FILTER('Base Stats'!$C$2:$C1000, LOWER('Base Stats'!$B$2:$B1000) = LOWER($A752))"),"1.15")</f>
        <v>1.15</v>
      </c>
      <c r="N752" s="0" t="e">
        <f aca="false">IFERROR(IF(AND(NOT(K752 = ""), G752 &gt;= 15),K752/M752, ""))</f>
        <v>#VALUE!</v>
      </c>
    </row>
    <row r="753" customFormat="false" ht="15.75" hidden="false" customHeight="false" outlineLevel="0" collapsed="false">
      <c r="A753" s="0" t="n">
        <f aca="false">'Form Responses (Pokemon Stats)'!B647</f>
        <v>0</v>
      </c>
      <c r="B753" s="0" t="n">
        <f aca="false">'Form Responses (Pokemon Stats)'!D647</f>
        <v>0</v>
      </c>
      <c r="C753" s="0" t="n">
        <f aca="false">'Form Responses (Pokemon Stats)'!C647</f>
        <v>0</v>
      </c>
      <c r="F753" s="0" t="n">
        <f aca="false">'Form Responses (Pokemon Stats)'!E647</f>
        <v>0</v>
      </c>
      <c r="G753" s="0" t="str">
        <f aca="false">IFERROR(__xludf.dummyfunction("ROUND(B753/ FILTER('Pokemon CP/HP'!$M$2:$M1000, LOWER('Pokemon CP/HP'!$B$2:$B1000)=LOWER(A753)))"),"#DIV/0!")</f>
        <v>#DIV/0!</v>
      </c>
      <c r="H753" s="0" t="str">
        <f aca="false">IFERROR(__xludf.dummyfunction("FILTER('Leveling Info'!$B$2:$B1000, 'Leveling Info'!$A$2:$A1000 =G753)"),"#N/A")</f>
        <v>#N/A</v>
      </c>
      <c r="I753" s="14" t="e">
        <f aca="false">SQRT(G753)</f>
        <v>#VALUE!</v>
      </c>
      <c r="J753" s="14" t="str">
        <f aca="false">IFERROR(__xludf.dummyfunction("IF(F753 = H753,C753/FILTER('Base Stats'!$C$2:$C1000, LOWER('Base Stats'!$B$2:$B1000) = LOWER($A753)), """")"),"#N/A")</f>
        <v>#N/A</v>
      </c>
      <c r="K753" s="0" t="str">
        <f aca="false">IF(F753 = H753, C753/G753, "")</f>
        <v/>
      </c>
      <c r="L753" s="0" t="str">
        <f aca="false">IFERROR(__xludf.dummyfunction("IF(AND(NOT(K753 = """"), G753 &gt;= 15),K753/FILTER('Base Stats'!$C$2:$C1000, LOWER('Base Stats'!$B$2:$B1000) = LOWER($A753)), """")"),"#N/A")</f>
        <v>#N/A</v>
      </c>
      <c r="M753" s="0" t="str">
        <f aca="false">IFERROR(__xludf.dummyfunction("1.15 + 0.02 * FILTER('Base Stats'!$C$2:$C1000, LOWER('Base Stats'!$B$2:$B1000) = LOWER($A753))"),"1.15")</f>
        <v>1.15</v>
      </c>
      <c r="N753" s="0" t="e">
        <f aca="false">IFERROR(IF(AND(NOT(K753 = ""), G753 &gt;= 15),K753/M753, ""))</f>
        <v>#VALUE!</v>
      </c>
    </row>
    <row r="754" customFormat="false" ht="15.75" hidden="false" customHeight="false" outlineLevel="0" collapsed="false">
      <c r="A754" s="0" t="n">
        <f aca="false">'Form Responses (Pokemon Stats)'!B648</f>
        <v>0</v>
      </c>
      <c r="B754" s="0" t="n">
        <f aca="false">'Form Responses (Pokemon Stats)'!D648</f>
        <v>0</v>
      </c>
      <c r="C754" s="0" t="n">
        <f aca="false">'Form Responses (Pokemon Stats)'!C648</f>
        <v>0</v>
      </c>
      <c r="F754" s="0" t="n">
        <f aca="false">'Form Responses (Pokemon Stats)'!E648</f>
        <v>0</v>
      </c>
      <c r="G754" s="0" t="str">
        <f aca="false">IFERROR(__xludf.dummyfunction("ROUND(B754/ FILTER('Pokemon CP/HP'!$M$2:$M1000, LOWER('Pokemon CP/HP'!$B$2:$B1000)=LOWER(A754)))"),"#DIV/0!")</f>
        <v>#DIV/0!</v>
      </c>
      <c r="H754" s="0" t="str">
        <f aca="false">IFERROR(__xludf.dummyfunction("FILTER('Leveling Info'!$B$2:$B1000, 'Leveling Info'!$A$2:$A1000 =G754)"),"#N/A")</f>
        <v>#N/A</v>
      </c>
      <c r="I754" s="14" t="e">
        <f aca="false">SQRT(G754)</f>
        <v>#VALUE!</v>
      </c>
      <c r="J754" s="14" t="str">
        <f aca="false">IFERROR(__xludf.dummyfunction("IF(F754 = H754,C754/FILTER('Base Stats'!$C$2:$C1000, LOWER('Base Stats'!$B$2:$B1000) = LOWER($A754)), """")"),"#N/A")</f>
        <v>#N/A</v>
      </c>
      <c r="K754" s="0" t="str">
        <f aca="false">IF(F754 = H754, C754/G754, "")</f>
        <v/>
      </c>
      <c r="L754" s="0" t="str">
        <f aca="false">IFERROR(__xludf.dummyfunction("IF(AND(NOT(K754 = """"), G754 &gt;= 15),K754/FILTER('Base Stats'!$C$2:$C1000, LOWER('Base Stats'!$B$2:$B1000) = LOWER($A754)), """")"),"#N/A")</f>
        <v>#N/A</v>
      </c>
      <c r="M754" s="0" t="str">
        <f aca="false">IFERROR(__xludf.dummyfunction("1.15 + 0.02 * FILTER('Base Stats'!$C$2:$C1000, LOWER('Base Stats'!$B$2:$B1000) = LOWER($A754))"),"1.15")</f>
        <v>1.15</v>
      </c>
      <c r="N754" s="0" t="e">
        <f aca="false">IFERROR(IF(AND(NOT(K754 = ""), G754 &gt;= 15),K754/M754, ""))</f>
        <v>#VALUE!</v>
      </c>
    </row>
    <row r="755" customFormat="false" ht="15.75" hidden="false" customHeight="false" outlineLevel="0" collapsed="false">
      <c r="A755" s="0" t="n">
        <f aca="false">'Form Responses (Pokemon Stats)'!B649</f>
        <v>0</v>
      </c>
      <c r="B755" s="0" t="n">
        <f aca="false">'Form Responses (Pokemon Stats)'!D649</f>
        <v>0</v>
      </c>
      <c r="C755" s="0" t="n">
        <f aca="false">'Form Responses (Pokemon Stats)'!C649</f>
        <v>0</v>
      </c>
      <c r="F755" s="0" t="n">
        <f aca="false">'Form Responses (Pokemon Stats)'!E649</f>
        <v>0</v>
      </c>
      <c r="G755" s="0" t="str">
        <f aca="false">IFERROR(__xludf.dummyfunction("ROUND(B755/ FILTER('Pokemon CP/HP'!$M$2:$M1000, LOWER('Pokemon CP/HP'!$B$2:$B1000)=LOWER(A755)))"),"#DIV/0!")</f>
        <v>#DIV/0!</v>
      </c>
      <c r="H755" s="0" t="str">
        <f aca="false">IFERROR(__xludf.dummyfunction("FILTER('Leveling Info'!$B$2:$B1000, 'Leveling Info'!$A$2:$A1000 =G755)"),"#N/A")</f>
        <v>#N/A</v>
      </c>
      <c r="I755" s="14" t="e">
        <f aca="false">SQRT(G755)</f>
        <v>#VALUE!</v>
      </c>
      <c r="J755" s="14" t="str">
        <f aca="false">IFERROR(__xludf.dummyfunction("IF(F755 = H755,C755/FILTER('Base Stats'!$C$2:$C1000, LOWER('Base Stats'!$B$2:$B1000) = LOWER($A755)), """")"),"#N/A")</f>
        <v>#N/A</v>
      </c>
      <c r="K755" s="0" t="str">
        <f aca="false">IF(F755 = H755, C755/G755, "")</f>
        <v/>
      </c>
      <c r="L755" s="0" t="str">
        <f aca="false">IFERROR(__xludf.dummyfunction("IF(AND(NOT(K755 = """"), G755 &gt;= 15),K755/FILTER('Base Stats'!$C$2:$C1000, LOWER('Base Stats'!$B$2:$B1000) = LOWER($A755)), """")"),"#N/A")</f>
        <v>#N/A</v>
      </c>
      <c r="M755" s="0" t="str">
        <f aca="false">IFERROR(__xludf.dummyfunction("1.15 + 0.02 * FILTER('Base Stats'!$C$2:$C1000, LOWER('Base Stats'!$B$2:$B1000) = LOWER($A755))"),"1.15")</f>
        <v>1.15</v>
      </c>
      <c r="N755" s="0" t="e">
        <f aca="false">IFERROR(IF(AND(NOT(K755 = ""), G755 &gt;= 15),K755/M755, ""))</f>
        <v>#VALUE!</v>
      </c>
    </row>
    <row r="756" customFormat="false" ht="15.75" hidden="false" customHeight="false" outlineLevel="0" collapsed="false">
      <c r="A756" s="0" t="n">
        <f aca="false">'Form Responses (Pokemon Stats)'!B650</f>
        <v>0</v>
      </c>
      <c r="B756" s="0" t="n">
        <f aca="false">'Form Responses (Pokemon Stats)'!D650</f>
        <v>0</v>
      </c>
      <c r="C756" s="0" t="n">
        <f aca="false">'Form Responses (Pokemon Stats)'!C650</f>
        <v>0</v>
      </c>
      <c r="F756" s="0" t="n">
        <f aca="false">'Form Responses (Pokemon Stats)'!E650</f>
        <v>0</v>
      </c>
      <c r="G756" s="0" t="str">
        <f aca="false">IFERROR(__xludf.dummyfunction("ROUND(B756/ FILTER('Pokemon CP/HP'!$M$2:$M1000, LOWER('Pokemon CP/HP'!$B$2:$B1000)=LOWER(A756)))"),"#DIV/0!")</f>
        <v>#DIV/0!</v>
      </c>
      <c r="H756" s="0" t="str">
        <f aca="false">IFERROR(__xludf.dummyfunction("FILTER('Leveling Info'!$B$2:$B1000, 'Leveling Info'!$A$2:$A1000 =G756)"),"#N/A")</f>
        <v>#N/A</v>
      </c>
      <c r="I756" s="14" t="e">
        <f aca="false">SQRT(G756)</f>
        <v>#VALUE!</v>
      </c>
      <c r="J756" s="14" t="str">
        <f aca="false">IFERROR(__xludf.dummyfunction("IF(F756 = H756,C756/FILTER('Base Stats'!$C$2:$C1000, LOWER('Base Stats'!$B$2:$B1000) = LOWER($A756)), """")"),"#N/A")</f>
        <v>#N/A</v>
      </c>
      <c r="K756" s="0" t="str">
        <f aca="false">IF(F756 = H756, C756/G756, "")</f>
        <v/>
      </c>
      <c r="L756" s="0" t="str">
        <f aca="false">IFERROR(__xludf.dummyfunction("IF(AND(NOT(K756 = """"), G756 &gt;= 15),K756/FILTER('Base Stats'!$C$2:$C1000, LOWER('Base Stats'!$B$2:$B1000) = LOWER($A756)), """")"),"#N/A")</f>
        <v>#N/A</v>
      </c>
      <c r="M756" s="0" t="str">
        <f aca="false">IFERROR(__xludf.dummyfunction("1.15 + 0.02 * FILTER('Base Stats'!$C$2:$C1000, LOWER('Base Stats'!$B$2:$B1000) = LOWER($A756))"),"1.15")</f>
        <v>1.15</v>
      </c>
      <c r="N756" s="0" t="e">
        <f aca="false">IFERROR(IF(AND(NOT(K756 = ""), G756 &gt;= 15),K756/M756, ""))</f>
        <v>#VALUE!</v>
      </c>
    </row>
    <row r="757" customFormat="false" ht="15.75" hidden="false" customHeight="false" outlineLevel="0" collapsed="false">
      <c r="A757" s="0" t="n">
        <f aca="false">'Form Responses (Pokemon Stats)'!B651</f>
        <v>0</v>
      </c>
      <c r="B757" s="0" t="n">
        <f aca="false">'Form Responses (Pokemon Stats)'!D651</f>
        <v>0</v>
      </c>
      <c r="C757" s="0" t="n">
        <f aca="false">'Form Responses (Pokemon Stats)'!C651</f>
        <v>0</v>
      </c>
      <c r="F757" s="0" t="n">
        <f aca="false">'Form Responses (Pokemon Stats)'!E651</f>
        <v>0</v>
      </c>
      <c r="G757" s="0" t="str">
        <f aca="false">IFERROR(__xludf.dummyfunction("ROUND(B757/ FILTER('Pokemon CP/HP'!$M$2:$M1000, LOWER('Pokemon CP/HP'!$B$2:$B1000)=LOWER(A757)))"),"#DIV/0!")</f>
        <v>#DIV/0!</v>
      </c>
      <c r="H757" s="0" t="str">
        <f aca="false">IFERROR(__xludf.dummyfunction("FILTER('Leveling Info'!$B$2:$B1000, 'Leveling Info'!$A$2:$A1000 =G757)"),"#N/A")</f>
        <v>#N/A</v>
      </c>
      <c r="I757" s="14" t="e">
        <f aca="false">SQRT(G757)</f>
        <v>#VALUE!</v>
      </c>
      <c r="J757" s="14" t="str">
        <f aca="false">IFERROR(__xludf.dummyfunction("IF(F757 = H757,C757/FILTER('Base Stats'!$C$2:$C1000, LOWER('Base Stats'!$B$2:$B1000) = LOWER($A757)), """")"),"#N/A")</f>
        <v>#N/A</v>
      </c>
      <c r="K757" s="0" t="str">
        <f aca="false">IF(F757 = H757, C757/G757, "")</f>
        <v/>
      </c>
      <c r="L757" s="0" t="str">
        <f aca="false">IFERROR(__xludf.dummyfunction("IF(AND(NOT(K757 = """"), G757 &gt;= 15),K757/FILTER('Base Stats'!$C$2:$C1000, LOWER('Base Stats'!$B$2:$B1000) = LOWER($A757)), """")"),"#N/A")</f>
        <v>#N/A</v>
      </c>
      <c r="M757" s="0" t="str">
        <f aca="false">IFERROR(__xludf.dummyfunction("1.15 + 0.02 * FILTER('Base Stats'!$C$2:$C1000, LOWER('Base Stats'!$B$2:$B1000) = LOWER($A757))"),"1.15")</f>
        <v>1.15</v>
      </c>
      <c r="N757" s="0" t="e">
        <f aca="false">IFERROR(IF(AND(NOT(K757 = ""), G757 &gt;= 15),K757/M757, ""))</f>
        <v>#VALUE!</v>
      </c>
    </row>
    <row r="758" customFormat="false" ht="15.75" hidden="false" customHeight="false" outlineLevel="0" collapsed="false">
      <c r="A758" s="0" t="n">
        <f aca="false">'Form Responses (Pokemon Stats)'!B652</f>
        <v>0</v>
      </c>
      <c r="B758" s="0" t="n">
        <f aca="false">'Form Responses (Pokemon Stats)'!D652</f>
        <v>0</v>
      </c>
      <c r="C758" s="0" t="n">
        <f aca="false">'Form Responses (Pokemon Stats)'!C652</f>
        <v>0</v>
      </c>
      <c r="F758" s="0" t="n">
        <f aca="false">'Form Responses (Pokemon Stats)'!E652</f>
        <v>0</v>
      </c>
      <c r="G758" s="0" t="str">
        <f aca="false">IFERROR(__xludf.dummyfunction("ROUND(B758/ FILTER('Pokemon CP/HP'!$M$2:$M1000, LOWER('Pokemon CP/HP'!$B$2:$B1000)=LOWER(A758)))"),"#DIV/0!")</f>
        <v>#DIV/0!</v>
      </c>
      <c r="H758" s="0" t="str">
        <f aca="false">IFERROR(__xludf.dummyfunction("FILTER('Leveling Info'!$B$2:$B1000, 'Leveling Info'!$A$2:$A1000 =G758)"),"#N/A")</f>
        <v>#N/A</v>
      </c>
      <c r="I758" s="14" t="e">
        <f aca="false">SQRT(G758)</f>
        <v>#VALUE!</v>
      </c>
      <c r="J758" s="14" t="str">
        <f aca="false">IFERROR(__xludf.dummyfunction("IF(F758 = H758,C758/FILTER('Base Stats'!$C$2:$C1000, LOWER('Base Stats'!$B$2:$B1000) = LOWER($A758)), """")"),"#N/A")</f>
        <v>#N/A</v>
      </c>
      <c r="K758" s="0" t="str">
        <f aca="false">IF(F758 = H758, C758/G758, "")</f>
        <v/>
      </c>
      <c r="L758" s="0" t="str">
        <f aca="false">IFERROR(__xludf.dummyfunction("IF(AND(NOT(K758 = """"), G758 &gt;= 15),K758/FILTER('Base Stats'!$C$2:$C1000, LOWER('Base Stats'!$B$2:$B1000) = LOWER($A758)), """")"),"#N/A")</f>
        <v>#N/A</v>
      </c>
      <c r="M758" s="0" t="str">
        <f aca="false">IFERROR(__xludf.dummyfunction("1.15 + 0.02 * FILTER('Base Stats'!$C$2:$C1000, LOWER('Base Stats'!$B$2:$B1000) = LOWER($A758))"),"1.15")</f>
        <v>1.15</v>
      </c>
      <c r="N758" s="0" t="e">
        <f aca="false">IFERROR(IF(AND(NOT(K758 = ""), G758 &gt;= 15),K758/M758, ""))</f>
        <v>#VALUE!</v>
      </c>
    </row>
    <row r="759" customFormat="false" ht="15.75" hidden="false" customHeight="false" outlineLevel="0" collapsed="false">
      <c r="A759" s="0" t="n">
        <f aca="false">'Form Responses (Pokemon Stats)'!B653</f>
        <v>0</v>
      </c>
      <c r="B759" s="0" t="n">
        <f aca="false">'Form Responses (Pokemon Stats)'!D653</f>
        <v>0</v>
      </c>
      <c r="C759" s="0" t="n">
        <f aca="false">'Form Responses (Pokemon Stats)'!C653</f>
        <v>0</v>
      </c>
      <c r="F759" s="0" t="n">
        <f aca="false">'Form Responses (Pokemon Stats)'!E653</f>
        <v>0</v>
      </c>
      <c r="G759" s="0" t="str">
        <f aca="false">IFERROR(__xludf.dummyfunction("ROUND(B759/ FILTER('Pokemon CP/HP'!$M$2:$M1000, LOWER('Pokemon CP/HP'!$B$2:$B1000)=LOWER(A759)))"),"#DIV/0!")</f>
        <v>#DIV/0!</v>
      </c>
      <c r="H759" s="0" t="str">
        <f aca="false">IFERROR(__xludf.dummyfunction("FILTER('Leveling Info'!$B$2:$B1000, 'Leveling Info'!$A$2:$A1000 =G759)"),"#N/A")</f>
        <v>#N/A</v>
      </c>
      <c r="I759" s="14" t="e">
        <f aca="false">SQRT(G759)</f>
        <v>#VALUE!</v>
      </c>
      <c r="J759" s="14" t="str">
        <f aca="false">IFERROR(__xludf.dummyfunction("IF(F759 = H759,C759/FILTER('Base Stats'!$C$2:$C1000, LOWER('Base Stats'!$B$2:$B1000) = LOWER($A759)), """")"),"#N/A")</f>
        <v>#N/A</v>
      </c>
      <c r="K759" s="0" t="str">
        <f aca="false">IF(F759 = H759, C759/G759, "")</f>
        <v/>
      </c>
      <c r="L759" s="0" t="str">
        <f aca="false">IFERROR(__xludf.dummyfunction("IF(AND(NOT(K759 = """"), G759 &gt;= 15),K759/FILTER('Base Stats'!$C$2:$C1000, LOWER('Base Stats'!$B$2:$B1000) = LOWER($A759)), """")"),"#N/A")</f>
        <v>#N/A</v>
      </c>
      <c r="M759" s="0" t="str">
        <f aca="false">IFERROR(__xludf.dummyfunction("1.15 + 0.02 * FILTER('Base Stats'!$C$2:$C1000, LOWER('Base Stats'!$B$2:$B1000) = LOWER($A759))"),"1.15")</f>
        <v>1.15</v>
      </c>
      <c r="N759" s="0" t="e">
        <f aca="false">IFERROR(IF(AND(NOT(K759 = ""), G759 &gt;= 15),K759/M759, ""))</f>
        <v>#VALUE!</v>
      </c>
    </row>
    <row r="760" customFormat="false" ht="15.75" hidden="false" customHeight="false" outlineLevel="0" collapsed="false">
      <c r="A760" s="0" t="n">
        <f aca="false">'Form Responses (Pokemon Stats)'!B654</f>
        <v>0</v>
      </c>
      <c r="B760" s="0" t="n">
        <f aca="false">'Form Responses (Pokemon Stats)'!D654</f>
        <v>0</v>
      </c>
      <c r="C760" s="0" t="n">
        <f aca="false">'Form Responses (Pokemon Stats)'!C654</f>
        <v>0</v>
      </c>
      <c r="F760" s="0" t="n">
        <f aca="false">'Form Responses (Pokemon Stats)'!E654</f>
        <v>0</v>
      </c>
      <c r="G760" s="0" t="str">
        <f aca="false">IFERROR(__xludf.dummyfunction("ROUND(B760/ FILTER('Pokemon CP/HP'!$M$2:$M1000, LOWER('Pokemon CP/HP'!$B$2:$B1000)=LOWER(A760)))"),"#DIV/0!")</f>
        <v>#DIV/0!</v>
      </c>
      <c r="H760" s="0" t="str">
        <f aca="false">IFERROR(__xludf.dummyfunction("FILTER('Leveling Info'!$B$2:$B1000, 'Leveling Info'!$A$2:$A1000 =G760)"),"#N/A")</f>
        <v>#N/A</v>
      </c>
      <c r="I760" s="14" t="e">
        <f aca="false">SQRT(G760)</f>
        <v>#VALUE!</v>
      </c>
      <c r="J760" s="14" t="str">
        <f aca="false">IFERROR(__xludf.dummyfunction("IF(F760 = H760,C760/FILTER('Base Stats'!$C$2:$C1000, LOWER('Base Stats'!$B$2:$B1000) = LOWER($A760)), """")"),"#N/A")</f>
        <v>#N/A</v>
      </c>
      <c r="K760" s="0" t="str">
        <f aca="false">IF(F760 = H760, C760/G760, "")</f>
        <v/>
      </c>
      <c r="L760" s="0" t="str">
        <f aca="false">IFERROR(__xludf.dummyfunction("IF(AND(NOT(K760 = """"), G760 &gt;= 15),K760/FILTER('Base Stats'!$C$2:$C1000, LOWER('Base Stats'!$B$2:$B1000) = LOWER($A760)), """")"),"#N/A")</f>
        <v>#N/A</v>
      </c>
      <c r="M760" s="0" t="str">
        <f aca="false">IFERROR(__xludf.dummyfunction("1.15 + 0.02 * FILTER('Base Stats'!$C$2:$C1000, LOWER('Base Stats'!$B$2:$B1000) = LOWER($A760))"),"1.15")</f>
        <v>1.15</v>
      </c>
      <c r="N760" s="0" t="e">
        <f aca="false">IFERROR(IF(AND(NOT(K760 = ""), G760 &gt;= 15),K760/M760, ""))</f>
        <v>#VALUE!</v>
      </c>
    </row>
    <row r="761" customFormat="false" ht="15.75" hidden="false" customHeight="false" outlineLevel="0" collapsed="false">
      <c r="A761" s="0" t="n">
        <f aca="false">'Form Responses (Pokemon Stats)'!B655</f>
        <v>0</v>
      </c>
      <c r="B761" s="0" t="n">
        <f aca="false">'Form Responses (Pokemon Stats)'!D655</f>
        <v>0</v>
      </c>
      <c r="C761" s="0" t="n">
        <f aca="false">'Form Responses (Pokemon Stats)'!C655</f>
        <v>0</v>
      </c>
      <c r="F761" s="0" t="n">
        <f aca="false">'Form Responses (Pokemon Stats)'!E655</f>
        <v>0</v>
      </c>
      <c r="G761" s="0" t="str">
        <f aca="false">IFERROR(__xludf.dummyfunction("ROUND(B761/ FILTER('Pokemon CP/HP'!$M$2:$M1000, LOWER('Pokemon CP/HP'!$B$2:$B1000)=LOWER(A761)))"),"#DIV/0!")</f>
        <v>#DIV/0!</v>
      </c>
      <c r="H761" s="0" t="str">
        <f aca="false">IFERROR(__xludf.dummyfunction("FILTER('Leveling Info'!$B$2:$B1000, 'Leveling Info'!$A$2:$A1000 =G761)"),"#N/A")</f>
        <v>#N/A</v>
      </c>
      <c r="I761" s="14" t="e">
        <f aca="false">SQRT(G761)</f>
        <v>#VALUE!</v>
      </c>
      <c r="J761" s="14" t="str">
        <f aca="false">IFERROR(__xludf.dummyfunction("IF(F761 = H761,C761/FILTER('Base Stats'!$C$2:$C1000, LOWER('Base Stats'!$B$2:$B1000) = LOWER($A761)), """")"),"#N/A")</f>
        <v>#N/A</v>
      </c>
      <c r="K761" s="0" t="str">
        <f aca="false">IF(F761 = H761, C761/G761, "")</f>
        <v/>
      </c>
      <c r="L761" s="0" t="str">
        <f aca="false">IFERROR(__xludf.dummyfunction("IF(AND(NOT(K761 = """"), G761 &gt;= 15),K761/FILTER('Base Stats'!$C$2:$C1000, LOWER('Base Stats'!$B$2:$B1000) = LOWER($A761)), """")"),"#N/A")</f>
        <v>#N/A</v>
      </c>
      <c r="M761" s="0" t="str">
        <f aca="false">IFERROR(__xludf.dummyfunction("1.15 + 0.02 * FILTER('Base Stats'!$C$2:$C1000, LOWER('Base Stats'!$B$2:$B1000) = LOWER($A761))"),"1.15")</f>
        <v>1.15</v>
      </c>
      <c r="N761" s="0" t="e">
        <f aca="false">IFERROR(IF(AND(NOT(K761 = ""), G761 &gt;= 15),K761/M761, ""))</f>
        <v>#VALUE!</v>
      </c>
    </row>
    <row r="762" customFormat="false" ht="15.75" hidden="false" customHeight="false" outlineLevel="0" collapsed="false">
      <c r="A762" s="0" t="n">
        <f aca="false">'Form Responses (Pokemon Stats)'!B656</f>
        <v>0</v>
      </c>
      <c r="B762" s="0" t="n">
        <f aca="false">'Form Responses (Pokemon Stats)'!D656</f>
        <v>0</v>
      </c>
      <c r="C762" s="0" t="n">
        <f aca="false">'Form Responses (Pokemon Stats)'!C656</f>
        <v>0</v>
      </c>
      <c r="F762" s="0" t="n">
        <f aca="false">'Form Responses (Pokemon Stats)'!E656</f>
        <v>0</v>
      </c>
      <c r="G762" s="0" t="str">
        <f aca="false">IFERROR(__xludf.dummyfunction("ROUND(B762/ FILTER('Pokemon CP/HP'!$M$2:$M1000, LOWER('Pokemon CP/HP'!$B$2:$B1000)=LOWER(A762)))"),"#DIV/0!")</f>
        <v>#DIV/0!</v>
      </c>
      <c r="H762" s="0" t="str">
        <f aca="false">IFERROR(__xludf.dummyfunction("FILTER('Leveling Info'!$B$2:$B1000, 'Leveling Info'!$A$2:$A1000 =G762)"),"#N/A")</f>
        <v>#N/A</v>
      </c>
      <c r="I762" s="14" t="e">
        <f aca="false">SQRT(G762)</f>
        <v>#VALUE!</v>
      </c>
      <c r="J762" s="14" t="str">
        <f aca="false">IFERROR(__xludf.dummyfunction("IF(F762 = H762,C762/FILTER('Base Stats'!$C$2:$C1000, LOWER('Base Stats'!$B$2:$B1000) = LOWER($A762)), """")"),"#N/A")</f>
        <v>#N/A</v>
      </c>
      <c r="K762" s="0" t="str">
        <f aca="false">IF(F762 = H762, C762/G762, "")</f>
        <v/>
      </c>
      <c r="L762" s="0" t="str">
        <f aca="false">IFERROR(__xludf.dummyfunction("IF(AND(NOT(K762 = """"), G762 &gt;= 15),K762/FILTER('Base Stats'!$C$2:$C1000, LOWER('Base Stats'!$B$2:$B1000) = LOWER($A762)), """")"),"#N/A")</f>
        <v>#N/A</v>
      </c>
      <c r="M762" s="0" t="str">
        <f aca="false">IFERROR(__xludf.dummyfunction("1.15 + 0.02 * FILTER('Base Stats'!$C$2:$C1000, LOWER('Base Stats'!$B$2:$B1000) = LOWER($A762))"),"1.15")</f>
        <v>1.15</v>
      </c>
      <c r="N762" s="0" t="e">
        <f aca="false">IFERROR(IF(AND(NOT(K762 = ""), G762 &gt;= 15),K762/M762, ""))</f>
        <v>#VALUE!</v>
      </c>
    </row>
    <row r="763" customFormat="false" ht="15.75" hidden="false" customHeight="false" outlineLevel="0" collapsed="false">
      <c r="A763" s="0" t="n">
        <f aca="false">'Form Responses (Pokemon Stats)'!B657</f>
        <v>0</v>
      </c>
      <c r="B763" s="0" t="n">
        <f aca="false">'Form Responses (Pokemon Stats)'!D657</f>
        <v>0</v>
      </c>
      <c r="C763" s="0" t="n">
        <f aca="false">'Form Responses (Pokemon Stats)'!C657</f>
        <v>0</v>
      </c>
      <c r="F763" s="0" t="n">
        <f aca="false">'Form Responses (Pokemon Stats)'!E657</f>
        <v>0</v>
      </c>
      <c r="G763" s="0" t="str">
        <f aca="false">IFERROR(__xludf.dummyfunction("ROUND(B763/ FILTER('Pokemon CP/HP'!$M$2:$M1000, LOWER('Pokemon CP/HP'!$B$2:$B1000)=LOWER(A763)))"),"#DIV/0!")</f>
        <v>#DIV/0!</v>
      </c>
      <c r="H763" s="0" t="str">
        <f aca="false">IFERROR(__xludf.dummyfunction("FILTER('Leveling Info'!$B$2:$B1000, 'Leveling Info'!$A$2:$A1000 =G763)"),"#N/A")</f>
        <v>#N/A</v>
      </c>
      <c r="I763" s="14" t="e">
        <f aca="false">SQRT(G763)</f>
        <v>#VALUE!</v>
      </c>
      <c r="J763" s="14" t="str">
        <f aca="false">IFERROR(__xludf.dummyfunction("IF(F763 = H763,C763/FILTER('Base Stats'!$C$2:$C1000, LOWER('Base Stats'!$B$2:$B1000) = LOWER($A763)), """")"),"#N/A")</f>
        <v>#N/A</v>
      </c>
      <c r="K763" s="0" t="str">
        <f aca="false">IF(F763 = H763, C763/G763, "")</f>
        <v/>
      </c>
      <c r="L763" s="0" t="str">
        <f aca="false">IFERROR(__xludf.dummyfunction("IF(AND(NOT(K763 = """"), G763 &gt;= 15),K763/FILTER('Base Stats'!$C$2:$C1000, LOWER('Base Stats'!$B$2:$B1000) = LOWER($A763)), """")"),"#N/A")</f>
        <v>#N/A</v>
      </c>
      <c r="M763" s="0" t="str">
        <f aca="false">IFERROR(__xludf.dummyfunction("1.15 + 0.02 * FILTER('Base Stats'!$C$2:$C1000, LOWER('Base Stats'!$B$2:$B1000) = LOWER($A763))"),"1.15")</f>
        <v>1.15</v>
      </c>
      <c r="N763" s="0" t="e">
        <f aca="false">IFERROR(IF(AND(NOT(K763 = ""), G763 &gt;= 15),K763/M763, ""))</f>
        <v>#VALUE!</v>
      </c>
    </row>
    <row r="764" customFormat="false" ht="15.75" hidden="false" customHeight="false" outlineLevel="0" collapsed="false">
      <c r="A764" s="0" t="n">
        <f aca="false">'Form Responses (Pokemon Stats)'!B658</f>
        <v>0</v>
      </c>
      <c r="B764" s="0" t="n">
        <f aca="false">'Form Responses (Pokemon Stats)'!D658</f>
        <v>0</v>
      </c>
      <c r="C764" s="0" t="n">
        <f aca="false">'Form Responses (Pokemon Stats)'!C658</f>
        <v>0</v>
      </c>
      <c r="F764" s="0" t="n">
        <f aca="false">'Form Responses (Pokemon Stats)'!E658</f>
        <v>0</v>
      </c>
      <c r="G764" s="0" t="str">
        <f aca="false">IFERROR(__xludf.dummyfunction("ROUND(B764/ FILTER('Pokemon CP/HP'!$M$2:$M1000, LOWER('Pokemon CP/HP'!$B$2:$B1000)=LOWER(A764)))"),"#DIV/0!")</f>
        <v>#DIV/0!</v>
      </c>
      <c r="H764" s="0" t="str">
        <f aca="false">IFERROR(__xludf.dummyfunction("FILTER('Leveling Info'!$B$2:$B1000, 'Leveling Info'!$A$2:$A1000 =G764)"),"#N/A")</f>
        <v>#N/A</v>
      </c>
      <c r="I764" s="14" t="e">
        <f aca="false">SQRT(G764)</f>
        <v>#VALUE!</v>
      </c>
      <c r="J764" s="14" t="str">
        <f aca="false">IFERROR(__xludf.dummyfunction("IF(F764 = H764,C764/FILTER('Base Stats'!$C$2:$C1000, LOWER('Base Stats'!$B$2:$B1000) = LOWER($A764)), """")"),"#N/A")</f>
        <v>#N/A</v>
      </c>
      <c r="K764" s="0" t="str">
        <f aca="false">IF(F764 = H764, C764/G764, "")</f>
        <v/>
      </c>
      <c r="L764" s="0" t="str">
        <f aca="false">IFERROR(__xludf.dummyfunction("IF(AND(NOT(K764 = """"), G764 &gt;= 15),K764/FILTER('Base Stats'!$C$2:$C1000, LOWER('Base Stats'!$B$2:$B1000) = LOWER($A764)), """")"),"#N/A")</f>
        <v>#N/A</v>
      </c>
      <c r="M764" s="0" t="str">
        <f aca="false">IFERROR(__xludf.dummyfunction("1.15 + 0.02 * FILTER('Base Stats'!$C$2:$C1000, LOWER('Base Stats'!$B$2:$B1000) = LOWER($A764))"),"1.15")</f>
        <v>1.15</v>
      </c>
      <c r="N764" s="0" t="e">
        <f aca="false">IFERROR(IF(AND(NOT(K764 = ""), G764 &gt;= 15),K764/M764, ""))</f>
        <v>#VALUE!</v>
      </c>
    </row>
    <row r="765" customFormat="false" ht="15.75" hidden="false" customHeight="false" outlineLevel="0" collapsed="false">
      <c r="A765" s="0" t="n">
        <f aca="false">'Form Responses (Pokemon Stats)'!B659</f>
        <v>0</v>
      </c>
      <c r="B765" s="0" t="n">
        <f aca="false">'Form Responses (Pokemon Stats)'!D659</f>
        <v>0</v>
      </c>
      <c r="C765" s="0" t="n">
        <f aca="false">'Form Responses (Pokemon Stats)'!C659</f>
        <v>0</v>
      </c>
      <c r="F765" s="0" t="n">
        <f aca="false">'Form Responses (Pokemon Stats)'!E659</f>
        <v>0</v>
      </c>
      <c r="G765" s="0" t="str">
        <f aca="false">IFERROR(__xludf.dummyfunction("ROUND(B765/ FILTER('Pokemon CP/HP'!$M$2:$M1000, LOWER('Pokemon CP/HP'!$B$2:$B1000)=LOWER(A765)))"),"#DIV/0!")</f>
        <v>#DIV/0!</v>
      </c>
      <c r="H765" s="0" t="str">
        <f aca="false">IFERROR(__xludf.dummyfunction("FILTER('Leveling Info'!$B$2:$B1000, 'Leveling Info'!$A$2:$A1000 =G765)"),"#N/A")</f>
        <v>#N/A</v>
      </c>
      <c r="I765" s="14" t="e">
        <f aca="false">SQRT(G765)</f>
        <v>#VALUE!</v>
      </c>
      <c r="J765" s="14" t="str">
        <f aca="false">IFERROR(__xludf.dummyfunction("IF(F765 = H765,C765/FILTER('Base Stats'!$C$2:$C1000, LOWER('Base Stats'!$B$2:$B1000) = LOWER($A765)), """")"),"#N/A")</f>
        <v>#N/A</v>
      </c>
      <c r="K765" s="0" t="str">
        <f aca="false">IF(F765 = H765, C765/G765, "")</f>
        <v/>
      </c>
      <c r="L765" s="0" t="str">
        <f aca="false">IFERROR(__xludf.dummyfunction("IF(AND(NOT(K765 = """"), G765 &gt;= 15),K765/FILTER('Base Stats'!$C$2:$C1000, LOWER('Base Stats'!$B$2:$B1000) = LOWER($A765)), """")"),"#N/A")</f>
        <v>#N/A</v>
      </c>
      <c r="M765" s="0" t="str">
        <f aca="false">IFERROR(__xludf.dummyfunction("1.15 + 0.02 * FILTER('Base Stats'!$C$2:$C1000, LOWER('Base Stats'!$B$2:$B1000) = LOWER($A765))"),"1.15")</f>
        <v>1.15</v>
      </c>
      <c r="N765" s="0" t="e">
        <f aca="false">IFERROR(IF(AND(NOT(K765 = ""), G765 &gt;= 15),K765/M765, ""))</f>
        <v>#VALUE!</v>
      </c>
    </row>
    <row r="766" customFormat="false" ht="15.75" hidden="false" customHeight="false" outlineLevel="0" collapsed="false">
      <c r="A766" s="0" t="n">
        <f aca="false">'Form Responses (Pokemon Stats)'!B660</f>
        <v>0</v>
      </c>
      <c r="B766" s="0" t="n">
        <f aca="false">'Form Responses (Pokemon Stats)'!D660</f>
        <v>0</v>
      </c>
      <c r="C766" s="0" t="n">
        <f aca="false">'Form Responses (Pokemon Stats)'!C660</f>
        <v>0</v>
      </c>
      <c r="F766" s="0" t="n">
        <f aca="false">'Form Responses (Pokemon Stats)'!E660</f>
        <v>0</v>
      </c>
      <c r="G766" s="0" t="str">
        <f aca="false">IFERROR(__xludf.dummyfunction("ROUND(B766/ FILTER('Pokemon CP/HP'!$M$2:$M1000, LOWER('Pokemon CP/HP'!$B$2:$B1000)=LOWER(A766)))"),"#DIV/0!")</f>
        <v>#DIV/0!</v>
      </c>
      <c r="H766" s="0" t="str">
        <f aca="false">IFERROR(__xludf.dummyfunction("FILTER('Leveling Info'!$B$2:$B1000, 'Leveling Info'!$A$2:$A1000 =G766)"),"#N/A")</f>
        <v>#N/A</v>
      </c>
      <c r="I766" s="14" t="e">
        <f aca="false">SQRT(G766)</f>
        <v>#VALUE!</v>
      </c>
      <c r="J766" s="14" t="str">
        <f aca="false">IFERROR(__xludf.dummyfunction("IF(F766 = H766,C766/FILTER('Base Stats'!$C$2:$C1000, LOWER('Base Stats'!$B$2:$B1000) = LOWER($A766)), """")"),"#N/A")</f>
        <v>#N/A</v>
      </c>
      <c r="K766" s="0" t="str">
        <f aca="false">IF(F766 = H766, C766/G766, "")</f>
        <v/>
      </c>
      <c r="L766" s="0" t="str">
        <f aca="false">IFERROR(__xludf.dummyfunction("IF(AND(NOT(K766 = """"), G766 &gt;= 15),K766/FILTER('Base Stats'!$C$2:$C1000, LOWER('Base Stats'!$B$2:$B1000) = LOWER($A766)), """")"),"#N/A")</f>
        <v>#N/A</v>
      </c>
      <c r="M766" s="0" t="str">
        <f aca="false">IFERROR(__xludf.dummyfunction("1.15 + 0.02 * FILTER('Base Stats'!$C$2:$C1000, LOWER('Base Stats'!$B$2:$B1000) = LOWER($A766))"),"1.15")</f>
        <v>1.15</v>
      </c>
      <c r="N766" s="0" t="e">
        <f aca="false">IFERROR(IF(AND(NOT(K766 = ""), G766 &gt;= 15),K766/M766, ""))</f>
        <v>#VALUE!</v>
      </c>
    </row>
    <row r="767" customFormat="false" ht="15.75" hidden="false" customHeight="false" outlineLevel="0" collapsed="false">
      <c r="A767" s="0" t="n">
        <f aca="false">'Form Responses (Pokemon Stats)'!B661</f>
        <v>0</v>
      </c>
      <c r="B767" s="0" t="n">
        <f aca="false">'Form Responses (Pokemon Stats)'!D661</f>
        <v>0</v>
      </c>
      <c r="C767" s="0" t="n">
        <f aca="false">'Form Responses (Pokemon Stats)'!C661</f>
        <v>0</v>
      </c>
      <c r="F767" s="0" t="n">
        <f aca="false">'Form Responses (Pokemon Stats)'!E661</f>
        <v>0</v>
      </c>
      <c r="G767" s="0" t="str">
        <f aca="false">IFERROR(__xludf.dummyfunction("ROUND(B767/ FILTER('Pokemon CP/HP'!$M$2:$M1000, LOWER('Pokemon CP/HP'!$B$2:$B1000)=LOWER(A767)))"),"#DIV/0!")</f>
        <v>#DIV/0!</v>
      </c>
      <c r="H767" s="0" t="str">
        <f aca="false">IFERROR(__xludf.dummyfunction("FILTER('Leveling Info'!$B$2:$B1000, 'Leveling Info'!$A$2:$A1000 =G767)"),"#N/A")</f>
        <v>#N/A</v>
      </c>
      <c r="I767" s="14" t="e">
        <f aca="false">SQRT(G767)</f>
        <v>#VALUE!</v>
      </c>
      <c r="J767" s="14" t="str">
        <f aca="false">IFERROR(__xludf.dummyfunction("IF(F767 = H767,C767/FILTER('Base Stats'!$C$2:$C1000, LOWER('Base Stats'!$B$2:$B1000) = LOWER($A767)), """")"),"#N/A")</f>
        <v>#N/A</v>
      </c>
      <c r="K767" s="0" t="str">
        <f aca="false">IF(F767 = H767, C767/G767, "")</f>
        <v/>
      </c>
      <c r="L767" s="0" t="str">
        <f aca="false">IFERROR(__xludf.dummyfunction("IF(AND(NOT(K767 = """"), G767 &gt;= 15),K767/FILTER('Base Stats'!$C$2:$C1000, LOWER('Base Stats'!$B$2:$B1000) = LOWER($A767)), """")"),"#N/A")</f>
        <v>#N/A</v>
      </c>
      <c r="M767" s="0" t="str">
        <f aca="false">IFERROR(__xludf.dummyfunction("1.15 + 0.02 * FILTER('Base Stats'!$C$2:$C1000, LOWER('Base Stats'!$B$2:$B1000) = LOWER($A767))"),"1.15")</f>
        <v>1.15</v>
      </c>
      <c r="N767" s="0" t="e">
        <f aca="false">IFERROR(IF(AND(NOT(K767 = ""), G767 &gt;= 15),K767/M767, ""))</f>
        <v>#VALUE!</v>
      </c>
    </row>
    <row r="768" customFormat="false" ht="15.75" hidden="false" customHeight="false" outlineLevel="0" collapsed="false">
      <c r="A768" s="0" t="n">
        <f aca="false">'Form Responses (Pokemon Stats)'!B662</f>
        <v>0</v>
      </c>
      <c r="B768" s="0" t="n">
        <f aca="false">'Form Responses (Pokemon Stats)'!D662</f>
        <v>0</v>
      </c>
      <c r="C768" s="0" t="n">
        <f aca="false">'Form Responses (Pokemon Stats)'!C662</f>
        <v>0</v>
      </c>
      <c r="F768" s="0" t="n">
        <f aca="false">'Form Responses (Pokemon Stats)'!E662</f>
        <v>0</v>
      </c>
      <c r="G768" s="0" t="str">
        <f aca="false">IFERROR(__xludf.dummyfunction("ROUND(B768/ FILTER('Pokemon CP/HP'!$M$2:$M1000, LOWER('Pokemon CP/HP'!$B$2:$B1000)=LOWER(A768)))"),"#DIV/0!")</f>
        <v>#DIV/0!</v>
      </c>
      <c r="H768" s="0" t="str">
        <f aca="false">IFERROR(__xludf.dummyfunction("FILTER('Leveling Info'!$B$2:$B1000, 'Leveling Info'!$A$2:$A1000 =G768)"),"#N/A")</f>
        <v>#N/A</v>
      </c>
      <c r="I768" s="14" t="e">
        <f aca="false">SQRT(G768)</f>
        <v>#VALUE!</v>
      </c>
      <c r="J768" s="14" t="str">
        <f aca="false">IFERROR(__xludf.dummyfunction("IF(F768 = H768,C768/FILTER('Base Stats'!$C$2:$C1000, LOWER('Base Stats'!$B$2:$B1000) = LOWER($A768)), """")"),"#N/A")</f>
        <v>#N/A</v>
      </c>
      <c r="K768" s="0" t="str">
        <f aca="false">IF(F768 = H768, C768/G768, "")</f>
        <v/>
      </c>
      <c r="L768" s="0" t="str">
        <f aca="false">IFERROR(__xludf.dummyfunction("IF(AND(NOT(K768 = """"), G768 &gt;= 15),K768/FILTER('Base Stats'!$C$2:$C1000, LOWER('Base Stats'!$B$2:$B1000) = LOWER($A768)), """")"),"#N/A")</f>
        <v>#N/A</v>
      </c>
      <c r="M768" s="0" t="str">
        <f aca="false">IFERROR(__xludf.dummyfunction("1.15 + 0.02 * FILTER('Base Stats'!$C$2:$C1000, LOWER('Base Stats'!$B$2:$B1000) = LOWER($A768))"),"1.15")</f>
        <v>1.15</v>
      </c>
      <c r="N768" s="0" t="e">
        <f aca="false">IFERROR(IF(AND(NOT(K768 = ""), G768 &gt;= 15),K768/M768, ""))</f>
        <v>#VALUE!</v>
      </c>
    </row>
    <row r="769" customFormat="false" ht="15.75" hidden="false" customHeight="false" outlineLevel="0" collapsed="false">
      <c r="A769" s="0" t="n">
        <f aca="false">'Form Responses (Pokemon Stats)'!B663</f>
        <v>0</v>
      </c>
      <c r="B769" s="0" t="n">
        <f aca="false">'Form Responses (Pokemon Stats)'!D663</f>
        <v>0</v>
      </c>
      <c r="C769" s="0" t="n">
        <f aca="false">'Form Responses (Pokemon Stats)'!C663</f>
        <v>0</v>
      </c>
      <c r="F769" s="0" t="n">
        <f aca="false">'Form Responses (Pokemon Stats)'!E663</f>
        <v>0</v>
      </c>
      <c r="G769" s="0" t="str">
        <f aca="false">IFERROR(__xludf.dummyfunction("ROUND(B769/ FILTER('Pokemon CP/HP'!$M$2:$M1000, LOWER('Pokemon CP/HP'!$B$2:$B1000)=LOWER(A769)))"),"#DIV/0!")</f>
        <v>#DIV/0!</v>
      </c>
      <c r="H769" s="0" t="str">
        <f aca="false">IFERROR(__xludf.dummyfunction("FILTER('Leveling Info'!$B$2:$B1000, 'Leveling Info'!$A$2:$A1000 =G769)"),"#N/A")</f>
        <v>#N/A</v>
      </c>
      <c r="I769" s="14" t="e">
        <f aca="false">SQRT(G769)</f>
        <v>#VALUE!</v>
      </c>
      <c r="J769" s="14" t="str">
        <f aca="false">IFERROR(__xludf.dummyfunction("IF(F769 = H769,C769/FILTER('Base Stats'!$C$2:$C1000, LOWER('Base Stats'!$B$2:$B1000) = LOWER($A769)), """")"),"#N/A")</f>
        <v>#N/A</v>
      </c>
      <c r="K769" s="0" t="str">
        <f aca="false">IF(F769 = H769, C769/G769, "")</f>
        <v/>
      </c>
      <c r="L769" s="0" t="str">
        <f aca="false">IFERROR(__xludf.dummyfunction("IF(AND(NOT(K769 = """"), G769 &gt;= 15),K769/FILTER('Base Stats'!$C$2:$C1000, LOWER('Base Stats'!$B$2:$B1000) = LOWER($A769)), """")"),"#N/A")</f>
        <v>#N/A</v>
      </c>
      <c r="M769" s="0" t="str">
        <f aca="false">IFERROR(__xludf.dummyfunction("1.15 + 0.02 * FILTER('Base Stats'!$C$2:$C1000, LOWER('Base Stats'!$B$2:$B1000) = LOWER($A769))"),"1.15")</f>
        <v>1.15</v>
      </c>
      <c r="N769" s="0" t="e">
        <f aca="false">IFERROR(IF(AND(NOT(K769 = ""), G769 &gt;= 15),K769/M769, ""))</f>
        <v>#VALUE!</v>
      </c>
    </row>
    <row r="770" customFormat="false" ht="15.75" hidden="false" customHeight="false" outlineLevel="0" collapsed="false">
      <c r="A770" s="0" t="n">
        <f aca="false">'Form Responses (Pokemon Stats)'!B664</f>
        <v>0</v>
      </c>
      <c r="B770" s="0" t="n">
        <f aca="false">'Form Responses (Pokemon Stats)'!D664</f>
        <v>0</v>
      </c>
      <c r="C770" s="0" t="n">
        <f aca="false">'Form Responses (Pokemon Stats)'!C664</f>
        <v>0</v>
      </c>
      <c r="F770" s="0" t="n">
        <f aca="false">'Form Responses (Pokemon Stats)'!E664</f>
        <v>0</v>
      </c>
      <c r="G770" s="0" t="str">
        <f aca="false">IFERROR(__xludf.dummyfunction("ROUND(B770/ FILTER('Pokemon CP/HP'!$M$2:$M1000, LOWER('Pokemon CP/HP'!$B$2:$B1000)=LOWER(A770)))"),"#DIV/0!")</f>
        <v>#DIV/0!</v>
      </c>
      <c r="H770" s="0" t="str">
        <f aca="false">IFERROR(__xludf.dummyfunction("FILTER('Leveling Info'!$B$2:$B1000, 'Leveling Info'!$A$2:$A1000 =G770)"),"#N/A")</f>
        <v>#N/A</v>
      </c>
      <c r="I770" s="14" t="e">
        <f aca="false">SQRT(G770)</f>
        <v>#VALUE!</v>
      </c>
      <c r="J770" s="14" t="str">
        <f aca="false">IFERROR(__xludf.dummyfunction("IF(F770 = H770,C770/FILTER('Base Stats'!$C$2:$C1000, LOWER('Base Stats'!$B$2:$B1000) = LOWER($A770)), """")"),"#N/A")</f>
        <v>#N/A</v>
      </c>
      <c r="K770" s="0" t="str">
        <f aca="false">IF(F770 = H770, C770/G770, "")</f>
        <v/>
      </c>
      <c r="L770" s="0" t="str">
        <f aca="false">IFERROR(__xludf.dummyfunction("IF(AND(NOT(K770 = """"), G770 &gt;= 15),K770/FILTER('Base Stats'!$C$2:$C1000, LOWER('Base Stats'!$B$2:$B1000) = LOWER($A770)), """")"),"#N/A")</f>
        <v>#N/A</v>
      </c>
      <c r="M770" s="0" t="str">
        <f aca="false">IFERROR(__xludf.dummyfunction("1.15 + 0.02 * FILTER('Base Stats'!$C$2:$C1000, LOWER('Base Stats'!$B$2:$B1000) = LOWER($A770))"),"1.15")</f>
        <v>1.15</v>
      </c>
      <c r="N770" s="0" t="e">
        <f aca="false">IFERROR(IF(AND(NOT(K770 = ""), G770 &gt;= 15),K770/M770, ""))</f>
        <v>#VALUE!</v>
      </c>
    </row>
    <row r="771" customFormat="false" ht="15.75" hidden="false" customHeight="false" outlineLevel="0" collapsed="false">
      <c r="A771" s="0" t="n">
        <f aca="false">'Form Responses (Pokemon Stats)'!B665</f>
        <v>0</v>
      </c>
      <c r="B771" s="0" t="n">
        <f aca="false">'Form Responses (Pokemon Stats)'!D665</f>
        <v>0</v>
      </c>
      <c r="C771" s="0" t="n">
        <f aca="false">'Form Responses (Pokemon Stats)'!C665</f>
        <v>0</v>
      </c>
      <c r="F771" s="0" t="n">
        <f aca="false">'Form Responses (Pokemon Stats)'!E665</f>
        <v>0</v>
      </c>
      <c r="G771" s="0" t="str">
        <f aca="false">IFERROR(__xludf.dummyfunction("ROUND(B771/ FILTER('Pokemon CP/HP'!$M$2:$M1000, LOWER('Pokemon CP/HP'!$B$2:$B1000)=LOWER(A771)))"),"#DIV/0!")</f>
        <v>#DIV/0!</v>
      </c>
      <c r="H771" s="0" t="str">
        <f aca="false">IFERROR(__xludf.dummyfunction("FILTER('Leveling Info'!$B$2:$B1000, 'Leveling Info'!$A$2:$A1000 =G771)"),"#N/A")</f>
        <v>#N/A</v>
      </c>
      <c r="I771" s="14" t="e">
        <f aca="false">SQRT(G771)</f>
        <v>#VALUE!</v>
      </c>
      <c r="J771" s="14" t="str">
        <f aca="false">IFERROR(__xludf.dummyfunction("IF(F771 = H771,C771/FILTER('Base Stats'!$C$2:$C1000, LOWER('Base Stats'!$B$2:$B1000) = LOWER($A771)), """")"),"#N/A")</f>
        <v>#N/A</v>
      </c>
      <c r="K771" s="0" t="str">
        <f aca="false">IF(F771 = H771, C771/G771, "")</f>
        <v/>
      </c>
      <c r="L771" s="0" t="str">
        <f aca="false">IFERROR(__xludf.dummyfunction("IF(AND(NOT(K771 = """"), G771 &gt;= 15),K771/FILTER('Base Stats'!$C$2:$C1000, LOWER('Base Stats'!$B$2:$B1000) = LOWER($A771)), """")"),"#N/A")</f>
        <v>#N/A</v>
      </c>
      <c r="M771" s="0" t="str">
        <f aca="false">IFERROR(__xludf.dummyfunction("1.15 + 0.02 * FILTER('Base Stats'!$C$2:$C1000, LOWER('Base Stats'!$B$2:$B1000) = LOWER($A771))"),"1.15")</f>
        <v>1.15</v>
      </c>
      <c r="N771" s="0" t="e">
        <f aca="false">IFERROR(IF(AND(NOT(K771 = ""), G771 &gt;= 15),K771/M771, ""))</f>
        <v>#VALUE!</v>
      </c>
    </row>
    <row r="772" customFormat="false" ht="15.75" hidden="false" customHeight="false" outlineLevel="0" collapsed="false">
      <c r="A772" s="0" t="n">
        <f aca="false">'Form Responses (Pokemon Stats)'!B666</f>
        <v>0</v>
      </c>
      <c r="B772" s="0" t="n">
        <f aca="false">'Form Responses (Pokemon Stats)'!D666</f>
        <v>0</v>
      </c>
      <c r="C772" s="0" t="n">
        <f aca="false">'Form Responses (Pokemon Stats)'!C666</f>
        <v>0</v>
      </c>
      <c r="F772" s="0" t="n">
        <f aca="false">'Form Responses (Pokemon Stats)'!E666</f>
        <v>0</v>
      </c>
      <c r="G772" s="0" t="str">
        <f aca="false">IFERROR(__xludf.dummyfunction("ROUND(B772/ FILTER('Pokemon CP/HP'!$M$2:$M1000, LOWER('Pokemon CP/HP'!$B$2:$B1000)=LOWER(A772)))"),"#DIV/0!")</f>
        <v>#DIV/0!</v>
      </c>
      <c r="H772" s="0" t="str">
        <f aca="false">IFERROR(__xludf.dummyfunction("FILTER('Leveling Info'!$B$2:$B1000, 'Leveling Info'!$A$2:$A1000 =G772)"),"#N/A")</f>
        <v>#N/A</v>
      </c>
      <c r="I772" s="14" t="e">
        <f aca="false">SQRT(G772)</f>
        <v>#VALUE!</v>
      </c>
      <c r="J772" s="14" t="str">
        <f aca="false">IFERROR(__xludf.dummyfunction("IF(F772 = H772,C772/FILTER('Base Stats'!$C$2:$C1000, LOWER('Base Stats'!$B$2:$B1000) = LOWER($A772)), """")"),"#N/A")</f>
        <v>#N/A</v>
      </c>
      <c r="K772" s="0" t="str">
        <f aca="false">IF(F772 = H772, C772/G772, "")</f>
        <v/>
      </c>
      <c r="L772" s="0" t="str">
        <f aca="false">IFERROR(__xludf.dummyfunction("IF(AND(NOT(K772 = """"), G772 &gt;= 15),K772/FILTER('Base Stats'!$C$2:$C1000, LOWER('Base Stats'!$B$2:$B1000) = LOWER($A772)), """")"),"#N/A")</f>
        <v>#N/A</v>
      </c>
      <c r="M772" s="0" t="str">
        <f aca="false">IFERROR(__xludf.dummyfunction("1.15 + 0.02 * FILTER('Base Stats'!$C$2:$C1000, LOWER('Base Stats'!$B$2:$B1000) = LOWER($A772))"),"1.15")</f>
        <v>1.15</v>
      </c>
      <c r="N772" s="0" t="e">
        <f aca="false">IFERROR(IF(AND(NOT(K772 = ""), G772 &gt;= 15),K772/M772, ""))</f>
        <v>#VALUE!</v>
      </c>
    </row>
    <row r="773" customFormat="false" ht="15.75" hidden="false" customHeight="false" outlineLevel="0" collapsed="false">
      <c r="A773" s="0" t="n">
        <f aca="false">'Form Responses (Pokemon Stats)'!B667</f>
        <v>0</v>
      </c>
      <c r="B773" s="0" t="n">
        <f aca="false">'Form Responses (Pokemon Stats)'!D667</f>
        <v>0</v>
      </c>
      <c r="C773" s="0" t="n">
        <f aca="false">'Form Responses (Pokemon Stats)'!C667</f>
        <v>0</v>
      </c>
      <c r="F773" s="0" t="n">
        <f aca="false">'Form Responses (Pokemon Stats)'!E667</f>
        <v>0</v>
      </c>
      <c r="G773" s="0" t="str">
        <f aca="false">IFERROR(__xludf.dummyfunction("ROUND(B773/ FILTER('Pokemon CP/HP'!$M$2:$M1000, LOWER('Pokemon CP/HP'!$B$2:$B1000)=LOWER(A773)))"),"#DIV/0!")</f>
        <v>#DIV/0!</v>
      </c>
      <c r="H773" s="0" t="str">
        <f aca="false">IFERROR(__xludf.dummyfunction("FILTER('Leveling Info'!$B$2:$B1000, 'Leveling Info'!$A$2:$A1000 =G773)"),"#N/A")</f>
        <v>#N/A</v>
      </c>
      <c r="I773" s="14" t="e">
        <f aca="false">SQRT(G773)</f>
        <v>#VALUE!</v>
      </c>
      <c r="J773" s="14" t="str">
        <f aca="false">IFERROR(__xludf.dummyfunction("IF(F773 = H773,C773/FILTER('Base Stats'!$C$2:$C1000, LOWER('Base Stats'!$B$2:$B1000) = LOWER($A773)), """")"),"#N/A")</f>
        <v>#N/A</v>
      </c>
      <c r="K773" s="0" t="str">
        <f aca="false">IF(F773 = H773, C773/G773, "")</f>
        <v/>
      </c>
      <c r="L773" s="0" t="str">
        <f aca="false">IFERROR(__xludf.dummyfunction("IF(AND(NOT(K773 = """"), G773 &gt;= 15),K773/FILTER('Base Stats'!$C$2:$C1000, LOWER('Base Stats'!$B$2:$B1000) = LOWER($A773)), """")"),"#N/A")</f>
        <v>#N/A</v>
      </c>
      <c r="M773" s="0" t="str">
        <f aca="false">IFERROR(__xludf.dummyfunction("1.15 + 0.02 * FILTER('Base Stats'!$C$2:$C1000, LOWER('Base Stats'!$B$2:$B1000) = LOWER($A773))"),"1.15")</f>
        <v>1.15</v>
      </c>
      <c r="N773" s="0" t="e">
        <f aca="false">IFERROR(IF(AND(NOT(K773 = ""), G773 &gt;= 15),K773/M773, ""))</f>
        <v>#VALUE!</v>
      </c>
    </row>
    <row r="774" customFormat="false" ht="15.75" hidden="false" customHeight="false" outlineLevel="0" collapsed="false">
      <c r="A774" s="0" t="n">
        <f aca="false">'Form Responses (Pokemon Stats)'!B668</f>
        <v>0</v>
      </c>
      <c r="B774" s="0" t="n">
        <f aca="false">'Form Responses (Pokemon Stats)'!D668</f>
        <v>0</v>
      </c>
      <c r="C774" s="0" t="n">
        <f aca="false">'Form Responses (Pokemon Stats)'!C668</f>
        <v>0</v>
      </c>
      <c r="F774" s="0" t="n">
        <f aca="false">'Form Responses (Pokemon Stats)'!E668</f>
        <v>0</v>
      </c>
      <c r="G774" s="0" t="str">
        <f aca="false">IFERROR(__xludf.dummyfunction("ROUND(B774/ FILTER('Pokemon CP/HP'!$M$2:$M1000, LOWER('Pokemon CP/HP'!$B$2:$B1000)=LOWER(A774)))"),"#DIV/0!")</f>
        <v>#DIV/0!</v>
      </c>
      <c r="H774" s="0" t="str">
        <f aca="false">IFERROR(__xludf.dummyfunction("FILTER('Leveling Info'!$B$2:$B1000, 'Leveling Info'!$A$2:$A1000 =G774)"),"#N/A")</f>
        <v>#N/A</v>
      </c>
      <c r="I774" s="14" t="e">
        <f aca="false">SQRT(G774)</f>
        <v>#VALUE!</v>
      </c>
      <c r="J774" s="14" t="str">
        <f aca="false">IFERROR(__xludf.dummyfunction("IF(F774 = H774,C774/FILTER('Base Stats'!$C$2:$C1000, LOWER('Base Stats'!$B$2:$B1000) = LOWER($A774)), """")"),"#N/A")</f>
        <v>#N/A</v>
      </c>
      <c r="K774" s="0" t="str">
        <f aca="false">IF(F774 = H774, C774/G774, "")</f>
        <v/>
      </c>
      <c r="L774" s="0" t="str">
        <f aca="false">IFERROR(__xludf.dummyfunction("IF(AND(NOT(K774 = """"), G774 &gt;= 15),K774/FILTER('Base Stats'!$C$2:$C1000, LOWER('Base Stats'!$B$2:$B1000) = LOWER($A774)), """")"),"#N/A")</f>
        <v>#N/A</v>
      </c>
      <c r="M774" s="0" t="str">
        <f aca="false">IFERROR(__xludf.dummyfunction("1.15 + 0.02 * FILTER('Base Stats'!$C$2:$C1000, LOWER('Base Stats'!$B$2:$B1000) = LOWER($A774))"),"1.15")</f>
        <v>1.15</v>
      </c>
      <c r="N774" s="0" t="e">
        <f aca="false">IFERROR(IF(AND(NOT(K774 = ""), G774 &gt;= 15),K774/M774, ""))</f>
        <v>#VALUE!</v>
      </c>
    </row>
    <row r="775" customFormat="false" ht="15.75" hidden="false" customHeight="false" outlineLevel="0" collapsed="false">
      <c r="A775" s="0" t="n">
        <f aca="false">'Form Responses (Pokemon Stats)'!B669</f>
        <v>0</v>
      </c>
      <c r="B775" s="0" t="n">
        <f aca="false">'Form Responses (Pokemon Stats)'!D669</f>
        <v>0</v>
      </c>
      <c r="C775" s="0" t="n">
        <f aca="false">'Form Responses (Pokemon Stats)'!C669</f>
        <v>0</v>
      </c>
      <c r="F775" s="0" t="n">
        <f aca="false">'Form Responses (Pokemon Stats)'!E669</f>
        <v>0</v>
      </c>
      <c r="G775" s="0" t="str">
        <f aca="false">IFERROR(__xludf.dummyfunction("ROUND(B775/ FILTER('Pokemon CP/HP'!$M$2:$M1000, LOWER('Pokemon CP/HP'!$B$2:$B1000)=LOWER(A775)))"),"#DIV/0!")</f>
        <v>#DIV/0!</v>
      </c>
      <c r="H775" s="0" t="str">
        <f aca="false">IFERROR(__xludf.dummyfunction("FILTER('Leveling Info'!$B$2:$B1000, 'Leveling Info'!$A$2:$A1000 =G775)"),"#N/A")</f>
        <v>#N/A</v>
      </c>
      <c r="I775" s="14" t="e">
        <f aca="false">SQRT(G775)</f>
        <v>#VALUE!</v>
      </c>
      <c r="J775" s="14" t="str">
        <f aca="false">IFERROR(__xludf.dummyfunction("IF(F775 = H775,C775/FILTER('Base Stats'!$C$2:$C1000, LOWER('Base Stats'!$B$2:$B1000) = LOWER($A775)), """")"),"#N/A")</f>
        <v>#N/A</v>
      </c>
      <c r="K775" s="0" t="str">
        <f aca="false">IF(F775 = H775, C775/G775, "")</f>
        <v/>
      </c>
      <c r="L775" s="0" t="str">
        <f aca="false">IFERROR(__xludf.dummyfunction("IF(AND(NOT(K775 = """"), G775 &gt;= 15),K775/FILTER('Base Stats'!$C$2:$C1000, LOWER('Base Stats'!$B$2:$B1000) = LOWER($A775)), """")"),"#N/A")</f>
        <v>#N/A</v>
      </c>
      <c r="M775" s="0" t="str">
        <f aca="false">IFERROR(__xludf.dummyfunction("1.15 + 0.02 * FILTER('Base Stats'!$C$2:$C1000, LOWER('Base Stats'!$B$2:$B1000) = LOWER($A775))"),"1.15")</f>
        <v>1.15</v>
      </c>
      <c r="N775" s="0" t="e">
        <f aca="false">IFERROR(IF(AND(NOT(K775 = ""), G775 &gt;= 15),K775/M775, ""))</f>
        <v>#VALUE!</v>
      </c>
    </row>
    <row r="776" customFormat="false" ht="15.75" hidden="false" customHeight="false" outlineLevel="0" collapsed="false">
      <c r="A776" s="0" t="n">
        <f aca="false">'Form Responses (Pokemon Stats)'!B670</f>
        <v>0</v>
      </c>
      <c r="B776" s="0" t="n">
        <f aca="false">'Form Responses (Pokemon Stats)'!D670</f>
        <v>0</v>
      </c>
      <c r="C776" s="0" t="n">
        <f aca="false">'Form Responses (Pokemon Stats)'!C670</f>
        <v>0</v>
      </c>
      <c r="F776" s="0" t="n">
        <f aca="false">'Form Responses (Pokemon Stats)'!E670</f>
        <v>0</v>
      </c>
      <c r="G776" s="0" t="str">
        <f aca="false">IFERROR(__xludf.dummyfunction("ROUND(B776/ FILTER('Pokemon CP/HP'!$M$2:$M1000, LOWER('Pokemon CP/HP'!$B$2:$B1000)=LOWER(A776)))"),"#DIV/0!")</f>
        <v>#DIV/0!</v>
      </c>
      <c r="H776" s="0" t="str">
        <f aca="false">IFERROR(__xludf.dummyfunction("FILTER('Leveling Info'!$B$2:$B1000, 'Leveling Info'!$A$2:$A1000 =G776)"),"#N/A")</f>
        <v>#N/A</v>
      </c>
      <c r="I776" s="14" t="e">
        <f aca="false">SQRT(G776)</f>
        <v>#VALUE!</v>
      </c>
      <c r="J776" s="14" t="str">
        <f aca="false">IFERROR(__xludf.dummyfunction("IF(F776 = H776,C776/FILTER('Base Stats'!$C$2:$C1000, LOWER('Base Stats'!$B$2:$B1000) = LOWER($A776)), """")"),"#N/A")</f>
        <v>#N/A</v>
      </c>
      <c r="K776" s="0" t="str">
        <f aca="false">IF(F776 = H776, C776/G776, "")</f>
        <v/>
      </c>
      <c r="L776" s="0" t="str">
        <f aca="false">IFERROR(__xludf.dummyfunction("IF(AND(NOT(K776 = """"), G776 &gt;= 15),K776/FILTER('Base Stats'!$C$2:$C1000, LOWER('Base Stats'!$B$2:$B1000) = LOWER($A776)), """")"),"#N/A")</f>
        <v>#N/A</v>
      </c>
      <c r="M776" s="0" t="str">
        <f aca="false">IFERROR(__xludf.dummyfunction("1.15 + 0.02 * FILTER('Base Stats'!$C$2:$C1000, LOWER('Base Stats'!$B$2:$B1000) = LOWER($A776))"),"1.15")</f>
        <v>1.15</v>
      </c>
      <c r="N776" s="0" t="e">
        <f aca="false">IFERROR(IF(AND(NOT(K776 = ""), G776 &gt;= 15),K776/M776, ""))</f>
        <v>#VALUE!</v>
      </c>
    </row>
    <row r="777" customFormat="false" ht="15.75" hidden="false" customHeight="false" outlineLevel="0" collapsed="false">
      <c r="A777" s="0" t="n">
        <f aca="false">'Form Responses (Pokemon Stats)'!B671</f>
        <v>0</v>
      </c>
      <c r="B777" s="0" t="n">
        <f aca="false">'Form Responses (Pokemon Stats)'!D671</f>
        <v>0</v>
      </c>
      <c r="C777" s="0" t="n">
        <f aca="false">'Form Responses (Pokemon Stats)'!C671</f>
        <v>0</v>
      </c>
      <c r="F777" s="0" t="n">
        <f aca="false">'Form Responses (Pokemon Stats)'!E671</f>
        <v>0</v>
      </c>
      <c r="G777" s="0" t="str">
        <f aca="false">IFERROR(__xludf.dummyfunction("ROUND(B777/ FILTER('Pokemon CP/HP'!$M$2:$M1000, LOWER('Pokemon CP/HP'!$B$2:$B1000)=LOWER(A777)))"),"#DIV/0!")</f>
        <v>#DIV/0!</v>
      </c>
      <c r="H777" s="0" t="str">
        <f aca="false">IFERROR(__xludf.dummyfunction("FILTER('Leveling Info'!$B$2:$B1000, 'Leveling Info'!$A$2:$A1000 =G777)"),"#N/A")</f>
        <v>#N/A</v>
      </c>
      <c r="I777" s="14" t="e">
        <f aca="false">SQRT(G777)</f>
        <v>#VALUE!</v>
      </c>
      <c r="J777" s="14" t="str">
        <f aca="false">IFERROR(__xludf.dummyfunction("IF(F777 = H777,C777/FILTER('Base Stats'!$C$2:$C1000, LOWER('Base Stats'!$B$2:$B1000) = LOWER($A777)), """")"),"#N/A")</f>
        <v>#N/A</v>
      </c>
      <c r="K777" s="0" t="str">
        <f aca="false">IF(F777 = H777, C777/G777, "")</f>
        <v/>
      </c>
      <c r="L777" s="0" t="str">
        <f aca="false">IFERROR(__xludf.dummyfunction("IF(AND(NOT(K777 = """"), G777 &gt;= 15),K777/FILTER('Base Stats'!$C$2:$C1000, LOWER('Base Stats'!$B$2:$B1000) = LOWER($A777)), """")"),"#N/A")</f>
        <v>#N/A</v>
      </c>
      <c r="M777" s="0" t="str">
        <f aca="false">IFERROR(__xludf.dummyfunction("1.15 + 0.02 * FILTER('Base Stats'!$C$2:$C1000, LOWER('Base Stats'!$B$2:$B1000) = LOWER($A777))"),"1.15")</f>
        <v>1.15</v>
      </c>
      <c r="N777" s="0" t="e">
        <f aca="false">IFERROR(IF(AND(NOT(K777 = ""), G777 &gt;= 15),K777/M777, ""))</f>
        <v>#VALUE!</v>
      </c>
    </row>
    <row r="778" customFormat="false" ht="15.75" hidden="false" customHeight="false" outlineLevel="0" collapsed="false">
      <c r="A778" s="0" t="n">
        <f aca="false">'Form Responses (Pokemon Stats)'!B672</f>
        <v>0</v>
      </c>
      <c r="B778" s="0" t="n">
        <f aca="false">'Form Responses (Pokemon Stats)'!D672</f>
        <v>0</v>
      </c>
      <c r="C778" s="0" t="n">
        <f aca="false">'Form Responses (Pokemon Stats)'!C672</f>
        <v>0</v>
      </c>
      <c r="F778" s="0" t="n">
        <f aca="false">'Form Responses (Pokemon Stats)'!E672</f>
        <v>0</v>
      </c>
      <c r="G778" s="0" t="str">
        <f aca="false">IFERROR(__xludf.dummyfunction("ROUND(B778/ FILTER('Pokemon CP/HP'!$M$2:$M1000, LOWER('Pokemon CP/HP'!$B$2:$B1000)=LOWER(A778)))"),"#DIV/0!")</f>
        <v>#DIV/0!</v>
      </c>
      <c r="H778" s="0" t="str">
        <f aca="false">IFERROR(__xludf.dummyfunction("FILTER('Leveling Info'!$B$2:$B1000, 'Leveling Info'!$A$2:$A1000 =G778)"),"#N/A")</f>
        <v>#N/A</v>
      </c>
      <c r="I778" s="14" t="e">
        <f aca="false">SQRT(G778)</f>
        <v>#VALUE!</v>
      </c>
      <c r="J778" s="14" t="str">
        <f aca="false">IFERROR(__xludf.dummyfunction("IF(F778 = H778,C778/FILTER('Base Stats'!$C$2:$C1000, LOWER('Base Stats'!$B$2:$B1000) = LOWER($A778)), """")"),"#N/A")</f>
        <v>#N/A</v>
      </c>
      <c r="K778" s="0" t="str">
        <f aca="false">IF(F778 = H778, C778/G778, "")</f>
        <v/>
      </c>
      <c r="L778" s="0" t="str">
        <f aca="false">IFERROR(__xludf.dummyfunction("IF(AND(NOT(K778 = """"), G778 &gt;= 15),K778/FILTER('Base Stats'!$C$2:$C1000, LOWER('Base Stats'!$B$2:$B1000) = LOWER($A778)), """")"),"#N/A")</f>
        <v>#N/A</v>
      </c>
      <c r="M778" s="0" t="str">
        <f aca="false">IFERROR(__xludf.dummyfunction("1.15 + 0.02 * FILTER('Base Stats'!$C$2:$C1000, LOWER('Base Stats'!$B$2:$B1000) = LOWER($A778))"),"1.15")</f>
        <v>1.15</v>
      </c>
      <c r="N778" s="0" t="e">
        <f aca="false">IFERROR(IF(AND(NOT(K778 = ""), G778 &gt;= 15),K778/M778, ""))</f>
        <v>#VALUE!</v>
      </c>
    </row>
    <row r="779" customFormat="false" ht="15.75" hidden="false" customHeight="false" outlineLevel="0" collapsed="false">
      <c r="A779" s="0" t="n">
        <f aca="false">'Form Responses (Pokemon Stats)'!B673</f>
        <v>0</v>
      </c>
      <c r="B779" s="0" t="n">
        <f aca="false">'Form Responses (Pokemon Stats)'!D673</f>
        <v>0</v>
      </c>
      <c r="C779" s="0" t="n">
        <f aca="false">'Form Responses (Pokemon Stats)'!C673</f>
        <v>0</v>
      </c>
      <c r="F779" s="0" t="n">
        <f aca="false">'Form Responses (Pokemon Stats)'!E673</f>
        <v>0</v>
      </c>
      <c r="G779" s="0" t="str">
        <f aca="false">IFERROR(__xludf.dummyfunction("ROUND(B779/ FILTER('Pokemon CP/HP'!$M$2:$M1000, LOWER('Pokemon CP/HP'!$B$2:$B1000)=LOWER(A779)))"),"#DIV/0!")</f>
        <v>#DIV/0!</v>
      </c>
      <c r="H779" s="0" t="str">
        <f aca="false">IFERROR(__xludf.dummyfunction("FILTER('Leveling Info'!$B$2:$B1000, 'Leveling Info'!$A$2:$A1000 =G779)"),"#N/A")</f>
        <v>#N/A</v>
      </c>
      <c r="I779" s="14" t="e">
        <f aca="false">SQRT(G779)</f>
        <v>#VALUE!</v>
      </c>
      <c r="J779" s="14" t="str">
        <f aca="false">IFERROR(__xludf.dummyfunction("IF(F779 = H779,C779/FILTER('Base Stats'!$C$2:$C1000, LOWER('Base Stats'!$B$2:$B1000) = LOWER($A779)), """")"),"#N/A")</f>
        <v>#N/A</v>
      </c>
      <c r="K779" s="0" t="str">
        <f aca="false">IF(F779 = H779, C779/G779, "")</f>
        <v/>
      </c>
      <c r="L779" s="0" t="str">
        <f aca="false">IFERROR(__xludf.dummyfunction("IF(AND(NOT(K779 = """"), G779 &gt;= 15),K779/FILTER('Base Stats'!$C$2:$C1000, LOWER('Base Stats'!$B$2:$B1000) = LOWER($A779)), """")"),"#N/A")</f>
        <v>#N/A</v>
      </c>
      <c r="M779" s="0" t="str">
        <f aca="false">IFERROR(__xludf.dummyfunction("1.15 + 0.02 * FILTER('Base Stats'!$C$2:$C1000, LOWER('Base Stats'!$B$2:$B1000) = LOWER($A779))"),"1.15")</f>
        <v>1.15</v>
      </c>
      <c r="N779" s="0" t="e">
        <f aca="false">IFERROR(IF(AND(NOT(K779 = ""), G779 &gt;= 15),K779/M779, ""))</f>
        <v>#VALUE!</v>
      </c>
    </row>
    <row r="780" customFormat="false" ht="15.75" hidden="false" customHeight="false" outlineLevel="0" collapsed="false">
      <c r="A780" s="0" t="n">
        <f aca="false">'Form Responses (Pokemon Stats)'!B674</f>
        <v>0</v>
      </c>
      <c r="B780" s="0" t="n">
        <f aca="false">'Form Responses (Pokemon Stats)'!D674</f>
        <v>0</v>
      </c>
      <c r="C780" s="0" t="n">
        <f aca="false">'Form Responses (Pokemon Stats)'!C674</f>
        <v>0</v>
      </c>
      <c r="F780" s="0" t="n">
        <f aca="false">'Form Responses (Pokemon Stats)'!E674</f>
        <v>0</v>
      </c>
      <c r="G780" s="0" t="str">
        <f aca="false">IFERROR(__xludf.dummyfunction("ROUND(B780/ FILTER('Pokemon CP/HP'!$M$2:$M1000, LOWER('Pokemon CP/HP'!$B$2:$B1000)=LOWER(A780)))"),"#DIV/0!")</f>
        <v>#DIV/0!</v>
      </c>
      <c r="H780" s="0" t="str">
        <f aca="false">IFERROR(__xludf.dummyfunction("FILTER('Leveling Info'!$B$2:$B1000, 'Leveling Info'!$A$2:$A1000 =G780)"),"#N/A")</f>
        <v>#N/A</v>
      </c>
      <c r="I780" s="14" t="e">
        <f aca="false">SQRT(G780)</f>
        <v>#VALUE!</v>
      </c>
      <c r="J780" s="14" t="str">
        <f aca="false">IFERROR(__xludf.dummyfunction("IF(F780 = H780,C780/FILTER('Base Stats'!$C$2:$C1000, LOWER('Base Stats'!$B$2:$B1000) = LOWER($A780)), """")"),"#N/A")</f>
        <v>#N/A</v>
      </c>
      <c r="K780" s="0" t="str">
        <f aca="false">IF(F780 = H780, C780/G780, "")</f>
        <v/>
      </c>
      <c r="L780" s="0" t="str">
        <f aca="false">IFERROR(__xludf.dummyfunction("IF(AND(NOT(K780 = """"), G780 &gt;= 15),K780/FILTER('Base Stats'!$C$2:$C1000, LOWER('Base Stats'!$B$2:$B1000) = LOWER($A780)), """")"),"#N/A")</f>
        <v>#N/A</v>
      </c>
      <c r="M780" s="0" t="str">
        <f aca="false">IFERROR(__xludf.dummyfunction("1.15 + 0.02 * FILTER('Base Stats'!$C$2:$C1000, LOWER('Base Stats'!$B$2:$B1000) = LOWER($A780))"),"1.15")</f>
        <v>1.15</v>
      </c>
      <c r="N780" s="0" t="e">
        <f aca="false">IFERROR(IF(AND(NOT(K780 = ""), G780 &gt;= 15),K780/M780, ""))</f>
        <v>#VALUE!</v>
      </c>
    </row>
    <row r="781" customFormat="false" ht="15.75" hidden="false" customHeight="false" outlineLevel="0" collapsed="false">
      <c r="A781" s="0" t="n">
        <f aca="false">'Form Responses (Pokemon Stats)'!B675</f>
        <v>0</v>
      </c>
      <c r="B781" s="0" t="n">
        <f aca="false">'Form Responses (Pokemon Stats)'!D675</f>
        <v>0</v>
      </c>
      <c r="C781" s="0" t="n">
        <f aca="false">'Form Responses (Pokemon Stats)'!C675</f>
        <v>0</v>
      </c>
      <c r="F781" s="0" t="n">
        <f aca="false">'Form Responses (Pokemon Stats)'!E675</f>
        <v>0</v>
      </c>
      <c r="G781" s="0" t="str">
        <f aca="false">IFERROR(__xludf.dummyfunction("ROUND(B781/ FILTER('Pokemon CP/HP'!$M$2:$M1000, LOWER('Pokemon CP/HP'!$B$2:$B1000)=LOWER(A781)))"),"#DIV/0!")</f>
        <v>#DIV/0!</v>
      </c>
      <c r="H781" s="0" t="str">
        <f aca="false">IFERROR(__xludf.dummyfunction("FILTER('Leveling Info'!$B$2:$B1000, 'Leveling Info'!$A$2:$A1000 =G781)"),"#N/A")</f>
        <v>#N/A</v>
      </c>
      <c r="I781" s="14" t="e">
        <f aca="false">SQRT(G781)</f>
        <v>#VALUE!</v>
      </c>
      <c r="J781" s="14" t="str">
        <f aca="false">IFERROR(__xludf.dummyfunction("IF(F781 = H781,C781/FILTER('Base Stats'!$C$2:$C1000, LOWER('Base Stats'!$B$2:$B1000) = LOWER($A781)), """")"),"#N/A")</f>
        <v>#N/A</v>
      </c>
      <c r="K781" s="0" t="str">
        <f aca="false">IF(F781 = H781, C781/G781, "")</f>
        <v/>
      </c>
      <c r="L781" s="0" t="str">
        <f aca="false">IFERROR(__xludf.dummyfunction("IF(AND(NOT(K781 = """"), G781 &gt;= 15),K781/FILTER('Base Stats'!$C$2:$C1000, LOWER('Base Stats'!$B$2:$B1000) = LOWER($A781)), """")"),"#N/A")</f>
        <v>#N/A</v>
      </c>
      <c r="M781" s="0" t="str">
        <f aca="false">IFERROR(__xludf.dummyfunction("1.15 + 0.02 * FILTER('Base Stats'!$C$2:$C1000, LOWER('Base Stats'!$B$2:$B1000) = LOWER($A781))"),"1.15")</f>
        <v>1.15</v>
      </c>
      <c r="N781" s="0" t="e">
        <f aca="false">IFERROR(IF(AND(NOT(K781 = ""), G781 &gt;= 15),K781/M781, ""))</f>
        <v>#VALUE!</v>
      </c>
    </row>
    <row r="782" customFormat="false" ht="15.75" hidden="false" customHeight="false" outlineLevel="0" collapsed="false">
      <c r="A782" s="0" t="n">
        <f aca="false">'Form Responses (Pokemon Stats)'!B676</f>
        <v>0</v>
      </c>
      <c r="B782" s="0" t="n">
        <f aca="false">'Form Responses (Pokemon Stats)'!D676</f>
        <v>0</v>
      </c>
      <c r="C782" s="0" t="n">
        <f aca="false">'Form Responses (Pokemon Stats)'!C676</f>
        <v>0</v>
      </c>
      <c r="F782" s="0" t="n">
        <f aca="false">'Form Responses (Pokemon Stats)'!E676</f>
        <v>0</v>
      </c>
      <c r="G782" s="0" t="str">
        <f aca="false">IFERROR(__xludf.dummyfunction("ROUND(B782/ FILTER('Pokemon CP/HP'!$M$2:$M1000, LOWER('Pokemon CP/HP'!$B$2:$B1000)=LOWER(A782)))"),"#DIV/0!")</f>
        <v>#DIV/0!</v>
      </c>
      <c r="H782" s="0" t="str">
        <f aca="false">IFERROR(__xludf.dummyfunction("FILTER('Leveling Info'!$B$2:$B1000, 'Leveling Info'!$A$2:$A1000 =G782)"),"#N/A")</f>
        <v>#N/A</v>
      </c>
      <c r="I782" s="14" t="e">
        <f aca="false">SQRT(G782)</f>
        <v>#VALUE!</v>
      </c>
      <c r="J782" s="14" t="str">
        <f aca="false">IFERROR(__xludf.dummyfunction("IF(F782 = H782,C782/FILTER('Base Stats'!$C$2:$C1000, LOWER('Base Stats'!$B$2:$B1000) = LOWER($A782)), """")"),"#N/A")</f>
        <v>#N/A</v>
      </c>
      <c r="K782" s="0" t="str">
        <f aca="false">IF(F782 = H782, C782/G782, "")</f>
        <v/>
      </c>
      <c r="L782" s="0" t="str">
        <f aca="false">IFERROR(__xludf.dummyfunction("IF(AND(NOT(K782 = """"), G782 &gt;= 15),K782/FILTER('Base Stats'!$C$2:$C1000, LOWER('Base Stats'!$B$2:$B1000) = LOWER($A782)), """")"),"#N/A")</f>
        <v>#N/A</v>
      </c>
      <c r="M782" s="0" t="str">
        <f aca="false">IFERROR(__xludf.dummyfunction("1.15 + 0.02 * FILTER('Base Stats'!$C$2:$C1000, LOWER('Base Stats'!$B$2:$B1000) = LOWER($A782))"),"1.15")</f>
        <v>1.15</v>
      </c>
      <c r="N782" s="0" t="e">
        <f aca="false">IFERROR(IF(AND(NOT(K782 = ""), G782 &gt;= 15),K782/M782, ""))</f>
        <v>#VALUE!</v>
      </c>
    </row>
    <row r="783" customFormat="false" ht="15.75" hidden="false" customHeight="false" outlineLevel="0" collapsed="false">
      <c r="A783" s="0" t="n">
        <f aca="false">'Form Responses (Pokemon Stats)'!B677</f>
        <v>0</v>
      </c>
      <c r="B783" s="0" t="n">
        <f aca="false">'Form Responses (Pokemon Stats)'!D677</f>
        <v>0</v>
      </c>
      <c r="C783" s="0" t="n">
        <f aca="false">'Form Responses (Pokemon Stats)'!C677</f>
        <v>0</v>
      </c>
      <c r="F783" s="0" t="n">
        <f aca="false">'Form Responses (Pokemon Stats)'!E677</f>
        <v>0</v>
      </c>
      <c r="G783" s="0" t="str">
        <f aca="false">IFERROR(__xludf.dummyfunction("ROUND(B783/ FILTER('Pokemon CP/HP'!$M$2:$M1000, LOWER('Pokemon CP/HP'!$B$2:$B1000)=LOWER(A783)))"),"#DIV/0!")</f>
        <v>#DIV/0!</v>
      </c>
      <c r="H783" s="0" t="str">
        <f aca="false">IFERROR(__xludf.dummyfunction("FILTER('Leveling Info'!$B$2:$B1000, 'Leveling Info'!$A$2:$A1000 =G783)"),"#N/A")</f>
        <v>#N/A</v>
      </c>
      <c r="I783" s="14" t="e">
        <f aca="false">SQRT(G783)</f>
        <v>#VALUE!</v>
      </c>
      <c r="J783" s="14" t="str">
        <f aca="false">IFERROR(__xludf.dummyfunction("IF(F783 = H783,C783/FILTER('Base Stats'!$C$2:$C1000, LOWER('Base Stats'!$B$2:$B1000) = LOWER($A783)), """")"),"#N/A")</f>
        <v>#N/A</v>
      </c>
      <c r="K783" s="0" t="str">
        <f aca="false">IF(F783 = H783, C783/G783, "")</f>
        <v/>
      </c>
      <c r="L783" s="0" t="str">
        <f aca="false">IFERROR(__xludf.dummyfunction("IF(AND(NOT(K783 = """"), G783 &gt;= 15),K783/FILTER('Base Stats'!$C$2:$C1000, LOWER('Base Stats'!$B$2:$B1000) = LOWER($A783)), """")"),"#N/A")</f>
        <v>#N/A</v>
      </c>
      <c r="M783" s="0" t="str">
        <f aca="false">IFERROR(__xludf.dummyfunction("1.15 + 0.02 * FILTER('Base Stats'!$C$2:$C1000, LOWER('Base Stats'!$B$2:$B1000) = LOWER($A783))"),"1.15")</f>
        <v>1.15</v>
      </c>
      <c r="N783" s="0" t="e">
        <f aca="false">IFERROR(IF(AND(NOT(K783 = ""), G783 &gt;= 15),K783/M783, ""))</f>
        <v>#VALUE!</v>
      </c>
    </row>
    <row r="784" customFormat="false" ht="15.75" hidden="false" customHeight="false" outlineLevel="0" collapsed="false">
      <c r="A784" s="0" t="n">
        <f aca="false">'Form Responses (Pokemon Stats)'!B678</f>
        <v>0</v>
      </c>
      <c r="B784" s="0" t="n">
        <f aca="false">'Form Responses (Pokemon Stats)'!D678</f>
        <v>0</v>
      </c>
      <c r="C784" s="0" t="n">
        <f aca="false">'Form Responses (Pokemon Stats)'!C678</f>
        <v>0</v>
      </c>
      <c r="F784" s="0" t="n">
        <f aca="false">'Form Responses (Pokemon Stats)'!E678</f>
        <v>0</v>
      </c>
      <c r="G784" s="0" t="str">
        <f aca="false">IFERROR(__xludf.dummyfunction("ROUND(B784/ FILTER('Pokemon CP/HP'!$M$2:$M1000, LOWER('Pokemon CP/HP'!$B$2:$B1000)=LOWER(A784)))"),"#DIV/0!")</f>
        <v>#DIV/0!</v>
      </c>
      <c r="H784" s="0" t="str">
        <f aca="false">IFERROR(__xludf.dummyfunction("FILTER('Leveling Info'!$B$2:$B1000, 'Leveling Info'!$A$2:$A1000 =G784)"),"#N/A")</f>
        <v>#N/A</v>
      </c>
      <c r="I784" s="14" t="e">
        <f aca="false">SQRT(G784)</f>
        <v>#VALUE!</v>
      </c>
      <c r="J784" s="14" t="str">
        <f aca="false">IFERROR(__xludf.dummyfunction("IF(F784 = H784,C784/FILTER('Base Stats'!$C$2:$C1000, LOWER('Base Stats'!$B$2:$B1000) = LOWER($A784)), """")"),"#N/A")</f>
        <v>#N/A</v>
      </c>
      <c r="K784" s="0" t="str">
        <f aca="false">IF(F784 = H784, C784/G784, "")</f>
        <v/>
      </c>
      <c r="L784" s="0" t="str">
        <f aca="false">IFERROR(__xludf.dummyfunction("IF(AND(NOT(K784 = """"), G784 &gt;= 15),K784/FILTER('Base Stats'!$C$2:$C1000, LOWER('Base Stats'!$B$2:$B1000) = LOWER($A784)), """")"),"#N/A")</f>
        <v>#N/A</v>
      </c>
      <c r="M784" s="0" t="str">
        <f aca="false">IFERROR(__xludf.dummyfunction("1.15 + 0.02 * FILTER('Base Stats'!$C$2:$C1000, LOWER('Base Stats'!$B$2:$B1000) = LOWER($A784))"),"1.15")</f>
        <v>1.15</v>
      </c>
      <c r="N784" s="0" t="e">
        <f aca="false">IFERROR(IF(AND(NOT(K784 = ""), G784 &gt;= 15),K784/M784, ""))</f>
        <v>#VALUE!</v>
      </c>
    </row>
    <row r="785" customFormat="false" ht="15.75" hidden="false" customHeight="false" outlineLevel="0" collapsed="false">
      <c r="A785" s="0" t="n">
        <f aca="false">'Form Responses (Pokemon Stats)'!B679</f>
        <v>0</v>
      </c>
      <c r="B785" s="0" t="n">
        <f aca="false">'Form Responses (Pokemon Stats)'!D679</f>
        <v>0</v>
      </c>
      <c r="C785" s="0" t="n">
        <f aca="false">'Form Responses (Pokemon Stats)'!C679</f>
        <v>0</v>
      </c>
      <c r="F785" s="0" t="n">
        <f aca="false">'Form Responses (Pokemon Stats)'!E679</f>
        <v>0</v>
      </c>
      <c r="G785" s="0" t="str">
        <f aca="false">IFERROR(__xludf.dummyfunction("ROUND(B785/ FILTER('Pokemon CP/HP'!$M$2:$M1000, LOWER('Pokemon CP/HP'!$B$2:$B1000)=LOWER(A785)))"),"#DIV/0!")</f>
        <v>#DIV/0!</v>
      </c>
      <c r="H785" s="0" t="str">
        <f aca="false">IFERROR(__xludf.dummyfunction("FILTER('Leveling Info'!$B$2:$B1000, 'Leveling Info'!$A$2:$A1000 =G785)"),"#N/A")</f>
        <v>#N/A</v>
      </c>
      <c r="I785" s="14" t="e">
        <f aca="false">SQRT(G785)</f>
        <v>#VALUE!</v>
      </c>
      <c r="J785" s="14" t="str">
        <f aca="false">IFERROR(__xludf.dummyfunction("IF(F785 = H785,C785/FILTER('Base Stats'!$C$2:$C1000, LOWER('Base Stats'!$B$2:$B1000) = LOWER($A785)), """")"),"#N/A")</f>
        <v>#N/A</v>
      </c>
      <c r="K785" s="0" t="str">
        <f aca="false">IF(F785 = H785, C785/G785, "")</f>
        <v/>
      </c>
      <c r="L785" s="0" t="str">
        <f aca="false">IFERROR(__xludf.dummyfunction("IF(AND(NOT(K785 = """"), G785 &gt;= 15),K785/FILTER('Base Stats'!$C$2:$C1000, LOWER('Base Stats'!$B$2:$B1000) = LOWER($A785)), """")"),"#N/A")</f>
        <v>#N/A</v>
      </c>
      <c r="M785" s="0" t="str">
        <f aca="false">IFERROR(__xludf.dummyfunction("1.15 + 0.02 * FILTER('Base Stats'!$C$2:$C1000, LOWER('Base Stats'!$B$2:$B1000) = LOWER($A785))"),"1.15")</f>
        <v>1.15</v>
      </c>
      <c r="N785" s="0" t="e">
        <f aca="false">IFERROR(IF(AND(NOT(K785 = ""), G785 &gt;= 15),K785/M785, ""))</f>
        <v>#VALUE!</v>
      </c>
    </row>
    <row r="786" customFormat="false" ht="15.75" hidden="false" customHeight="false" outlineLevel="0" collapsed="false">
      <c r="A786" s="0" t="n">
        <f aca="false">'Form Responses (Pokemon Stats)'!B680</f>
        <v>0</v>
      </c>
      <c r="B786" s="0" t="n">
        <f aca="false">'Form Responses (Pokemon Stats)'!D680</f>
        <v>0</v>
      </c>
      <c r="C786" s="0" t="n">
        <f aca="false">'Form Responses (Pokemon Stats)'!C680</f>
        <v>0</v>
      </c>
      <c r="F786" s="0" t="n">
        <f aca="false">'Form Responses (Pokemon Stats)'!E680</f>
        <v>0</v>
      </c>
      <c r="G786" s="0" t="str">
        <f aca="false">IFERROR(__xludf.dummyfunction("ROUND(B786/ FILTER('Pokemon CP/HP'!$M$2:$M1000, LOWER('Pokemon CP/HP'!$B$2:$B1000)=LOWER(A786)))"),"#DIV/0!")</f>
        <v>#DIV/0!</v>
      </c>
      <c r="H786" s="0" t="str">
        <f aca="false">IFERROR(__xludf.dummyfunction("FILTER('Leveling Info'!$B$2:$B1000, 'Leveling Info'!$A$2:$A1000 =G786)"),"#N/A")</f>
        <v>#N/A</v>
      </c>
      <c r="I786" s="14" t="e">
        <f aca="false">SQRT(G786)</f>
        <v>#VALUE!</v>
      </c>
      <c r="J786" s="14" t="str">
        <f aca="false">IFERROR(__xludf.dummyfunction("IF(F786 = H786,C786/FILTER('Base Stats'!$C$2:$C1000, LOWER('Base Stats'!$B$2:$B1000) = LOWER($A786)), """")"),"#N/A")</f>
        <v>#N/A</v>
      </c>
      <c r="K786" s="0" t="str">
        <f aca="false">IF(F786 = H786, C786/G786, "")</f>
        <v/>
      </c>
      <c r="L786" s="0" t="str">
        <f aca="false">IFERROR(__xludf.dummyfunction("IF(AND(NOT(K786 = """"), G786 &gt;= 15),K786/FILTER('Base Stats'!$C$2:$C1000, LOWER('Base Stats'!$B$2:$B1000) = LOWER($A786)), """")"),"#N/A")</f>
        <v>#N/A</v>
      </c>
      <c r="M786" s="0" t="str">
        <f aca="false">IFERROR(__xludf.dummyfunction("1.15 + 0.02 * FILTER('Base Stats'!$C$2:$C1000, LOWER('Base Stats'!$B$2:$B1000) = LOWER($A786))"),"1.15")</f>
        <v>1.15</v>
      </c>
      <c r="N786" s="0" t="e">
        <f aca="false">IFERROR(IF(AND(NOT(K786 = ""), G786 &gt;= 15),K786/M786, ""))</f>
        <v>#VALUE!</v>
      </c>
    </row>
    <row r="787" customFormat="false" ht="15.75" hidden="false" customHeight="false" outlineLevel="0" collapsed="false">
      <c r="A787" s="0" t="n">
        <f aca="false">'Form Responses (Pokemon Stats)'!B681</f>
        <v>0</v>
      </c>
      <c r="B787" s="0" t="n">
        <f aca="false">'Form Responses (Pokemon Stats)'!D681</f>
        <v>0</v>
      </c>
      <c r="C787" s="0" t="n">
        <f aca="false">'Form Responses (Pokemon Stats)'!C681</f>
        <v>0</v>
      </c>
      <c r="F787" s="0" t="n">
        <f aca="false">'Form Responses (Pokemon Stats)'!E681</f>
        <v>0</v>
      </c>
      <c r="G787" s="0" t="str">
        <f aca="false">IFERROR(__xludf.dummyfunction("ROUND(B787/ FILTER('Pokemon CP/HP'!$M$2:$M1000, LOWER('Pokemon CP/HP'!$B$2:$B1000)=LOWER(A787)))"),"#DIV/0!")</f>
        <v>#DIV/0!</v>
      </c>
      <c r="H787" s="0" t="str">
        <f aca="false">IFERROR(__xludf.dummyfunction("FILTER('Leveling Info'!$B$2:$B1000, 'Leveling Info'!$A$2:$A1000 =G787)"),"#N/A")</f>
        <v>#N/A</v>
      </c>
      <c r="I787" s="14" t="e">
        <f aca="false">SQRT(G787)</f>
        <v>#VALUE!</v>
      </c>
      <c r="J787" s="14" t="str">
        <f aca="false">IFERROR(__xludf.dummyfunction("IF(F787 = H787,C787/FILTER('Base Stats'!$C$2:$C1000, LOWER('Base Stats'!$B$2:$B1000) = LOWER($A787)), """")"),"#N/A")</f>
        <v>#N/A</v>
      </c>
      <c r="K787" s="0" t="str">
        <f aca="false">IF(F787 = H787, C787/G787, "")</f>
        <v/>
      </c>
      <c r="L787" s="0" t="str">
        <f aca="false">IFERROR(__xludf.dummyfunction("IF(AND(NOT(K787 = """"), G787 &gt;= 15),K787/FILTER('Base Stats'!$C$2:$C1000, LOWER('Base Stats'!$B$2:$B1000) = LOWER($A787)), """")"),"#N/A")</f>
        <v>#N/A</v>
      </c>
      <c r="M787" s="0" t="str">
        <f aca="false">IFERROR(__xludf.dummyfunction("1.15 + 0.02 * FILTER('Base Stats'!$C$2:$C1000, LOWER('Base Stats'!$B$2:$B1000) = LOWER($A787))"),"1.15")</f>
        <v>1.15</v>
      </c>
      <c r="N787" s="0" t="e">
        <f aca="false">IFERROR(IF(AND(NOT(K787 = ""), G787 &gt;= 15),K787/M787, ""))</f>
        <v>#VALUE!</v>
      </c>
    </row>
    <row r="788" customFormat="false" ht="15.75" hidden="false" customHeight="false" outlineLevel="0" collapsed="false">
      <c r="A788" s="0" t="n">
        <f aca="false">'Form Responses (Pokemon Stats)'!B682</f>
        <v>0</v>
      </c>
      <c r="B788" s="0" t="n">
        <f aca="false">'Form Responses (Pokemon Stats)'!D682</f>
        <v>0</v>
      </c>
      <c r="C788" s="0" t="n">
        <f aca="false">'Form Responses (Pokemon Stats)'!C682</f>
        <v>0</v>
      </c>
      <c r="F788" s="0" t="n">
        <f aca="false">'Form Responses (Pokemon Stats)'!E682</f>
        <v>0</v>
      </c>
      <c r="G788" s="0" t="str">
        <f aca="false">IFERROR(__xludf.dummyfunction("ROUND(B788/ FILTER('Pokemon CP/HP'!$M$2:$M1000, LOWER('Pokemon CP/HP'!$B$2:$B1000)=LOWER(A788)))"),"#DIV/0!")</f>
        <v>#DIV/0!</v>
      </c>
      <c r="H788" s="0" t="str">
        <f aca="false">IFERROR(__xludf.dummyfunction("FILTER('Leveling Info'!$B$2:$B1000, 'Leveling Info'!$A$2:$A1000 =G788)"),"#N/A")</f>
        <v>#N/A</v>
      </c>
      <c r="I788" s="14" t="e">
        <f aca="false">SQRT(G788)</f>
        <v>#VALUE!</v>
      </c>
      <c r="J788" s="14" t="str">
        <f aca="false">IFERROR(__xludf.dummyfunction("IF(F788 = H788,C788/FILTER('Base Stats'!$C$2:$C1000, LOWER('Base Stats'!$B$2:$B1000) = LOWER($A788)), """")"),"#N/A")</f>
        <v>#N/A</v>
      </c>
      <c r="K788" s="0" t="str">
        <f aca="false">IF(F788 = H788, C788/G788, "")</f>
        <v/>
      </c>
      <c r="L788" s="0" t="str">
        <f aca="false">IFERROR(__xludf.dummyfunction("IF(AND(NOT(K788 = """"), G788 &gt;= 15),K788/FILTER('Base Stats'!$C$2:$C1000, LOWER('Base Stats'!$B$2:$B1000) = LOWER($A788)), """")"),"#N/A")</f>
        <v>#N/A</v>
      </c>
      <c r="M788" s="0" t="str">
        <f aca="false">IFERROR(__xludf.dummyfunction("1.15 + 0.02 * FILTER('Base Stats'!$C$2:$C1000, LOWER('Base Stats'!$B$2:$B1000) = LOWER($A788))"),"1.15")</f>
        <v>1.15</v>
      </c>
      <c r="N788" s="0" t="e">
        <f aca="false">IFERROR(IF(AND(NOT(K788 = ""), G788 &gt;= 15),K788/M788, ""))</f>
        <v>#VALUE!</v>
      </c>
    </row>
    <row r="789" customFormat="false" ht="15.75" hidden="false" customHeight="false" outlineLevel="0" collapsed="false">
      <c r="A789" s="0" t="n">
        <f aca="false">'Form Responses (Pokemon Stats)'!B683</f>
        <v>0</v>
      </c>
      <c r="B789" s="0" t="n">
        <f aca="false">'Form Responses (Pokemon Stats)'!D683</f>
        <v>0</v>
      </c>
      <c r="C789" s="0" t="n">
        <f aca="false">'Form Responses (Pokemon Stats)'!C683</f>
        <v>0</v>
      </c>
      <c r="F789" s="0" t="n">
        <f aca="false">'Form Responses (Pokemon Stats)'!E683</f>
        <v>0</v>
      </c>
      <c r="G789" s="0" t="str">
        <f aca="false">IFERROR(__xludf.dummyfunction("ROUND(B789/ FILTER('Pokemon CP/HP'!$M$2:$M1000, LOWER('Pokemon CP/HP'!$B$2:$B1000)=LOWER(A789)))"),"#DIV/0!")</f>
        <v>#DIV/0!</v>
      </c>
      <c r="H789" s="0" t="str">
        <f aca="false">IFERROR(__xludf.dummyfunction("FILTER('Leveling Info'!$B$2:$B1000, 'Leveling Info'!$A$2:$A1000 =G789)"),"#N/A")</f>
        <v>#N/A</v>
      </c>
      <c r="I789" s="14" t="e">
        <f aca="false">SQRT(G789)</f>
        <v>#VALUE!</v>
      </c>
      <c r="J789" s="14" t="str">
        <f aca="false">IFERROR(__xludf.dummyfunction("IF(F789 = H789,C789/FILTER('Base Stats'!$C$2:$C1000, LOWER('Base Stats'!$B$2:$B1000) = LOWER($A789)), """")"),"#N/A")</f>
        <v>#N/A</v>
      </c>
      <c r="K789" s="0" t="str">
        <f aca="false">IF(F789 = H789, C789/G789, "")</f>
        <v/>
      </c>
      <c r="L789" s="0" t="str">
        <f aca="false">IFERROR(__xludf.dummyfunction("IF(AND(NOT(K789 = """"), G789 &gt;= 15),K789/FILTER('Base Stats'!$C$2:$C1000, LOWER('Base Stats'!$B$2:$B1000) = LOWER($A789)), """")"),"#N/A")</f>
        <v>#N/A</v>
      </c>
      <c r="M789" s="0" t="str">
        <f aca="false">IFERROR(__xludf.dummyfunction("1.15 + 0.02 * FILTER('Base Stats'!$C$2:$C1000, LOWER('Base Stats'!$B$2:$B1000) = LOWER($A789))"),"1.15")</f>
        <v>1.15</v>
      </c>
      <c r="N789" s="0" t="e">
        <f aca="false">IFERROR(IF(AND(NOT(K789 = ""), G789 &gt;= 15),K789/M789, ""))</f>
        <v>#VALUE!</v>
      </c>
    </row>
    <row r="790" customFormat="false" ht="15.75" hidden="false" customHeight="false" outlineLevel="0" collapsed="false">
      <c r="A790" s="0" t="n">
        <f aca="false">'Form Responses (Pokemon Stats)'!B684</f>
        <v>0</v>
      </c>
      <c r="B790" s="0" t="n">
        <f aca="false">'Form Responses (Pokemon Stats)'!D684</f>
        <v>0</v>
      </c>
      <c r="C790" s="0" t="n">
        <f aca="false">'Form Responses (Pokemon Stats)'!C684</f>
        <v>0</v>
      </c>
      <c r="F790" s="0" t="n">
        <f aca="false">'Form Responses (Pokemon Stats)'!E684</f>
        <v>0</v>
      </c>
      <c r="G790" s="0" t="str">
        <f aca="false">IFERROR(__xludf.dummyfunction("ROUND(B790/ FILTER('Pokemon CP/HP'!$M$2:$M1000, LOWER('Pokemon CP/HP'!$B$2:$B1000)=LOWER(A790)))"),"#DIV/0!")</f>
        <v>#DIV/0!</v>
      </c>
      <c r="H790" s="0" t="str">
        <f aca="false">IFERROR(__xludf.dummyfunction("FILTER('Leveling Info'!$B$2:$B1000, 'Leveling Info'!$A$2:$A1000 =G790)"),"#N/A")</f>
        <v>#N/A</v>
      </c>
      <c r="I790" s="14" t="e">
        <f aca="false">SQRT(G790)</f>
        <v>#VALUE!</v>
      </c>
      <c r="J790" s="14" t="str">
        <f aca="false">IFERROR(__xludf.dummyfunction("IF(F790 = H790,C790/FILTER('Base Stats'!$C$2:$C1000, LOWER('Base Stats'!$B$2:$B1000) = LOWER($A790)), """")"),"#N/A")</f>
        <v>#N/A</v>
      </c>
      <c r="K790" s="0" t="str">
        <f aca="false">IF(F790 = H790, C790/G790, "")</f>
        <v/>
      </c>
      <c r="L790" s="0" t="str">
        <f aca="false">IFERROR(__xludf.dummyfunction("IF(AND(NOT(K790 = """"), G790 &gt;= 15),K790/FILTER('Base Stats'!$C$2:$C1000, LOWER('Base Stats'!$B$2:$B1000) = LOWER($A790)), """")"),"#N/A")</f>
        <v>#N/A</v>
      </c>
      <c r="M790" s="0" t="str">
        <f aca="false">IFERROR(__xludf.dummyfunction("1.15 + 0.02 * FILTER('Base Stats'!$C$2:$C1000, LOWER('Base Stats'!$B$2:$B1000) = LOWER($A790))"),"1.15")</f>
        <v>1.15</v>
      </c>
      <c r="N790" s="0" t="e">
        <f aca="false">IFERROR(IF(AND(NOT(K790 = ""), G790 &gt;= 15),K790/M790, ""))</f>
        <v>#VALUE!</v>
      </c>
    </row>
    <row r="791" customFormat="false" ht="15.75" hidden="false" customHeight="false" outlineLevel="0" collapsed="false">
      <c r="A791" s="0" t="n">
        <f aca="false">'Form Responses (Pokemon Stats)'!B685</f>
        <v>0</v>
      </c>
      <c r="B791" s="0" t="n">
        <f aca="false">'Form Responses (Pokemon Stats)'!D685</f>
        <v>0</v>
      </c>
      <c r="C791" s="0" t="n">
        <f aca="false">'Form Responses (Pokemon Stats)'!C685</f>
        <v>0</v>
      </c>
      <c r="F791" s="0" t="n">
        <f aca="false">'Form Responses (Pokemon Stats)'!E685</f>
        <v>0</v>
      </c>
      <c r="G791" s="0" t="str">
        <f aca="false">IFERROR(__xludf.dummyfunction("ROUND(B791/ FILTER('Pokemon CP/HP'!$M$2:$M1000, LOWER('Pokemon CP/HP'!$B$2:$B1000)=LOWER(A791)))"),"#DIV/0!")</f>
        <v>#DIV/0!</v>
      </c>
      <c r="H791" s="0" t="str">
        <f aca="false">IFERROR(__xludf.dummyfunction("FILTER('Leveling Info'!$B$2:$B1000, 'Leveling Info'!$A$2:$A1000 =G791)"),"#N/A")</f>
        <v>#N/A</v>
      </c>
      <c r="I791" s="14" t="e">
        <f aca="false">SQRT(G791)</f>
        <v>#VALUE!</v>
      </c>
      <c r="J791" s="14" t="str">
        <f aca="false">IFERROR(__xludf.dummyfunction("IF(F791 = H791,C791/FILTER('Base Stats'!$C$2:$C1000, LOWER('Base Stats'!$B$2:$B1000) = LOWER($A791)), """")"),"#N/A")</f>
        <v>#N/A</v>
      </c>
      <c r="K791" s="0" t="str">
        <f aca="false">IF(F791 = H791, C791/G791, "")</f>
        <v/>
      </c>
      <c r="L791" s="0" t="str">
        <f aca="false">IFERROR(__xludf.dummyfunction("IF(AND(NOT(K791 = """"), G791 &gt;= 15),K791/FILTER('Base Stats'!$C$2:$C1000, LOWER('Base Stats'!$B$2:$B1000) = LOWER($A791)), """")"),"#N/A")</f>
        <v>#N/A</v>
      </c>
      <c r="M791" s="0" t="str">
        <f aca="false">IFERROR(__xludf.dummyfunction("1.15 + 0.02 * FILTER('Base Stats'!$C$2:$C1000, LOWER('Base Stats'!$B$2:$B1000) = LOWER($A791))"),"1.15")</f>
        <v>1.15</v>
      </c>
      <c r="N791" s="0" t="e">
        <f aca="false">IFERROR(IF(AND(NOT(K791 = ""), G791 &gt;= 15),K791/M791, ""))</f>
        <v>#VALUE!</v>
      </c>
    </row>
    <row r="792" customFormat="false" ht="15.75" hidden="false" customHeight="false" outlineLevel="0" collapsed="false">
      <c r="A792" s="0" t="n">
        <f aca="false">'Form Responses (Pokemon Stats)'!B686</f>
        <v>0</v>
      </c>
      <c r="B792" s="0" t="n">
        <f aca="false">'Form Responses (Pokemon Stats)'!D686</f>
        <v>0</v>
      </c>
      <c r="C792" s="0" t="n">
        <f aca="false">'Form Responses (Pokemon Stats)'!C686</f>
        <v>0</v>
      </c>
      <c r="F792" s="0" t="n">
        <f aca="false">'Form Responses (Pokemon Stats)'!E686</f>
        <v>0</v>
      </c>
      <c r="G792" s="0" t="str">
        <f aca="false">IFERROR(__xludf.dummyfunction("ROUND(B792/ FILTER('Pokemon CP/HP'!$M$2:$M1000, LOWER('Pokemon CP/HP'!$B$2:$B1000)=LOWER(A792)))"),"#DIV/0!")</f>
        <v>#DIV/0!</v>
      </c>
      <c r="H792" s="0" t="str">
        <f aca="false">IFERROR(__xludf.dummyfunction("FILTER('Leveling Info'!$B$2:$B1000, 'Leveling Info'!$A$2:$A1000 =G792)"),"#N/A")</f>
        <v>#N/A</v>
      </c>
      <c r="I792" s="14" t="e">
        <f aca="false">SQRT(G792)</f>
        <v>#VALUE!</v>
      </c>
      <c r="J792" s="14" t="str">
        <f aca="false">IFERROR(__xludf.dummyfunction("IF(F792 = H792,C792/FILTER('Base Stats'!$C$2:$C1000, LOWER('Base Stats'!$B$2:$B1000) = LOWER($A792)), """")"),"#N/A")</f>
        <v>#N/A</v>
      </c>
      <c r="K792" s="0" t="str">
        <f aca="false">IF(F792 = H792, C792/G792, "")</f>
        <v/>
      </c>
      <c r="L792" s="0" t="str">
        <f aca="false">IFERROR(__xludf.dummyfunction("IF(AND(NOT(K792 = """"), G792 &gt;= 15),K792/FILTER('Base Stats'!$C$2:$C1000, LOWER('Base Stats'!$B$2:$B1000) = LOWER($A792)), """")"),"#N/A")</f>
        <v>#N/A</v>
      </c>
      <c r="M792" s="0" t="str">
        <f aca="false">IFERROR(__xludf.dummyfunction("1.15 + 0.02 * FILTER('Base Stats'!$C$2:$C1000, LOWER('Base Stats'!$B$2:$B1000) = LOWER($A792))"),"1.15")</f>
        <v>1.15</v>
      </c>
      <c r="N792" s="0" t="e">
        <f aca="false">IFERROR(IF(AND(NOT(K792 = ""), G792 &gt;= 15),K792/M792, ""))</f>
        <v>#VALUE!</v>
      </c>
    </row>
    <row r="793" customFormat="false" ht="15.75" hidden="false" customHeight="false" outlineLevel="0" collapsed="false">
      <c r="A793" s="0" t="n">
        <f aca="false">'Form Responses (Pokemon Stats)'!B687</f>
        <v>0</v>
      </c>
      <c r="B793" s="0" t="n">
        <f aca="false">'Form Responses (Pokemon Stats)'!D687</f>
        <v>0</v>
      </c>
      <c r="C793" s="0" t="n">
        <f aca="false">'Form Responses (Pokemon Stats)'!C687</f>
        <v>0</v>
      </c>
      <c r="F793" s="0" t="n">
        <f aca="false">'Form Responses (Pokemon Stats)'!E687</f>
        <v>0</v>
      </c>
      <c r="G793" s="0" t="str">
        <f aca="false">IFERROR(__xludf.dummyfunction("ROUND(B793/ FILTER('Pokemon CP/HP'!$M$2:$M1000, LOWER('Pokemon CP/HP'!$B$2:$B1000)=LOWER(A793)))"),"#DIV/0!")</f>
        <v>#DIV/0!</v>
      </c>
      <c r="H793" s="0" t="str">
        <f aca="false">IFERROR(__xludf.dummyfunction("FILTER('Leveling Info'!$B$2:$B1000, 'Leveling Info'!$A$2:$A1000 =G793)"),"#N/A")</f>
        <v>#N/A</v>
      </c>
      <c r="I793" s="14" t="e">
        <f aca="false">SQRT(G793)</f>
        <v>#VALUE!</v>
      </c>
      <c r="J793" s="14" t="str">
        <f aca="false">IFERROR(__xludf.dummyfunction("IF(F793 = H793,C793/FILTER('Base Stats'!$C$2:$C1000, LOWER('Base Stats'!$B$2:$B1000) = LOWER($A793)), """")"),"#N/A")</f>
        <v>#N/A</v>
      </c>
      <c r="K793" s="0" t="str">
        <f aca="false">IF(F793 = H793, C793/G793, "")</f>
        <v/>
      </c>
      <c r="L793" s="0" t="str">
        <f aca="false">IFERROR(__xludf.dummyfunction("IF(AND(NOT(K793 = """"), G793 &gt;= 15),K793/FILTER('Base Stats'!$C$2:$C1000, LOWER('Base Stats'!$B$2:$B1000) = LOWER($A793)), """")"),"#N/A")</f>
        <v>#N/A</v>
      </c>
      <c r="M793" s="0" t="str">
        <f aca="false">IFERROR(__xludf.dummyfunction("1.15 + 0.02 * FILTER('Base Stats'!$C$2:$C1000, LOWER('Base Stats'!$B$2:$B1000) = LOWER($A793))"),"1.15")</f>
        <v>1.15</v>
      </c>
      <c r="N793" s="0" t="e">
        <f aca="false">IFERROR(IF(AND(NOT(K793 = ""), G793 &gt;= 15),K793/M793, ""))</f>
        <v>#VALUE!</v>
      </c>
    </row>
    <row r="794" customFormat="false" ht="15.75" hidden="false" customHeight="false" outlineLevel="0" collapsed="false">
      <c r="A794" s="0" t="n">
        <f aca="false">'Form Responses (Pokemon Stats)'!B688</f>
        <v>0</v>
      </c>
      <c r="B794" s="0" t="n">
        <f aca="false">'Form Responses (Pokemon Stats)'!D688</f>
        <v>0</v>
      </c>
      <c r="C794" s="0" t="n">
        <f aca="false">'Form Responses (Pokemon Stats)'!C688</f>
        <v>0</v>
      </c>
      <c r="F794" s="0" t="n">
        <f aca="false">'Form Responses (Pokemon Stats)'!E688</f>
        <v>0</v>
      </c>
      <c r="G794" s="0" t="str">
        <f aca="false">IFERROR(__xludf.dummyfunction("ROUND(B794/ FILTER('Pokemon CP/HP'!$M$2:$M1000, LOWER('Pokemon CP/HP'!$B$2:$B1000)=LOWER(A794)))"),"#DIV/0!")</f>
        <v>#DIV/0!</v>
      </c>
      <c r="H794" s="0" t="str">
        <f aca="false">IFERROR(__xludf.dummyfunction("FILTER('Leveling Info'!$B$2:$B1000, 'Leveling Info'!$A$2:$A1000 =G794)"),"#N/A")</f>
        <v>#N/A</v>
      </c>
      <c r="I794" s="14" t="e">
        <f aca="false">SQRT(G794)</f>
        <v>#VALUE!</v>
      </c>
      <c r="J794" s="14" t="str">
        <f aca="false">IFERROR(__xludf.dummyfunction("IF(F794 = H794,C794/FILTER('Base Stats'!$C$2:$C1000, LOWER('Base Stats'!$B$2:$B1000) = LOWER($A794)), """")"),"#N/A")</f>
        <v>#N/A</v>
      </c>
      <c r="K794" s="0" t="str">
        <f aca="false">IF(F794 = H794, C794/G794, "")</f>
        <v/>
      </c>
      <c r="L794" s="0" t="str">
        <f aca="false">IFERROR(__xludf.dummyfunction("IF(AND(NOT(K794 = """"), G794 &gt;= 15),K794/FILTER('Base Stats'!$C$2:$C1000, LOWER('Base Stats'!$B$2:$B1000) = LOWER($A794)), """")"),"#N/A")</f>
        <v>#N/A</v>
      </c>
      <c r="M794" s="0" t="str">
        <f aca="false">IFERROR(__xludf.dummyfunction("1.15 + 0.02 * FILTER('Base Stats'!$C$2:$C1000, LOWER('Base Stats'!$B$2:$B1000) = LOWER($A794))"),"1.15")</f>
        <v>1.15</v>
      </c>
      <c r="N794" s="0" t="e">
        <f aca="false">IFERROR(IF(AND(NOT(K794 = ""), G794 &gt;= 15),K794/M794, ""))</f>
        <v>#VALUE!</v>
      </c>
    </row>
    <row r="795" customFormat="false" ht="15.75" hidden="false" customHeight="false" outlineLevel="0" collapsed="false">
      <c r="A795" s="0" t="n">
        <f aca="false">'Form Responses (Pokemon Stats)'!B689</f>
        <v>0</v>
      </c>
      <c r="B795" s="0" t="n">
        <f aca="false">'Form Responses (Pokemon Stats)'!D689</f>
        <v>0</v>
      </c>
      <c r="C795" s="0" t="n">
        <f aca="false">'Form Responses (Pokemon Stats)'!C689</f>
        <v>0</v>
      </c>
      <c r="F795" s="0" t="n">
        <f aca="false">'Form Responses (Pokemon Stats)'!E689</f>
        <v>0</v>
      </c>
      <c r="G795" s="0" t="str">
        <f aca="false">IFERROR(__xludf.dummyfunction("ROUND(B795/ FILTER('Pokemon CP/HP'!$M$2:$M1000, LOWER('Pokemon CP/HP'!$B$2:$B1000)=LOWER(A795)))"),"#DIV/0!")</f>
        <v>#DIV/0!</v>
      </c>
      <c r="H795" s="0" t="str">
        <f aca="false">IFERROR(__xludf.dummyfunction("FILTER('Leveling Info'!$B$2:$B1000, 'Leveling Info'!$A$2:$A1000 =G795)"),"#N/A")</f>
        <v>#N/A</v>
      </c>
      <c r="I795" s="14" t="e">
        <f aca="false">SQRT(G795)</f>
        <v>#VALUE!</v>
      </c>
      <c r="J795" s="14" t="str">
        <f aca="false">IFERROR(__xludf.dummyfunction("IF(F795 = H795,C795/FILTER('Base Stats'!$C$2:$C1000, LOWER('Base Stats'!$B$2:$B1000) = LOWER($A795)), """")"),"#N/A")</f>
        <v>#N/A</v>
      </c>
      <c r="K795" s="0" t="str">
        <f aca="false">IF(F795 = H795, C795/G795, "")</f>
        <v/>
      </c>
      <c r="L795" s="0" t="str">
        <f aca="false">IFERROR(__xludf.dummyfunction("IF(AND(NOT(K795 = """"), G795 &gt;= 15),K795/FILTER('Base Stats'!$C$2:$C1000, LOWER('Base Stats'!$B$2:$B1000) = LOWER($A795)), """")"),"#N/A")</f>
        <v>#N/A</v>
      </c>
      <c r="M795" s="0" t="str">
        <f aca="false">IFERROR(__xludf.dummyfunction("1.15 + 0.02 * FILTER('Base Stats'!$C$2:$C1000, LOWER('Base Stats'!$B$2:$B1000) = LOWER($A795))"),"1.15")</f>
        <v>1.15</v>
      </c>
      <c r="N795" s="0" t="e">
        <f aca="false">IFERROR(IF(AND(NOT(K795 = ""), G795 &gt;= 15),K795/M795, ""))</f>
        <v>#VALUE!</v>
      </c>
    </row>
    <row r="796" customFormat="false" ht="15.75" hidden="false" customHeight="false" outlineLevel="0" collapsed="false">
      <c r="A796" s="0" t="n">
        <f aca="false">'Form Responses (Pokemon Stats)'!B690</f>
        <v>0</v>
      </c>
      <c r="B796" s="0" t="n">
        <f aca="false">'Form Responses (Pokemon Stats)'!D690</f>
        <v>0</v>
      </c>
      <c r="C796" s="0" t="n">
        <f aca="false">'Form Responses (Pokemon Stats)'!C690</f>
        <v>0</v>
      </c>
      <c r="F796" s="0" t="n">
        <f aca="false">'Form Responses (Pokemon Stats)'!E690</f>
        <v>0</v>
      </c>
      <c r="G796" s="0" t="str">
        <f aca="false">IFERROR(__xludf.dummyfunction("ROUND(B796/ FILTER('Pokemon CP/HP'!$M$2:$M1000, LOWER('Pokemon CP/HP'!$B$2:$B1000)=LOWER(A796)))"),"#DIV/0!")</f>
        <v>#DIV/0!</v>
      </c>
      <c r="H796" s="0" t="str">
        <f aca="false">IFERROR(__xludf.dummyfunction("FILTER('Leveling Info'!$B$2:$B1000, 'Leveling Info'!$A$2:$A1000 =G796)"),"#N/A")</f>
        <v>#N/A</v>
      </c>
      <c r="I796" s="14" t="e">
        <f aca="false">SQRT(G796)</f>
        <v>#VALUE!</v>
      </c>
      <c r="J796" s="14" t="str">
        <f aca="false">IFERROR(__xludf.dummyfunction("IF(F796 = H796,C796/FILTER('Base Stats'!$C$2:$C1000, LOWER('Base Stats'!$B$2:$B1000) = LOWER($A796)), """")"),"#N/A")</f>
        <v>#N/A</v>
      </c>
      <c r="K796" s="0" t="str">
        <f aca="false">IF(F796 = H796, C796/G796, "")</f>
        <v/>
      </c>
      <c r="L796" s="0" t="str">
        <f aca="false">IFERROR(__xludf.dummyfunction("IF(AND(NOT(K796 = """"), G796 &gt;= 15),K796/FILTER('Base Stats'!$C$2:$C1000, LOWER('Base Stats'!$B$2:$B1000) = LOWER($A796)), """")"),"#N/A")</f>
        <v>#N/A</v>
      </c>
      <c r="M796" s="0" t="str">
        <f aca="false">IFERROR(__xludf.dummyfunction("1.15 + 0.02 * FILTER('Base Stats'!$C$2:$C1000, LOWER('Base Stats'!$B$2:$B1000) = LOWER($A796))"),"1.15")</f>
        <v>1.15</v>
      </c>
      <c r="N796" s="0" t="e">
        <f aca="false">IFERROR(IF(AND(NOT(K796 = ""), G796 &gt;= 15),K796/M796, ""))</f>
        <v>#VALUE!</v>
      </c>
    </row>
    <row r="797" customFormat="false" ht="15.75" hidden="false" customHeight="false" outlineLevel="0" collapsed="false">
      <c r="A797" s="0" t="n">
        <f aca="false">'Form Responses (Pokemon Stats)'!B691</f>
        <v>0</v>
      </c>
      <c r="B797" s="0" t="n">
        <f aca="false">'Form Responses (Pokemon Stats)'!D691</f>
        <v>0</v>
      </c>
      <c r="C797" s="0" t="n">
        <f aca="false">'Form Responses (Pokemon Stats)'!C691</f>
        <v>0</v>
      </c>
      <c r="F797" s="0" t="n">
        <f aca="false">'Form Responses (Pokemon Stats)'!E691</f>
        <v>0</v>
      </c>
      <c r="G797" s="0" t="str">
        <f aca="false">IFERROR(__xludf.dummyfunction("ROUND(B797/ FILTER('Pokemon CP/HP'!$M$2:$M1000, LOWER('Pokemon CP/HP'!$B$2:$B1000)=LOWER(A797)))"),"#DIV/0!")</f>
        <v>#DIV/0!</v>
      </c>
      <c r="H797" s="0" t="str">
        <f aca="false">IFERROR(__xludf.dummyfunction("FILTER('Leveling Info'!$B$2:$B1000, 'Leveling Info'!$A$2:$A1000 =G797)"),"#N/A")</f>
        <v>#N/A</v>
      </c>
      <c r="I797" s="14" t="e">
        <f aca="false">SQRT(G797)</f>
        <v>#VALUE!</v>
      </c>
      <c r="J797" s="14" t="str">
        <f aca="false">IFERROR(__xludf.dummyfunction("IF(F797 = H797,C797/FILTER('Base Stats'!$C$2:$C1000, LOWER('Base Stats'!$B$2:$B1000) = LOWER($A797)), """")"),"#N/A")</f>
        <v>#N/A</v>
      </c>
      <c r="K797" s="0" t="str">
        <f aca="false">IF(F797 = H797, C797/G797, "")</f>
        <v/>
      </c>
      <c r="L797" s="0" t="str">
        <f aca="false">IFERROR(__xludf.dummyfunction("IF(AND(NOT(K797 = """"), G797 &gt;= 15),K797/FILTER('Base Stats'!$C$2:$C1000, LOWER('Base Stats'!$B$2:$B1000) = LOWER($A797)), """")"),"#N/A")</f>
        <v>#N/A</v>
      </c>
      <c r="M797" s="0" t="str">
        <f aca="false">IFERROR(__xludf.dummyfunction("1.15 + 0.02 * FILTER('Base Stats'!$C$2:$C1000, LOWER('Base Stats'!$B$2:$B1000) = LOWER($A797))"),"1.15")</f>
        <v>1.15</v>
      </c>
      <c r="N797" s="0" t="e">
        <f aca="false">IFERROR(IF(AND(NOT(K797 = ""), G797 &gt;= 15),K797/M797, ""))</f>
        <v>#VALUE!</v>
      </c>
    </row>
    <row r="798" customFormat="false" ht="15.75" hidden="false" customHeight="false" outlineLevel="0" collapsed="false">
      <c r="A798" s="0" t="n">
        <f aca="false">'Form Responses (Pokemon Stats)'!B692</f>
        <v>0</v>
      </c>
      <c r="B798" s="0" t="n">
        <f aca="false">'Form Responses (Pokemon Stats)'!D692</f>
        <v>0</v>
      </c>
      <c r="C798" s="0" t="n">
        <f aca="false">'Form Responses (Pokemon Stats)'!C692</f>
        <v>0</v>
      </c>
      <c r="F798" s="0" t="n">
        <f aca="false">'Form Responses (Pokemon Stats)'!E692</f>
        <v>0</v>
      </c>
      <c r="G798" s="0" t="str">
        <f aca="false">IFERROR(__xludf.dummyfunction("ROUND(B798/ FILTER('Pokemon CP/HP'!$M$2:$M1000, LOWER('Pokemon CP/HP'!$B$2:$B1000)=LOWER(A798)))"),"#DIV/0!")</f>
        <v>#DIV/0!</v>
      </c>
      <c r="H798" s="0" t="str">
        <f aca="false">IFERROR(__xludf.dummyfunction("FILTER('Leveling Info'!$B$2:$B1000, 'Leveling Info'!$A$2:$A1000 =G798)"),"#N/A")</f>
        <v>#N/A</v>
      </c>
      <c r="I798" s="14" t="e">
        <f aca="false">SQRT(G798)</f>
        <v>#VALUE!</v>
      </c>
      <c r="J798" s="14" t="str">
        <f aca="false">IFERROR(__xludf.dummyfunction("IF(F798 = H798,C798/FILTER('Base Stats'!$C$2:$C1000, LOWER('Base Stats'!$B$2:$B1000) = LOWER($A798)), """")"),"#N/A")</f>
        <v>#N/A</v>
      </c>
      <c r="K798" s="0" t="str">
        <f aca="false">IF(F798 = H798, C798/G798, "")</f>
        <v/>
      </c>
      <c r="L798" s="0" t="str">
        <f aca="false">IFERROR(__xludf.dummyfunction("IF(AND(NOT(K798 = """"), G798 &gt;= 15),K798/FILTER('Base Stats'!$C$2:$C1000, LOWER('Base Stats'!$B$2:$B1000) = LOWER($A798)), """")"),"#N/A")</f>
        <v>#N/A</v>
      </c>
      <c r="M798" s="0" t="str">
        <f aca="false">IFERROR(__xludf.dummyfunction("1.15 + 0.02 * FILTER('Base Stats'!$C$2:$C1000, LOWER('Base Stats'!$B$2:$B1000) = LOWER($A798))"),"1.15")</f>
        <v>1.15</v>
      </c>
      <c r="N798" s="0" t="e">
        <f aca="false">IFERROR(IF(AND(NOT(K798 = ""), G798 &gt;= 15),K798/M798, ""))</f>
        <v>#VALUE!</v>
      </c>
    </row>
    <row r="799" customFormat="false" ht="15.75" hidden="false" customHeight="false" outlineLevel="0" collapsed="false">
      <c r="A799" s="0" t="n">
        <f aca="false">'Form Responses (Pokemon Stats)'!B693</f>
        <v>0</v>
      </c>
      <c r="B799" s="0" t="n">
        <f aca="false">'Form Responses (Pokemon Stats)'!D693</f>
        <v>0</v>
      </c>
      <c r="C799" s="0" t="n">
        <f aca="false">'Form Responses (Pokemon Stats)'!C693</f>
        <v>0</v>
      </c>
      <c r="F799" s="0" t="n">
        <f aca="false">'Form Responses (Pokemon Stats)'!E693</f>
        <v>0</v>
      </c>
      <c r="G799" s="0" t="str">
        <f aca="false">IFERROR(__xludf.dummyfunction("ROUND(B799/ FILTER('Pokemon CP/HP'!$M$2:$M1000, LOWER('Pokemon CP/HP'!$B$2:$B1000)=LOWER(A799)))"),"#DIV/0!")</f>
        <v>#DIV/0!</v>
      </c>
      <c r="H799" s="0" t="str">
        <f aca="false">IFERROR(__xludf.dummyfunction("FILTER('Leveling Info'!$B$2:$B1000, 'Leveling Info'!$A$2:$A1000 =G799)"),"#N/A")</f>
        <v>#N/A</v>
      </c>
      <c r="I799" s="14" t="e">
        <f aca="false">SQRT(G799)</f>
        <v>#VALUE!</v>
      </c>
      <c r="J799" s="14" t="str">
        <f aca="false">IFERROR(__xludf.dummyfunction("IF(F799 = H799,C799/FILTER('Base Stats'!$C$2:$C1000, LOWER('Base Stats'!$B$2:$B1000) = LOWER($A799)), """")"),"#N/A")</f>
        <v>#N/A</v>
      </c>
      <c r="K799" s="0" t="str">
        <f aca="false">IF(F799 = H799, C799/G799, "")</f>
        <v/>
      </c>
      <c r="L799" s="0" t="str">
        <f aca="false">IFERROR(__xludf.dummyfunction("IF(AND(NOT(K799 = """"), G799 &gt;= 15),K799/FILTER('Base Stats'!$C$2:$C1000, LOWER('Base Stats'!$B$2:$B1000) = LOWER($A799)), """")"),"#N/A")</f>
        <v>#N/A</v>
      </c>
      <c r="M799" s="0" t="str">
        <f aca="false">IFERROR(__xludf.dummyfunction("1.15 + 0.02 * FILTER('Base Stats'!$C$2:$C1000, LOWER('Base Stats'!$B$2:$B1000) = LOWER($A799))"),"1.15")</f>
        <v>1.15</v>
      </c>
      <c r="N799" s="0" t="e">
        <f aca="false">IFERROR(IF(AND(NOT(K799 = ""), G799 &gt;= 15),K799/M799, ""))</f>
        <v>#VALUE!</v>
      </c>
    </row>
    <row r="800" customFormat="false" ht="15.75" hidden="false" customHeight="false" outlineLevel="0" collapsed="false">
      <c r="A800" s="0" t="n">
        <f aca="false">'Form Responses (Pokemon Stats)'!B694</f>
        <v>0</v>
      </c>
      <c r="B800" s="0" t="n">
        <f aca="false">'Form Responses (Pokemon Stats)'!D694</f>
        <v>0</v>
      </c>
      <c r="C800" s="0" t="n">
        <f aca="false">'Form Responses (Pokemon Stats)'!C694</f>
        <v>0</v>
      </c>
      <c r="F800" s="0" t="n">
        <f aca="false">'Form Responses (Pokemon Stats)'!E694</f>
        <v>0</v>
      </c>
      <c r="G800" s="0" t="str">
        <f aca="false">IFERROR(__xludf.dummyfunction("ROUND(B800/ FILTER('Pokemon CP/HP'!$M$2:$M1000, LOWER('Pokemon CP/HP'!$B$2:$B1000)=LOWER(A800)))"),"#DIV/0!")</f>
        <v>#DIV/0!</v>
      </c>
      <c r="H800" s="0" t="str">
        <f aca="false">IFERROR(__xludf.dummyfunction("FILTER('Leveling Info'!$B$2:$B1000, 'Leveling Info'!$A$2:$A1000 =G800)"),"#N/A")</f>
        <v>#N/A</v>
      </c>
      <c r="I800" s="14" t="e">
        <f aca="false">SQRT(G800)</f>
        <v>#VALUE!</v>
      </c>
      <c r="J800" s="14" t="str">
        <f aca="false">IFERROR(__xludf.dummyfunction("IF(F800 = H800,C800/FILTER('Base Stats'!$C$2:$C1000, LOWER('Base Stats'!$B$2:$B1000) = LOWER($A800)), """")"),"#N/A")</f>
        <v>#N/A</v>
      </c>
      <c r="K800" s="0" t="str">
        <f aca="false">IF(F800 = H800, C800/G800, "")</f>
        <v/>
      </c>
      <c r="L800" s="0" t="str">
        <f aca="false">IFERROR(__xludf.dummyfunction("IF(AND(NOT(K800 = """"), G800 &gt;= 15),K800/FILTER('Base Stats'!$C$2:$C1000, LOWER('Base Stats'!$B$2:$B1000) = LOWER($A800)), """")"),"#N/A")</f>
        <v>#N/A</v>
      </c>
      <c r="M800" s="0" t="str">
        <f aca="false">IFERROR(__xludf.dummyfunction("1.15 + 0.02 * FILTER('Base Stats'!$C$2:$C1000, LOWER('Base Stats'!$B$2:$B1000) = LOWER($A800))"),"1.15")</f>
        <v>1.15</v>
      </c>
      <c r="N800" s="0" t="e">
        <f aca="false">IFERROR(IF(AND(NOT(K800 = ""), G800 &gt;= 15),K800/M800, ""))</f>
        <v>#VALUE!</v>
      </c>
    </row>
    <row r="801" customFormat="false" ht="15.75" hidden="false" customHeight="false" outlineLevel="0" collapsed="false">
      <c r="A801" s="0" t="n">
        <f aca="false">'Form Responses (Pokemon Stats)'!B695</f>
        <v>0</v>
      </c>
      <c r="B801" s="0" t="n">
        <f aca="false">'Form Responses (Pokemon Stats)'!D695</f>
        <v>0</v>
      </c>
      <c r="C801" s="0" t="n">
        <f aca="false">'Form Responses (Pokemon Stats)'!C695</f>
        <v>0</v>
      </c>
      <c r="F801" s="0" t="n">
        <f aca="false">'Form Responses (Pokemon Stats)'!E695</f>
        <v>0</v>
      </c>
      <c r="G801" s="0" t="str">
        <f aca="false">IFERROR(__xludf.dummyfunction("ROUND(B801/ FILTER('Pokemon CP/HP'!$M$2:$M1000, LOWER('Pokemon CP/HP'!$B$2:$B1000)=LOWER(A801)))"),"#DIV/0!")</f>
        <v>#DIV/0!</v>
      </c>
      <c r="H801" s="0" t="str">
        <f aca="false">IFERROR(__xludf.dummyfunction("FILTER('Leveling Info'!$B$2:$B1000, 'Leveling Info'!$A$2:$A1000 =G801)"),"#N/A")</f>
        <v>#N/A</v>
      </c>
      <c r="I801" s="14" t="e">
        <f aca="false">SQRT(G801)</f>
        <v>#VALUE!</v>
      </c>
      <c r="J801" s="14" t="str">
        <f aca="false">IFERROR(__xludf.dummyfunction("IF(F801 = H801,C801/FILTER('Base Stats'!$C$2:$C1000, LOWER('Base Stats'!$B$2:$B1000) = LOWER($A801)), """")"),"#N/A")</f>
        <v>#N/A</v>
      </c>
      <c r="K801" s="0" t="str">
        <f aca="false">IF(F801 = H801, C801/G801, "")</f>
        <v/>
      </c>
      <c r="L801" s="0" t="str">
        <f aca="false">IFERROR(__xludf.dummyfunction("IF(AND(NOT(K801 = """"), G801 &gt;= 15),K801/FILTER('Base Stats'!$C$2:$C1000, LOWER('Base Stats'!$B$2:$B1000) = LOWER($A801)), """")"),"#N/A")</f>
        <v>#N/A</v>
      </c>
      <c r="M801" s="0" t="str">
        <f aca="false">IFERROR(__xludf.dummyfunction("1.15 + 0.02 * FILTER('Base Stats'!$C$2:$C1000, LOWER('Base Stats'!$B$2:$B1000) = LOWER($A801))"),"1.15")</f>
        <v>1.15</v>
      </c>
      <c r="N801" s="0" t="e">
        <f aca="false">IFERROR(IF(AND(NOT(K801 = ""), G801 &gt;= 15),K801/M801, ""))</f>
        <v>#VALUE!</v>
      </c>
    </row>
    <row r="802" customFormat="false" ht="15.75" hidden="false" customHeight="false" outlineLevel="0" collapsed="false">
      <c r="A802" s="0" t="n">
        <f aca="false">'Form Responses (Pokemon Stats)'!B696</f>
        <v>0</v>
      </c>
      <c r="B802" s="0" t="n">
        <f aca="false">'Form Responses (Pokemon Stats)'!D696</f>
        <v>0</v>
      </c>
      <c r="C802" s="0" t="n">
        <f aca="false">'Form Responses (Pokemon Stats)'!C696</f>
        <v>0</v>
      </c>
      <c r="F802" s="0" t="n">
        <f aca="false">'Form Responses (Pokemon Stats)'!E696</f>
        <v>0</v>
      </c>
      <c r="G802" s="0" t="str">
        <f aca="false">IFERROR(__xludf.dummyfunction("ROUND(B802/ FILTER('Pokemon CP/HP'!$M$2:$M1000, LOWER('Pokemon CP/HP'!$B$2:$B1000)=LOWER(A802)))"),"#DIV/0!")</f>
        <v>#DIV/0!</v>
      </c>
      <c r="H802" s="0" t="str">
        <f aca="false">IFERROR(__xludf.dummyfunction("FILTER('Leveling Info'!$B$2:$B1000, 'Leveling Info'!$A$2:$A1000 =G802)"),"#N/A")</f>
        <v>#N/A</v>
      </c>
      <c r="I802" s="14" t="e">
        <f aca="false">SQRT(G802)</f>
        <v>#VALUE!</v>
      </c>
      <c r="J802" s="14" t="str">
        <f aca="false">IFERROR(__xludf.dummyfunction("IF(F802 = H802,C802/FILTER('Base Stats'!$C$2:$C1000, LOWER('Base Stats'!$B$2:$B1000) = LOWER($A802)), """")"),"#N/A")</f>
        <v>#N/A</v>
      </c>
      <c r="K802" s="0" t="str">
        <f aca="false">IF(F802 = H802, C802/G802, "")</f>
        <v/>
      </c>
      <c r="L802" s="0" t="str">
        <f aca="false">IFERROR(__xludf.dummyfunction("IF(AND(NOT(K802 = """"), G802 &gt;= 15),K802/FILTER('Base Stats'!$C$2:$C1000, LOWER('Base Stats'!$B$2:$B1000) = LOWER($A802)), """")"),"#N/A")</f>
        <v>#N/A</v>
      </c>
      <c r="M802" s="0" t="str">
        <f aca="false">IFERROR(__xludf.dummyfunction("1.15 + 0.02 * FILTER('Base Stats'!$C$2:$C1000, LOWER('Base Stats'!$B$2:$B1000) = LOWER($A802))"),"1.15")</f>
        <v>1.15</v>
      </c>
      <c r="N802" s="0" t="e">
        <f aca="false">IFERROR(IF(AND(NOT(K802 = ""), G802 &gt;= 15),K802/M802, ""))</f>
        <v>#VALUE!</v>
      </c>
    </row>
    <row r="803" customFormat="false" ht="15.75" hidden="false" customHeight="false" outlineLevel="0" collapsed="false">
      <c r="A803" s="0" t="n">
        <f aca="false">'Form Responses (Pokemon Stats)'!B697</f>
        <v>0</v>
      </c>
      <c r="B803" s="0" t="n">
        <f aca="false">'Form Responses (Pokemon Stats)'!D697</f>
        <v>0</v>
      </c>
      <c r="C803" s="0" t="n">
        <f aca="false">'Form Responses (Pokemon Stats)'!C697</f>
        <v>0</v>
      </c>
      <c r="F803" s="0" t="n">
        <f aca="false">'Form Responses (Pokemon Stats)'!E697</f>
        <v>0</v>
      </c>
      <c r="G803" s="0" t="str">
        <f aca="false">IFERROR(__xludf.dummyfunction("ROUND(B803/ FILTER('Pokemon CP/HP'!$M$2:$M1000, LOWER('Pokemon CP/HP'!$B$2:$B1000)=LOWER(A803)))"),"#DIV/0!")</f>
        <v>#DIV/0!</v>
      </c>
      <c r="H803" s="0" t="str">
        <f aca="false">IFERROR(__xludf.dummyfunction("FILTER('Leveling Info'!$B$2:$B1000, 'Leveling Info'!$A$2:$A1000 =G803)"),"#N/A")</f>
        <v>#N/A</v>
      </c>
      <c r="I803" s="14" t="e">
        <f aca="false">SQRT(G803)</f>
        <v>#VALUE!</v>
      </c>
      <c r="J803" s="14" t="str">
        <f aca="false">IFERROR(__xludf.dummyfunction("IF(F803 = H803,C803/FILTER('Base Stats'!$C$2:$C1000, LOWER('Base Stats'!$B$2:$B1000) = LOWER($A803)), """")"),"#N/A")</f>
        <v>#N/A</v>
      </c>
      <c r="K803" s="0" t="str">
        <f aca="false">IF(F803 = H803, C803/G803, "")</f>
        <v/>
      </c>
      <c r="L803" s="0" t="str">
        <f aca="false">IFERROR(__xludf.dummyfunction("IF(AND(NOT(K803 = """"), G803 &gt;= 15),K803/FILTER('Base Stats'!$C$2:$C1000, LOWER('Base Stats'!$B$2:$B1000) = LOWER($A803)), """")"),"#N/A")</f>
        <v>#N/A</v>
      </c>
      <c r="M803" s="0" t="str">
        <f aca="false">IFERROR(__xludf.dummyfunction("1.15 + 0.02 * FILTER('Base Stats'!$C$2:$C1000, LOWER('Base Stats'!$B$2:$B1000) = LOWER($A803))"),"1.15")</f>
        <v>1.15</v>
      </c>
      <c r="N803" s="0" t="e">
        <f aca="false">IFERROR(IF(AND(NOT(K803 = ""), G803 &gt;= 15),K803/M803, ""))</f>
        <v>#VALUE!</v>
      </c>
    </row>
    <row r="804" customFormat="false" ht="15.75" hidden="false" customHeight="false" outlineLevel="0" collapsed="false">
      <c r="A804" s="0" t="n">
        <f aca="false">'Form Responses (Pokemon Stats)'!B698</f>
        <v>0</v>
      </c>
      <c r="B804" s="0" t="n">
        <f aca="false">'Form Responses (Pokemon Stats)'!D698</f>
        <v>0</v>
      </c>
      <c r="C804" s="0" t="n">
        <f aca="false">'Form Responses (Pokemon Stats)'!C698</f>
        <v>0</v>
      </c>
      <c r="F804" s="0" t="n">
        <f aca="false">'Form Responses (Pokemon Stats)'!E698</f>
        <v>0</v>
      </c>
      <c r="G804" s="0" t="str">
        <f aca="false">IFERROR(__xludf.dummyfunction("ROUND(B804/ FILTER('Pokemon CP/HP'!$M$2:$M1000, LOWER('Pokemon CP/HP'!$B$2:$B1000)=LOWER(A804)))"),"#DIV/0!")</f>
        <v>#DIV/0!</v>
      </c>
      <c r="H804" s="0" t="str">
        <f aca="false">IFERROR(__xludf.dummyfunction("FILTER('Leveling Info'!$B$2:$B1000, 'Leveling Info'!$A$2:$A1000 =G804)"),"#N/A")</f>
        <v>#N/A</v>
      </c>
      <c r="I804" s="14" t="e">
        <f aca="false">SQRT(G804)</f>
        <v>#VALUE!</v>
      </c>
      <c r="J804" s="14" t="str">
        <f aca="false">IFERROR(__xludf.dummyfunction("IF(F804 = H804,C804/FILTER('Base Stats'!$C$2:$C1000, LOWER('Base Stats'!$B$2:$B1000) = LOWER($A804)), """")"),"#N/A")</f>
        <v>#N/A</v>
      </c>
      <c r="K804" s="0" t="str">
        <f aca="false">IF(F804 = H804, C804/G804, "")</f>
        <v/>
      </c>
      <c r="L804" s="0" t="str">
        <f aca="false">IFERROR(__xludf.dummyfunction("IF(AND(NOT(K804 = """"), G804 &gt;= 15),K804/FILTER('Base Stats'!$C$2:$C1000, LOWER('Base Stats'!$B$2:$B1000) = LOWER($A804)), """")"),"#N/A")</f>
        <v>#N/A</v>
      </c>
      <c r="M804" s="0" t="str">
        <f aca="false">IFERROR(__xludf.dummyfunction("1.15 + 0.02 * FILTER('Base Stats'!$C$2:$C1000, LOWER('Base Stats'!$B$2:$B1000) = LOWER($A804))"),"1.15")</f>
        <v>1.15</v>
      </c>
      <c r="N804" s="0" t="e">
        <f aca="false">IFERROR(IF(AND(NOT(K804 = ""), G804 &gt;= 15),K804/M804, ""))</f>
        <v>#VALUE!</v>
      </c>
    </row>
    <row r="805" customFormat="false" ht="15.75" hidden="false" customHeight="false" outlineLevel="0" collapsed="false">
      <c r="A805" s="0" t="n">
        <f aca="false">'Form Responses (Pokemon Stats)'!B699</f>
        <v>0</v>
      </c>
      <c r="B805" s="0" t="n">
        <f aca="false">'Form Responses (Pokemon Stats)'!D699</f>
        <v>0</v>
      </c>
      <c r="C805" s="0" t="n">
        <f aca="false">'Form Responses (Pokemon Stats)'!C699</f>
        <v>0</v>
      </c>
      <c r="F805" s="0" t="n">
        <f aca="false">'Form Responses (Pokemon Stats)'!E699</f>
        <v>0</v>
      </c>
      <c r="G805" s="0" t="str">
        <f aca="false">IFERROR(__xludf.dummyfunction("ROUND(B805/ FILTER('Pokemon CP/HP'!$M$2:$M1000, LOWER('Pokemon CP/HP'!$B$2:$B1000)=LOWER(A805)))"),"#DIV/0!")</f>
        <v>#DIV/0!</v>
      </c>
      <c r="H805" s="0" t="str">
        <f aca="false">IFERROR(__xludf.dummyfunction("FILTER('Leveling Info'!$B$2:$B1000, 'Leveling Info'!$A$2:$A1000 =G805)"),"#N/A")</f>
        <v>#N/A</v>
      </c>
      <c r="I805" s="14" t="e">
        <f aca="false">SQRT(G805)</f>
        <v>#VALUE!</v>
      </c>
      <c r="J805" s="14" t="str">
        <f aca="false">IFERROR(__xludf.dummyfunction("IF(F805 = H805,C805/FILTER('Base Stats'!$C$2:$C1000, LOWER('Base Stats'!$B$2:$B1000) = LOWER($A805)), """")"),"#N/A")</f>
        <v>#N/A</v>
      </c>
      <c r="K805" s="0" t="str">
        <f aca="false">IF(F805 = H805, C805/G805, "")</f>
        <v/>
      </c>
      <c r="L805" s="0" t="str">
        <f aca="false">IFERROR(__xludf.dummyfunction("IF(AND(NOT(K805 = """"), G805 &gt;= 15),K805/FILTER('Base Stats'!$C$2:$C1000, LOWER('Base Stats'!$B$2:$B1000) = LOWER($A805)), """")"),"#N/A")</f>
        <v>#N/A</v>
      </c>
      <c r="M805" s="0" t="str">
        <f aca="false">IFERROR(__xludf.dummyfunction("1.15 + 0.02 * FILTER('Base Stats'!$C$2:$C1000, LOWER('Base Stats'!$B$2:$B1000) = LOWER($A805))"),"1.15")</f>
        <v>1.15</v>
      </c>
      <c r="N805" s="0" t="e">
        <f aca="false">IFERROR(IF(AND(NOT(K805 = ""), G805 &gt;= 15),K805/M805, ""))</f>
        <v>#VALUE!</v>
      </c>
    </row>
    <row r="806" customFormat="false" ht="15.75" hidden="false" customHeight="false" outlineLevel="0" collapsed="false">
      <c r="A806" s="0" t="n">
        <f aca="false">'Form Responses (Pokemon Stats)'!B700</f>
        <v>0</v>
      </c>
      <c r="B806" s="0" t="n">
        <f aca="false">'Form Responses (Pokemon Stats)'!D700</f>
        <v>0</v>
      </c>
      <c r="C806" s="0" t="n">
        <f aca="false">'Form Responses (Pokemon Stats)'!C700</f>
        <v>0</v>
      </c>
      <c r="F806" s="0" t="n">
        <f aca="false">'Form Responses (Pokemon Stats)'!E700</f>
        <v>0</v>
      </c>
      <c r="G806" s="0" t="str">
        <f aca="false">IFERROR(__xludf.dummyfunction("ROUND(B806/ FILTER('Pokemon CP/HP'!$M$2:$M1000, LOWER('Pokemon CP/HP'!$B$2:$B1000)=LOWER(A806)))"),"#DIV/0!")</f>
        <v>#DIV/0!</v>
      </c>
      <c r="H806" s="0" t="str">
        <f aca="false">IFERROR(__xludf.dummyfunction("FILTER('Leveling Info'!$B$2:$B1000, 'Leveling Info'!$A$2:$A1000 =G806)"),"#N/A")</f>
        <v>#N/A</v>
      </c>
      <c r="I806" s="14" t="e">
        <f aca="false">SQRT(G806)</f>
        <v>#VALUE!</v>
      </c>
      <c r="J806" s="14" t="str">
        <f aca="false">IFERROR(__xludf.dummyfunction("IF(F806 = H806,C806/FILTER('Base Stats'!$C$2:$C1000, LOWER('Base Stats'!$B$2:$B1000) = LOWER($A806)), """")"),"#N/A")</f>
        <v>#N/A</v>
      </c>
      <c r="K806" s="0" t="str">
        <f aca="false">IF(F806 = H806, C806/G806, "")</f>
        <v/>
      </c>
      <c r="L806" s="0" t="str">
        <f aca="false">IFERROR(__xludf.dummyfunction("IF(AND(NOT(K806 = """"), G806 &gt;= 15),K806/FILTER('Base Stats'!$C$2:$C1000, LOWER('Base Stats'!$B$2:$B1000) = LOWER($A806)), """")"),"#N/A")</f>
        <v>#N/A</v>
      </c>
      <c r="M806" s="0" t="str">
        <f aca="false">IFERROR(__xludf.dummyfunction("1.15 + 0.02 * FILTER('Base Stats'!$C$2:$C1000, LOWER('Base Stats'!$B$2:$B1000) = LOWER($A806))"),"1.15")</f>
        <v>1.15</v>
      </c>
      <c r="N806" s="0" t="e">
        <f aca="false">IFERROR(IF(AND(NOT(K806 = ""), G806 &gt;= 15),K806/M806, ""))</f>
        <v>#VALUE!</v>
      </c>
    </row>
    <row r="807" customFormat="false" ht="15.75" hidden="false" customHeight="false" outlineLevel="0" collapsed="false">
      <c r="A807" s="0" t="n">
        <f aca="false">'Form Responses (Pokemon Stats)'!B701</f>
        <v>0</v>
      </c>
      <c r="B807" s="0" t="n">
        <f aca="false">'Form Responses (Pokemon Stats)'!D701</f>
        <v>0</v>
      </c>
      <c r="C807" s="0" t="n">
        <f aca="false">'Form Responses (Pokemon Stats)'!C701</f>
        <v>0</v>
      </c>
      <c r="F807" s="0" t="n">
        <f aca="false">'Form Responses (Pokemon Stats)'!E701</f>
        <v>0</v>
      </c>
      <c r="G807" s="0" t="str">
        <f aca="false">IFERROR(__xludf.dummyfunction("ROUND(B807/ FILTER('Pokemon CP/HP'!$M$2:$M1000, LOWER('Pokemon CP/HP'!$B$2:$B1000)=LOWER(A807)))"),"#DIV/0!")</f>
        <v>#DIV/0!</v>
      </c>
      <c r="H807" s="0" t="str">
        <f aca="false">IFERROR(__xludf.dummyfunction("FILTER('Leveling Info'!$B$2:$B1000, 'Leveling Info'!$A$2:$A1000 =G807)"),"#N/A")</f>
        <v>#N/A</v>
      </c>
      <c r="I807" s="14" t="e">
        <f aca="false">SQRT(G807)</f>
        <v>#VALUE!</v>
      </c>
      <c r="J807" s="14" t="str">
        <f aca="false">IFERROR(__xludf.dummyfunction("IF(F807 = H807,C807/FILTER('Base Stats'!$C$2:$C1000, LOWER('Base Stats'!$B$2:$B1000) = LOWER($A807)), """")"),"#N/A")</f>
        <v>#N/A</v>
      </c>
      <c r="K807" s="0" t="str">
        <f aca="false">IF(F807 = H807, C807/G807, "")</f>
        <v/>
      </c>
      <c r="L807" s="0" t="str">
        <f aca="false">IFERROR(__xludf.dummyfunction("IF(AND(NOT(K807 = """"), G807 &gt;= 15),K807/FILTER('Base Stats'!$C$2:$C1000, LOWER('Base Stats'!$B$2:$B1000) = LOWER($A807)), """")"),"#N/A")</f>
        <v>#N/A</v>
      </c>
      <c r="M807" s="0" t="str">
        <f aca="false">IFERROR(__xludf.dummyfunction("1.15 + 0.02 * FILTER('Base Stats'!$C$2:$C1000, LOWER('Base Stats'!$B$2:$B1000) = LOWER($A807))"),"1.15")</f>
        <v>1.15</v>
      </c>
      <c r="N807" s="0" t="e">
        <f aca="false">IFERROR(IF(AND(NOT(K807 = ""), G807 &gt;= 15),K807/M807, ""))</f>
        <v>#VALUE!</v>
      </c>
    </row>
    <row r="808" customFormat="false" ht="15.75" hidden="false" customHeight="false" outlineLevel="0" collapsed="false">
      <c r="A808" s="0" t="n">
        <f aca="false">'Form Responses (Pokemon Stats)'!B702</f>
        <v>0</v>
      </c>
      <c r="B808" s="0" t="n">
        <f aca="false">'Form Responses (Pokemon Stats)'!D702</f>
        <v>0</v>
      </c>
      <c r="C808" s="0" t="n">
        <f aca="false">'Form Responses (Pokemon Stats)'!C702</f>
        <v>0</v>
      </c>
      <c r="F808" s="0" t="n">
        <f aca="false">'Form Responses (Pokemon Stats)'!E702</f>
        <v>0</v>
      </c>
      <c r="G808" s="0" t="str">
        <f aca="false">IFERROR(__xludf.dummyfunction("ROUND(B808/ FILTER('Pokemon CP/HP'!$M$2:$M1000, LOWER('Pokemon CP/HP'!$B$2:$B1000)=LOWER(A808)))"),"#DIV/0!")</f>
        <v>#DIV/0!</v>
      </c>
      <c r="H808" s="0" t="str">
        <f aca="false">IFERROR(__xludf.dummyfunction("FILTER('Leveling Info'!$B$2:$B1000, 'Leveling Info'!$A$2:$A1000 =G808)"),"#N/A")</f>
        <v>#N/A</v>
      </c>
      <c r="I808" s="14" t="e">
        <f aca="false">SQRT(G808)</f>
        <v>#VALUE!</v>
      </c>
      <c r="J808" s="14" t="str">
        <f aca="false">IFERROR(__xludf.dummyfunction("IF(F808 = H808,C808/FILTER('Base Stats'!$C$2:$C1000, LOWER('Base Stats'!$B$2:$B1000) = LOWER($A808)), """")"),"#N/A")</f>
        <v>#N/A</v>
      </c>
      <c r="K808" s="0" t="str">
        <f aca="false">IF(F808 = H808, C808/G808, "")</f>
        <v/>
      </c>
      <c r="L808" s="0" t="str">
        <f aca="false">IFERROR(__xludf.dummyfunction("IF(AND(NOT(K808 = """"), G808 &gt;= 15),K808/FILTER('Base Stats'!$C$2:$C1000, LOWER('Base Stats'!$B$2:$B1000) = LOWER($A808)), """")"),"#N/A")</f>
        <v>#N/A</v>
      </c>
      <c r="M808" s="0" t="str">
        <f aca="false">IFERROR(__xludf.dummyfunction("1.15 + 0.02 * FILTER('Base Stats'!$C$2:$C1000, LOWER('Base Stats'!$B$2:$B1000) = LOWER($A808))"),"1.15")</f>
        <v>1.15</v>
      </c>
      <c r="N808" s="0" t="e">
        <f aca="false">IFERROR(IF(AND(NOT(K808 = ""), G808 &gt;= 15),K808/M808, ""))</f>
        <v>#VALUE!</v>
      </c>
    </row>
    <row r="809" customFormat="false" ht="15.75" hidden="false" customHeight="false" outlineLevel="0" collapsed="false">
      <c r="A809" s="0" t="n">
        <f aca="false">'Form Responses (Pokemon Stats)'!B703</f>
        <v>0</v>
      </c>
      <c r="B809" s="0" t="n">
        <f aca="false">'Form Responses (Pokemon Stats)'!D703</f>
        <v>0</v>
      </c>
      <c r="C809" s="0" t="n">
        <f aca="false">'Form Responses (Pokemon Stats)'!C703</f>
        <v>0</v>
      </c>
      <c r="F809" s="0" t="n">
        <f aca="false">'Form Responses (Pokemon Stats)'!E703</f>
        <v>0</v>
      </c>
      <c r="G809" s="0" t="str">
        <f aca="false">IFERROR(__xludf.dummyfunction("ROUND(B809/ FILTER('Pokemon CP/HP'!$M$2:$M1000, LOWER('Pokemon CP/HP'!$B$2:$B1000)=LOWER(A809)))"),"#DIV/0!")</f>
        <v>#DIV/0!</v>
      </c>
      <c r="H809" s="0" t="str">
        <f aca="false">IFERROR(__xludf.dummyfunction("FILTER('Leveling Info'!$B$2:$B1000, 'Leveling Info'!$A$2:$A1000 =G809)"),"#N/A")</f>
        <v>#N/A</v>
      </c>
      <c r="I809" s="14" t="e">
        <f aca="false">SQRT(G809)</f>
        <v>#VALUE!</v>
      </c>
      <c r="J809" s="14" t="str">
        <f aca="false">IFERROR(__xludf.dummyfunction("IF(F809 = H809,C809/FILTER('Base Stats'!$C$2:$C1000, LOWER('Base Stats'!$B$2:$B1000) = LOWER($A809)), """")"),"#N/A")</f>
        <v>#N/A</v>
      </c>
      <c r="K809" s="0" t="str">
        <f aca="false">IF(F809 = H809, C809/G809, "")</f>
        <v/>
      </c>
      <c r="L809" s="0" t="str">
        <f aca="false">IFERROR(__xludf.dummyfunction("IF(AND(NOT(K809 = """"), G809 &gt;= 15),K809/FILTER('Base Stats'!$C$2:$C1000, LOWER('Base Stats'!$B$2:$B1000) = LOWER($A809)), """")"),"#N/A")</f>
        <v>#N/A</v>
      </c>
      <c r="M809" s="0" t="str">
        <f aca="false">IFERROR(__xludf.dummyfunction("1.15 + 0.02 * FILTER('Base Stats'!$C$2:$C1000, LOWER('Base Stats'!$B$2:$B1000) = LOWER($A809))"),"1.15")</f>
        <v>1.15</v>
      </c>
      <c r="N809" s="0" t="e">
        <f aca="false">IFERROR(IF(AND(NOT(K809 = ""), G809 &gt;= 15),K809/M809, ""))</f>
        <v>#VALUE!</v>
      </c>
    </row>
    <row r="810" customFormat="false" ht="15.75" hidden="false" customHeight="false" outlineLevel="0" collapsed="false">
      <c r="A810" s="0" t="n">
        <f aca="false">'Form Responses (Pokemon Stats)'!B704</f>
        <v>0</v>
      </c>
      <c r="B810" s="0" t="n">
        <f aca="false">'Form Responses (Pokemon Stats)'!D704</f>
        <v>0</v>
      </c>
      <c r="C810" s="0" t="n">
        <f aca="false">'Form Responses (Pokemon Stats)'!C704</f>
        <v>0</v>
      </c>
      <c r="F810" s="0" t="n">
        <f aca="false">'Form Responses (Pokemon Stats)'!E704</f>
        <v>0</v>
      </c>
      <c r="G810" s="0" t="str">
        <f aca="false">IFERROR(__xludf.dummyfunction("ROUND(B810/ FILTER('Pokemon CP/HP'!$M$2:$M1000, LOWER('Pokemon CP/HP'!$B$2:$B1000)=LOWER(A810)))"),"#DIV/0!")</f>
        <v>#DIV/0!</v>
      </c>
      <c r="H810" s="0" t="str">
        <f aca="false">IFERROR(__xludf.dummyfunction("FILTER('Leveling Info'!$B$2:$B1000, 'Leveling Info'!$A$2:$A1000 =G810)"),"#N/A")</f>
        <v>#N/A</v>
      </c>
      <c r="I810" s="14" t="e">
        <f aca="false">SQRT(G810)</f>
        <v>#VALUE!</v>
      </c>
      <c r="J810" s="14" t="str">
        <f aca="false">IFERROR(__xludf.dummyfunction("IF(F810 = H810,C810/FILTER('Base Stats'!$C$2:$C1000, LOWER('Base Stats'!$B$2:$B1000) = LOWER($A810)), """")"),"#N/A")</f>
        <v>#N/A</v>
      </c>
      <c r="K810" s="0" t="str">
        <f aca="false">IF(F810 = H810, C810/G810, "")</f>
        <v/>
      </c>
      <c r="L810" s="0" t="str">
        <f aca="false">IFERROR(__xludf.dummyfunction("IF(AND(NOT(K810 = """"), G810 &gt;= 15),K810/FILTER('Base Stats'!$C$2:$C1000, LOWER('Base Stats'!$B$2:$B1000) = LOWER($A810)), """")"),"#N/A")</f>
        <v>#N/A</v>
      </c>
      <c r="M810" s="0" t="str">
        <f aca="false">IFERROR(__xludf.dummyfunction("1.15 + 0.02 * FILTER('Base Stats'!$C$2:$C1000, LOWER('Base Stats'!$B$2:$B1000) = LOWER($A810))"),"1.15")</f>
        <v>1.15</v>
      </c>
      <c r="N810" s="0" t="e">
        <f aca="false">IFERROR(IF(AND(NOT(K810 = ""), G810 &gt;= 15),K810/M810, ""))</f>
        <v>#VALUE!</v>
      </c>
    </row>
    <row r="811" customFormat="false" ht="15.75" hidden="false" customHeight="false" outlineLevel="0" collapsed="false">
      <c r="A811" s="0" t="n">
        <f aca="false">'Form Responses (Pokemon Stats)'!B705</f>
        <v>0</v>
      </c>
      <c r="B811" s="0" t="n">
        <f aca="false">'Form Responses (Pokemon Stats)'!D705</f>
        <v>0</v>
      </c>
      <c r="C811" s="0" t="n">
        <f aca="false">'Form Responses (Pokemon Stats)'!C705</f>
        <v>0</v>
      </c>
      <c r="F811" s="0" t="n">
        <f aca="false">'Form Responses (Pokemon Stats)'!E705</f>
        <v>0</v>
      </c>
      <c r="G811" s="0" t="str">
        <f aca="false">IFERROR(__xludf.dummyfunction("ROUND(B811/ FILTER('Pokemon CP/HP'!$M$2:$M1000, LOWER('Pokemon CP/HP'!$B$2:$B1000)=LOWER(A811)))"),"#DIV/0!")</f>
        <v>#DIV/0!</v>
      </c>
      <c r="H811" s="0" t="str">
        <f aca="false">IFERROR(__xludf.dummyfunction("FILTER('Leveling Info'!$B$2:$B1000, 'Leveling Info'!$A$2:$A1000 =G811)"),"#N/A")</f>
        <v>#N/A</v>
      </c>
      <c r="I811" s="14" t="e">
        <f aca="false">SQRT(G811)</f>
        <v>#VALUE!</v>
      </c>
      <c r="J811" s="14" t="str">
        <f aca="false">IFERROR(__xludf.dummyfunction("IF(F811 = H811,C811/FILTER('Base Stats'!$C$2:$C1000, LOWER('Base Stats'!$B$2:$B1000) = LOWER($A811)), """")"),"#N/A")</f>
        <v>#N/A</v>
      </c>
      <c r="K811" s="0" t="str">
        <f aca="false">IF(F811 = H811, C811/G811, "")</f>
        <v/>
      </c>
      <c r="L811" s="0" t="str">
        <f aca="false">IFERROR(__xludf.dummyfunction("IF(AND(NOT(K811 = """"), G811 &gt;= 15),K811/FILTER('Base Stats'!$C$2:$C1000, LOWER('Base Stats'!$B$2:$B1000) = LOWER($A811)), """")"),"#N/A")</f>
        <v>#N/A</v>
      </c>
      <c r="M811" s="0" t="str">
        <f aca="false">IFERROR(__xludf.dummyfunction("1.15 + 0.02 * FILTER('Base Stats'!$C$2:$C1000, LOWER('Base Stats'!$B$2:$B1000) = LOWER($A811))"),"1.15")</f>
        <v>1.15</v>
      </c>
      <c r="N811" s="0" t="e">
        <f aca="false">IFERROR(IF(AND(NOT(K811 = ""), G811 &gt;= 15),K811/M811, ""))</f>
        <v>#VALUE!</v>
      </c>
    </row>
    <row r="812" customFormat="false" ht="15.75" hidden="false" customHeight="false" outlineLevel="0" collapsed="false">
      <c r="A812" s="0" t="n">
        <f aca="false">'Form Responses (Pokemon Stats)'!B706</f>
        <v>0</v>
      </c>
      <c r="B812" s="0" t="n">
        <f aca="false">'Form Responses (Pokemon Stats)'!D706</f>
        <v>0</v>
      </c>
      <c r="C812" s="0" t="n">
        <f aca="false">'Form Responses (Pokemon Stats)'!C706</f>
        <v>0</v>
      </c>
      <c r="F812" s="0" t="n">
        <f aca="false">'Form Responses (Pokemon Stats)'!E706</f>
        <v>0</v>
      </c>
      <c r="G812" s="0" t="str">
        <f aca="false">IFERROR(__xludf.dummyfunction("ROUND(B812/ FILTER('Pokemon CP/HP'!$M$2:$M1000, LOWER('Pokemon CP/HP'!$B$2:$B1000)=LOWER(A812)))"),"#DIV/0!")</f>
        <v>#DIV/0!</v>
      </c>
      <c r="H812" s="0" t="str">
        <f aca="false">IFERROR(__xludf.dummyfunction("FILTER('Leveling Info'!$B$2:$B1000, 'Leveling Info'!$A$2:$A1000 =G812)"),"#N/A")</f>
        <v>#N/A</v>
      </c>
      <c r="I812" s="14" t="e">
        <f aca="false">SQRT(G812)</f>
        <v>#VALUE!</v>
      </c>
      <c r="J812" s="14" t="str">
        <f aca="false">IFERROR(__xludf.dummyfunction("IF(F812 = H812,C812/FILTER('Base Stats'!$C$2:$C1000, LOWER('Base Stats'!$B$2:$B1000) = LOWER($A812)), """")"),"#N/A")</f>
        <v>#N/A</v>
      </c>
      <c r="K812" s="0" t="str">
        <f aca="false">IF(F812 = H812, C812/G812, "")</f>
        <v/>
      </c>
      <c r="L812" s="0" t="str">
        <f aca="false">IFERROR(__xludf.dummyfunction("IF(AND(NOT(K812 = """"), G812 &gt;= 15),K812/FILTER('Base Stats'!$C$2:$C1000, LOWER('Base Stats'!$B$2:$B1000) = LOWER($A812)), """")"),"#N/A")</f>
        <v>#N/A</v>
      </c>
      <c r="M812" s="0" t="str">
        <f aca="false">IFERROR(__xludf.dummyfunction("1.15 + 0.02 * FILTER('Base Stats'!$C$2:$C1000, LOWER('Base Stats'!$B$2:$B1000) = LOWER($A812))"),"1.15")</f>
        <v>1.15</v>
      </c>
      <c r="N812" s="0" t="e">
        <f aca="false">IFERROR(IF(AND(NOT(K812 = ""), G812 &gt;= 15),K812/M812, ""))</f>
        <v>#VALUE!</v>
      </c>
    </row>
    <row r="813" customFormat="false" ht="15.75" hidden="false" customHeight="false" outlineLevel="0" collapsed="false">
      <c r="A813" s="0" t="n">
        <f aca="false">'Form Responses (Pokemon Stats)'!B707</f>
        <v>0</v>
      </c>
      <c r="B813" s="0" t="n">
        <f aca="false">'Form Responses (Pokemon Stats)'!D707</f>
        <v>0</v>
      </c>
      <c r="C813" s="0" t="n">
        <f aca="false">'Form Responses (Pokemon Stats)'!C707</f>
        <v>0</v>
      </c>
      <c r="F813" s="0" t="n">
        <f aca="false">'Form Responses (Pokemon Stats)'!E707</f>
        <v>0</v>
      </c>
      <c r="G813" s="0" t="str">
        <f aca="false">IFERROR(__xludf.dummyfunction("ROUND(B813/ FILTER('Pokemon CP/HP'!$M$2:$M1000, LOWER('Pokemon CP/HP'!$B$2:$B1000)=LOWER(A813)))"),"#DIV/0!")</f>
        <v>#DIV/0!</v>
      </c>
      <c r="H813" s="0" t="str">
        <f aca="false">IFERROR(__xludf.dummyfunction("FILTER('Leveling Info'!$B$2:$B1000, 'Leveling Info'!$A$2:$A1000 =G813)"),"#N/A")</f>
        <v>#N/A</v>
      </c>
      <c r="I813" s="14" t="e">
        <f aca="false">SQRT(G813)</f>
        <v>#VALUE!</v>
      </c>
      <c r="J813" s="14" t="str">
        <f aca="false">IFERROR(__xludf.dummyfunction("IF(F813 = H813,C813/FILTER('Base Stats'!$C$2:$C1000, LOWER('Base Stats'!$B$2:$B1000) = LOWER($A813)), """")"),"#N/A")</f>
        <v>#N/A</v>
      </c>
      <c r="K813" s="0" t="str">
        <f aca="false">IF(F813 = H813, C813/G813, "")</f>
        <v/>
      </c>
      <c r="L813" s="0" t="str">
        <f aca="false">IFERROR(__xludf.dummyfunction("IF(AND(NOT(K813 = """"), G813 &gt;= 15),K813/FILTER('Base Stats'!$C$2:$C1000, LOWER('Base Stats'!$B$2:$B1000) = LOWER($A813)), """")"),"#N/A")</f>
        <v>#N/A</v>
      </c>
      <c r="M813" s="0" t="str">
        <f aca="false">IFERROR(__xludf.dummyfunction("1.15 + 0.02 * FILTER('Base Stats'!$C$2:$C1000, LOWER('Base Stats'!$B$2:$B1000) = LOWER($A813))"),"1.15")</f>
        <v>1.15</v>
      </c>
      <c r="N813" s="0" t="e">
        <f aca="false">IFERROR(IF(AND(NOT(K813 = ""), G813 &gt;= 15),K813/M813, ""))</f>
        <v>#VALUE!</v>
      </c>
    </row>
    <row r="814" customFormat="false" ht="15.75" hidden="false" customHeight="false" outlineLevel="0" collapsed="false">
      <c r="A814" s="0" t="n">
        <f aca="false">'Form Responses (Pokemon Stats)'!B708</f>
        <v>0</v>
      </c>
      <c r="B814" s="0" t="n">
        <f aca="false">'Form Responses (Pokemon Stats)'!D708</f>
        <v>0</v>
      </c>
      <c r="C814" s="0" t="n">
        <f aca="false">'Form Responses (Pokemon Stats)'!C708</f>
        <v>0</v>
      </c>
      <c r="F814" s="0" t="n">
        <f aca="false">'Form Responses (Pokemon Stats)'!E708</f>
        <v>0</v>
      </c>
      <c r="G814" s="0" t="str">
        <f aca="false">IFERROR(__xludf.dummyfunction("ROUND(B814/ FILTER('Pokemon CP/HP'!$M$2:$M1000, LOWER('Pokemon CP/HP'!$B$2:$B1000)=LOWER(A814)))"),"#DIV/0!")</f>
        <v>#DIV/0!</v>
      </c>
      <c r="H814" s="0" t="str">
        <f aca="false">IFERROR(__xludf.dummyfunction("FILTER('Leveling Info'!$B$2:$B1000, 'Leveling Info'!$A$2:$A1000 =G814)"),"#N/A")</f>
        <v>#N/A</v>
      </c>
      <c r="I814" s="14" t="e">
        <f aca="false">SQRT(G814)</f>
        <v>#VALUE!</v>
      </c>
      <c r="J814" s="14" t="str">
        <f aca="false">IFERROR(__xludf.dummyfunction("IF(F814 = H814,C814/FILTER('Base Stats'!$C$2:$C1000, LOWER('Base Stats'!$B$2:$B1000) = LOWER($A814)), """")"),"#N/A")</f>
        <v>#N/A</v>
      </c>
      <c r="K814" s="0" t="str">
        <f aca="false">IF(F814 = H814, C814/G814, "")</f>
        <v/>
      </c>
      <c r="L814" s="0" t="str">
        <f aca="false">IFERROR(__xludf.dummyfunction("IF(AND(NOT(K814 = """"), G814 &gt;= 15),K814/FILTER('Base Stats'!$C$2:$C1000, LOWER('Base Stats'!$B$2:$B1000) = LOWER($A814)), """")"),"#N/A")</f>
        <v>#N/A</v>
      </c>
      <c r="M814" s="0" t="str">
        <f aca="false">IFERROR(__xludf.dummyfunction("1.15 + 0.02 * FILTER('Base Stats'!$C$2:$C1000, LOWER('Base Stats'!$B$2:$B1000) = LOWER($A814))"),"1.15")</f>
        <v>1.15</v>
      </c>
      <c r="N814" s="0" t="e">
        <f aca="false">IFERROR(IF(AND(NOT(K814 = ""), G814 &gt;= 15),K814/M814, ""))</f>
        <v>#VALUE!</v>
      </c>
    </row>
    <row r="815" customFormat="false" ht="15.75" hidden="false" customHeight="false" outlineLevel="0" collapsed="false">
      <c r="A815" s="0" t="n">
        <f aca="false">'Form Responses (Pokemon Stats)'!B709</f>
        <v>0</v>
      </c>
      <c r="B815" s="0" t="n">
        <f aca="false">'Form Responses (Pokemon Stats)'!D709</f>
        <v>0</v>
      </c>
      <c r="C815" s="0" t="n">
        <f aca="false">'Form Responses (Pokemon Stats)'!C709</f>
        <v>0</v>
      </c>
      <c r="F815" s="0" t="n">
        <f aca="false">'Form Responses (Pokemon Stats)'!E709</f>
        <v>0</v>
      </c>
      <c r="G815" s="0" t="str">
        <f aca="false">IFERROR(__xludf.dummyfunction("ROUND(B815/ FILTER('Pokemon CP/HP'!$M$2:$M1000, LOWER('Pokemon CP/HP'!$B$2:$B1000)=LOWER(A815)))"),"#DIV/0!")</f>
        <v>#DIV/0!</v>
      </c>
      <c r="H815" s="0" t="str">
        <f aca="false">IFERROR(__xludf.dummyfunction("FILTER('Leveling Info'!$B$2:$B1000, 'Leveling Info'!$A$2:$A1000 =G815)"),"#N/A")</f>
        <v>#N/A</v>
      </c>
      <c r="I815" s="14" t="e">
        <f aca="false">SQRT(G815)</f>
        <v>#VALUE!</v>
      </c>
      <c r="J815" s="14" t="str">
        <f aca="false">IFERROR(__xludf.dummyfunction("IF(F815 = H815,C815/FILTER('Base Stats'!$C$2:$C1000, LOWER('Base Stats'!$B$2:$B1000) = LOWER($A815)), """")"),"#N/A")</f>
        <v>#N/A</v>
      </c>
      <c r="K815" s="0" t="str">
        <f aca="false">IF(F815 = H815, C815/G815, "")</f>
        <v/>
      </c>
      <c r="L815" s="0" t="str">
        <f aca="false">IFERROR(__xludf.dummyfunction("IF(AND(NOT(K815 = """"), G815 &gt;= 15),K815/FILTER('Base Stats'!$C$2:$C1000, LOWER('Base Stats'!$B$2:$B1000) = LOWER($A815)), """")"),"#N/A")</f>
        <v>#N/A</v>
      </c>
      <c r="M815" s="0" t="str">
        <f aca="false">IFERROR(__xludf.dummyfunction("1.15 + 0.02 * FILTER('Base Stats'!$C$2:$C1000, LOWER('Base Stats'!$B$2:$B1000) = LOWER($A815))"),"1.15")</f>
        <v>1.15</v>
      </c>
      <c r="N815" s="0" t="e">
        <f aca="false">IFERROR(IF(AND(NOT(K815 = ""), G815 &gt;= 15),K815/M815, ""))</f>
        <v>#VALUE!</v>
      </c>
    </row>
    <row r="816" customFormat="false" ht="15.75" hidden="false" customHeight="false" outlineLevel="0" collapsed="false">
      <c r="A816" s="0" t="n">
        <f aca="false">'Form Responses (Pokemon Stats)'!B710</f>
        <v>0</v>
      </c>
      <c r="B816" s="0" t="n">
        <f aca="false">'Form Responses (Pokemon Stats)'!D710</f>
        <v>0</v>
      </c>
      <c r="C816" s="0" t="n">
        <f aca="false">'Form Responses (Pokemon Stats)'!C710</f>
        <v>0</v>
      </c>
      <c r="F816" s="0" t="n">
        <f aca="false">'Form Responses (Pokemon Stats)'!E710</f>
        <v>0</v>
      </c>
      <c r="G816" s="0" t="str">
        <f aca="false">IFERROR(__xludf.dummyfunction("ROUND(B816/ FILTER('Pokemon CP/HP'!$M$2:$M1000, LOWER('Pokemon CP/HP'!$B$2:$B1000)=LOWER(A816)))"),"#DIV/0!")</f>
        <v>#DIV/0!</v>
      </c>
      <c r="H816" s="0" t="str">
        <f aca="false">IFERROR(__xludf.dummyfunction("FILTER('Leveling Info'!$B$2:$B1000, 'Leveling Info'!$A$2:$A1000 =G816)"),"#N/A")</f>
        <v>#N/A</v>
      </c>
      <c r="I816" s="14" t="e">
        <f aca="false">SQRT(G816)</f>
        <v>#VALUE!</v>
      </c>
      <c r="J816" s="14" t="str">
        <f aca="false">IFERROR(__xludf.dummyfunction("IF(F816 = H816,C816/FILTER('Base Stats'!$C$2:$C1000, LOWER('Base Stats'!$B$2:$B1000) = LOWER($A816)), """")"),"#N/A")</f>
        <v>#N/A</v>
      </c>
      <c r="K816" s="0" t="str">
        <f aca="false">IF(F816 = H816, C816/G816, "")</f>
        <v/>
      </c>
      <c r="L816" s="0" t="str">
        <f aca="false">IFERROR(__xludf.dummyfunction("IF(AND(NOT(K816 = """"), G816 &gt;= 15),K816/FILTER('Base Stats'!$C$2:$C1000, LOWER('Base Stats'!$B$2:$B1000) = LOWER($A816)), """")"),"#N/A")</f>
        <v>#N/A</v>
      </c>
      <c r="M816" s="0" t="str">
        <f aca="false">IFERROR(__xludf.dummyfunction("1.15 + 0.02 * FILTER('Base Stats'!$C$2:$C1000, LOWER('Base Stats'!$B$2:$B1000) = LOWER($A816))"),"1.15")</f>
        <v>1.15</v>
      </c>
      <c r="N816" s="0" t="e">
        <f aca="false">IFERROR(IF(AND(NOT(K816 = ""), G816 &gt;= 15),K816/M816, ""))</f>
        <v>#VALUE!</v>
      </c>
    </row>
    <row r="817" customFormat="false" ht="15.75" hidden="false" customHeight="false" outlineLevel="0" collapsed="false">
      <c r="A817" s="0" t="n">
        <f aca="false">'Form Responses (Pokemon Stats)'!B711</f>
        <v>0</v>
      </c>
      <c r="B817" s="0" t="n">
        <f aca="false">'Form Responses (Pokemon Stats)'!D711</f>
        <v>0</v>
      </c>
      <c r="C817" s="0" t="n">
        <f aca="false">'Form Responses (Pokemon Stats)'!C711</f>
        <v>0</v>
      </c>
      <c r="F817" s="0" t="n">
        <f aca="false">'Form Responses (Pokemon Stats)'!E711</f>
        <v>0</v>
      </c>
      <c r="G817" s="0" t="str">
        <f aca="false">IFERROR(__xludf.dummyfunction("ROUND(B817/ FILTER('Pokemon CP/HP'!$M$2:$M1000, LOWER('Pokemon CP/HP'!$B$2:$B1000)=LOWER(A817)))"),"#DIV/0!")</f>
        <v>#DIV/0!</v>
      </c>
      <c r="H817" s="0" t="str">
        <f aca="false">IFERROR(__xludf.dummyfunction("FILTER('Leveling Info'!$B$2:$B1000, 'Leveling Info'!$A$2:$A1000 =G817)"),"#N/A")</f>
        <v>#N/A</v>
      </c>
      <c r="I817" s="14" t="e">
        <f aca="false">SQRT(G817)</f>
        <v>#VALUE!</v>
      </c>
      <c r="J817" s="14" t="str">
        <f aca="false">IFERROR(__xludf.dummyfunction("IF(F817 = H817,C817/FILTER('Base Stats'!$C$2:$C1000, LOWER('Base Stats'!$B$2:$B1000) = LOWER($A817)), """")"),"#N/A")</f>
        <v>#N/A</v>
      </c>
      <c r="K817" s="0" t="str">
        <f aca="false">IF(F817 = H817, C817/G817, "")</f>
        <v/>
      </c>
      <c r="L817" s="0" t="str">
        <f aca="false">IFERROR(__xludf.dummyfunction("IF(AND(NOT(K817 = """"), G817 &gt;= 15),K817/FILTER('Base Stats'!$C$2:$C1000, LOWER('Base Stats'!$B$2:$B1000) = LOWER($A817)), """")"),"#N/A")</f>
        <v>#N/A</v>
      </c>
      <c r="M817" s="0" t="str">
        <f aca="false">IFERROR(__xludf.dummyfunction("1.15 + 0.02 * FILTER('Base Stats'!$C$2:$C1000, LOWER('Base Stats'!$B$2:$B1000) = LOWER($A817))"),"1.15")</f>
        <v>1.15</v>
      </c>
      <c r="N817" s="0" t="e">
        <f aca="false">IFERROR(IF(AND(NOT(K817 = ""), G817 &gt;= 15),K817/M817, ""))</f>
        <v>#VALUE!</v>
      </c>
    </row>
    <row r="818" customFormat="false" ht="15.75" hidden="false" customHeight="false" outlineLevel="0" collapsed="false">
      <c r="A818" s="0" t="n">
        <f aca="false">'Form Responses (Pokemon Stats)'!B712</f>
        <v>0</v>
      </c>
      <c r="B818" s="0" t="n">
        <f aca="false">'Form Responses (Pokemon Stats)'!D712</f>
        <v>0</v>
      </c>
      <c r="C818" s="0" t="n">
        <f aca="false">'Form Responses (Pokemon Stats)'!C712</f>
        <v>0</v>
      </c>
      <c r="F818" s="0" t="n">
        <f aca="false">'Form Responses (Pokemon Stats)'!E712</f>
        <v>0</v>
      </c>
      <c r="G818" s="0" t="str">
        <f aca="false">IFERROR(__xludf.dummyfunction("ROUND(B818/ FILTER('Pokemon CP/HP'!$M$2:$M1000, LOWER('Pokemon CP/HP'!$B$2:$B1000)=LOWER(A818)))"),"#DIV/0!")</f>
        <v>#DIV/0!</v>
      </c>
      <c r="H818" s="0" t="str">
        <f aca="false">IFERROR(__xludf.dummyfunction("FILTER('Leveling Info'!$B$2:$B1000, 'Leveling Info'!$A$2:$A1000 =G818)"),"#N/A")</f>
        <v>#N/A</v>
      </c>
      <c r="I818" s="14" t="e">
        <f aca="false">SQRT(G818)</f>
        <v>#VALUE!</v>
      </c>
      <c r="J818" s="14" t="str">
        <f aca="false">IFERROR(__xludf.dummyfunction("IF(F818 = H818,C818/FILTER('Base Stats'!$C$2:$C1000, LOWER('Base Stats'!$B$2:$B1000) = LOWER($A818)), """")"),"#N/A")</f>
        <v>#N/A</v>
      </c>
      <c r="K818" s="0" t="str">
        <f aca="false">IF(F818 = H818, C818/G818, "")</f>
        <v/>
      </c>
      <c r="L818" s="0" t="str">
        <f aca="false">IFERROR(__xludf.dummyfunction("IF(AND(NOT(K818 = """"), G818 &gt;= 15),K818/FILTER('Base Stats'!$C$2:$C1000, LOWER('Base Stats'!$B$2:$B1000) = LOWER($A818)), """")"),"#N/A")</f>
        <v>#N/A</v>
      </c>
      <c r="M818" s="0" t="str">
        <f aca="false">IFERROR(__xludf.dummyfunction("1.15 + 0.02 * FILTER('Base Stats'!$C$2:$C1000, LOWER('Base Stats'!$B$2:$B1000) = LOWER($A818))"),"1.15")</f>
        <v>1.15</v>
      </c>
      <c r="N818" s="0" t="e">
        <f aca="false">IFERROR(IF(AND(NOT(K818 = ""), G818 &gt;= 15),K818/M818, ""))</f>
        <v>#VALUE!</v>
      </c>
    </row>
    <row r="819" customFormat="false" ht="15.75" hidden="false" customHeight="false" outlineLevel="0" collapsed="false">
      <c r="A819" s="0" t="n">
        <f aca="false">'Form Responses (Pokemon Stats)'!B713</f>
        <v>0</v>
      </c>
      <c r="B819" s="0" t="n">
        <f aca="false">'Form Responses (Pokemon Stats)'!D713</f>
        <v>0</v>
      </c>
      <c r="C819" s="0" t="n">
        <f aca="false">'Form Responses (Pokemon Stats)'!C713</f>
        <v>0</v>
      </c>
      <c r="F819" s="0" t="n">
        <f aca="false">'Form Responses (Pokemon Stats)'!E713</f>
        <v>0</v>
      </c>
      <c r="G819" s="0" t="str">
        <f aca="false">IFERROR(__xludf.dummyfunction("ROUND(B819/ FILTER('Pokemon CP/HP'!$M$2:$M1000, LOWER('Pokemon CP/HP'!$B$2:$B1000)=LOWER(A819)))"),"#DIV/0!")</f>
        <v>#DIV/0!</v>
      </c>
      <c r="H819" s="0" t="str">
        <f aca="false">IFERROR(__xludf.dummyfunction("FILTER('Leveling Info'!$B$2:$B1000, 'Leveling Info'!$A$2:$A1000 =G819)"),"#N/A")</f>
        <v>#N/A</v>
      </c>
      <c r="I819" s="14" t="e">
        <f aca="false">SQRT(G819)</f>
        <v>#VALUE!</v>
      </c>
      <c r="J819" s="14" t="str">
        <f aca="false">IFERROR(__xludf.dummyfunction("IF(F819 = H819,C819/FILTER('Base Stats'!$C$2:$C1000, LOWER('Base Stats'!$B$2:$B1000) = LOWER($A819)), """")"),"#N/A")</f>
        <v>#N/A</v>
      </c>
      <c r="K819" s="0" t="str">
        <f aca="false">IF(F819 = H819, C819/G819, "")</f>
        <v/>
      </c>
      <c r="L819" s="0" t="str">
        <f aca="false">IFERROR(__xludf.dummyfunction("IF(AND(NOT(K819 = """"), G819 &gt;= 15),K819/FILTER('Base Stats'!$C$2:$C1000, LOWER('Base Stats'!$B$2:$B1000) = LOWER($A819)), """")"),"#N/A")</f>
        <v>#N/A</v>
      </c>
      <c r="M819" s="0" t="str">
        <f aca="false">IFERROR(__xludf.dummyfunction("1.15 + 0.02 * FILTER('Base Stats'!$C$2:$C1000, LOWER('Base Stats'!$B$2:$B1000) = LOWER($A819))"),"1.15")</f>
        <v>1.15</v>
      </c>
      <c r="N819" s="0" t="e">
        <f aca="false">IFERROR(IF(AND(NOT(K819 = ""), G819 &gt;= 15),K819/M819, ""))</f>
        <v>#VALUE!</v>
      </c>
    </row>
    <row r="820" customFormat="false" ht="15.75" hidden="false" customHeight="false" outlineLevel="0" collapsed="false">
      <c r="A820" s="0" t="n">
        <f aca="false">'Form Responses (Pokemon Stats)'!B714</f>
        <v>0</v>
      </c>
      <c r="B820" s="0" t="n">
        <f aca="false">'Form Responses (Pokemon Stats)'!D714</f>
        <v>0</v>
      </c>
      <c r="C820" s="0" t="n">
        <f aca="false">'Form Responses (Pokemon Stats)'!C714</f>
        <v>0</v>
      </c>
      <c r="F820" s="0" t="n">
        <f aca="false">'Form Responses (Pokemon Stats)'!E714</f>
        <v>0</v>
      </c>
      <c r="G820" s="0" t="str">
        <f aca="false">IFERROR(__xludf.dummyfunction("ROUND(B820/ FILTER('Pokemon CP/HP'!$M$2:$M1000, LOWER('Pokemon CP/HP'!$B$2:$B1000)=LOWER(A820)))"),"#DIV/0!")</f>
        <v>#DIV/0!</v>
      </c>
      <c r="H820" s="0" t="str">
        <f aca="false">IFERROR(__xludf.dummyfunction("FILTER('Leveling Info'!$B$2:$B1000, 'Leveling Info'!$A$2:$A1000 =G820)"),"#N/A")</f>
        <v>#N/A</v>
      </c>
      <c r="I820" s="14" t="e">
        <f aca="false">SQRT(G820)</f>
        <v>#VALUE!</v>
      </c>
      <c r="J820" s="14" t="str">
        <f aca="false">IFERROR(__xludf.dummyfunction("IF(F820 = H820,C820/FILTER('Base Stats'!$C$2:$C1000, LOWER('Base Stats'!$B$2:$B1000) = LOWER($A820)), """")"),"#N/A")</f>
        <v>#N/A</v>
      </c>
      <c r="K820" s="0" t="str">
        <f aca="false">IF(F820 = H820, C820/G820, "")</f>
        <v/>
      </c>
      <c r="L820" s="0" t="str">
        <f aca="false">IFERROR(__xludf.dummyfunction("IF(AND(NOT(K820 = """"), G820 &gt;= 15),K820/FILTER('Base Stats'!$C$2:$C1000, LOWER('Base Stats'!$B$2:$B1000) = LOWER($A820)), """")"),"#N/A")</f>
        <v>#N/A</v>
      </c>
      <c r="M820" s="0" t="str">
        <f aca="false">IFERROR(__xludf.dummyfunction("1.15 + 0.02 * FILTER('Base Stats'!$C$2:$C1000, LOWER('Base Stats'!$B$2:$B1000) = LOWER($A820))"),"1.15")</f>
        <v>1.15</v>
      </c>
      <c r="N820" s="0" t="e">
        <f aca="false">IFERROR(IF(AND(NOT(K820 = ""), G820 &gt;= 15),K820/M820, ""))</f>
        <v>#VALUE!</v>
      </c>
    </row>
    <row r="821" customFormat="false" ht="15.75" hidden="false" customHeight="false" outlineLevel="0" collapsed="false">
      <c r="A821" s="0" t="n">
        <f aca="false">'Form Responses (Pokemon Stats)'!B715</f>
        <v>0</v>
      </c>
      <c r="B821" s="0" t="n">
        <f aca="false">'Form Responses (Pokemon Stats)'!D715</f>
        <v>0</v>
      </c>
      <c r="C821" s="0" t="n">
        <f aca="false">'Form Responses (Pokemon Stats)'!C715</f>
        <v>0</v>
      </c>
      <c r="F821" s="0" t="n">
        <f aca="false">'Form Responses (Pokemon Stats)'!E715</f>
        <v>0</v>
      </c>
      <c r="G821" s="0" t="str">
        <f aca="false">IFERROR(__xludf.dummyfunction("ROUND(B821/ FILTER('Pokemon CP/HP'!$M$2:$M1000, LOWER('Pokemon CP/HP'!$B$2:$B1000)=LOWER(A821)))"),"#DIV/0!")</f>
        <v>#DIV/0!</v>
      </c>
      <c r="H821" s="0" t="str">
        <f aca="false">IFERROR(__xludf.dummyfunction("FILTER('Leveling Info'!$B$2:$B1000, 'Leveling Info'!$A$2:$A1000 =G821)"),"#N/A")</f>
        <v>#N/A</v>
      </c>
      <c r="I821" s="14" t="e">
        <f aca="false">SQRT(G821)</f>
        <v>#VALUE!</v>
      </c>
      <c r="J821" s="14" t="str">
        <f aca="false">IFERROR(__xludf.dummyfunction("IF(F821 = H821,C821/FILTER('Base Stats'!$C$2:$C1000, LOWER('Base Stats'!$B$2:$B1000) = LOWER($A821)), """")"),"#N/A")</f>
        <v>#N/A</v>
      </c>
      <c r="K821" s="0" t="str">
        <f aca="false">IF(F821 = H821, C821/G821, "")</f>
        <v/>
      </c>
      <c r="L821" s="0" t="str">
        <f aca="false">IFERROR(__xludf.dummyfunction("IF(AND(NOT(K821 = """"), G821 &gt;= 15),K821/FILTER('Base Stats'!$C$2:$C1000, LOWER('Base Stats'!$B$2:$B1000) = LOWER($A821)), """")"),"#N/A")</f>
        <v>#N/A</v>
      </c>
      <c r="M821" s="0" t="str">
        <f aca="false">IFERROR(__xludf.dummyfunction("1.15 + 0.02 * FILTER('Base Stats'!$C$2:$C1000, LOWER('Base Stats'!$B$2:$B1000) = LOWER($A821))"),"1.15")</f>
        <v>1.15</v>
      </c>
      <c r="N821" s="0" t="e">
        <f aca="false">IFERROR(IF(AND(NOT(K821 = ""), G821 &gt;= 15),K821/M821, ""))</f>
        <v>#VALUE!</v>
      </c>
    </row>
    <row r="822" customFormat="false" ht="15.75" hidden="false" customHeight="false" outlineLevel="0" collapsed="false">
      <c r="A822" s="0" t="n">
        <f aca="false">'Form Responses (Pokemon Stats)'!B716</f>
        <v>0</v>
      </c>
      <c r="B822" s="0" t="n">
        <f aca="false">'Form Responses (Pokemon Stats)'!D716</f>
        <v>0</v>
      </c>
      <c r="C822" s="0" t="n">
        <f aca="false">'Form Responses (Pokemon Stats)'!C716</f>
        <v>0</v>
      </c>
      <c r="F822" s="0" t="n">
        <f aca="false">'Form Responses (Pokemon Stats)'!E716</f>
        <v>0</v>
      </c>
      <c r="G822" s="0" t="str">
        <f aca="false">IFERROR(__xludf.dummyfunction("ROUND(B822/ FILTER('Pokemon CP/HP'!$M$2:$M1000, LOWER('Pokemon CP/HP'!$B$2:$B1000)=LOWER(A822)))"),"#DIV/0!")</f>
        <v>#DIV/0!</v>
      </c>
      <c r="H822" s="0" t="str">
        <f aca="false">IFERROR(__xludf.dummyfunction("FILTER('Leveling Info'!$B$2:$B1000, 'Leveling Info'!$A$2:$A1000 =G822)"),"#N/A")</f>
        <v>#N/A</v>
      </c>
      <c r="I822" s="14" t="e">
        <f aca="false">SQRT(G822)</f>
        <v>#VALUE!</v>
      </c>
      <c r="J822" s="14" t="str">
        <f aca="false">IFERROR(__xludf.dummyfunction("IF(F822 = H822,C822/FILTER('Base Stats'!$C$2:$C1000, LOWER('Base Stats'!$B$2:$B1000) = LOWER($A822)), """")"),"#N/A")</f>
        <v>#N/A</v>
      </c>
      <c r="K822" s="0" t="str">
        <f aca="false">IF(F822 = H822, C822/G822, "")</f>
        <v/>
      </c>
      <c r="L822" s="0" t="str">
        <f aca="false">IFERROR(__xludf.dummyfunction("IF(AND(NOT(K822 = """"), G822 &gt;= 15),K822/FILTER('Base Stats'!$C$2:$C1000, LOWER('Base Stats'!$B$2:$B1000) = LOWER($A822)), """")"),"#N/A")</f>
        <v>#N/A</v>
      </c>
      <c r="M822" s="0" t="str">
        <f aca="false">IFERROR(__xludf.dummyfunction("1.15 + 0.02 * FILTER('Base Stats'!$C$2:$C1000, LOWER('Base Stats'!$B$2:$B1000) = LOWER($A822))"),"1.15")</f>
        <v>1.15</v>
      </c>
      <c r="N822" s="0" t="e">
        <f aca="false">IFERROR(IF(AND(NOT(K822 = ""), G822 &gt;= 15),K822/M822, ""))</f>
        <v>#VALUE!</v>
      </c>
    </row>
    <row r="823" customFormat="false" ht="15.75" hidden="false" customHeight="false" outlineLevel="0" collapsed="false">
      <c r="A823" s="0" t="n">
        <f aca="false">'Form Responses (Pokemon Stats)'!B717</f>
        <v>0</v>
      </c>
      <c r="B823" s="0" t="n">
        <f aca="false">'Form Responses (Pokemon Stats)'!D717</f>
        <v>0</v>
      </c>
      <c r="C823" s="0" t="n">
        <f aca="false">'Form Responses (Pokemon Stats)'!C717</f>
        <v>0</v>
      </c>
      <c r="F823" s="0" t="n">
        <f aca="false">'Form Responses (Pokemon Stats)'!E717</f>
        <v>0</v>
      </c>
      <c r="G823" s="0" t="str">
        <f aca="false">IFERROR(__xludf.dummyfunction("ROUND(B823/ FILTER('Pokemon CP/HP'!$M$2:$M1000, LOWER('Pokemon CP/HP'!$B$2:$B1000)=LOWER(A823)))"),"#DIV/0!")</f>
        <v>#DIV/0!</v>
      </c>
      <c r="H823" s="0" t="str">
        <f aca="false">IFERROR(__xludf.dummyfunction("FILTER('Leveling Info'!$B$2:$B1000, 'Leveling Info'!$A$2:$A1000 =G823)"),"#N/A")</f>
        <v>#N/A</v>
      </c>
      <c r="I823" s="14" t="e">
        <f aca="false">SQRT(G823)</f>
        <v>#VALUE!</v>
      </c>
      <c r="J823" s="14" t="str">
        <f aca="false">IFERROR(__xludf.dummyfunction("IF(F823 = H823,C823/FILTER('Base Stats'!$C$2:$C1000, LOWER('Base Stats'!$B$2:$B1000) = LOWER($A823)), """")"),"#N/A")</f>
        <v>#N/A</v>
      </c>
      <c r="K823" s="0" t="str">
        <f aca="false">IF(F823 = H823, C823/G823, "")</f>
        <v/>
      </c>
      <c r="L823" s="0" t="str">
        <f aca="false">IFERROR(__xludf.dummyfunction("IF(AND(NOT(K823 = """"), G823 &gt;= 15),K823/FILTER('Base Stats'!$C$2:$C1000, LOWER('Base Stats'!$B$2:$B1000) = LOWER($A823)), """")"),"#N/A")</f>
        <v>#N/A</v>
      </c>
      <c r="M823" s="0" t="str">
        <f aca="false">IFERROR(__xludf.dummyfunction("1.15 + 0.02 * FILTER('Base Stats'!$C$2:$C1000, LOWER('Base Stats'!$B$2:$B1000) = LOWER($A823))"),"1.15")</f>
        <v>1.15</v>
      </c>
      <c r="N823" s="0" t="e">
        <f aca="false">IFERROR(IF(AND(NOT(K823 = ""), G823 &gt;= 15),K823/M823, ""))</f>
        <v>#VALUE!</v>
      </c>
    </row>
    <row r="824" customFormat="false" ht="15.75" hidden="false" customHeight="false" outlineLevel="0" collapsed="false">
      <c r="A824" s="0" t="n">
        <f aca="false">'Form Responses (Pokemon Stats)'!B718</f>
        <v>0</v>
      </c>
      <c r="B824" s="0" t="n">
        <f aca="false">'Form Responses (Pokemon Stats)'!D718</f>
        <v>0</v>
      </c>
      <c r="C824" s="0" t="n">
        <f aca="false">'Form Responses (Pokemon Stats)'!C718</f>
        <v>0</v>
      </c>
      <c r="F824" s="0" t="n">
        <f aca="false">'Form Responses (Pokemon Stats)'!E718</f>
        <v>0</v>
      </c>
      <c r="G824" s="0" t="str">
        <f aca="false">IFERROR(__xludf.dummyfunction("ROUND(B824/ FILTER('Pokemon CP/HP'!$M$2:$M1000, LOWER('Pokemon CP/HP'!$B$2:$B1000)=LOWER(A824)))"),"#DIV/0!")</f>
        <v>#DIV/0!</v>
      </c>
      <c r="H824" s="0" t="str">
        <f aca="false">IFERROR(__xludf.dummyfunction("FILTER('Leveling Info'!$B$2:$B1000, 'Leveling Info'!$A$2:$A1000 =G824)"),"#N/A")</f>
        <v>#N/A</v>
      </c>
      <c r="I824" s="14" t="e">
        <f aca="false">SQRT(G824)</f>
        <v>#VALUE!</v>
      </c>
      <c r="J824" s="14" t="str">
        <f aca="false">IFERROR(__xludf.dummyfunction("IF(F824 = H824,C824/FILTER('Base Stats'!$C$2:$C1000, LOWER('Base Stats'!$B$2:$B1000) = LOWER($A824)), """")"),"#N/A")</f>
        <v>#N/A</v>
      </c>
      <c r="K824" s="0" t="str">
        <f aca="false">IF(F824 = H824, C824/G824, "")</f>
        <v/>
      </c>
      <c r="L824" s="0" t="str">
        <f aca="false">IFERROR(__xludf.dummyfunction("IF(AND(NOT(K824 = """"), G824 &gt;= 15),K824/FILTER('Base Stats'!$C$2:$C1000, LOWER('Base Stats'!$B$2:$B1000) = LOWER($A824)), """")"),"#N/A")</f>
        <v>#N/A</v>
      </c>
      <c r="M824" s="0" t="str">
        <f aca="false">IFERROR(__xludf.dummyfunction("1.15 + 0.02 * FILTER('Base Stats'!$C$2:$C1000, LOWER('Base Stats'!$B$2:$B1000) = LOWER($A824))"),"1.15")</f>
        <v>1.15</v>
      </c>
      <c r="N824" s="0" t="e">
        <f aca="false">IFERROR(IF(AND(NOT(K824 = ""), G824 &gt;= 15),K824/M824, ""))</f>
        <v>#VALUE!</v>
      </c>
    </row>
    <row r="825" customFormat="false" ht="15.75" hidden="false" customHeight="false" outlineLevel="0" collapsed="false">
      <c r="A825" s="0" t="n">
        <f aca="false">'Form Responses (Pokemon Stats)'!B719</f>
        <v>0</v>
      </c>
      <c r="B825" s="0" t="n">
        <f aca="false">'Form Responses (Pokemon Stats)'!D719</f>
        <v>0</v>
      </c>
      <c r="C825" s="0" t="n">
        <f aca="false">'Form Responses (Pokemon Stats)'!C719</f>
        <v>0</v>
      </c>
      <c r="F825" s="0" t="n">
        <f aca="false">'Form Responses (Pokemon Stats)'!E719</f>
        <v>0</v>
      </c>
      <c r="G825" s="0" t="str">
        <f aca="false">IFERROR(__xludf.dummyfunction("ROUND(B825/ FILTER('Pokemon CP/HP'!$M$2:$M1000, LOWER('Pokemon CP/HP'!$B$2:$B1000)=LOWER(A825)))"),"#DIV/0!")</f>
        <v>#DIV/0!</v>
      </c>
      <c r="H825" s="0" t="str">
        <f aca="false">IFERROR(__xludf.dummyfunction("FILTER('Leveling Info'!$B$2:$B1000, 'Leveling Info'!$A$2:$A1000 =G825)"),"#N/A")</f>
        <v>#N/A</v>
      </c>
      <c r="I825" s="14" t="e">
        <f aca="false">SQRT(G825)</f>
        <v>#VALUE!</v>
      </c>
      <c r="J825" s="14" t="str">
        <f aca="false">IFERROR(__xludf.dummyfunction("IF(F825 = H825,C825/FILTER('Base Stats'!$C$2:$C1000, LOWER('Base Stats'!$B$2:$B1000) = LOWER($A825)), """")"),"#N/A")</f>
        <v>#N/A</v>
      </c>
      <c r="K825" s="0" t="str">
        <f aca="false">IF(F825 = H825, C825/G825, "")</f>
        <v/>
      </c>
      <c r="L825" s="0" t="str">
        <f aca="false">IFERROR(__xludf.dummyfunction("IF(AND(NOT(K825 = """"), G825 &gt;= 15),K825/FILTER('Base Stats'!$C$2:$C1000, LOWER('Base Stats'!$B$2:$B1000) = LOWER($A825)), """")"),"#N/A")</f>
        <v>#N/A</v>
      </c>
      <c r="M825" s="0" t="str">
        <f aca="false">IFERROR(__xludf.dummyfunction("1.15 + 0.02 * FILTER('Base Stats'!$C$2:$C1000, LOWER('Base Stats'!$B$2:$B1000) = LOWER($A825))"),"1.15")</f>
        <v>1.15</v>
      </c>
      <c r="N825" s="0" t="e">
        <f aca="false">IFERROR(IF(AND(NOT(K825 = ""), G825 &gt;= 15),K825/M825, ""))</f>
        <v>#VALUE!</v>
      </c>
    </row>
    <row r="826" customFormat="false" ht="15.75" hidden="false" customHeight="false" outlineLevel="0" collapsed="false">
      <c r="A826" s="0" t="n">
        <f aca="false">'Form Responses (Pokemon Stats)'!B720</f>
        <v>0</v>
      </c>
      <c r="B826" s="0" t="n">
        <f aca="false">'Form Responses (Pokemon Stats)'!D720</f>
        <v>0</v>
      </c>
      <c r="C826" s="0" t="n">
        <f aca="false">'Form Responses (Pokemon Stats)'!C720</f>
        <v>0</v>
      </c>
      <c r="F826" s="0" t="n">
        <f aca="false">'Form Responses (Pokemon Stats)'!E720</f>
        <v>0</v>
      </c>
      <c r="G826" s="0" t="str">
        <f aca="false">IFERROR(__xludf.dummyfunction("ROUND(B826/ FILTER('Pokemon CP/HP'!$M$2:$M1000, LOWER('Pokemon CP/HP'!$B$2:$B1000)=LOWER(A826)))"),"#DIV/0!")</f>
        <v>#DIV/0!</v>
      </c>
      <c r="H826" s="0" t="str">
        <f aca="false">IFERROR(__xludf.dummyfunction("FILTER('Leveling Info'!$B$2:$B1000, 'Leveling Info'!$A$2:$A1000 =G826)"),"#N/A")</f>
        <v>#N/A</v>
      </c>
      <c r="I826" s="14" t="e">
        <f aca="false">SQRT(G826)</f>
        <v>#VALUE!</v>
      </c>
      <c r="J826" s="14" t="str">
        <f aca="false">IFERROR(__xludf.dummyfunction("IF(F826 = H826,C826/FILTER('Base Stats'!$C$2:$C1000, LOWER('Base Stats'!$B$2:$B1000) = LOWER($A826)), """")"),"#N/A")</f>
        <v>#N/A</v>
      </c>
      <c r="K826" s="0" t="str">
        <f aca="false">IF(F826 = H826, C826/G826, "")</f>
        <v/>
      </c>
      <c r="L826" s="0" t="str">
        <f aca="false">IFERROR(__xludf.dummyfunction("IF(AND(NOT(K826 = """"), G826 &gt;= 15),K826/FILTER('Base Stats'!$C$2:$C1000, LOWER('Base Stats'!$B$2:$B1000) = LOWER($A826)), """")"),"#N/A")</f>
        <v>#N/A</v>
      </c>
      <c r="M826" s="0" t="str">
        <f aca="false">IFERROR(__xludf.dummyfunction("1.15 + 0.02 * FILTER('Base Stats'!$C$2:$C1000, LOWER('Base Stats'!$B$2:$B1000) = LOWER($A826))"),"1.15")</f>
        <v>1.15</v>
      </c>
      <c r="N826" s="0" t="e">
        <f aca="false">IFERROR(IF(AND(NOT(K826 = ""), G826 &gt;= 15),K826/M826, ""))</f>
        <v>#VALUE!</v>
      </c>
    </row>
    <row r="827" customFormat="false" ht="15.75" hidden="false" customHeight="false" outlineLevel="0" collapsed="false">
      <c r="A827" s="0" t="n">
        <f aca="false">'Form Responses (Pokemon Stats)'!B721</f>
        <v>0</v>
      </c>
      <c r="B827" s="0" t="n">
        <f aca="false">'Form Responses (Pokemon Stats)'!D721</f>
        <v>0</v>
      </c>
      <c r="C827" s="0" t="n">
        <f aca="false">'Form Responses (Pokemon Stats)'!C721</f>
        <v>0</v>
      </c>
      <c r="F827" s="0" t="n">
        <f aca="false">'Form Responses (Pokemon Stats)'!E721</f>
        <v>0</v>
      </c>
      <c r="G827" s="0" t="str">
        <f aca="false">IFERROR(__xludf.dummyfunction("ROUND(B827/ FILTER('Pokemon CP/HP'!$M$2:$M1000, LOWER('Pokemon CP/HP'!$B$2:$B1000)=LOWER(A827)))"),"#DIV/0!")</f>
        <v>#DIV/0!</v>
      </c>
      <c r="H827" s="0" t="str">
        <f aca="false">IFERROR(__xludf.dummyfunction("FILTER('Leveling Info'!$B$2:$B1000, 'Leveling Info'!$A$2:$A1000 =G827)"),"#N/A")</f>
        <v>#N/A</v>
      </c>
      <c r="I827" s="14" t="e">
        <f aca="false">SQRT(G827)</f>
        <v>#VALUE!</v>
      </c>
      <c r="J827" s="14" t="str">
        <f aca="false">IFERROR(__xludf.dummyfunction("IF(F827 = H827,C827/FILTER('Base Stats'!$C$2:$C1000, LOWER('Base Stats'!$B$2:$B1000) = LOWER($A827)), """")"),"#N/A")</f>
        <v>#N/A</v>
      </c>
      <c r="K827" s="0" t="str">
        <f aca="false">IF(F827 = H827, C827/G827, "")</f>
        <v/>
      </c>
      <c r="L827" s="0" t="str">
        <f aca="false">IFERROR(__xludf.dummyfunction("IF(AND(NOT(K827 = """"), G827 &gt;= 15),K827/FILTER('Base Stats'!$C$2:$C1000, LOWER('Base Stats'!$B$2:$B1000) = LOWER($A827)), """")"),"#N/A")</f>
        <v>#N/A</v>
      </c>
      <c r="M827" s="0" t="str">
        <f aca="false">IFERROR(__xludf.dummyfunction("1.15 + 0.02 * FILTER('Base Stats'!$C$2:$C1000, LOWER('Base Stats'!$B$2:$B1000) = LOWER($A827))"),"1.15")</f>
        <v>1.15</v>
      </c>
      <c r="N827" s="0" t="e">
        <f aca="false">IFERROR(IF(AND(NOT(K827 = ""), G827 &gt;= 15),K827/M827, ""))</f>
        <v>#VALUE!</v>
      </c>
    </row>
    <row r="828" customFormat="false" ht="15.75" hidden="false" customHeight="false" outlineLevel="0" collapsed="false">
      <c r="A828" s="0" t="n">
        <f aca="false">'Form Responses (Pokemon Stats)'!B722</f>
        <v>0</v>
      </c>
      <c r="B828" s="0" t="n">
        <f aca="false">'Form Responses (Pokemon Stats)'!D722</f>
        <v>0</v>
      </c>
      <c r="C828" s="0" t="n">
        <f aca="false">'Form Responses (Pokemon Stats)'!C722</f>
        <v>0</v>
      </c>
      <c r="F828" s="0" t="n">
        <f aca="false">'Form Responses (Pokemon Stats)'!E722</f>
        <v>0</v>
      </c>
      <c r="G828" s="0" t="str">
        <f aca="false">IFERROR(__xludf.dummyfunction("ROUND(B828/ FILTER('Pokemon CP/HP'!$M$2:$M1000, LOWER('Pokemon CP/HP'!$B$2:$B1000)=LOWER(A828)))"),"#DIV/0!")</f>
        <v>#DIV/0!</v>
      </c>
      <c r="H828" s="0" t="str">
        <f aca="false">IFERROR(__xludf.dummyfunction("FILTER('Leveling Info'!$B$2:$B1000, 'Leveling Info'!$A$2:$A1000 =G828)"),"#N/A")</f>
        <v>#N/A</v>
      </c>
      <c r="I828" s="14" t="e">
        <f aca="false">SQRT(G828)</f>
        <v>#VALUE!</v>
      </c>
      <c r="J828" s="14" t="str">
        <f aca="false">IFERROR(__xludf.dummyfunction("IF(F828 = H828,C828/FILTER('Base Stats'!$C$2:$C1000, LOWER('Base Stats'!$B$2:$B1000) = LOWER($A828)), """")"),"#N/A")</f>
        <v>#N/A</v>
      </c>
      <c r="K828" s="0" t="str">
        <f aca="false">IF(F828 = H828, C828/G828, "")</f>
        <v/>
      </c>
      <c r="L828" s="0" t="str">
        <f aca="false">IFERROR(__xludf.dummyfunction("IF(AND(NOT(K828 = """"), G828 &gt;= 15),K828/FILTER('Base Stats'!$C$2:$C1000, LOWER('Base Stats'!$B$2:$B1000) = LOWER($A828)), """")"),"#N/A")</f>
        <v>#N/A</v>
      </c>
      <c r="M828" s="0" t="str">
        <f aca="false">IFERROR(__xludf.dummyfunction("1.15 + 0.02 * FILTER('Base Stats'!$C$2:$C1000, LOWER('Base Stats'!$B$2:$B1000) = LOWER($A828))"),"1.15")</f>
        <v>1.15</v>
      </c>
      <c r="N828" s="0" t="e">
        <f aca="false">IFERROR(IF(AND(NOT(K828 = ""), G828 &gt;= 15),K828/M828, ""))</f>
        <v>#VALUE!</v>
      </c>
    </row>
    <row r="829" customFormat="false" ht="15.75" hidden="false" customHeight="false" outlineLevel="0" collapsed="false">
      <c r="A829" s="0" t="n">
        <f aca="false">'Form Responses (Pokemon Stats)'!B723</f>
        <v>0</v>
      </c>
      <c r="B829" s="0" t="n">
        <f aca="false">'Form Responses (Pokemon Stats)'!D723</f>
        <v>0</v>
      </c>
      <c r="C829" s="0" t="n">
        <f aca="false">'Form Responses (Pokemon Stats)'!C723</f>
        <v>0</v>
      </c>
      <c r="F829" s="0" t="n">
        <f aca="false">'Form Responses (Pokemon Stats)'!E723</f>
        <v>0</v>
      </c>
      <c r="G829" s="0" t="str">
        <f aca="false">IFERROR(__xludf.dummyfunction("ROUND(B829/ FILTER('Pokemon CP/HP'!$M$2:$M1000, LOWER('Pokemon CP/HP'!$B$2:$B1000)=LOWER(A829)))"),"#DIV/0!")</f>
        <v>#DIV/0!</v>
      </c>
      <c r="H829" s="0" t="str">
        <f aca="false">IFERROR(__xludf.dummyfunction("FILTER('Leveling Info'!$B$2:$B1000, 'Leveling Info'!$A$2:$A1000 =G829)"),"#N/A")</f>
        <v>#N/A</v>
      </c>
      <c r="I829" s="14" t="e">
        <f aca="false">SQRT(G829)</f>
        <v>#VALUE!</v>
      </c>
      <c r="J829" s="14" t="str">
        <f aca="false">IFERROR(__xludf.dummyfunction("IF(F829 = H829,C829/FILTER('Base Stats'!$C$2:$C1000, LOWER('Base Stats'!$B$2:$B1000) = LOWER($A829)), """")"),"#N/A")</f>
        <v>#N/A</v>
      </c>
      <c r="K829" s="0" t="str">
        <f aca="false">IF(F829 = H829, C829/G829, "")</f>
        <v/>
      </c>
      <c r="L829" s="0" t="str">
        <f aca="false">IFERROR(__xludf.dummyfunction("IF(AND(NOT(K829 = """"), G829 &gt;= 15),K829/FILTER('Base Stats'!$C$2:$C1000, LOWER('Base Stats'!$B$2:$B1000) = LOWER($A829)), """")"),"#N/A")</f>
        <v>#N/A</v>
      </c>
      <c r="M829" s="0" t="str">
        <f aca="false">IFERROR(__xludf.dummyfunction("1.15 + 0.02 * FILTER('Base Stats'!$C$2:$C1000, LOWER('Base Stats'!$B$2:$B1000) = LOWER($A829))"),"1.15")</f>
        <v>1.15</v>
      </c>
      <c r="N829" s="0" t="e">
        <f aca="false">IFERROR(IF(AND(NOT(K829 = ""), G829 &gt;= 15),K829/M829, ""))</f>
        <v>#VALUE!</v>
      </c>
    </row>
    <row r="830" customFormat="false" ht="15.75" hidden="false" customHeight="false" outlineLevel="0" collapsed="false">
      <c r="A830" s="0" t="n">
        <f aca="false">'Form Responses (Pokemon Stats)'!B724</f>
        <v>0</v>
      </c>
      <c r="B830" s="0" t="n">
        <f aca="false">'Form Responses (Pokemon Stats)'!D724</f>
        <v>0</v>
      </c>
      <c r="C830" s="0" t="n">
        <f aca="false">'Form Responses (Pokemon Stats)'!C724</f>
        <v>0</v>
      </c>
      <c r="F830" s="0" t="n">
        <f aca="false">'Form Responses (Pokemon Stats)'!E724</f>
        <v>0</v>
      </c>
      <c r="G830" s="0" t="str">
        <f aca="false">IFERROR(__xludf.dummyfunction("ROUND(B830/ FILTER('Pokemon CP/HP'!$M$2:$M1000, LOWER('Pokemon CP/HP'!$B$2:$B1000)=LOWER(A830)))"),"#DIV/0!")</f>
        <v>#DIV/0!</v>
      </c>
      <c r="H830" s="0" t="str">
        <f aca="false">IFERROR(__xludf.dummyfunction("FILTER('Leveling Info'!$B$2:$B1000, 'Leveling Info'!$A$2:$A1000 =G830)"),"#N/A")</f>
        <v>#N/A</v>
      </c>
      <c r="I830" s="14" t="e">
        <f aca="false">SQRT(G830)</f>
        <v>#VALUE!</v>
      </c>
      <c r="J830" s="14" t="str">
        <f aca="false">IFERROR(__xludf.dummyfunction("IF(F830 = H830,C830/FILTER('Base Stats'!$C$2:$C1000, LOWER('Base Stats'!$B$2:$B1000) = LOWER($A830)), """")"),"#N/A")</f>
        <v>#N/A</v>
      </c>
      <c r="K830" s="0" t="str">
        <f aca="false">IF(F830 = H830, C830/G830, "")</f>
        <v/>
      </c>
      <c r="L830" s="0" t="str">
        <f aca="false">IFERROR(__xludf.dummyfunction("IF(AND(NOT(K830 = """"), G830 &gt;= 15),K830/FILTER('Base Stats'!$C$2:$C1000, LOWER('Base Stats'!$B$2:$B1000) = LOWER($A830)), """")"),"#N/A")</f>
        <v>#N/A</v>
      </c>
      <c r="M830" s="0" t="str">
        <f aca="false">IFERROR(__xludf.dummyfunction("1.15 + 0.02 * FILTER('Base Stats'!$C$2:$C1000, LOWER('Base Stats'!$B$2:$B1000) = LOWER($A830))"),"1.15")</f>
        <v>1.15</v>
      </c>
      <c r="N830" s="0" t="e">
        <f aca="false">IFERROR(IF(AND(NOT(K830 = ""), G830 &gt;= 15),K830/M830, ""))</f>
        <v>#VALUE!</v>
      </c>
    </row>
    <row r="831" customFormat="false" ht="15.75" hidden="false" customHeight="false" outlineLevel="0" collapsed="false">
      <c r="A831" s="0" t="n">
        <f aca="false">'Form Responses (Pokemon Stats)'!B725</f>
        <v>0</v>
      </c>
      <c r="B831" s="0" t="n">
        <f aca="false">'Form Responses (Pokemon Stats)'!D725</f>
        <v>0</v>
      </c>
      <c r="C831" s="0" t="n">
        <f aca="false">'Form Responses (Pokemon Stats)'!C725</f>
        <v>0</v>
      </c>
      <c r="F831" s="0" t="n">
        <f aca="false">'Form Responses (Pokemon Stats)'!E725</f>
        <v>0</v>
      </c>
      <c r="G831" s="0" t="str">
        <f aca="false">IFERROR(__xludf.dummyfunction("ROUND(B831/ FILTER('Pokemon CP/HP'!$M$2:$M1000, LOWER('Pokemon CP/HP'!$B$2:$B1000)=LOWER(A831)))"),"#DIV/0!")</f>
        <v>#DIV/0!</v>
      </c>
      <c r="H831" s="0" t="str">
        <f aca="false">IFERROR(__xludf.dummyfunction("FILTER('Leveling Info'!$B$2:$B1000, 'Leveling Info'!$A$2:$A1000 =G831)"),"#N/A")</f>
        <v>#N/A</v>
      </c>
      <c r="I831" s="14" t="e">
        <f aca="false">SQRT(G831)</f>
        <v>#VALUE!</v>
      </c>
      <c r="J831" s="14" t="str">
        <f aca="false">IFERROR(__xludf.dummyfunction("IF(F831 = H831,C831/FILTER('Base Stats'!$C$2:$C1000, LOWER('Base Stats'!$B$2:$B1000) = LOWER($A831)), """")"),"#N/A")</f>
        <v>#N/A</v>
      </c>
      <c r="K831" s="0" t="str">
        <f aca="false">IF(F831 = H831, C831/G831, "")</f>
        <v/>
      </c>
      <c r="L831" s="0" t="str">
        <f aca="false">IFERROR(__xludf.dummyfunction("IF(AND(NOT(K831 = """"), G831 &gt;= 15),K831/FILTER('Base Stats'!$C$2:$C1000, LOWER('Base Stats'!$B$2:$B1000) = LOWER($A831)), """")"),"#N/A")</f>
        <v>#N/A</v>
      </c>
      <c r="M831" s="0" t="str">
        <f aca="false">IFERROR(__xludf.dummyfunction("1.15 + 0.02 * FILTER('Base Stats'!$C$2:$C1000, LOWER('Base Stats'!$B$2:$B1000) = LOWER($A831))"),"1.15")</f>
        <v>1.15</v>
      </c>
      <c r="N831" s="0" t="e">
        <f aca="false">IFERROR(IF(AND(NOT(K831 = ""), G831 &gt;= 15),K831/M831, ""))</f>
        <v>#VALUE!</v>
      </c>
    </row>
    <row r="832" customFormat="false" ht="15.75" hidden="false" customHeight="false" outlineLevel="0" collapsed="false">
      <c r="A832" s="0" t="n">
        <f aca="false">'Form Responses (Pokemon Stats)'!B726</f>
        <v>0</v>
      </c>
      <c r="B832" s="0" t="n">
        <f aca="false">'Form Responses (Pokemon Stats)'!D726</f>
        <v>0</v>
      </c>
      <c r="C832" s="0" t="n">
        <f aca="false">'Form Responses (Pokemon Stats)'!C726</f>
        <v>0</v>
      </c>
      <c r="F832" s="0" t="n">
        <f aca="false">'Form Responses (Pokemon Stats)'!E726</f>
        <v>0</v>
      </c>
      <c r="G832" s="0" t="str">
        <f aca="false">IFERROR(__xludf.dummyfunction("ROUND(B832/ FILTER('Pokemon CP/HP'!$M$2:$M1000, LOWER('Pokemon CP/HP'!$B$2:$B1000)=LOWER(A832)))"),"#DIV/0!")</f>
        <v>#DIV/0!</v>
      </c>
      <c r="H832" s="0" t="str">
        <f aca="false">IFERROR(__xludf.dummyfunction("FILTER('Leveling Info'!$B$2:$B1000, 'Leveling Info'!$A$2:$A1000 =G832)"),"#N/A")</f>
        <v>#N/A</v>
      </c>
      <c r="I832" s="14" t="e">
        <f aca="false">SQRT(G832)</f>
        <v>#VALUE!</v>
      </c>
      <c r="J832" s="14" t="str">
        <f aca="false">IFERROR(__xludf.dummyfunction("IF(F832 = H832,C832/FILTER('Base Stats'!$C$2:$C1000, LOWER('Base Stats'!$B$2:$B1000) = LOWER($A832)), """")"),"#N/A")</f>
        <v>#N/A</v>
      </c>
      <c r="K832" s="0" t="str">
        <f aca="false">IF(F832 = H832, C832/G832, "")</f>
        <v/>
      </c>
      <c r="L832" s="0" t="str">
        <f aca="false">IFERROR(__xludf.dummyfunction("IF(AND(NOT(K832 = """"), G832 &gt;= 15),K832/FILTER('Base Stats'!$C$2:$C1000, LOWER('Base Stats'!$B$2:$B1000) = LOWER($A832)), """")"),"#N/A")</f>
        <v>#N/A</v>
      </c>
      <c r="M832" s="0" t="str">
        <f aca="false">IFERROR(__xludf.dummyfunction("1.15 + 0.02 * FILTER('Base Stats'!$C$2:$C1000, LOWER('Base Stats'!$B$2:$B1000) = LOWER($A832))"),"1.15")</f>
        <v>1.15</v>
      </c>
      <c r="N832" s="0" t="e">
        <f aca="false">IFERROR(IF(AND(NOT(K832 = ""), G832 &gt;= 15),K832/M832, ""))</f>
        <v>#VALUE!</v>
      </c>
    </row>
    <row r="833" customFormat="false" ht="15.75" hidden="false" customHeight="false" outlineLevel="0" collapsed="false">
      <c r="A833" s="0" t="n">
        <f aca="false">'Form Responses (Pokemon Stats)'!B727</f>
        <v>0</v>
      </c>
      <c r="B833" s="0" t="n">
        <f aca="false">'Form Responses (Pokemon Stats)'!D727</f>
        <v>0</v>
      </c>
      <c r="C833" s="0" t="n">
        <f aca="false">'Form Responses (Pokemon Stats)'!C727</f>
        <v>0</v>
      </c>
      <c r="F833" s="0" t="n">
        <f aca="false">'Form Responses (Pokemon Stats)'!E727</f>
        <v>0</v>
      </c>
      <c r="G833" s="0" t="str">
        <f aca="false">IFERROR(__xludf.dummyfunction("ROUND(B833/ FILTER('Pokemon CP/HP'!$M$2:$M1000, LOWER('Pokemon CP/HP'!$B$2:$B1000)=LOWER(A833)))"),"#DIV/0!")</f>
        <v>#DIV/0!</v>
      </c>
      <c r="H833" s="0" t="str">
        <f aca="false">IFERROR(__xludf.dummyfunction("FILTER('Leveling Info'!$B$2:$B1000, 'Leveling Info'!$A$2:$A1000 =G833)"),"#N/A")</f>
        <v>#N/A</v>
      </c>
      <c r="I833" s="14" t="e">
        <f aca="false">SQRT(G833)</f>
        <v>#VALUE!</v>
      </c>
      <c r="J833" s="14" t="str">
        <f aca="false">IFERROR(__xludf.dummyfunction("IF(F833 = H833,C833/FILTER('Base Stats'!$C$2:$C1000, LOWER('Base Stats'!$B$2:$B1000) = LOWER($A833)), """")"),"#N/A")</f>
        <v>#N/A</v>
      </c>
      <c r="K833" s="0" t="str">
        <f aca="false">IF(F833 = H833, C833/G833, "")</f>
        <v/>
      </c>
      <c r="L833" s="0" t="str">
        <f aca="false">IFERROR(__xludf.dummyfunction("IF(AND(NOT(K833 = """"), G833 &gt;= 15),K833/FILTER('Base Stats'!$C$2:$C1000, LOWER('Base Stats'!$B$2:$B1000) = LOWER($A833)), """")"),"#N/A")</f>
        <v>#N/A</v>
      </c>
      <c r="M833" s="0" t="str">
        <f aca="false">IFERROR(__xludf.dummyfunction("1.15 + 0.02 * FILTER('Base Stats'!$C$2:$C1000, LOWER('Base Stats'!$B$2:$B1000) = LOWER($A833))"),"1.15")</f>
        <v>1.15</v>
      </c>
      <c r="N833" s="0" t="e">
        <f aca="false">IFERROR(IF(AND(NOT(K833 = ""), G833 &gt;= 15),K833/M833, ""))</f>
        <v>#VALUE!</v>
      </c>
    </row>
    <row r="834" customFormat="false" ht="15.75" hidden="false" customHeight="false" outlineLevel="0" collapsed="false">
      <c r="A834" s="0" t="n">
        <f aca="false">'Form Responses (Pokemon Stats)'!B728</f>
        <v>0</v>
      </c>
      <c r="B834" s="0" t="n">
        <f aca="false">'Form Responses (Pokemon Stats)'!D728</f>
        <v>0</v>
      </c>
      <c r="C834" s="0" t="n">
        <f aca="false">'Form Responses (Pokemon Stats)'!C728</f>
        <v>0</v>
      </c>
      <c r="F834" s="0" t="n">
        <f aca="false">'Form Responses (Pokemon Stats)'!E728</f>
        <v>0</v>
      </c>
      <c r="G834" s="0" t="str">
        <f aca="false">IFERROR(__xludf.dummyfunction("ROUND(B834/ FILTER('Pokemon CP/HP'!$M$2:$M1000, LOWER('Pokemon CP/HP'!$B$2:$B1000)=LOWER(A834)))"),"#DIV/0!")</f>
        <v>#DIV/0!</v>
      </c>
      <c r="H834" s="0" t="str">
        <f aca="false">IFERROR(__xludf.dummyfunction("FILTER('Leveling Info'!$B$2:$B1000, 'Leveling Info'!$A$2:$A1000 =G834)"),"#N/A")</f>
        <v>#N/A</v>
      </c>
      <c r="I834" s="14" t="e">
        <f aca="false">SQRT(G834)</f>
        <v>#VALUE!</v>
      </c>
      <c r="J834" s="14" t="str">
        <f aca="false">IFERROR(__xludf.dummyfunction("IF(F834 = H834,C834/FILTER('Base Stats'!$C$2:$C1000, LOWER('Base Stats'!$B$2:$B1000) = LOWER($A834)), """")"),"#N/A")</f>
        <v>#N/A</v>
      </c>
      <c r="K834" s="0" t="str">
        <f aca="false">IF(F834 = H834, C834/G834, "")</f>
        <v/>
      </c>
      <c r="L834" s="0" t="str">
        <f aca="false">IFERROR(__xludf.dummyfunction("IF(AND(NOT(K834 = """"), G834 &gt;= 15),K834/FILTER('Base Stats'!$C$2:$C1000, LOWER('Base Stats'!$B$2:$B1000) = LOWER($A834)), """")"),"#N/A")</f>
        <v>#N/A</v>
      </c>
      <c r="M834" s="0" t="str">
        <f aca="false">IFERROR(__xludf.dummyfunction("1.15 + 0.02 * FILTER('Base Stats'!$C$2:$C1000, LOWER('Base Stats'!$B$2:$B1000) = LOWER($A834))"),"1.15")</f>
        <v>1.15</v>
      </c>
      <c r="N834" s="0" t="e">
        <f aca="false">IFERROR(IF(AND(NOT(K834 = ""), G834 &gt;= 15),K834/M834, ""))</f>
        <v>#VALUE!</v>
      </c>
    </row>
    <row r="835" customFormat="false" ht="15.75" hidden="false" customHeight="false" outlineLevel="0" collapsed="false">
      <c r="A835" s="0" t="n">
        <f aca="false">'Form Responses (Pokemon Stats)'!B729</f>
        <v>0</v>
      </c>
      <c r="B835" s="0" t="n">
        <f aca="false">'Form Responses (Pokemon Stats)'!D729</f>
        <v>0</v>
      </c>
      <c r="C835" s="0" t="n">
        <f aca="false">'Form Responses (Pokemon Stats)'!C729</f>
        <v>0</v>
      </c>
      <c r="F835" s="0" t="n">
        <f aca="false">'Form Responses (Pokemon Stats)'!E729</f>
        <v>0</v>
      </c>
      <c r="G835" s="0" t="str">
        <f aca="false">IFERROR(__xludf.dummyfunction("ROUND(B835/ FILTER('Pokemon CP/HP'!$M$2:$M1000, LOWER('Pokemon CP/HP'!$B$2:$B1000)=LOWER(A835)))"),"#DIV/0!")</f>
        <v>#DIV/0!</v>
      </c>
      <c r="H835" s="0" t="str">
        <f aca="false">IFERROR(__xludf.dummyfunction("FILTER('Leveling Info'!$B$2:$B1000, 'Leveling Info'!$A$2:$A1000 =G835)"),"#N/A")</f>
        <v>#N/A</v>
      </c>
      <c r="I835" s="14" t="e">
        <f aca="false">SQRT(G835)</f>
        <v>#VALUE!</v>
      </c>
      <c r="J835" s="14" t="str">
        <f aca="false">IFERROR(__xludf.dummyfunction("IF(F835 = H835,C835/FILTER('Base Stats'!$C$2:$C1000, LOWER('Base Stats'!$B$2:$B1000) = LOWER($A835)), """")"),"#N/A")</f>
        <v>#N/A</v>
      </c>
      <c r="K835" s="0" t="str">
        <f aca="false">IF(F835 = H835, C835/G835, "")</f>
        <v/>
      </c>
      <c r="L835" s="0" t="str">
        <f aca="false">IFERROR(__xludf.dummyfunction("IF(AND(NOT(K835 = """"), G835 &gt;= 15),K835/FILTER('Base Stats'!$C$2:$C1000, LOWER('Base Stats'!$B$2:$B1000) = LOWER($A835)), """")"),"#N/A")</f>
        <v>#N/A</v>
      </c>
      <c r="M835" s="0" t="str">
        <f aca="false">IFERROR(__xludf.dummyfunction("1.15 + 0.02 * FILTER('Base Stats'!$C$2:$C1000, LOWER('Base Stats'!$B$2:$B1000) = LOWER($A835))"),"1.15")</f>
        <v>1.15</v>
      </c>
      <c r="N835" s="0" t="e">
        <f aca="false">IFERROR(IF(AND(NOT(K835 = ""), G835 &gt;= 15),K835/M835, ""))</f>
        <v>#VALUE!</v>
      </c>
    </row>
    <row r="836" customFormat="false" ht="15.75" hidden="false" customHeight="false" outlineLevel="0" collapsed="false">
      <c r="A836" s="0" t="n">
        <f aca="false">'Form Responses (Pokemon Stats)'!B730</f>
        <v>0</v>
      </c>
      <c r="B836" s="0" t="n">
        <f aca="false">'Form Responses (Pokemon Stats)'!D730</f>
        <v>0</v>
      </c>
      <c r="C836" s="0" t="n">
        <f aca="false">'Form Responses (Pokemon Stats)'!C730</f>
        <v>0</v>
      </c>
      <c r="F836" s="0" t="n">
        <f aca="false">'Form Responses (Pokemon Stats)'!E730</f>
        <v>0</v>
      </c>
      <c r="G836" s="0" t="str">
        <f aca="false">IFERROR(__xludf.dummyfunction("ROUND(B836/ FILTER('Pokemon CP/HP'!$M$2:$M1000, LOWER('Pokemon CP/HP'!$B$2:$B1000)=LOWER(A836)))"),"#DIV/0!")</f>
        <v>#DIV/0!</v>
      </c>
      <c r="H836" s="0" t="str">
        <f aca="false">IFERROR(__xludf.dummyfunction("FILTER('Leveling Info'!$B$2:$B1000, 'Leveling Info'!$A$2:$A1000 =G836)"),"#N/A")</f>
        <v>#N/A</v>
      </c>
      <c r="I836" s="14" t="e">
        <f aca="false">SQRT(G836)</f>
        <v>#VALUE!</v>
      </c>
      <c r="J836" s="14" t="str">
        <f aca="false">IFERROR(__xludf.dummyfunction("IF(F836 = H836,C836/FILTER('Base Stats'!$C$2:$C1000, LOWER('Base Stats'!$B$2:$B1000) = LOWER($A836)), """")"),"#N/A")</f>
        <v>#N/A</v>
      </c>
      <c r="K836" s="0" t="str">
        <f aca="false">IF(F836 = H836, C836/G836, "")</f>
        <v/>
      </c>
      <c r="L836" s="0" t="str">
        <f aca="false">IFERROR(__xludf.dummyfunction("IF(AND(NOT(K836 = """"), G836 &gt;= 15),K836/FILTER('Base Stats'!$C$2:$C1000, LOWER('Base Stats'!$B$2:$B1000) = LOWER($A836)), """")"),"#N/A")</f>
        <v>#N/A</v>
      </c>
      <c r="M836" s="0" t="str">
        <f aca="false">IFERROR(__xludf.dummyfunction("1.15 + 0.02 * FILTER('Base Stats'!$C$2:$C1000, LOWER('Base Stats'!$B$2:$B1000) = LOWER($A836))"),"1.15")</f>
        <v>1.15</v>
      </c>
      <c r="N836" s="0" t="e">
        <f aca="false">IFERROR(IF(AND(NOT(K836 = ""), G836 &gt;= 15),K836/M836, ""))</f>
        <v>#VALUE!</v>
      </c>
    </row>
    <row r="837" customFormat="false" ht="15.75" hidden="false" customHeight="false" outlineLevel="0" collapsed="false">
      <c r="A837" s="0" t="n">
        <f aca="false">'Form Responses (Pokemon Stats)'!B731</f>
        <v>0</v>
      </c>
      <c r="B837" s="0" t="n">
        <f aca="false">'Form Responses (Pokemon Stats)'!D731</f>
        <v>0</v>
      </c>
      <c r="C837" s="0" t="n">
        <f aca="false">'Form Responses (Pokemon Stats)'!C731</f>
        <v>0</v>
      </c>
      <c r="F837" s="0" t="n">
        <f aca="false">'Form Responses (Pokemon Stats)'!E731</f>
        <v>0</v>
      </c>
      <c r="G837" s="0" t="str">
        <f aca="false">IFERROR(__xludf.dummyfunction("ROUND(B837/ FILTER('Pokemon CP/HP'!$M$2:$M1000, LOWER('Pokemon CP/HP'!$B$2:$B1000)=LOWER(A837)))"),"#DIV/0!")</f>
        <v>#DIV/0!</v>
      </c>
      <c r="H837" s="0" t="str">
        <f aca="false">IFERROR(__xludf.dummyfunction("FILTER('Leveling Info'!$B$2:$B1000, 'Leveling Info'!$A$2:$A1000 =G837)"),"#N/A")</f>
        <v>#N/A</v>
      </c>
      <c r="I837" s="14" t="e">
        <f aca="false">SQRT(G837)</f>
        <v>#VALUE!</v>
      </c>
      <c r="J837" s="14" t="str">
        <f aca="false">IFERROR(__xludf.dummyfunction("IF(F837 = H837,C837/FILTER('Base Stats'!$C$2:$C1000, LOWER('Base Stats'!$B$2:$B1000) = LOWER($A837)), """")"),"#N/A")</f>
        <v>#N/A</v>
      </c>
      <c r="K837" s="0" t="str">
        <f aca="false">IF(F837 = H837, C837/G837, "")</f>
        <v/>
      </c>
      <c r="L837" s="0" t="str">
        <f aca="false">IFERROR(__xludf.dummyfunction("IF(AND(NOT(K837 = """"), G837 &gt;= 15),K837/FILTER('Base Stats'!$C$2:$C1000, LOWER('Base Stats'!$B$2:$B1000) = LOWER($A837)), """")"),"#N/A")</f>
        <v>#N/A</v>
      </c>
      <c r="M837" s="0" t="str">
        <f aca="false">IFERROR(__xludf.dummyfunction("1.15 + 0.02 * FILTER('Base Stats'!$C$2:$C1000, LOWER('Base Stats'!$B$2:$B1000) = LOWER($A837))"),"1.15")</f>
        <v>1.15</v>
      </c>
      <c r="N837" s="0" t="e">
        <f aca="false">IFERROR(IF(AND(NOT(K837 = ""), G837 &gt;= 15),K837/M837, ""))</f>
        <v>#VALUE!</v>
      </c>
    </row>
    <row r="838" customFormat="false" ht="15.75" hidden="false" customHeight="false" outlineLevel="0" collapsed="false">
      <c r="A838" s="0" t="n">
        <f aca="false">'Form Responses (Pokemon Stats)'!B732</f>
        <v>0</v>
      </c>
      <c r="B838" s="0" t="n">
        <f aca="false">'Form Responses (Pokemon Stats)'!D732</f>
        <v>0</v>
      </c>
      <c r="C838" s="0" t="n">
        <f aca="false">'Form Responses (Pokemon Stats)'!C732</f>
        <v>0</v>
      </c>
      <c r="F838" s="0" t="n">
        <f aca="false">'Form Responses (Pokemon Stats)'!E732</f>
        <v>0</v>
      </c>
      <c r="G838" s="0" t="str">
        <f aca="false">IFERROR(__xludf.dummyfunction("ROUND(B838/ FILTER('Pokemon CP/HP'!$M$2:$M1000, LOWER('Pokemon CP/HP'!$B$2:$B1000)=LOWER(A838)))"),"#DIV/0!")</f>
        <v>#DIV/0!</v>
      </c>
      <c r="H838" s="0" t="str">
        <f aca="false">IFERROR(__xludf.dummyfunction("FILTER('Leveling Info'!$B$2:$B1000, 'Leveling Info'!$A$2:$A1000 =G838)"),"#N/A")</f>
        <v>#N/A</v>
      </c>
      <c r="I838" s="14" t="e">
        <f aca="false">SQRT(G838)</f>
        <v>#VALUE!</v>
      </c>
      <c r="J838" s="14" t="str">
        <f aca="false">IFERROR(__xludf.dummyfunction("IF(F838 = H838,C838/FILTER('Base Stats'!$C$2:$C1000, LOWER('Base Stats'!$B$2:$B1000) = LOWER($A838)), """")"),"#N/A")</f>
        <v>#N/A</v>
      </c>
      <c r="K838" s="0" t="str">
        <f aca="false">IF(F838 = H838, C838/G838, "")</f>
        <v/>
      </c>
      <c r="L838" s="0" t="str">
        <f aca="false">IFERROR(__xludf.dummyfunction("IF(AND(NOT(K838 = """"), G838 &gt;= 15),K838/FILTER('Base Stats'!$C$2:$C1000, LOWER('Base Stats'!$B$2:$B1000) = LOWER($A838)), """")"),"#N/A")</f>
        <v>#N/A</v>
      </c>
      <c r="M838" s="0" t="str">
        <f aca="false">IFERROR(__xludf.dummyfunction("1.15 + 0.02 * FILTER('Base Stats'!$C$2:$C1000, LOWER('Base Stats'!$B$2:$B1000) = LOWER($A838))"),"1.15")</f>
        <v>1.15</v>
      </c>
      <c r="N838" s="0" t="e">
        <f aca="false">IFERROR(IF(AND(NOT(K838 = ""), G838 &gt;= 15),K838/M838, ""))</f>
        <v>#VALUE!</v>
      </c>
    </row>
    <row r="839" customFormat="false" ht="15.75" hidden="false" customHeight="false" outlineLevel="0" collapsed="false">
      <c r="A839" s="0" t="n">
        <f aca="false">'Form Responses (Pokemon Stats)'!B733</f>
        <v>0</v>
      </c>
      <c r="B839" s="0" t="n">
        <f aca="false">'Form Responses (Pokemon Stats)'!D733</f>
        <v>0</v>
      </c>
      <c r="C839" s="0" t="n">
        <f aca="false">'Form Responses (Pokemon Stats)'!C733</f>
        <v>0</v>
      </c>
      <c r="F839" s="0" t="n">
        <f aca="false">'Form Responses (Pokemon Stats)'!E733</f>
        <v>0</v>
      </c>
      <c r="G839" s="0" t="str">
        <f aca="false">IFERROR(__xludf.dummyfunction("ROUND(B839/ FILTER('Pokemon CP/HP'!$M$2:$M1000, LOWER('Pokemon CP/HP'!$B$2:$B1000)=LOWER(A839)))"),"#DIV/0!")</f>
        <v>#DIV/0!</v>
      </c>
      <c r="H839" s="0" t="str">
        <f aca="false">IFERROR(__xludf.dummyfunction("FILTER('Leveling Info'!$B$2:$B1000, 'Leveling Info'!$A$2:$A1000 =G839)"),"#N/A")</f>
        <v>#N/A</v>
      </c>
      <c r="I839" s="14" t="e">
        <f aca="false">SQRT(G839)</f>
        <v>#VALUE!</v>
      </c>
      <c r="J839" s="14" t="str">
        <f aca="false">IFERROR(__xludf.dummyfunction("IF(F839 = H839,C839/FILTER('Base Stats'!$C$2:$C1000, LOWER('Base Stats'!$B$2:$B1000) = LOWER($A839)), """")"),"#N/A")</f>
        <v>#N/A</v>
      </c>
      <c r="K839" s="0" t="str">
        <f aca="false">IF(F839 = H839, C839/G839, "")</f>
        <v/>
      </c>
      <c r="L839" s="0" t="str">
        <f aca="false">IFERROR(__xludf.dummyfunction("IF(AND(NOT(K839 = """"), G839 &gt;= 15),K839/FILTER('Base Stats'!$C$2:$C1000, LOWER('Base Stats'!$B$2:$B1000) = LOWER($A839)), """")"),"#N/A")</f>
        <v>#N/A</v>
      </c>
      <c r="M839" s="0" t="str">
        <f aca="false">IFERROR(__xludf.dummyfunction("1.15 + 0.02 * FILTER('Base Stats'!$C$2:$C1000, LOWER('Base Stats'!$B$2:$B1000) = LOWER($A839))"),"1.15")</f>
        <v>1.15</v>
      </c>
      <c r="N839" s="0" t="e">
        <f aca="false">IFERROR(IF(AND(NOT(K839 = ""), G839 &gt;= 15),K839/M839, ""))</f>
        <v>#VALUE!</v>
      </c>
    </row>
    <row r="840" customFormat="false" ht="15.75" hidden="false" customHeight="false" outlineLevel="0" collapsed="false">
      <c r="A840" s="0" t="n">
        <f aca="false">'Form Responses (Pokemon Stats)'!B734</f>
        <v>0</v>
      </c>
      <c r="B840" s="0" t="n">
        <f aca="false">'Form Responses (Pokemon Stats)'!D734</f>
        <v>0</v>
      </c>
      <c r="C840" s="0" t="n">
        <f aca="false">'Form Responses (Pokemon Stats)'!C734</f>
        <v>0</v>
      </c>
      <c r="F840" s="0" t="n">
        <f aca="false">'Form Responses (Pokemon Stats)'!E734</f>
        <v>0</v>
      </c>
      <c r="G840" s="0" t="str">
        <f aca="false">IFERROR(__xludf.dummyfunction("ROUND(B840/ FILTER('Pokemon CP/HP'!$M$2:$M1000, LOWER('Pokemon CP/HP'!$B$2:$B1000)=LOWER(A840)))"),"#DIV/0!")</f>
        <v>#DIV/0!</v>
      </c>
      <c r="H840" s="0" t="str">
        <f aca="false">IFERROR(__xludf.dummyfunction("FILTER('Leveling Info'!$B$2:$B1000, 'Leveling Info'!$A$2:$A1000 =G840)"),"#N/A")</f>
        <v>#N/A</v>
      </c>
      <c r="I840" s="14" t="e">
        <f aca="false">SQRT(G840)</f>
        <v>#VALUE!</v>
      </c>
      <c r="J840" s="14" t="str">
        <f aca="false">IFERROR(__xludf.dummyfunction("IF(F840 = H840,C840/FILTER('Base Stats'!$C$2:$C1000, LOWER('Base Stats'!$B$2:$B1000) = LOWER($A840)), """")"),"#N/A")</f>
        <v>#N/A</v>
      </c>
      <c r="K840" s="0" t="str">
        <f aca="false">IF(F840 = H840, C840/G840, "")</f>
        <v/>
      </c>
      <c r="L840" s="0" t="str">
        <f aca="false">IFERROR(__xludf.dummyfunction("IF(AND(NOT(K840 = """"), G840 &gt;= 15),K840/FILTER('Base Stats'!$C$2:$C1000, LOWER('Base Stats'!$B$2:$B1000) = LOWER($A840)), """")"),"#N/A")</f>
        <v>#N/A</v>
      </c>
      <c r="M840" s="0" t="str">
        <f aca="false">IFERROR(__xludf.dummyfunction("1.15 + 0.02 * FILTER('Base Stats'!$C$2:$C1000, LOWER('Base Stats'!$B$2:$B1000) = LOWER($A840))"),"1.15")</f>
        <v>1.15</v>
      </c>
      <c r="N840" s="0" t="e">
        <f aca="false">IFERROR(IF(AND(NOT(K840 = ""), G840 &gt;= 15),K840/M840, ""))</f>
        <v>#VALUE!</v>
      </c>
    </row>
    <row r="841" customFormat="false" ht="15.75" hidden="false" customHeight="false" outlineLevel="0" collapsed="false">
      <c r="A841" s="0" t="n">
        <f aca="false">'Form Responses (Pokemon Stats)'!B735</f>
        <v>0</v>
      </c>
      <c r="B841" s="0" t="n">
        <f aca="false">'Form Responses (Pokemon Stats)'!D735</f>
        <v>0</v>
      </c>
      <c r="C841" s="0" t="n">
        <f aca="false">'Form Responses (Pokemon Stats)'!C735</f>
        <v>0</v>
      </c>
      <c r="F841" s="0" t="n">
        <f aca="false">'Form Responses (Pokemon Stats)'!E735</f>
        <v>0</v>
      </c>
      <c r="G841" s="0" t="str">
        <f aca="false">IFERROR(__xludf.dummyfunction("ROUND(B841/ FILTER('Pokemon CP/HP'!$M$2:$M1000, LOWER('Pokemon CP/HP'!$B$2:$B1000)=LOWER(A841)))"),"#DIV/0!")</f>
        <v>#DIV/0!</v>
      </c>
      <c r="H841" s="0" t="str">
        <f aca="false">IFERROR(__xludf.dummyfunction("FILTER('Leveling Info'!$B$2:$B1000, 'Leveling Info'!$A$2:$A1000 =G841)"),"#N/A")</f>
        <v>#N/A</v>
      </c>
      <c r="I841" s="14" t="e">
        <f aca="false">SQRT(G841)</f>
        <v>#VALUE!</v>
      </c>
      <c r="J841" s="14" t="str">
        <f aca="false">IFERROR(__xludf.dummyfunction("IF(F841 = H841,C841/FILTER('Base Stats'!$C$2:$C1000, LOWER('Base Stats'!$B$2:$B1000) = LOWER($A841)), """")"),"#N/A")</f>
        <v>#N/A</v>
      </c>
      <c r="K841" s="0" t="str">
        <f aca="false">IF(F841 = H841, C841/G841, "")</f>
        <v/>
      </c>
      <c r="L841" s="0" t="str">
        <f aca="false">IFERROR(__xludf.dummyfunction("IF(AND(NOT(K841 = """"), G841 &gt;= 15),K841/FILTER('Base Stats'!$C$2:$C1000, LOWER('Base Stats'!$B$2:$B1000) = LOWER($A841)), """")"),"#N/A")</f>
        <v>#N/A</v>
      </c>
      <c r="M841" s="0" t="str">
        <f aca="false">IFERROR(__xludf.dummyfunction("1.15 + 0.02 * FILTER('Base Stats'!$C$2:$C1000, LOWER('Base Stats'!$B$2:$B1000) = LOWER($A841))"),"1.15")</f>
        <v>1.15</v>
      </c>
      <c r="N841" s="0" t="e">
        <f aca="false">IFERROR(IF(AND(NOT(K841 = ""), G841 &gt;= 15),K841/M841, ""))</f>
        <v>#VALUE!</v>
      </c>
    </row>
    <row r="842" customFormat="false" ht="15.75" hidden="false" customHeight="false" outlineLevel="0" collapsed="false">
      <c r="A842" s="0" t="n">
        <f aca="false">'Form Responses (Pokemon Stats)'!B736</f>
        <v>0</v>
      </c>
      <c r="B842" s="0" t="n">
        <f aca="false">'Form Responses (Pokemon Stats)'!D736</f>
        <v>0</v>
      </c>
      <c r="C842" s="0" t="n">
        <f aca="false">'Form Responses (Pokemon Stats)'!C736</f>
        <v>0</v>
      </c>
      <c r="F842" s="0" t="n">
        <f aca="false">'Form Responses (Pokemon Stats)'!E736</f>
        <v>0</v>
      </c>
      <c r="G842" s="0" t="str">
        <f aca="false">IFERROR(__xludf.dummyfunction("ROUND(B842/ FILTER('Pokemon CP/HP'!$M$2:$M1000, LOWER('Pokemon CP/HP'!$B$2:$B1000)=LOWER(A842)))"),"#DIV/0!")</f>
        <v>#DIV/0!</v>
      </c>
      <c r="H842" s="0" t="str">
        <f aca="false">IFERROR(__xludf.dummyfunction("FILTER('Leveling Info'!$B$2:$B1000, 'Leveling Info'!$A$2:$A1000 =G842)"),"#N/A")</f>
        <v>#N/A</v>
      </c>
      <c r="I842" s="14" t="e">
        <f aca="false">SQRT(G842)</f>
        <v>#VALUE!</v>
      </c>
      <c r="J842" s="14" t="str">
        <f aca="false">IFERROR(__xludf.dummyfunction("IF(F842 = H842,C842/FILTER('Base Stats'!$C$2:$C1000, LOWER('Base Stats'!$B$2:$B1000) = LOWER($A842)), """")"),"#N/A")</f>
        <v>#N/A</v>
      </c>
      <c r="K842" s="0" t="str">
        <f aca="false">IF(F842 = H842, C842/G842, "")</f>
        <v/>
      </c>
      <c r="L842" s="0" t="str">
        <f aca="false">IFERROR(__xludf.dummyfunction("IF(AND(NOT(K842 = """"), G842 &gt;= 15),K842/FILTER('Base Stats'!$C$2:$C1000, LOWER('Base Stats'!$B$2:$B1000) = LOWER($A842)), """")"),"#N/A")</f>
        <v>#N/A</v>
      </c>
      <c r="M842" s="0" t="str">
        <f aca="false">IFERROR(__xludf.dummyfunction("1.15 + 0.02 * FILTER('Base Stats'!$C$2:$C1000, LOWER('Base Stats'!$B$2:$B1000) = LOWER($A842))"),"1.15")</f>
        <v>1.15</v>
      </c>
      <c r="N842" s="0" t="e">
        <f aca="false">IFERROR(IF(AND(NOT(K842 = ""), G842 &gt;= 15),K842/M842, ""))</f>
        <v>#VALUE!</v>
      </c>
    </row>
    <row r="843" customFormat="false" ht="15.75" hidden="false" customHeight="false" outlineLevel="0" collapsed="false">
      <c r="A843" s="0" t="n">
        <f aca="false">'Form Responses (Pokemon Stats)'!B737</f>
        <v>0</v>
      </c>
      <c r="B843" s="0" t="n">
        <f aca="false">'Form Responses (Pokemon Stats)'!D737</f>
        <v>0</v>
      </c>
      <c r="C843" s="0" t="n">
        <f aca="false">'Form Responses (Pokemon Stats)'!C737</f>
        <v>0</v>
      </c>
      <c r="F843" s="0" t="n">
        <f aca="false">'Form Responses (Pokemon Stats)'!E737</f>
        <v>0</v>
      </c>
      <c r="G843" s="0" t="str">
        <f aca="false">IFERROR(__xludf.dummyfunction("ROUND(B843/ FILTER('Pokemon CP/HP'!$M$2:$M1000, LOWER('Pokemon CP/HP'!$B$2:$B1000)=LOWER(A843)))"),"#DIV/0!")</f>
        <v>#DIV/0!</v>
      </c>
      <c r="H843" s="0" t="str">
        <f aca="false">IFERROR(__xludf.dummyfunction("FILTER('Leveling Info'!$B$2:$B1000, 'Leveling Info'!$A$2:$A1000 =G843)"),"#N/A")</f>
        <v>#N/A</v>
      </c>
      <c r="I843" s="14" t="e">
        <f aca="false">SQRT(G843)</f>
        <v>#VALUE!</v>
      </c>
      <c r="J843" s="14" t="str">
        <f aca="false">IFERROR(__xludf.dummyfunction("IF(F843 = H843,C843/FILTER('Base Stats'!$C$2:$C1000, LOWER('Base Stats'!$B$2:$B1000) = LOWER($A843)), """")"),"#N/A")</f>
        <v>#N/A</v>
      </c>
      <c r="K843" s="0" t="str">
        <f aca="false">IF(F843 = H843, C843/G843, "")</f>
        <v/>
      </c>
      <c r="L843" s="0" t="str">
        <f aca="false">IFERROR(__xludf.dummyfunction("IF(AND(NOT(K843 = """"), G843 &gt;= 15),K843/FILTER('Base Stats'!$C$2:$C1000, LOWER('Base Stats'!$B$2:$B1000) = LOWER($A843)), """")"),"#N/A")</f>
        <v>#N/A</v>
      </c>
      <c r="M843" s="0" t="str">
        <f aca="false">IFERROR(__xludf.dummyfunction("1.15 + 0.02 * FILTER('Base Stats'!$C$2:$C1000, LOWER('Base Stats'!$B$2:$B1000) = LOWER($A843))"),"1.15")</f>
        <v>1.15</v>
      </c>
      <c r="N843" s="0" t="e">
        <f aca="false">IFERROR(IF(AND(NOT(K843 = ""), G843 &gt;= 15),K843/M843, ""))</f>
        <v>#VALUE!</v>
      </c>
    </row>
    <row r="844" customFormat="false" ht="15.75" hidden="false" customHeight="false" outlineLevel="0" collapsed="false">
      <c r="A844" s="0" t="n">
        <f aca="false">'Form Responses (Pokemon Stats)'!B738</f>
        <v>0</v>
      </c>
      <c r="B844" s="0" t="n">
        <f aca="false">'Form Responses (Pokemon Stats)'!D738</f>
        <v>0</v>
      </c>
      <c r="C844" s="0" t="n">
        <f aca="false">'Form Responses (Pokemon Stats)'!C738</f>
        <v>0</v>
      </c>
      <c r="F844" s="0" t="n">
        <f aca="false">'Form Responses (Pokemon Stats)'!E738</f>
        <v>0</v>
      </c>
      <c r="G844" s="0" t="str">
        <f aca="false">IFERROR(__xludf.dummyfunction("ROUND(B844/ FILTER('Pokemon CP/HP'!$M$2:$M1000, LOWER('Pokemon CP/HP'!$B$2:$B1000)=LOWER(A844)))"),"#DIV/0!")</f>
        <v>#DIV/0!</v>
      </c>
      <c r="H844" s="0" t="str">
        <f aca="false">IFERROR(__xludf.dummyfunction("FILTER('Leveling Info'!$B$2:$B1000, 'Leveling Info'!$A$2:$A1000 =G844)"),"#N/A")</f>
        <v>#N/A</v>
      </c>
      <c r="I844" s="14" t="e">
        <f aca="false">SQRT(G844)</f>
        <v>#VALUE!</v>
      </c>
      <c r="J844" s="14" t="str">
        <f aca="false">IFERROR(__xludf.dummyfunction("IF(F844 = H844,C844/FILTER('Base Stats'!$C$2:$C1000, LOWER('Base Stats'!$B$2:$B1000) = LOWER($A844)), """")"),"#N/A")</f>
        <v>#N/A</v>
      </c>
      <c r="K844" s="0" t="str">
        <f aca="false">IF(F844 = H844, C844/G844, "")</f>
        <v/>
      </c>
      <c r="L844" s="0" t="str">
        <f aca="false">IFERROR(__xludf.dummyfunction("IF(AND(NOT(K844 = """"), G844 &gt;= 15),K844/FILTER('Base Stats'!$C$2:$C1000, LOWER('Base Stats'!$B$2:$B1000) = LOWER($A844)), """")"),"#N/A")</f>
        <v>#N/A</v>
      </c>
      <c r="M844" s="0" t="str">
        <f aca="false">IFERROR(__xludf.dummyfunction("1.15 + 0.02 * FILTER('Base Stats'!$C$2:$C1000, LOWER('Base Stats'!$B$2:$B1000) = LOWER($A844))"),"1.15")</f>
        <v>1.15</v>
      </c>
      <c r="N844" s="0" t="e">
        <f aca="false">IFERROR(IF(AND(NOT(K844 = ""), G844 &gt;= 15),K844/M844, ""))</f>
        <v>#VALUE!</v>
      </c>
    </row>
    <row r="845" customFormat="false" ht="15.75" hidden="false" customHeight="false" outlineLevel="0" collapsed="false">
      <c r="A845" s="0" t="n">
        <f aca="false">'Form Responses (Pokemon Stats)'!B739</f>
        <v>0</v>
      </c>
      <c r="B845" s="0" t="n">
        <f aca="false">'Form Responses (Pokemon Stats)'!D739</f>
        <v>0</v>
      </c>
      <c r="C845" s="0" t="n">
        <f aca="false">'Form Responses (Pokemon Stats)'!C739</f>
        <v>0</v>
      </c>
      <c r="F845" s="0" t="n">
        <f aca="false">'Form Responses (Pokemon Stats)'!E739</f>
        <v>0</v>
      </c>
      <c r="G845" s="0" t="str">
        <f aca="false">IFERROR(__xludf.dummyfunction("ROUND(B845/ FILTER('Pokemon CP/HP'!$M$2:$M1000, LOWER('Pokemon CP/HP'!$B$2:$B1000)=LOWER(A845)))"),"#DIV/0!")</f>
        <v>#DIV/0!</v>
      </c>
      <c r="H845" s="0" t="str">
        <f aca="false">IFERROR(__xludf.dummyfunction("FILTER('Leveling Info'!$B$2:$B1000, 'Leveling Info'!$A$2:$A1000 =G845)"),"#N/A")</f>
        <v>#N/A</v>
      </c>
      <c r="I845" s="14" t="e">
        <f aca="false">SQRT(G845)</f>
        <v>#VALUE!</v>
      </c>
      <c r="J845" s="14" t="str">
        <f aca="false">IFERROR(__xludf.dummyfunction("IF(F845 = H845,C845/FILTER('Base Stats'!$C$2:$C1000, LOWER('Base Stats'!$B$2:$B1000) = LOWER($A845)), """")"),"#N/A")</f>
        <v>#N/A</v>
      </c>
      <c r="K845" s="0" t="str">
        <f aca="false">IF(F845 = H845, C845/G845, "")</f>
        <v/>
      </c>
      <c r="L845" s="0" t="str">
        <f aca="false">IFERROR(__xludf.dummyfunction("IF(AND(NOT(K845 = """"), G845 &gt;= 15),K845/FILTER('Base Stats'!$C$2:$C1000, LOWER('Base Stats'!$B$2:$B1000) = LOWER($A845)), """")"),"#N/A")</f>
        <v>#N/A</v>
      </c>
      <c r="M845" s="0" t="str">
        <f aca="false">IFERROR(__xludf.dummyfunction("1.15 + 0.02 * FILTER('Base Stats'!$C$2:$C1000, LOWER('Base Stats'!$B$2:$B1000) = LOWER($A845))"),"1.15")</f>
        <v>1.15</v>
      </c>
      <c r="N845" s="0" t="e">
        <f aca="false">IFERROR(IF(AND(NOT(K845 = ""), G845 &gt;= 15),K845/M845, ""))</f>
        <v>#VALUE!</v>
      </c>
    </row>
    <row r="846" customFormat="false" ht="15.75" hidden="false" customHeight="false" outlineLevel="0" collapsed="false">
      <c r="A846" s="0" t="n">
        <f aca="false">'Form Responses (Pokemon Stats)'!B740</f>
        <v>0</v>
      </c>
      <c r="B846" s="0" t="n">
        <f aca="false">'Form Responses (Pokemon Stats)'!D740</f>
        <v>0</v>
      </c>
      <c r="C846" s="0" t="n">
        <f aca="false">'Form Responses (Pokemon Stats)'!C740</f>
        <v>0</v>
      </c>
      <c r="F846" s="0" t="n">
        <f aca="false">'Form Responses (Pokemon Stats)'!E740</f>
        <v>0</v>
      </c>
      <c r="G846" s="0" t="str">
        <f aca="false">IFERROR(__xludf.dummyfunction("ROUND(B846/ FILTER('Pokemon CP/HP'!$M$2:$M1000, LOWER('Pokemon CP/HP'!$B$2:$B1000)=LOWER(A846)))"),"#DIV/0!")</f>
        <v>#DIV/0!</v>
      </c>
      <c r="H846" s="0" t="str">
        <f aca="false">IFERROR(__xludf.dummyfunction("FILTER('Leveling Info'!$B$2:$B1000, 'Leveling Info'!$A$2:$A1000 =G846)"),"#N/A")</f>
        <v>#N/A</v>
      </c>
      <c r="I846" s="14" t="e">
        <f aca="false">SQRT(G846)</f>
        <v>#VALUE!</v>
      </c>
      <c r="J846" s="14" t="str">
        <f aca="false">IFERROR(__xludf.dummyfunction("IF(F846 = H846,C846/FILTER('Base Stats'!$C$2:$C1000, LOWER('Base Stats'!$B$2:$B1000) = LOWER($A846)), """")"),"#N/A")</f>
        <v>#N/A</v>
      </c>
      <c r="K846" s="0" t="str">
        <f aca="false">IF(F846 = H846, C846/G846, "")</f>
        <v/>
      </c>
      <c r="L846" s="0" t="str">
        <f aca="false">IFERROR(__xludf.dummyfunction("IF(AND(NOT(K846 = """"), G846 &gt;= 15),K846/FILTER('Base Stats'!$C$2:$C1000, LOWER('Base Stats'!$B$2:$B1000) = LOWER($A846)), """")"),"#N/A")</f>
        <v>#N/A</v>
      </c>
      <c r="M846" s="0" t="str">
        <f aca="false">IFERROR(__xludf.dummyfunction("1.15 + 0.02 * FILTER('Base Stats'!$C$2:$C1000, LOWER('Base Stats'!$B$2:$B1000) = LOWER($A846))"),"1.15")</f>
        <v>1.15</v>
      </c>
      <c r="N846" s="0" t="e">
        <f aca="false">IFERROR(IF(AND(NOT(K846 = ""), G846 &gt;= 15),K846/M846, ""))</f>
        <v>#VALUE!</v>
      </c>
    </row>
    <row r="847" customFormat="false" ht="15.75" hidden="false" customHeight="false" outlineLevel="0" collapsed="false">
      <c r="A847" s="0" t="n">
        <f aca="false">'Form Responses (Pokemon Stats)'!B741</f>
        <v>0</v>
      </c>
      <c r="B847" s="0" t="n">
        <f aca="false">'Form Responses (Pokemon Stats)'!D741</f>
        <v>0</v>
      </c>
      <c r="C847" s="0" t="n">
        <f aca="false">'Form Responses (Pokemon Stats)'!C741</f>
        <v>0</v>
      </c>
      <c r="F847" s="0" t="n">
        <f aca="false">'Form Responses (Pokemon Stats)'!E741</f>
        <v>0</v>
      </c>
      <c r="G847" s="0" t="str">
        <f aca="false">IFERROR(__xludf.dummyfunction("ROUND(B847/ FILTER('Pokemon CP/HP'!$M$2:$M1000, LOWER('Pokemon CP/HP'!$B$2:$B1000)=LOWER(A847)))"),"#DIV/0!")</f>
        <v>#DIV/0!</v>
      </c>
      <c r="H847" s="0" t="str">
        <f aca="false">IFERROR(__xludf.dummyfunction("FILTER('Leveling Info'!$B$2:$B1000, 'Leveling Info'!$A$2:$A1000 =G847)"),"#N/A")</f>
        <v>#N/A</v>
      </c>
      <c r="I847" s="14" t="e">
        <f aca="false">SQRT(G847)</f>
        <v>#VALUE!</v>
      </c>
      <c r="J847" s="14" t="str">
        <f aca="false">IFERROR(__xludf.dummyfunction("IF(F847 = H847,C847/FILTER('Base Stats'!$C$2:$C1000, LOWER('Base Stats'!$B$2:$B1000) = LOWER($A847)), """")"),"#N/A")</f>
        <v>#N/A</v>
      </c>
      <c r="K847" s="0" t="str">
        <f aca="false">IF(F847 = H847, C847/G847, "")</f>
        <v/>
      </c>
      <c r="L847" s="0" t="str">
        <f aca="false">IFERROR(__xludf.dummyfunction("IF(AND(NOT(K847 = """"), G847 &gt;= 15),K847/FILTER('Base Stats'!$C$2:$C1000, LOWER('Base Stats'!$B$2:$B1000) = LOWER($A847)), """")"),"#N/A")</f>
        <v>#N/A</v>
      </c>
      <c r="M847" s="0" t="str">
        <f aca="false">IFERROR(__xludf.dummyfunction("1.15 + 0.02 * FILTER('Base Stats'!$C$2:$C1000, LOWER('Base Stats'!$B$2:$B1000) = LOWER($A847))"),"1.15")</f>
        <v>1.15</v>
      </c>
      <c r="N847" s="0" t="e">
        <f aca="false">IFERROR(IF(AND(NOT(K847 = ""), G847 &gt;= 15),K847/M847, ""))</f>
        <v>#VALUE!</v>
      </c>
    </row>
    <row r="848" customFormat="false" ht="15.75" hidden="false" customHeight="false" outlineLevel="0" collapsed="false">
      <c r="A848" s="0" t="n">
        <f aca="false">'Form Responses (Pokemon Stats)'!B742</f>
        <v>0</v>
      </c>
      <c r="B848" s="0" t="n">
        <f aca="false">'Form Responses (Pokemon Stats)'!D742</f>
        <v>0</v>
      </c>
      <c r="C848" s="0" t="n">
        <f aca="false">'Form Responses (Pokemon Stats)'!C742</f>
        <v>0</v>
      </c>
      <c r="F848" s="0" t="n">
        <f aca="false">'Form Responses (Pokemon Stats)'!E742</f>
        <v>0</v>
      </c>
      <c r="G848" s="0" t="str">
        <f aca="false">IFERROR(__xludf.dummyfunction("ROUND(B848/ FILTER('Pokemon CP/HP'!$M$2:$M1000, LOWER('Pokemon CP/HP'!$B$2:$B1000)=LOWER(A848)))"),"#DIV/0!")</f>
        <v>#DIV/0!</v>
      </c>
      <c r="H848" s="0" t="str">
        <f aca="false">IFERROR(__xludf.dummyfunction("FILTER('Leveling Info'!$B$2:$B1000, 'Leveling Info'!$A$2:$A1000 =G848)"),"#N/A")</f>
        <v>#N/A</v>
      </c>
      <c r="I848" s="14" t="e">
        <f aca="false">SQRT(G848)</f>
        <v>#VALUE!</v>
      </c>
      <c r="J848" s="14" t="str">
        <f aca="false">IFERROR(__xludf.dummyfunction("IF(F848 = H848,C848/FILTER('Base Stats'!$C$2:$C1000, LOWER('Base Stats'!$B$2:$B1000) = LOWER($A848)), """")"),"#N/A")</f>
        <v>#N/A</v>
      </c>
      <c r="K848" s="0" t="str">
        <f aca="false">IF(F848 = H848, C848/G848, "")</f>
        <v/>
      </c>
      <c r="L848" s="0" t="str">
        <f aca="false">IFERROR(__xludf.dummyfunction("IF(AND(NOT(K848 = """"), G848 &gt;= 15),K848/FILTER('Base Stats'!$C$2:$C1000, LOWER('Base Stats'!$B$2:$B1000) = LOWER($A848)), """")"),"#N/A")</f>
        <v>#N/A</v>
      </c>
      <c r="M848" s="0" t="str">
        <f aca="false">IFERROR(__xludf.dummyfunction("1.15 + 0.02 * FILTER('Base Stats'!$C$2:$C1000, LOWER('Base Stats'!$B$2:$B1000) = LOWER($A848))"),"1.15")</f>
        <v>1.15</v>
      </c>
      <c r="N848" s="0" t="e">
        <f aca="false">IFERROR(IF(AND(NOT(K848 = ""), G848 &gt;= 15),K848/M848, ""))</f>
        <v>#VALUE!</v>
      </c>
    </row>
    <row r="849" customFormat="false" ht="15.75" hidden="false" customHeight="false" outlineLevel="0" collapsed="false">
      <c r="A849" s="0" t="n">
        <f aca="false">'Form Responses (Pokemon Stats)'!B743</f>
        <v>0</v>
      </c>
      <c r="B849" s="0" t="n">
        <f aca="false">'Form Responses (Pokemon Stats)'!D743</f>
        <v>0</v>
      </c>
      <c r="C849" s="0" t="n">
        <f aca="false">'Form Responses (Pokemon Stats)'!C743</f>
        <v>0</v>
      </c>
      <c r="F849" s="0" t="n">
        <f aca="false">'Form Responses (Pokemon Stats)'!E743</f>
        <v>0</v>
      </c>
      <c r="G849" s="0" t="str">
        <f aca="false">IFERROR(__xludf.dummyfunction("ROUND(B849/ FILTER('Pokemon CP/HP'!$M$2:$M1000, LOWER('Pokemon CP/HP'!$B$2:$B1000)=LOWER(A849)))"),"#DIV/0!")</f>
        <v>#DIV/0!</v>
      </c>
      <c r="H849" s="0" t="str">
        <f aca="false">IFERROR(__xludf.dummyfunction("FILTER('Leveling Info'!$B$2:$B1000, 'Leveling Info'!$A$2:$A1000 =G849)"),"#N/A")</f>
        <v>#N/A</v>
      </c>
      <c r="I849" s="14" t="e">
        <f aca="false">SQRT(G849)</f>
        <v>#VALUE!</v>
      </c>
      <c r="J849" s="14" t="str">
        <f aca="false">IFERROR(__xludf.dummyfunction("IF(F849 = H849,C849/FILTER('Base Stats'!$C$2:$C1000, LOWER('Base Stats'!$B$2:$B1000) = LOWER($A849)), """")"),"#N/A")</f>
        <v>#N/A</v>
      </c>
      <c r="K849" s="0" t="str">
        <f aca="false">IF(F849 = H849, C849/G849, "")</f>
        <v/>
      </c>
      <c r="L849" s="0" t="str">
        <f aca="false">IFERROR(__xludf.dummyfunction("IF(AND(NOT(K849 = """"), G849 &gt;= 15),K849/FILTER('Base Stats'!$C$2:$C1000, LOWER('Base Stats'!$B$2:$B1000) = LOWER($A849)), """")"),"#N/A")</f>
        <v>#N/A</v>
      </c>
      <c r="M849" s="0" t="str">
        <f aca="false">IFERROR(__xludf.dummyfunction("1.15 + 0.02 * FILTER('Base Stats'!$C$2:$C1000, LOWER('Base Stats'!$B$2:$B1000) = LOWER($A849))"),"1.15")</f>
        <v>1.15</v>
      </c>
      <c r="N849" s="0" t="e">
        <f aca="false">IFERROR(IF(AND(NOT(K849 = ""), G849 &gt;= 15),K849/M849, ""))</f>
        <v>#VALUE!</v>
      </c>
    </row>
    <row r="850" customFormat="false" ht="15.75" hidden="false" customHeight="false" outlineLevel="0" collapsed="false">
      <c r="A850" s="0" t="n">
        <f aca="false">'Form Responses (Pokemon Stats)'!B744</f>
        <v>0</v>
      </c>
      <c r="B850" s="0" t="n">
        <f aca="false">'Form Responses (Pokemon Stats)'!D744</f>
        <v>0</v>
      </c>
      <c r="C850" s="0" t="n">
        <f aca="false">'Form Responses (Pokemon Stats)'!C744</f>
        <v>0</v>
      </c>
      <c r="F850" s="0" t="n">
        <f aca="false">'Form Responses (Pokemon Stats)'!E744</f>
        <v>0</v>
      </c>
      <c r="G850" s="0" t="str">
        <f aca="false">IFERROR(__xludf.dummyfunction("ROUND(B850/ FILTER('Pokemon CP/HP'!$M$2:$M1000, LOWER('Pokemon CP/HP'!$B$2:$B1000)=LOWER(A850)))"),"#DIV/0!")</f>
        <v>#DIV/0!</v>
      </c>
      <c r="H850" s="0" t="str">
        <f aca="false">IFERROR(__xludf.dummyfunction("FILTER('Leveling Info'!$B$2:$B1000, 'Leveling Info'!$A$2:$A1000 =G850)"),"#N/A")</f>
        <v>#N/A</v>
      </c>
      <c r="I850" s="14" t="e">
        <f aca="false">SQRT(G850)</f>
        <v>#VALUE!</v>
      </c>
      <c r="J850" s="14" t="str">
        <f aca="false">IFERROR(__xludf.dummyfunction("IF(F850 = H850,C850/FILTER('Base Stats'!$C$2:$C1000, LOWER('Base Stats'!$B$2:$B1000) = LOWER($A850)), """")"),"#N/A")</f>
        <v>#N/A</v>
      </c>
      <c r="K850" s="0" t="str">
        <f aca="false">IF(F850 = H850, C850/G850, "")</f>
        <v/>
      </c>
      <c r="L850" s="0" t="str">
        <f aca="false">IFERROR(__xludf.dummyfunction("IF(AND(NOT(K850 = """"), G850 &gt;= 15),K850/FILTER('Base Stats'!$C$2:$C1000, LOWER('Base Stats'!$B$2:$B1000) = LOWER($A850)), """")"),"#N/A")</f>
        <v>#N/A</v>
      </c>
      <c r="M850" s="0" t="str">
        <f aca="false">IFERROR(__xludf.dummyfunction("1.15 + 0.02 * FILTER('Base Stats'!$C$2:$C1000, LOWER('Base Stats'!$B$2:$B1000) = LOWER($A850))"),"1.15")</f>
        <v>1.15</v>
      </c>
      <c r="N850" s="0" t="e">
        <f aca="false">IFERROR(IF(AND(NOT(K850 = ""), G850 &gt;= 15),K850/M850, ""))</f>
        <v>#VALUE!</v>
      </c>
    </row>
    <row r="851" customFormat="false" ht="15.75" hidden="false" customHeight="false" outlineLevel="0" collapsed="false">
      <c r="A851" s="0" t="n">
        <f aca="false">'Form Responses (Pokemon Stats)'!B745</f>
        <v>0</v>
      </c>
      <c r="B851" s="0" t="n">
        <f aca="false">'Form Responses (Pokemon Stats)'!D745</f>
        <v>0</v>
      </c>
      <c r="C851" s="0" t="n">
        <f aca="false">'Form Responses (Pokemon Stats)'!C745</f>
        <v>0</v>
      </c>
      <c r="F851" s="0" t="n">
        <f aca="false">'Form Responses (Pokemon Stats)'!E745</f>
        <v>0</v>
      </c>
      <c r="G851" s="0" t="str">
        <f aca="false">IFERROR(__xludf.dummyfunction("ROUND(B851/ FILTER('Pokemon CP/HP'!$M$2:$M1000, LOWER('Pokemon CP/HP'!$B$2:$B1000)=LOWER(A851)))"),"#DIV/0!")</f>
        <v>#DIV/0!</v>
      </c>
      <c r="H851" s="0" t="str">
        <f aca="false">IFERROR(__xludf.dummyfunction("FILTER('Leveling Info'!$B$2:$B1000, 'Leveling Info'!$A$2:$A1000 =G851)"),"#N/A")</f>
        <v>#N/A</v>
      </c>
      <c r="I851" s="14" t="e">
        <f aca="false">SQRT(G851)</f>
        <v>#VALUE!</v>
      </c>
      <c r="J851" s="14" t="str">
        <f aca="false">IFERROR(__xludf.dummyfunction("IF(F851 = H851,C851/FILTER('Base Stats'!$C$2:$C1000, LOWER('Base Stats'!$B$2:$B1000) = LOWER($A851)), """")"),"#N/A")</f>
        <v>#N/A</v>
      </c>
      <c r="K851" s="0" t="str">
        <f aca="false">IF(F851 = H851, C851/G851, "")</f>
        <v/>
      </c>
      <c r="L851" s="0" t="str">
        <f aca="false">IFERROR(__xludf.dummyfunction("IF(AND(NOT(K851 = """"), G851 &gt;= 15),K851/FILTER('Base Stats'!$C$2:$C1000, LOWER('Base Stats'!$B$2:$B1000) = LOWER($A851)), """")"),"#N/A")</f>
        <v>#N/A</v>
      </c>
      <c r="M851" s="0" t="str">
        <f aca="false">IFERROR(__xludf.dummyfunction("1.15 + 0.02 * FILTER('Base Stats'!$C$2:$C1000, LOWER('Base Stats'!$B$2:$B1000) = LOWER($A851))"),"1.15")</f>
        <v>1.15</v>
      </c>
      <c r="N851" s="0" t="e">
        <f aca="false">IFERROR(IF(AND(NOT(K851 = ""), G851 &gt;= 15),K851/M851, ""))</f>
        <v>#VALUE!</v>
      </c>
    </row>
    <row r="852" customFormat="false" ht="15.75" hidden="false" customHeight="false" outlineLevel="0" collapsed="false">
      <c r="A852" s="0" t="n">
        <f aca="false">'Form Responses (Pokemon Stats)'!B746</f>
        <v>0</v>
      </c>
      <c r="B852" s="0" t="n">
        <f aca="false">'Form Responses (Pokemon Stats)'!D746</f>
        <v>0</v>
      </c>
      <c r="C852" s="0" t="n">
        <f aca="false">'Form Responses (Pokemon Stats)'!C746</f>
        <v>0</v>
      </c>
      <c r="F852" s="0" t="n">
        <f aca="false">'Form Responses (Pokemon Stats)'!E746</f>
        <v>0</v>
      </c>
      <c r="G852" s="0" t="str">
        <f aca="false">IFERROR(__xludf.dummyfunction("ROUND(B852/ FILTER('Pokemon CP/HP'!$M$2:$M1000, LOWER('Pokemon CP/HP'!$B$2:$B1000)=LOWER(A852)))"),"#DIV/0!")</f>
        <v>#DIV/0!</v>
      </c>
      <c r="H852" s="0" t="str">
        <f aca="false">IFERROR(__xludf.dummyfunction("FILTER('Leveling Info'!$B$2:$B1000, 'Leveling Info'!$A$2:$A1000 =G852)"),"#N/A")</f>
        <v>#N/A</v>
      </c>
      <c r="I852" s="14" t="e">
        <f aca="false">SQRT(G852)</f>
        <v>#VALUE!</v>
      </c>
      <c r="J852" s="14" t="str">
        <f aca="false">IFERROR(__xludf.dummyfunction("IF(F852 = H852,C852/FILTER('Base Stats'!$C$2:$C1000, LOWER('Base Stats'!$B$2:$B1000) = LOWER($A852)), """")"),"#N/A")</f>
        <v>#N/A</v>
      </c>
      <c r="K852" s="0" t="str">
        <f aca="false">IF(F852 = H852, C852/G852, "")</f>
        <v/>
      </c>
      <c r="L852" s="0" t="str">
        <f aca="false">IFERROR(__xludf.dummyfunction("IF(AND(NOT(K852 = """"), G852 &gt;= 15),K852/FILTER('Base Stats'!$C$2:$C1000, LOWER('Base Stats'!$B$2:$B1000) = LOWER($A852)), """")"),"#N/A")</f>
        <v>#N/A</v>
      </c>
      <c r="M852" s="0" t="str">
        <f aca="false">IFERROR(__xludf.dummyfunction("1.15 + 0.02 * FILTER('Base Stats'!$C$2:$C1000, LOWER('Base Stats'!$B$2:$B1000) = LOWER($A852))"),"1.15")</f>
        <v>1.15</v>
      </c>
      <c r="N852" s="0" t="e">
        <f aca="false">IFERROR(IF(AND(NOT(K852 = ""), G852 &gt;= 15),K852/M852, ""))</f>
        <v>#VALUE!</v>
      </c>
    </row>
    <row r="853" customFormat="false" ht="15.75" hidden="false" customHeight="false" outlineLevel="0" collapsed="false">
      <c r="A853" s="0" t="n">
        <f aca="false">'Form Responses (Pokemon Stats)'!B747</f>
        <v>0</v>
      </c>
      <c r="B853" s="0" t="n">
        <f aca="false">'Form Responses (Pokemon Stats)'!D747</f>
        <v>0</v>
      </c>
      <c r="C853" s="0" t="n">
        <f aca="false">'Form Responses (Pokemon Stats)'!C747</f>
        <v>0</v>
      </c>
      <c r="F853" s="0" t="n">
        <f aca="false">'Form Responses (Pokemon Stats)'!E747</f>
        <v>0</v>
      </c>
      <c r="G853" s="0" t="str">
        <f aca="false">IFERROR(__xludf.dummyfunction("ROUND(B853/ FILTER('Pokemon CP/HP'!$M$2:$M1000, LOWER('Pokemon CP/HP'!$B$2:$B1000)=LOWER(A853)))"),"#DIV/0!")</f>
        <v>#DIV/0!</v>
      </c>
      <c r="H853" s="0" t="str">
        <f aca="false">IFERROR(__xludf.dummyfunction("FILTER('Leveling Info'!$B$2:$B1000, 'Leveling Info'!$A$2:$A1000 =G853)"),"#N/A")</f>
        <v>#N/A</v>
      </c>
      <c r="I853" s="14" t="e">
        <f aca="false">SQRT(G853)</f>
        <v>#VALUE!</v>
      </c>
      <c r="J853" s="14" t="str">
        <f aca="false">IFERROR(__xludf.dummyfunction("IF(F853 = H853,C853/FILTER('Base Stats'!$C$2:$C1000, LOWER('Base Stats'!$B$2:$B1000) = LOWER($A853)), """")"),"#N/A")</f>
        <v>#N/A</v>
      </c>
      <c r="K853" s="0" t="str">
        <f aca="false">IF(F853 = H853, C853/G853, "")</f>
        <v/>
      </c>
      <c r="L853" s="0" t="str">
        <f aca="false">IFERROR(__xludf.dummyfunction("IF(AND(NOT(K853 = """"), G853 &gt;= 15),K853/FILTER('Base Stats'!$C$2:$C1000, LOWER('Base Stats'!$B$2:$B1000) = LOWER($A853)), """")"),"#N/A")</f>
        <v>#N/A</v>
      </c>
      <c r="M853" s="0" t="str">
        <f aca="false">IFERROR(__xludf.dummyfunction("1.15 + 0.02 * FILTER('Base Stats'!$C$2:$C1000, LOWER('Base Stats'!$B$2:$B1000) = LOWER($A853))"),"1.15")</f>
        <v>1.15</v>
      </c>
      <c r="N853" s="0" t="e">
        <f aca="false">IFERROR(IF(AND(NOT(K853 = ""), G853 &gt;= 15),K853/M853, ""))</f>
        <v>#VALUE!</v>
      </c>
    </row>
    <row r="854" customFormat="false" ht="15.75" hidden="false" customHeight="false" outlineLevel="0" collapsed="false">
      <c r="A854" s="0" t="n">
        <f aca="false">'Form Responses (Pokemon Stats)'!B748</f>
        <v>0</v>
      </c>
      <c r="B854" s="0" t="n">
        <f aca="false">'Form Responses (Pokemon Stats)'!D748</f>
        <v>0</v>
      </c>
      <c r="C854" s="0" t="n">
        <f aca="false">'Form Responses (Pokemon Stats)'!C748</f>
        <v>0</v>
      </c>
      <c r="F854" s="0" t="n">
        <f aca="false">'Form Responses (Pokemon Stats)'!E748</f>
        <v>0</v>
      </c>
      <c r="G854" s="0" t="str">
        <f aca="false">IFERROR(__xludf.dummyfunction("ROUND(B854/ FILTER('Pokemon CP/HP'!$M$2:$M1000, LOWER('Pokemon CP/HP'!$B$2:$B1000)=LOWER(A854)))"),"#DIV/0!")</f>
        <v>#DIV/0!</v>
      </c>
      <c r="H854" s="0" t="str">
        <f aca="false">IFERROR(__xludf.dummyfunction("FILTER('Leveling Info'!$B$2:$B1000, 'Leveling Info'!$A$2:$A1000 =G854)"),"#N/A")</f>
        <v>#N/A</v>
      </c>
      <c r="I854" s="14" t="e">
        <f aca="false">SQRT(G854)</f>
        <v>#VALUE!</v>
      </c>
      <c r="J854" s="14" t="str">
        <f aca="false">IFERROR(__xludf.dummyfunction("IF(F854 = H854,C854/FILTER('Base Stats'!$C$2:$C1000, LOWER('Base Stats'!$B$2:$B1000) = LOWER($A854)), """")"),"#N/A")</f>
        <v>#N/A</v>
      </c>
      <c r="K854" s="0" t="str">
        <f aca="false">IF(F854 = H854, C854/G854, "")</f>
        <v/>
      </c>
      <c r="L854" s="0" t="str">
        <f aca="false">IFERROR(__xludf.dummyfunction("IF(AND(NOT(K854 = """"), G854 &gt;= 15),K854/FILTER('Base Stats'!$C$2:$C1000, LOWER('Base Stats'!$B$2:$B1000) = LOWER($A854)), """")"),"#N/A")</f>
        <v>#N/A</v>
      </c>
      <c r="M854" s="0" t="str">
        <f aca="false">IFERROR(__xludf.dummyfunction("1.15 + 0.02 * FILTER('Base Stats'!$C$2:$C1000, LOWER('Base Stats'!$B$2:$B1000) = LOWER($A854))"),"1.15")</f>
        <v>1.15</v>
      </c>
      <c r="N854" s="0" t="e">
        <f aca="false">IFERROR(IF(AND(NOT(K854 = ""), G854 &gt;= 15),K854/M854, ""))</f>
        <v>#VALUE!</v>
      </c>
    </row>
    <row r="855" customFormat="false" ht="15.75" hidden="false" customHeight="false" outlineLevel="0" collapsed="false">
      <c r="A855" s="0" t="n">
        <f aca="false">'Form Responses (Pokemon Stats)'!B749</f>
        <v>0</v>
      </c>
      <c r="B855" s="0" t="n">
        <f aca="false">'Form Responses (Pokemon Stats)'!D749</f>
        <v>0</v>
      </c>
      <c r="C855" s="0" t="n">
        <f aca="false">'Form Responses (Pokemon Stats)'!C749</f>
        <v>0</v>
      </c>
      <c r="F855" s="0" t="n">
        <f aca="false">'Form Responses (Pokemon Stats)'!E749</f>
        <v>0</v>
      </c>
      <c r="G855" s="0" t="str">
        <f aca="false">IFERROR(__xludf.dummyfunction("ROUND(B855/ FILTER('Pokemon CP/HP'!$M$2:$M1000, LOWER('Pokemon CP/HP'!$B$2:$B1000)=LOWER(A855)))"),"#DIV/0!")</f>
        <v>#DIV/0!</v>
      </c>
      <c r="H855" s="0" t="str">
        <f aca="false">IFERROR(__xludf.dummyfunction("FILTER('Leveling Info'!$B$2:$B1000, 'Leveling Info'!$A$2:$A1000 =G855)"),"#N/A")</f>
        <v>#N/A</v>
      </c>
      <c r="I855" s="14" t="e">
        <f aca="false">SQRT(G855)</f>
        <v>#VALUE!</v>
      </c>
      <c r="J855" s="14" t="str">
        <f aca="false">IFERROR(__xludf.dummyfunction("IF(F855 = H855,C855/FILTER('Base Stats'!$C$2:$C1000, LOWER('Base Stats'!$B$2:$B1000) = LOWER($A855)), """")"),"#N/A")</f>
        <v>#N/A</v>
      </c>
      <c r="K855" s="0" t="str">
        <f aca="false">IF(F855 = H855, C855/G855, "")</f>
        <v/>
      </c>
      <c r="L855" s="0" t="str">
        <f aca="false">IFERROR(__xludf.dummyfunction("IF(AND(NOT(K855 = """"), G855 &gt;= 15),K855/FILTER('Base Stats'!$C$2:$C1000, LOWER('Base Stats'!$B$2:$B1000) = LOWER($A855)), """")"),"#N/A")</f>
        <v>#N/A</v>
      </c>
      <c r="M855" s="0" t="str">
        <f aca="false">IFERROR(__xludf.dummyfunction("1.15 + 0.02 * FILTER('Base Stats'!$C$2:$C1000, LOWER('Base Stats'!$B$2:$B1000) = LOWER($A855))"),"1.15")</f>
        <v>1.15</v>
      </c>
      <c r="N855" s="0" t="e">
        <f aca="false">IFERROR(IF(AND(NOT(K855 = ""), G855 &gt;= 15),K855/M855, ""))</f>
        <v>#VALUE!</v>
      </c>
    </row>
    <row r="856" customFormat="false" ht="15.75" hidden="false" customHeight="false" outlineLevel="0" collapsed="false">
      <c r="A856" s="0" t="n">
        <f aca="false">'Form Responses (Pokemon Stats)'!B750</f>
        <v>0</v>
      </c>
      <c r="B856" s="0" t="n">
        <f aca="false">'Form Responses (Pokemon Stats)'!D750</f>
        <v>0</v>
      </c>
      <c r="C856" s="0" t="n">
        <f aca="false">'Form Responses (Pokemon Stats)'!C750</f>
        <v>0</v>
      </c>
      <c r="F856" s="0" t="n">
        <f aca="false">'Form Responses (Pokemon Stats)'!E750</f>
        <v>0</v>
      </c>
      <c r="G856" s="0" t="str">
        <f aca="false">IFERROR(__xludf.dummyfunction("ROUND(B856/ FILTER('Pokemon CP/HP'!$M$2:$M1000, LOWER('Pokemon CP/HP'!$B$2:$B1000)=LOWER(A856)))"),"#DIV/0!")</f>
        <v>#DIV/0!</v>
      </c>
      <c r="H856" s="0" t="str">
        <f aca="false">IFERROR(__xludf.dummyfunction("FILTER('Leveling Info'!$B$2:$B1000, 'Leveling Info'!$A$2:$A1000 =G856)"),"#N/A")</f>
        <v>#N/A</v>
      </c>
      <c r="I856" s="14" t="e">
        <f aca="false">SQRT(G856)</f>
        <v>#VALUE!</v>
      </c>
      <c r="J856" s="14" t="str">
        <f aca="false">IFERROR(__xludf.dummyfunction("IF(F856 = H856,C856/FILTER('Base Stats'!$C$2:$C1000, LOWER('Base Stats'!$B$2:$B1000) = LOWER($A856)), """")"),"#N/A")</f>
        <v>#N/A</v>
      </c>
      <c r="K856" s="0" t="str">
        <f aca="false">IF(F856 = H856, C856/G856, "")</f>
        <v/>
      </c>
      <c r="L856" s="0" t="str">
        <f aca="false">IFERROR(__xludf.dummyfunction("IF(AND(NOT(K856 = """"), G856 &gt;= 15),K856/FILTER('Base Stats'!$C$2:$C1000, LOWER('Base Stats'!$B$2:$B1000) = LOWER($A856)), """")"),"#N/A")</f>
        <v>#N/A</v>
      </c>
      <c r="M856" s="0" t="str">
        <f aca="false">IFERROR(__xludf.dummyfunction("1.15 + 0.02 * FILTER('Base Stats'!$C$2:$C1000, LOWER('Base Stats'!$B$2:$B1000) = LOWER($A856))"),"1.15")</f>
        <v>1.15</v>
      </c>
      <c r="N856" s="0" t="e">
        <f aca="false">IFERROR(IF(AND(NOT(K856 = ""), G856 &gt;= 15),K856/M856, ""))</f>
        <v>#VALUE!</v>
      </c>
    </row>
    <row r="857" customFormat="false" ht="15.75" hidden="false" customHeight="false" outlineLevel="0" collapsed="false">
      <c r="A857" s="0" t="n">
        <f aca="false">'Form Responses (Pokemon Stats)'!B751</f>
        <v>0</v>
      </c>
      <c r="B857" s="0" t="n">
        <f aca="false">'Form Responses (Pokemon Stats)'!D751</f>
        <v>0</v>
      </c>
      <c r="C857" s="0" t="n">
        <f aca="false">'Form Responses (Pokemon Stats)'!C751</f>
        <v>0</v>
      </c>
      <c r="F857" s="0" t="n">
        <f aca="false">'Form Responses (Pokemon Stats)'!E751</f>
        <v>0</v>
      </c>
      <c r="G857" s="0" t="str">
        <f aca="false">IFERROR(__xludf.dummyfunction("ROUND(B857/ FILTER('Pokemon CP/HP'!$M$2:$M1000, LOWER('Pokemon CP/HP'!$B$2:$B1000)=LOWER(A857)))"),"#DIV/0!")</f>
        <v>#DIV/0!</v>
      </c>
      <c r="H857" s="0" t="str">
        <f aca="false">IFERROR(__xludf.dummyfunction("FILTER('Leveling Info'!$B$2:$B1000, 'Leveling Info'!$A$2:$A1000 =G857)"),"#N/A")</f>
        <v>#N/A</v>
      </c>
      <c r="I857" s="14" t="e">
        <f aca="false">SQRT(G857)</f>
        <v>#VALUE!</v>
      </c>
      <c r="J857" s="14" t="str">
        <f aca="false">IFERROR(__xludf.dummyfunction("IF(F857 = H857,C857/FILTER('Base Stats'!$C$2:$C1000, LOWER('Base Stats'!$B$2:$B1000) = LOWER($A857)), """")"),"#N/A")</f>
        <v>#N/A</v>
      </c>
      <c r="K857" s="0" t="str">
        <f aca="false">IF(F857 = H857, C857/G857, "")</f>
        <v/>
      </c>
      <c r="L857" s="0" t="str">
        <f aca="false">IFERROR(__xludf.dummyfunction("IF(AND(NOT(K857 = """"), G857 &gt;= 15),K857/FILTER('Base Stats'!$C$2:$C1000, LOWER('Base Stats'!$B$2:$B1000) = LOWER($A857)), """")"),"#N/A")</f>
        <v>#N/A</v>
      </c>
      <c r="M857" s="0" t="str">
        <f aca="false">IFERROR(__xludf.dummyfunction("1.15 + 0.02 * FILTER('Base Stats'!$C$2:$C1000, LOWER('Base Stats'!$B$2:$B1000) = LOWER($A857))"),"1.15")</f>
        <v>1.15</v>
      </c>
      <c r="N857" s="0" t="e">
        <f aca="false">IFERROR(IF(AND(NOT(K857 = ""), G857 &gt;= 15),K857/M857, ""))</f>
        <v>#VALUE!</v>
      </c>
    </row>
    <row r="858" customFormat="false" ht="15.75" hidden="false" customHeight="false" outlineLevel="0" collapsed="false">
      <c r="A858" s="0" t="n">
        <f aca="false">'Form Responses (Pokemon Stats)'!B752</f>
        <v>0</v>
      </c>
      <c r="B858" s="0" t="n">
        <f aca="false">'Form Responses (Pokemon Stats)'!D752</f>
        <v>0</v>
      </c>
      <c r="C858" s="0" t="n">
        <f aca="false">'Form Responses (Pokemon Stats)'!C752</f>
        <v>0</v>
      </c>
      <c r="F858" s="0" t="n">
        <f aca="false">'Form Responses (Pokemon Stats)'!E752</f>
        <v>0</v>
      </c>
      <c r="G858" s="0" t="str">
        <f aca="false">IFERROR(__xludf.dummyfunction("ROUND(B858/ FILTER('Pokemon CP/HP'!$M$2:$M1000, LOWER('Pokemon CP/HP'!$B$2:$B1000)=LOWER(A858)))"),"#DIV/0!")</f>
        <v>#DIV/0!</v>
      </c>
      <c r="H858" s="0" t="str">
        <f aca="false">IFERROR(__xludf.dummyfunction("FILTER('Leveling Info'!$B$2:$B1000, 'Leveling Info'!$A$2:$A1000 =G858)"),"#N/A")</f>
        <v>#N/A</v>
      </c>
      <c r="I858" s="14" t="e">
        <f aca="false">SQRT(G858)</f>
        <v>#VALUE!</v>
      </c>
      <c r="J858" s="14" t="str">
        <f aca="false">IFERROR(__xludf.dummyfunction("IF(F858 = H858,C858/FILTER('Base Stats'!$C$2:$C1000, LOWER('Base Stats'!$B$2:$B1000) = LOWER($A858)), """")"),"#N/A")</f>
        <v>#N/A</v>
      </c>
      <c r="K858" s="0" t="str">
        <f aca="false">IF(F858 = H858, C858/G858, "")</f>
        <v/>
      </c>
      <c r="L858" s="0" t="str">
        <f aca="false">IFERROR(__xludf.dummyfunction("IF(AND(NOT(K858 = """"), G858 &gt;= 15),K858/FILTER('Base Stats'!$C$2:$C1000, LOWER('Base Stats'!$B$2:$B1000) = LOWER($A858)), """")"),"#N/A")</f>
        <v>#N/A</v>
      </c>
      <c r="M858" s="0" t="str">
        <f aca="false">IFERROR(__xludf.dummyfunction("1.15 + 0.02 * FILTER('Base Stats'!$C$2:$C1000, LOWER('Base Stats'!$B$2:$B1000) = LOWER($A858))"),"1.15")</f>
        <v>1.15</v>
      </c>
      <c r="N858" s="0" t="e">
        <f aca="false">IFERROR(IF(AND(NOT(K858 = ""), G858 &gt;= 15),K858/M858, ""))</f>
        <v>#VALUE!</v>
      </c>
    </row>
    <row r="859" customFormat="false" ht="15.75" hidden="false" customHeight="false" outlineLevel="0" collapsed="false">
      <c r="A859" s="0" t="n">
        <f aca="false">'Form Responses (Pokemon Stats)'!B753</f>
        <v>0</v>
      </c>
      <c r="B859" s="0" t="n">
        <f aca="false">'Form Responses (Pokemon Stats)'!D753</f>
        <v>0</v>
      </c>
      <c r="C859" s="0" t="n">
        <f aca="false">'Form Responses (Pokemon Stats)'!C753</f>
        <v>0</v>
      </c>
      <c r="F859" s="0" t="n">
        <f aca="false">'Form Responses (Pokemon Stats)'!E753</f>
        <v>0</v>
      </c>
      <c r="G859" s="0" t="str">
        <f aca="false">IFERROR(__xludf.dummyfunction("ROUND(B859/ FILTER('Pokemon CP/HP'!$M$2:$M1000, LOWER('Pokemon CP/HP'!$B$2:$B1000)=LOWER(A859)))"),"#DIV/0!")</f>
        <v>#DIV/0!</v>
      </c>
      <c r="H859" s="0" t="str">
        <f aca="false">IFERROR(__xludf.dummyfunction("FILTER('Leveling Info'!$B$2:$B1000, 'Leveling Info'!$A$2:$A1000 =G859)"),"#N/A")</f>
        <v>#N/A</v>
      </c>
      <c r="I859" s="14" t="e">
        <f aca="false">SQRT(G859)</f>
        <v>#VALUE!</v>
      </c>
      <c r="J859" s="14" t="str">
        <f aca="false">IFERROR(__xludf.dummyfunction("IF(F859 = H859,C859/FILTER('Base Stats'!$C$2:$C1000, LOWER('Base Stats'!$B$2:$B1000) = LOWER($A859)), """")"),"#N/A")</f>
        <v>#N/A</v>
      </c>
      <c r="K859" s="0" t="str">
        <f aca="false">IF(F859 = H859, C859/G859, "")</f>
        <v/>
      </c>
      <c r="L859" s="0" t="str">
        <f aca="false">IFERROR(__xludf.dummyfunction("IF(AND(NOT(K859 = """"), G859 &gt;= 15),K859/FILTER('Base Stats'!$C$2:$C1000, LOWER('Base Stats'!$B$2:$B1000) = LOWER($A859)), """")"),"#N/A")</f>
        <v>#N/A</v>
      </c>
      <c r="M859" s="0" t="str">
        <f aca="false">IFERROR(__xludf.dummyfunction("1.15 + 0.02 * FILTER('Base Stats'!$C$2:$C1000, LOWER('Base Stats'!$B$2:$B1000) = LOWER($A859))"),"1.15")</f>
        <v>1.15</v>
      </c>
      <c r="N859" s="0" t="e">
        <f aca="false">IFERROR(IF(AND(NOT(K859 = ""), G859 &gt;= 15),K859/M859, ""))</f>
        <v>#VALUE!</v>
      </c>
    </row>
    <row r="860" customFormat="false" ht="15.75" hidden="false" customHeight="false" outlineLevel="0" collapsed="false">
      <c r="A860" s="0" t="n">
        <f aca="false">'Form Responses (Pokemon Stats)'!B754</f>
        <v>0</v>
      </c>
      <c r="B860" s="0" t="n">
        <f aca="false">'Form Responses (Pokemon Stats)'!D754</f>
        <v>0</v>
      </c>
      <c r="C860" s="0" t="n">
        <f aca="false">'Form Responses (Pokemon Stats)'!C754</f>
        <v>0</v>
      </c>
      <c r="F860" s="0" t="n">
        <f aca="false">'Form Responses (Pokemon Stats)'!E754</f>
        <v>0</v>
      </c>
      <c r="G860" s="0" t="str">
        <f aca="false">IFERROR(__xludf.dummyfunction("ROUND(B860/ FILTER('Pokemon CP/HP'!$M$2:$M1000, LOWER('Pokemon CP/HP'!$B$2:$B1000)=LOWER(A860)))"),"#DIV/0!")</f>
        <v>#DIV/0!</v>
      </c>
      <c r="H860" s="0" t="str">
        <f aca="false">IFERROR(__xludf.dummyfunction("FILTER('Leveling Info'!$B$2:$B1000, 'Leveling Info'!$A$2:$A1000 =G860)"),"#N/A")</f>
        <v>#N/A</v>
      </c>
      <c r="I860" s="14" t="e">
        <f aca="false">SQRT(G860)</f>
        <v>#VALUE!</v>
      </c>
      <c r="J860" s="14" t="str">
        <f aca="false">IFERROR(__xludf.dummyfunction("IF(F860 = H860,C860/FILTER('Base Stats'!$C$2:$C1000, LOWER('Base Stats'!$B$2:$B1000) = LOWER($A860)), """")"),"#N/A")</f>
        <v>#N/A</v>
      </c>
      <c r="K860" s="0" t="str">
        <f aca="false">IF(F860 = H860, C860/G860, "")</f>
        <v/>
      </c>
      <c r="L860" s="0" t="str">
        <f aca="false">IFERROR(__xludf.dummyfunction("IF(AND(NOT(K860 = """"), G860 &gt;= 15),K860/FILTER('Base Stats'!$C$2:$C1000, LOWER('Base Stats'!$B$2:$B1000) = LOWER($A860)), """")"),"#N/A")</f>
        <v>#N/A</v>
      </c>
      <c r="M860" s="0" t="str">
        <f aca="false">IFERROR(__xludf.dummyfunction("1.15 + 0.02 * FILTER('Base Stats'!$C$2:$C1000, LOWER('Base Stats'!$B$2:$B1000) = LOWER($A860))"),"1.15")</f>
        <v>1.15</v>
      </c>
      <c r="N860" s="0" t="e">
        <f aca="false">IFERROR(IF(AND(NOT(K860 = ""), G860 &gt;= 15),K860/M860, ""))</f>
        <v>#VALUE!</v>
      </c>
    </row>
    <row r="861" customFormat="false" ht="15.75" hidden="false" customHeight="false" outlineLevel="0" collapsed="false">
      <c r="A861" s="0" t="n">
        <f aca="false">'Form Responses (Pokemon Stats)'!B755</f>
        <v>0</v>
      </c>
      <c r="B861" s="0" t="n">
        <f aca="false">'Form Responses (Pokemon Stats)'!D755</f>
        <v>0</v>
      </c>
      <c r="C861" s="0" t="n">
        <f aca="false">'Form Responses (Pokemon Stats)'!C755</f>
        <v>0</v>
      </c>
      <c r="F861" s="0" t="n">
        <f aca="false">'Form Responses (Pokemon Stats)'!E755</f>
        <v>0</v>
      </c>
      <c r="G861" s="0" t="str">
        <f aca="false">IFERROR(__xludf.dummyfunction("ROUND(B861/ FILTER('Pokemon CP/HP'!$M$2:$M1000, LOWER('Pokemon CP/HP'!$B$2:$B1000)=LOWER(A861)))"),"#DIV/0!")</f>
        <v>#DIV/0!</v>
      </c>
      <c r="H861" s="0" t="str">
        <f aca="false">IFERROR(__xludf.dummyfunction("FILTER('Leveling Info'!$B$2:$B1000, 'Leveling Info'!$A$2:$A1000 =G861)"),"#N/A")</f>
        <v>#N/A</v>
      </c>
      <c r="I861" s="14" t="e">
        <f aca="false">SQRT(G861)</f>
        <v>#VALUE!</v>
      </c>
      <c r="J861" s="14" t="str">
        <f aca="false">IFERROR(__xludf.dummyfunction("IF(F861 = H861,C861/FILTER('Base Stats'!$C$2:$C1000, LOWER('Base Stats'!$B$2:$B1000) = LOWER($A861)), """")"),"#N/A")</f>
        <v>#N/A</v>
      </c>
      <c r="K861" s="0" t="str">
        <f aca="false">IF(F861 = H861, C861/G861, "")</f>
        <v/>
      </c>
      <c r="L861" s="0" t="str">
        <f aca="false">IFERROR(__xludf.dummyfunction("IF(AND(NOT(K861 = """"), G861 &gt;= 15),K861/FILTER('Base Stats'!$C$2:$C1000, LOWER('Base Stats'!$B$2:$B1000) = LOWER($A861)), """")"),"#N/A")</f>
        <v>#N/A</v>
      </c>
      <c r="M861" s="0" t="str">
        <f aca="false">IFERROR(__xludf.dummyfunction("1.15 + 0.02 * FILTER('Base Stats'!$C$2:$C1000, LOWER('Base Stats'!$B$2:$B1000) = LOWER($A861))"),"1.15")</f>
        <v>1.15</v>
      </c>
      <c r="N861" s="0" t="e">
        <f aca="false">IFERROR(IF(AND(NOT(K861 = ""), G861 &gt;= 15),K861/M861, ""))</f>
        <v>#VALUE!</v>
      </c>
    </row>
    <row r="862" customFormat="false" ht="15.75" hidden="false" customHeight="false" outlineLevel="0" collapsed="false">
      <c r="A862" s="0" t="n">
        <f aca="false">'Form Responses (Pokemon Stats)'!B756</f>
        <v>0</v>
      </c>
      <c r="B862" s="0" t="n">
        <f aca="false">'Form Responses (Pokemon Stats)'!D756</f>
        <v>0</v>
      </c>
      <c r="C862" s="0" t="n">
        <f aca="false">'Form Responses (Pokemon Stats)'!C756</f>
        <v>0</v>
      </c>
      <c r="F862" s="0" t="n">
        <f aca="false">'Form Responses (Pokemon Stats)'!E756</f>
        <v>0</v>
      </c>
      <c r="G862" s="0" t="str">
        <f aca="false">IFERROR(__xludf.dummyfunction("ROUND(B862/ FILTER('Pokemon CP/HP'!$M$2:$M1000, LOWER('Pokemon CP/HP'!$B$2:$B1000)=LOWER(A862)))"),"#DIV/0!")</f>
        <v>#DIV/0!</v>
      </c>
      <c r="H862" s="0" t="str">
        <f aca="false">IFERROR(__xludf.dummyfunction("FILTER('Leveling Info'!$B$2:$B1000, 'Leveling Info'!$A$2:$A1000 =G862)"),"#N/A")</f>
        <v>#N/A</v>
      </c>
      <c r="I862" s="14" t="e">
        <f aca="false">SQRT(G862)</f>
        <v>#VALUE!</v>
      </c>
      <c r="J862" s="14" t="str">
        <f aca="false">IFERROR(__xludf.dummyfunction("IF(F862 = H862,C862/FILTER('Base Stats'!$C$2:$C1000, LOWER('Base Stats'!$B$2:$B1000) = LOWER($A862)), """")"),"#N/A")</f>
        <v>#N/A</v>
      </c>
      <c r="K862" s="0" t="str">
        <f aca="false">IF(F862 = H862, C862/G862, "")</f>
        <v/>
      </c>
      <c r="L862" s="0" t="str">
        <f aca="false">IFERROR(__xludf.dummyfunction("IF(AND(NOT(K862 = """"), G862 &gt;= 15),K862/FILTER('Base Stats'!$C$2:$C1000, LOWER('Base Stats'!$B$2:$B1000) = LOWER($A862)), """")"),"#N/A")</f>
        <v>#N/A</v>
      </c>
      <c r="M862" s="0" t="str">
        <f aca="false">IFERROR(__xludf.dummyfunction("1.15 + 0.02 * FILTER('Base Stats'!$C$2:$C1000, LOWER('Base Stats'!$B$2:$B1000) = LOWER($A862))"),"1.15")</f>
        <v>1.15</v>
      </c>
      <c r="N862" s="0" t="e">
        <f aca="false">IFERROR(IF(AND(NOT(K862 = ""), G862 &gt;= 15),K862/M862, ""))</f>
        <v>#VALUE!</v>
      </c>
    </row>
    <row r="863" customFormat="false" ht="15.75" hidden="false" customHeight="false" outlineLevel="0" collapsed="false">
      <c r="A863" s="0" t="n">
        <f aca="false">'Form Responses (Pokemon Stats)'!B757</f>
        <v>0</v>
      </c>
      <c r="B863" s="0" t="n">
        <f aca="false">'Form Responses (Pokemon Stats)'!D757</f>
        <v>0</v>
      </c>
      <c r="C863" s="0" t="n">
        <f aca="false">'Form Responses (Pokemon Stats)'!C757</f>
        <v>0</v>
      </c>
      <c r="F863" s="0" t="n">
        <f aca="false">'Form Responses (Pokemon Stats)'!E757</f>
        <v>0</v>
      </c>
      <c r="G863" s="0" t="str">
        <f aca="false">IFERROR(__xludf.dummyfunction("ROUND(B863/ FILTER('Pokemon CP/HP'!$M$2:$M1000, LOWER('Pokemon CP/HP'!$B$2:$B1000)=LOWER(A863)))"),"#DIV/0!")</f>
        <v>#DIV/0!</v>
      </c>
      <c r="H863" s="0" t="str">
        <f aca="false">IFERROR(__xludf.dummyfunction("FILTER('Leveling Info'!$B$2:$B1000, 'Leveling Info'!$A$2:$A1000 =G863)"),"#N/A")</f>
        <v>#N/A</v>
      </c>
      <c r="I863" s="14" t="e">
        <f aca="false">SQRT(G863)</f>
        <v>#VALUE!</v>
      </c>
      <c r="J863" s="14" t="str">
        <f aca="false">IFERROR(__xludf.dummyfunction("IF(F863 = H863,C863/FILTER('Base Stats'!$C$2:$C1000, LOWER('Base Stats'!$B$2:$B1000) = LOWER($A863)), """")"),"#N/A")</f>
        <v>#N/A</v>
      </c>
      <c r="K863" s="0" t="str">
        <f aca="false">IF(F863 = H863, C863/G863, "")</f>
        <v/>
      </c>
      <c r="L863" s="0" t="str">
        <f aca="false">IFERROR(__xludf.dummyfunction("IF(AND(NOT(K863 = """"), G863 &gt;= 15),K863/FILTER('Base Stats'!$C$2:$C1000, LOWER('Base Stats'!$B$2:$B1000) = LOWER($A863)), """")"),"#N/A")</f>
        <v>#N/A</v>
      </c>
      <c r="M863" s="0" t="str">
        <f aca="false">IFERROR(__xludf.dummyfunction("1.15 + 0.02 * FILTER('Base Stats'!$C$2:$C1000, LOWER('Base Stats'!$B$2:$B1000) = LOWER($A863))"),"1.15")</f>
        <v>1.15</v>
      </c>
      <c r="N863" s="0" t="e">
        <f aca="false">IFERROR(IF(AND(NOT(K863 = ""), G863 &gt;= 15),K863/M863, ""))</f>
        <v>#VALUE!</v>
      </c>
    </row>
    <row r="864" customFormat="false" ht="15.75" hidden="false" customHeight="false" outlineLevel="0" collapsed="false">
      <c r="A864" s="0" t="n">
        <f aca="false">'Form Responses (Pokemon Stats)'!B758</f>
        <v>0</v>
      </c>
      <c r="B864" s="0" t="n">
        <f aca="false">'Form Responses (Pokemon Stats)'!D758</f>
        <v>0</v>
      </c>
      <c r="C864" s="0" t="n">
        <f aca="false">'Form Responses (Pokemon Stats)'!C758</f>
        <v>0</v>
      </c>
      <c r="F864" s="0" t="n">
        <f aca="false">'Form Responses (Pokemon Stats)'!E758</f>
        <v>0</v>
      </c>
      <c r="G864" s="0" t="str">
        <f aca="false">IFERROR(__xludf.dummyfunction("ROUND(B864/ FILTER('Pokemon CP/HP'!$M$2:$M1000, LOWER('Pokemon CP/HP'!$B$2:$B1000)=LOWER(A864)))"),"#DIV/0!")</f>
        <v>#DIV/0!</v>
      </c>
      <c r="H864" s="0" t="str">
        <f aca="false">IFERROR(__xludf.dummyfunction("FILTER('Leveling Info'!$B$2:$B1000, 'Leveling Info'!$A$2:$A1000 =G864)"),"#N/A")</f>
        <v>#N/A</v>
      </c>
      <c r="I864" s="14" t="e">
        <f aca="false">SQRT(G864)</f>
        <v>#VALUE!</v>
      </c>
      <c r="J864" s="14" t="str">
        <f aca="false">IFERROR(__xludf.dummyfunction("IF(F864 = H864,C864/FILTER('Base Stats'!$C$2:$C1000, LOWER('Base Stats'!$B$2:$B1000) = LOWER($A864)), """")"),"#N/A")</f>
        <v>#N/A</v>
      </c>
      <c r="K864" s="0" t="str">
        <f aca="false">IF(F864 = H864, C864/G864, "")</f>
        <v/>
      </c>
      <c r="L864" s="0" t="str">
        <f aca="false">IFERROR(__xludf.dummyfunction("IF(AND(NOT(K864 = """"), G864 &gt;= 15),K864/FILTER('Base Stats'!$C$2:$C1000, LOWER('Base Stats'!$B$2:$B1000) = LOWER($A864)), """")"),"#N/A")</f>
        <v>#N/A</v>
      </c>
      <c r="M864" s="0" t="str">
        <f aca="false">IFERROR(__xludf.dummyfunction("1.15 + 0.02 * FILTER('Base Stats'!$C$2:$C1000, LOWER('Base Stats'!$B$2:$B1000) = LOWER($A864))"),"1.15")</f>
        <v>1.15</v>
      </c>
      <c r="N864" s="0" t="e">
        <f aca="false">IFERROR(IF(AND(NOT(K864 = ""), G864 &gt;= 15),K864/M864, ""))</f>
        <v>#VALUE!</v>
      </c>
    </row>
    <row r="865" customFormat="false" ht="15.75" hidden="false" customHeight="false" outlineLevel="0" collapsed="false">
      <c r="A865" s="0" t="n">
        <f aca="false">'Form Responses (Pokemon Stats)'!B759</f>
        <v>0</v>
      </c>
      <c r="B865" s="0" t="n">
        <f aca="false">'Form Responses (Pokemon Stats)'!D759</f>
        <v>0</v>
      </c>
      <c r="C865" s="0" t="n">
        <f aca="false">'Form Responses (Pokemon Stats)'!C759</f>
        <v>0</v>
      </c>
      <c r="F865" s="0" t="n">
        <f aca="false">'Form Responses (Pokemon Stats)'!E759</f>
        <v>0</v>
      </c>
      <c r="G865" s="0" t="str">
        <f aca="false">IFERROR(__xludf.dummyfunction("ROUND(B865/ FILTER('Pokemon CP/HP'!$M$2:$M1000, LOWER('Pokemon CP/HP'!$B$2:$B1000)=LOWER(A865)))"),"#DIV/0!")</f>
        <v>#DIV/0!</v>
      </c>
      <c r="H865" s="0" t="str">
        <f aca="false">IFERROR(__xludf.dummyfunction("FILTER('Leveling Info'!$B$2:$B1000, 'Leveling Info'!$A$2:$A1000 =G865)"),"#N/A")</f>
        <v>#N/A</v>
      </c>
      <c r="I865" s="14" t="e">
        <f aca="false">SQRT(G865)</f>
        <v>#VALUE!</v>
      </c>
      <c r="J865" s="14" t="str">
        <f aca="false">IFERROR(__xludf.dummyfunction("IF(F865 = H865,C865/FILTER('Base Stats'!$C$2:$C1000, LOWER('Base Stats'!$B$2:$B1000) = LOWER($A865)), """")"),"#N/A")</f>
        <v>#N/A</v>
      </c>
      <c r="K865" s="0" t="str">
        <f aca="false">IF(F865 = H865, C865/G865, "")</f>
        <v/>
      </c>
      <c r="L865" s="0" t="str">
        <f aca="false">IFERROR(__xludf.dummyfunction("IF(AND(NOT(K865 = """"), G865 &gt;= 15),K865/FILTER('Base Stats'!$C$2:$C1000, LOWER('Base Stats'!$B$2:$B1000) = LOWER($A865)), """")"),"#N/A")</f>
        <v>#N/A</v>
      </c>
      <c r="M865" s="0" t="str">
        <f aca="false">IFERROR(__xludf.dummyfunction("1.15 + 0.02 * FILTER('Base Stats'!$C$2:$C1000, LOWER('Base Stats'!$B$2:$B1000) = LOWER($A865))"),"1.15")</f>
        <v>1.15</v>
      </c>
      <c r="N865" s="0" t="e">
        <f aca="false">IFERROR(IF(AND(NOT(K865 = ""), G865 &gt;= 15),K865/M865, ""))</f>
        <v>#VALUE!</v>
      </c>
    </row>
    <row r="866" customFormat="false" ht="15.75" hidden="false" customHeight="false" outlineLevel="0" collapsed="false">
      <c r="A866" s="0" t="n">
        <f aca="false">'Form Responses (Pokemon Stats)'!B760</f>
        <v>0</v>
      </c>
      <c r="B866" s="0" t="n">
        <f aca="false">'Form Responses (Pokemon Stats)'!D760</f>
        <v>0</v>
      </c>
      <c r="C866" s="0" t="n">
        <f aca="false">'Form Responses (Pokemon Stats)'!C760</f>
        <v>0</v>
      </c>
      <c r="F866" s="0" t="n">
        <f aca="false">'Form Responses (Pokemon Stats)'!E760</f>
        <v>0</v>
      </c>
      <c r="G866" s="0" t="str">
        <f aca="false">IFERROR(__xludf.dummyfunction("ROUND(B866/ FILTER('Pokemon CP/HP'!$M$2:$M1000, LOWER('Pokemon CP/HP'!$B$2:$B1000)=LOWER(A866)))"),"#DIV/0!")</f>
        <v>#DIV/0!</v>
      </c>
      <c r="H866" s="0" t="str">
        <f aca="false">IFERROR(__xludf.dummyfunction("FILTER('Leveling Info'!$B$2:$B1000, 'Leveling Info'!$A$2:$A1000 =G866)"),"#N/A")</f>
        <v>#N/A</v>
      </c>
      <c r="I866" s="14" t="e">
        <f aca="false">SQRT(G866)</f>
        <v>#VALUE!</v>
      </c>
      <c r="J866" s="14" t="str">
        <f aca="false">IFERROR(__xludf.dummyfunction("IF(F866 = H866,C866/FILTER('Base Stats'!$C$2:$C1000, LOWER('Base Stats'!$B$2:$B1000) = LOWER($A866)), """")"),"#N/A")</f>
        <v>#N/A</v>
      </c>
      <c r="K866" s="0" t="str">
        <f aca="false">IF(F866 = H866, C866/G866, "")</f>
        <v/>
      </c>
      <c r="L866" s="0" t="str">
        <f aca="false">IFERROR(__xludf.dummyfunction("IF(AND(NOT(K866 = """"), G866 &gt;= 15),K866/FILTER('Base Stats'!$C$2:$C1000, LOWER('Base Stats'!$B$2:$B1000) = LOWER($A866)), """")"),"#N/A")</f>
        <v>#N/A</v>
      </c>
      <c r="M866" s="0" t="str">
        <f aca="false">IFERROR(__xludf.dummyfunction("1.15 + 0.02 * FILTER('Base Stats'!$C$2:$C1000, LOWER('Base Stats'!$B$2:$B1000) = LOWER($A866))"),"1.15")</f>
        <v>1.15</v>
      </c>
      <c r="N866" s="0" t="e">
        <f aca="false">IFERROR(IF(AND(NOT(K866 = ""), G866 &gt;= 15),K866/M866, ""))</f>
        <v>#VALUE!</v>
      </c>
    </row>
    <row r="867" customFormat="false" ht="15.75" hidden="false" customHeight="false" outlineLevel="0" collapsed="false">
      <c r="A867" s="0" t="n">
        <f aca="false">'Form Responses (Pokemon Stats)'!B761</f>
        <v>0</v>
      </c>
      <c r="B867" s="0" t="n">
        <f aca="false">'Form Responses (Pokemon Stats)'!D761</f>
        <v>0</v>
      </c>
      <c r="C867" s="0" t="n">
        <f aca="false">'Form Responses (Pokemon Stats)'!C761</f>
        <v>0</v>
      </c>
      <c r="F867" s="0" t="n">
        <f aca="false">'Form Responses (Pokemon Stats)'!E761</f>
        <v>0</v>
      </c>
      <c r="G867" s="0" t="str">
        <f aca="false">IFERROR(__xludf.dummyfunction("ROUND(B867/ FILTER('Pokemon CP/HP'!$M$2:$M1000, LOWER('Pokemon CP/HP'!$B$2:$B1000)=LOWER(A867)))"),"#DIV/0!")</f>
        <v>#DIV/0!</v>
      </c>
      <c r="H867" s="0" t="str">
        <f aca="false">IFERROR(__xludf.dummyfunction("FILTER('Leveling Info'!$B$2:$B1000, 'Leveling Info'!$A$2:$A1000 =G867)"),"#N/A")</f>
        <v>#N/A</v>
      </c>
      <c r="I867" s="14" t="e">
        <f aca="false">SQRT(G867)</f>
        <v>#VALUE!</v>
      </c>
      <c r="J867" s="14" t="str">
        <f aca="false">IFERROR(__xludf.dummyfunction("IF(F867 = H867,C867/FILTER('Base Stats'!$C$2:$C1000, LOWER('Base Stats'!$B$2:$B1000) = LOWER($A867)), """")"),"#N/A")</f>
        <v>#N/A</v>
      </c>
      <c r="K867" s="0" t="str">
        <f aca="false">IF(F867 = H867, C867/G867, "")</f>
        <v/>
      </c>
      <c r="L867" s="0" t="str">
        <f aca="false">IFERROR(__xludf.dummyfunction("IF(AND(NOT(K867 = """"), G867 &gt;= 15),K867/FILTER('Base Stats'!$C$2:$C1000, LOWER('Base Stats'!$B$2:$B1000) = LOWER($A867)), """")"),"#N/A")</f>
        <v>#N/A</v>
      </c>
      <c r="M867" s="0" t="str">
        <f aca="false">IFERROR(__xludf.dummyfunction("1.15 + 0.02 * FILTER('Base Stats'!$C$2:$C1000, LOWER('Base Stats'!$B$2:$B1000) = LOWER($A867))"),"1.15")</f>
        <v>1.15</v>
      </c>
      <c r="N867" s="0" t="e">
        <f aca="false">IFERROR(IF(AND(NOT(K867 = ""), G867 &gt;= 15),K867/M867, ""))</f>
        <v>#VALUE!</v>
      </c>
    </row>
    <row r="868" customFormat="false" ht="15.75" hidden="false" customHeight="false" outlineLevel="0" collapsed="false">
      <c r="A868" s="0" t="n">
        <f aca="false">'Form Responses (Pokemon Stats)'!B762</f>
        <v>0</v>
      </c>
      <c r="B868" s="0" t="n">
        <f aca="false">'Form Responses (Pokemon Stats)'!D762</f>
        <v>0</v>
      </c>
      <c r="C868" s="0" t="n">
        <f aca="false">'Form Responses (Pokemon Stats)'!C762</f>
        <v>0</v>
      </c>
      <c r="F868" s="0" t="n">
        <f aca="false">'Form Responses (Pokemon Stats)'!E762</f>
        <v>0</v>
      </c>
      <c r="G868" s="0" t="str">
        <f aca="false">IFERROR(__xludf.dummyfunction("ROUND(B868/ FILTER('Pokemon CP/HP'!$M$2:$M1000, LOWER('Pokemon CP/HP'!$B$2:$B1000)=LOWER(A868)))"),"#DIV/0!")</f>
        <v>#DIV/0!</v>
      </c>
      <c r="H868" s="0" t="str">
        <f aca="false">IFERROR(__xludf.dummyfunction("FILTER('Leveling Info'!$B$2:$B1000, 'Leveling Info'!$A$2:$A1000 =G868)"),"#N/A")</f>
        <v>#N/A</v>
      </c>
      <c r="I868" s="14" t="e">
        <f aca="false">SQRT(G868)</f>
        <v>#VALUE!</v>
      </c>
      <c r="J868" s="14" t="str">
        <f aca="false">IFERROR(__xludf.dummyfunction("IF(F868 = H868,C868/FILTER('Base Stats'!$C$2:$C1000, LOWER('Base Stats'!$B$2:$B1000) = LOWER($A868)), """")"),"#N/A")</f>
        <v>#N/A</v>
      </c>
      <c r="K868" s="0" t="str">
        <f aca="false">IF(F868 = H868, C868/G868, "")</f>
        <v/>
      </c>
      <c r="L868" s="0" t="str">
        <f aca="false">IFERROR(__xludf.dummyfunction("IF(AND(NOT(K868 = """"), G868 &gt;= 15),K868/FILTER('Base Stats'!$C$2:$C1000, LOWER('Base Stats'!$B$2:$B1000) = LOWER($A868)), """")"),"#N/A")</f>
        <v>#N/A</v>
      </c>
      <c r="M868" s="0" t="str">
        <f aca="false">IFERROR(__xludf.dummyfunction("1.15 + 0.02 * FILTER('Base Stats'!$C$2:$C1000, LOWER('Base Stats'!$B$2:$B1000) = LOWER($A868))"),"1.15")</f>
        <v>1.15</v>
      </c>
      <c r="N868" s="0" t="e">
        <f aca="false">IFERROR(IF(AND(NOT(K868 = ""), G868 &gt;= 15),K868/M868, ""))</f>
        <v>#VALUE!</v>
      </c>
    </row>
    <row r="869" customFormat="false" ht="15.75" hidden="false" customHeight="false" outlineLevel="0" collapsed="false">
      <c r="A869" s="0" t="n">
        <f aca="false">'Form Responses (Pokemon Stats)'!B763</f>
        <v>0</v>
      </c>
      <c r="B869" s="0" t="n">
        <f aca="false">'Form Responses (Pokemon Stats)'!D763</f>
        <v>0</v>
      </c>
      <c r="C869" s="0" t="n">
        <f aca="false">'Form Responses (Pokemon Stats)'!C763</f>
        <v>0</v>
      </c>
      <c r="F869" s="0" t="n">
        <f aca="false">'Form Responses (Pokemon Stats)'!E763</f>
        <v>0</v>
      </c>
      <c r="G869" s="0" t="str">
        <f aca="false">IFERROR(__xludf.dummyfunction("ROUND(B869/ FILTER('Pokemon CP/HP'!$M$2:$M1000, LOWER('Pokemon CP/HP'!$B$2:$B1000)=LOWER(A869)))"),"#DIV/0!")</f>
        <v>#DIV/0!</v>
      </c>
      <c r="H869" s="0" t="str">
        <f aca="false">IFERROR(__xludf.dummyfunction("FILTER('Leveling Info'!$B$2:$B1000, 'Leveling Info'!$A$2:$A1000 =G869)"),"#N/A")</f>
        <v>#N/A</v>
      </c>
      <c r="I869" s="14" t="e">
        <f aca="false">SQRT(G869)</f>
        <v>#VALUE!</v>
      </c>
      <c r="J869" s="14" t="str">
        <f aca="false">IFERROR(__xludf.dummyfunction("IF(F869 = H869,C869/FILTER('Base Stats'!$C$2:$C1000, LOWER('Base Stats'!$B$2:$B1000) = LOWER($A869)), """")"),"#N/A")</f>
        <v>#N/A</v>
      </c>
      <c r="K869" s="0" t="str">
        <f aca="false">IF(F869 = H869, C869/G869, "")</f>
        <v/>
      </c>
      <c r="L869" s="0" t="str">
        <f aca="false">IFERROR(__xludf.dummyfunction("IF(AND(NOT(K869 = """"), G869 &gt;= 15),K869/FILTER('Base Stats'!$C$2:$C1000, LOWER('Base Stats'!$B$2:$B1000) = LOWER($A869)), """")"),"#N/A")</f>
        <v>#N/A</v>
      </c>
      <c r="M869" s="0" t="str">
        <f aca="false">IFERROR(__xludf.dummyfunction("1.15 + 0.02 * FILTER('Base Stats'!$C$2:$C1000, LOWER('Base Stats'!$B$2:$B1000) = LOWER($A869))"),"1.15")</f>
        <v>1.15</v>
      </c>
      <c r="N869" s="0" t="e">
        <f aca="false">IFERROR(IF(AND(NOT(K869 = ""), G869 &gt;= 15),K869/M869, ""))</f>
        <v>#VALUE!</v>
      </c>
    </row>
    <row r="870" customFormat="false" ht="15.75" hidden="false" customHeight="false" outlineLevel="0" collapsed="false">
      <c r="A870" s="0" t="n">
        <f aca="false">'Form Responses (Pokemon Stats)'!B764</f>
        <v>0</v>
      </c>
      <c r="B870" s="0" t="n">
        <f aca="false">'Form Responses (Pokemon Stats)'!D764</f>
        <v>0</v>
      </c>
      <c r="C870" s="0" t="n">
        <f aca="false">'Form Responses (Pokemon Stats)'!C764</f>
        <v>0</v>
      </c>
      <c r="F870" s="0" t="n">
        <f aca="false">'Form Responses (Pokemon Stats)'!E764</f>
        <v>0</v>
      </c>
      <c r="G870" s="0" t="str">
        <f aca="false">IFERROR(__xludf.dummyfunction("ROUND(B870/ FILTER('Pokemon CP/HP'!$M$2:$M1000, LOWER('Pokemon CP/HP'!$B$2:$B1000)=LOWER(A870)))"),"#DIV/0!")</f>
        <v>#DIV/0!</v>
      </c>
      <c r="H870" s="0" t="str">
        <f aca="false">IFERROR(__xludf.dummyfunction("FILTER('Leveling Info'!$B$2:$B1000, 'Leveling Info'!$A$2:$A1000 =G870)"),"#N/A")</f>
        <v>#N/A</v>
      </c>
      <c r="I870" s="14" t="e">
        <f aca="false">SQRT(G870)</f>
        <v>#VALUE!</v>
      </c>
      <c r="J870" s="14" t="str">
        <f aca="false">IFERROR(__xludf.dummyfunction("IF(F870 = H870,C870/FILTER('Base Stats'!$C$2:$C1000, LOWER('Base Stats'!$B$2:$B1000) = LOWER($A870)), """")"),"#N/A")</f>
        <v>#N/A</v>
      </c>
      <c r="K870" s="0" t="str">
        <f aca="false">IF(F870 = H870, C870/G870, "")</f>
        <v/>
      </c>
      <c r="L870" s="0" t="str">
        <f aca="false">IFERROR(__xludf.dummyfunction("IF(AND(NOT(K870 = """"), G870 &gt;= 15),K870/FILTER('Base Stats'!$C$2:$C1000, LOWER('Base Stats'!$B$2:$B1000) = LOWER($A870)), """")"),"#N/A")</f>
        <v>#N/A</v>
      </c>
      <c r="M870" s="0" t="str">
        <f aca="false">IFERROR(__xludf.dummyfunction("1.15 + 0.02 * FILTER('Base Stats'!$C$2:$C1000, LOWER('Base Stats'!$B$2:$B1000) = LOWER($A870))"),"1.15")</f>
        <v>1.15</v>
      </c>
      <c r="N870" s="0" t="e">
        <f aca="false">IFERROR(IF(AND(NOT(K870 = ""), G870 &gt;= 15),K870/M870, ""))</f>
        <v>#VALUE!</v>
      </c>
    </row>
    <row r="871" customFormat="false" ht="15.75" hidden="false" customHeight="false" outlineLevel="0" collapsed="false">
      <c r="A871" s="0" t="n">
        <f aca="false">'Form Responses (Pokemon Stats)'!B765</f>
        <v>0</v>
      </c>
      <c r="B871" s="0" t="n">
        <f aca="false">'Form Responses (Pokemon Stats)'!D765</f>
        <v>0</v>
      </c>
      <c r="C871" s="0" t="n">
        <f aca="false">'Form Responses (Pokemon Stats)'!C765</f>
        <v>0</v>
      </c>
      <c r="F871" s="0" t="n">
        <f aca="false">'Form Responses (Pokemon Stats)'!E765</f>
        <v>0</v>
      </c>
      <c r="G871" s="0" t="str">
        <f aca="false">IFERROR(__xludf.dummyfunction("ROUND(B871/ FILTER('Pokemon CP/HP'!$M$2:$M1000, LOWER('Pokemon CP/HP'!$B$2:$B1000)=LOWER(A871)))"),"#DIV/0!")</f>
        <v>#DIV/0!</v>
      </c>
      <c r="H871" s="0" t="str">
        <f aca="false">IFERROR(__xludf.dummyfunction("FILTER('Leveling Info'!$B$2:$B1000, 'Leveling Info'!$A$2:$A1000 =G871)"),"#N/A")</f>
        <v>#N/A</v>
      </c>
      <c r="I871" s="14" t="e">
        <f aca="false">SQRT(G871)</f>
        <v>#VALUE!</v>
      </c>
      <c r="J871" s="14" t="str">
        <f aca="false">IFERROR(__xludf.dummyfunction("IF(F871 = H871,C871/FILTER('Base Stats'!$C$2:$C1000, LOWER('Base Stats'!$B$2:$B1000) = LOWER($A871)), """")"),"#N/A")</f>
        <v>#N/A</v>
      </c>
      <c r="K871" s="0" t="str">
        <f aca="false">IF(F871 = H871, C871/G871, "")</f>
        <v/>
      </c>
      <c r="L871" s="0" t="str">
        <f aca="false">IFERROR(__xludf.dummyfunction("IF(AND(NOT(K871 = """"), G871 &gt;= 15),K871/FILTER('Base Stats'!$C$2:$C1000, LOWER('Base Stats'!$B$2:$B1000) = LOWER($A871)), """")"),"#N/A")</f>
        <v>#N/A</v>
      </c>
      <c r="M871" s="0" t="str">
        <f aca="false">IFERROR(__xludf.dummyfunction("1.15 + 0.02 * FILTER('Base Stats'!$C$2:$C1000, LOWER('Base Stats'!$B$2:$B1000) = LOWER($A871))"),"1.15")</f>
        <v>1.15</v>
      </c>
      <c r="N871" s="0" t="e">
        <f aca="false">IFERROR(IF(AND(NOT(K871 = ""), G871 &gt;= 15),K871/M871, ""))</f>
        <v>#VALUE!</v>
      </c>
    </row>
    <row r="872" customFormat="false" ht="15.75" hidden="false" customHeight="false" outlineLevel="0" collapsed="false">
      <c r="A872" s="0" t="n">
        <f aca="false">'Form Responses (Pokemon Stats)'!B766</f>
        <v>0</v>
      </c>
      <c r="B872" s="0" t="n">
        <f aca="false">'Form Responses (Pokemon Stats)'!D766</f>
        <v>0</v>
      </c>
      <c r="C872" s="0" t="n">
        <f aca="false">'Form Responses (Pokemon Stats)'!C766</f>
        <v>0</v>
      </c>
      <c r="F872" s="0" t="n">
        <f aca="false">'Form Responses (Pokemon Stats)'!E766</f>
        <v>0</v>
      </c>
      <c r="G872" s="0" t="str">
        <f aca="false">IFERROR(__xludf.dummyfunction("ROUND(B872/ FILTER('Pokemon CP/HP'!$M$2:$M1000, LOWER('Pokemon CP/HP'!$B$2:$B1000)=LOWER(A872)))"),"#DIV/0!")</f>
        <v>#DIV/0!</v>
      </c>
      <c r="H872" s="0" t="str">
        <f aca="false">IFERROR(__xludf.dummyfunction("FILTER('Leveling Info'!$B$2:$B1000, 'Leveling Info'!$A$2:$A1000 =G872)"),"#N/A")</f>
        <v>#N/A</v>
      </c>
      <c r="I872" s="14" t="e">
        <f aca="false">SQRT(G872)</f>
        <v>#VALUE!</v>
      </c>
      <c r="J872" s="14" t="str">
        <f aca="false">IFERROR(__xludf.dummyfunction("IF(F872 = H872,C872/FILTER('Base Stats'!$C$2:$C1000, LOWER('Base Stats'!$B$2:$B1000) = LOWER($A872)), """")"),"#N/A")</f>
        <v>#N/A</v>
      </c>
      <c r="K872" s="0" t="str">
        <f aca="false">IF(F872 = H872, C872/G872, "")</f>
        <v/>
      </c>
      <c r="L872" s="0" t="str">
        <f aca="false">IFERROR(__xludf.dummyfunction("IF(AND(NOT(K872 = """"), G872 &gt;= 15),K872/FILTER('Base Stats'!$C$2:$C1000, LOWER('Base Stats'!$B$2:$B1000) = LOWER($A872)), """")"),"#N/A")</f>
        <v>#N/A</v>
      </c>
      <c r="M872" s="0" t="str">
        <f aca="false">IFERROR(__xludf.dummyfunction("1.15 + 0.02 * FILTER('Base Stats'!$C$2:$C1000, LOWER('Base Stats'!$B$2:$B1000) = LOWER($A872))"),"1.15")</f>
        <v>1.15</v>
      </c>
      <c r="N872" s="0" t="e">
        <f aca="false">IFERROR(IF(AND(NOT(K872 = ""), G872 &gt;= 15),K872/M872, ""))</f>
        <v>#VALUE!</v>
      </c>
    </row>
    <row r="873" customFormat="false" ht="15.75" hidden="false" customHeight="false" outlineLevel="0" collapsed="false">
      <c r="A873" s="0" t="n">
        <f aca="false">'Form Responses (Pokemon Stats)'!B767</f>
        <v>0</v>
      </c>
      <c r="B873" s="0" t="n">
        <f aca="false">'Form Responses (Pokemon Stats)'!D767</f>
        <v>0</v>
      </c>
      <c r="C873" s="0" t="n">
        <f aca="false">'Form Responses (Pokemon Stats)'!C767</f>
        <v>0</v>
      </c>
      <c r="F873" s="0" t="n">
        <f aca="false">'Form Responses (Pokemon Stats)'!E767</f>
        <v>0</v>
      </c>
      <c r="G873" s="0" t="str">
        <f aca="false">IFERROR(__xludf.dummyfunction("ROUND(B873/ FILTER('Pokemon CP/HP'!$M$2:$M1000, LOWER('Pokemon CP/HP'!$B$2:$B1000)=LOWER(A873)))"),"#DIV/0!")</f>
        <v>#DIV/0!</v>
      </c>
      <c r="H873" s="0" t="str">
        <f aca="false">IFERROR(__xludf.dummyfunction("FILTER('Leveling Info'!$B$2:$B1000, 'Leveling Info'!$A$2:$A1000 =G873)"),"#N/A")</f>
        <v>#N/A</v>
      </c>
      <c r="I873" s="14" t="e">
        <f aca="false">SQRT(G873)</f>
        <v>#VALUE!</v>
      </c>
      <c r="J873" s="14" t="str">
        <f aca="false">IFERROR(__xludf.dummyfunction("IF(F873 = H873,C873/FILTER('Base Stats'!$C$2:$C1000, LOWER('Base Stats'!$B$2:$B1000) = LOWER($A873)), """")"),"#N/A")</f>
        <v>#N/A</v>
      </c>
      <c r="K873" s="0" t="str">
        <f aca="false">IF(F873 = H873, C873/G873, "")</f>
        <v/>
      </c>
      <c r="L873" s="0" t="str">
        <f aca="false">IFERROR(__xludf.dummyfunction("IF(AND(NOT(K873 = """"), G873 &gt;= 15),K873/FILTER('Base Stats'!$C$2:$C1000, LOWER('Base Stats'!$B$2:$B1000) = LOWER($A873)), """")"),"#N/A")</f>
        <v>#N/A</v>
      </c>
      <c r="M873" s="0" t="str">
        <f aca="false">IFERROR(__xludf.dummyfunction("1.15 + 0.02 * FILTER('Base Stats'!$C$2:$C1000, LOWER('Base Stats'!$B$2:$B1000) = LOWER($A873))"),"1.15")</f>
        <v>1.15</v>
      </c>
      <c r="N873" s="0" t="e">
        <f aca="false">IFERROR(IF(AND(NOT(K873 = ""), G873 &gt;= 15),K873/M873, ""))</f>
        <v>#VALUE!</v>
      </c>
    </row>
    <row r="874" customFormat="false" ht="15.75" hidden="false" customHeight="false" outlineLevel="0" collapsed="false">
      <c r="A874" s="0" t="n">
        <f aca="false">'Form Responses (Pokemon Stats)'!B768</f>
        <v>0</v>
      </c>
      <c r="B874" s="0" t="n">
        <f aca="false">'Form Responses (Pokemon Stats)'!D768</f>
        <v>0</v>
      </c>
      <c r="C874" s="0" t="n">
        <f aca="false">'Form Responses (Pokemon Stats)'!C768</f>
        <v>0</v>
      </c>
      <c r="F874" s="0" t="n">
        <f aca="false">'Form Responses (Pokemon Stats)'!E768</f>
        <v>0</v>
      </c>
      <c r="G874" s="0" t="str">
        <f aca="false">IFERROR(__xludf.dummyfunction("ROUND(B874/ FILTER('Pokemon CP/HP'!$M$2:$M1000, LOWER('Pokemon CP/HP'!$B$2:$B1000)=LOWER(A874)))"),"#DIV/0!")</f>
        <v>#DIV/0!</v>
      </c>
      <c r="H874" s="0" t="str">
        <f aca="false">IFERROR(__xludf.dummyfunction("FILTER('Leveling Info'!$B$2:$B1000, 'Leveling Info'!$A$2:$A1000 =G874)"),"#N/A")</f>
        <v>#N/A</v>
      </c>
      <c r="I874" s="14" t="e">
        <f aca="false">SQRT(G874)</f>
        <v>#VALUE!</v>
      </c>
      <c r="J874" s="14" t="str">
        <f aca="false">IFERROR(__xludf.dummyfunction("IF(F874 = H874,C874/FILTER('Base Stats'!$C$2:$C1000, LOWER('Base Stats'!$B$2:$B1000) = LOWER($A874)), """")"),"#N/A")</f>
        <v>#N/A</v>
      </c>
      <c r="K874" s="0" t="str">
        <f aca="false">IF(F874 = H874, C874/G874, "")</f>
        <v/>
      </c>
      <c r="L874" s="0" t="str">
        <f aca="false">IFERROR(__xludf.dummyfunction("IF(AND(NOT(K874 = """"), G874 &gt;= 15),K874/FILTER('Base Stats'!$C$2:$C1000, LOWER('Base Stats'!$B$2:$B1000) = LOWER($A874)), """")"),"#N/A")</f>
        <v>#N/A</v>
      </c>
      <c r="M874" s="0" t="str">
        <f aca="false">IFERROR(__xludf.dummyfunction("1.15 + 0.02 * FILTER('Base Stats'!$C$2:$C1000, LOWER('Base Stats'!$B$2:$B1000) = LOWER($A874))"),"1.15")</f>
        <v>1.15</v>
      </c>
      <c r="N874" s="0" t="e">
        <f aca="false">IFERROR(IF(AND(NOT(K874 = ""), G874 &gt;= 15),K874/M874, ""))</f>
        <v>#VALUE!</v>
      </c>
    </row>
    <row r="875" customFormat="false" ht="15.75" hidden="false" customHeight="false" outlineLevel="0" collapsed="false">
      <c r="A875" s="0" t="n">
        <f aca="false">'Form Responses (Pokemon Stats)'!B769</f>
        <v>0</v>
      </c>
      <c r="B875" s="0" t="n">
        <f aca="false">'Form Responses (Pokemon Stats)'!D769</f>
        <v>0</v>
      </c>
      <c r="C875" s="0" t="n">
        <f aca="false">'Form Responses (Pokemon Stats)'!C769</f>
        <v>0</v>
      </c>
      <c r="F875" s="0" t="n">
        <f aca="false">'Form Responses (Pokemon Stats)'!E769</f>
        <v>0</v>
      </c>
      <c r="G875" s="0" t="str">
        <f aca="false">IFERROR(__xludf.dummyfunction("ROUND(B875/ FILTER('Pokemon CP/HP'!$M$2:$M1000, LOWER('Pokemon CP/HP'!$B$2:$B1000)=LOWER(A875)))"),"#DIV/0!")</f>
        <v>#DIV/0!</v>
      </c>
      <c r="H875" s="0" t="str">
        <f aca="false">IFERROR(__xludf.dummyfunction("FILTER('Leveling Info'!$B$2:$B1000, 'Leveling Info'!$A$2:$A1000 =G875)"),"#N/A")</f>
        <v>#N/A</v>
      </c>
      <c r="I875" s="14" t="e">
        <f aca="false">SQRT(G875)</f>
        <v>#VALUE!</v>
      </c>
      <c r="J875" s="14" t="str">
        <f aca="false">IFERROR(__xludf.dummyfunction("IF(F875 = H875,C875/FILTER('Base Stats'!$C$2:$C1000, LOWER('Base Stats'!$B$2:$B1000) = LOWER($A875)), """")"),"#N/A")</f>
        <v>#N/A</v>
      </c>
      <c r="K875" s="0" t="str">
        <f aca="false">IF(F875 = H875, C875/G875, "")</f>
        <v/>
      </c>
      <c r="L875" s="0" t="str">
        <f aca="false">IFERROR(__xludf.dummyfunction("IF(AND(NOT(K875 = """"), G875 &gt;= 15),K875/FILTER('Base Stats'!$C$2:$C1000, LOWER('Base Stats'!$B$2:$B1000) = LOWER($A875)), """")"),"#N/A")</f>
        <v>#N/A</v>
      </c>
      <c r="M875" s="0" t="str">
        <f aca="false">IFERROR(__xludf.dummyfunction("1.15 + 0.02 * FILTER('Base Stats'!$C$2:$C1000, LOWER('Base Stats'!$B$2:$B1000) = LOWER($A875))"),"1.15")</f>
        <v>1.15</v>
      </c>
      <c r="N875" s="0" t="e">
        <f aca="false">IFERROR(IF(AND(NOT(K875 = ""), G875 &gt;= 15),K875/M875, ""))</f>
        <v>#VALUE!</v>
      </c>
    </row>
    <row r="876" customFormat="false" ht="15.75" hidden="false" customHeight="false" outlineLevel="0" collapsed="false">
      <c r="A876" s="0" t="n">
        <f aca="false">'Form Responses (Pokemon Stats)'!B770</f>
        <v>0</v>
      </c>
      <c r="B876" s="0" t="n">
        <f aca="false">'Form Responses (Pokemon Stats)'!D770</f>
        <v>0</v>
      </c>
      <c r="C876" s="0" t="n">
        <f aca="false">'Form Responses (Pokemon Stats)'!C770</f>
        <v>0</v>
      </c>
      <c r="F876" s="0" t="n">
        <f aca="false">'Form Responses (Pokemon Stats)'!E770</f>
        <v>0</v>
      </c>
      <c r="G876" s="0" t="str">
        <f aca="false">IFERROR(__xludf.dummyfunction("ROUND(B876/ FILTER('Pokemon CP/HP'!$M$2:$M1000, LOWER('Pokemon CP/HP'!$B$2:$B1000)=LOWER(A876)))"),"#DIV/0!")</f>
        <v>#DIV/0!</v>
      </c>
      <c r="H876" s="0" t="str">
        <f aca="false">IFERROR(__xludf.dummyfunction("FILTER('Leveling Info'!$B$2:$B1000, 'Leveling Info'!$A$2:$A1000 =G876)"),"#N/A")</f>
        <v>#N/A</v>
      </c>
      <c r="I876" s="14" t="e">
        <f aca="false">SQRT(G876)</f>
        <v>#VALUE!</v>
      </c>
      <c r="J876" s="14" t="str">
        <f aca="false">IFERROR(__xludf.dummyfunction("IF(F876 = H876,C876/FILTER('Base Stats'!$C$2:$C1000, LOWER('Base Stats'!$B$2:$B1000) = LOWER($A876)), """")"),"#N/A")</f>
        <v>#N/A</v>
      </c>
      <c r="K876" s="0" t="str">
        <f aca="false">IF(F876 = H876, C876/G876, "")</f>
        <v/>
      </c>
      <c r="L876" s="0" t="str">
        <f aca="false">IFERROR(__xludf.dummyfunction("IF(AND(NOT(K876 = """"), G876 &gt;= 15),K876/FILTER('Base Stats'!$C$2:$C1000, LOWER('Base Stats'!$B$2:$B1000) = LOWER($A876)), """")"),"#N/A")</f>
        <v>#N/A</v>
      </c>
      <c r="M876" s="0" t="str">
        <f aca="false">IFERROR(__xludf.dummyfunction("1.15 + 0.02 * FILTER('Base Stats'!$C$2:$C1000, LOWER('Base Stats'!$B$2:$B1000) = LOWER($A876))"),"1.15")</f>
        <v>1.15</v>
      </c>
      <c r="N876" s="0" t="e">
        <f aca="false">IFERROR(IF(AND(NOT(K876 = ""), G876 &gt;= 15),K876/M876, ""))</f>
        <v>#VALUE!</v>
      </c>
    </row>
    <row r="877" customFormat="false" ht="15.75" hidden="false" customHeight="false" outlineLevel="0" collapsed="false">
      <c r="A877" s="0" t="n">
        <f aca="false">'Form Responses (Pokemon Stats)'!B771</f>
        <v>0</v>
      </c>
      <c r="B877" s="0" t="n">
        <f aca="false">'Form Responses (Pokemon Stats)'!D771</f>
        <v>0</v>
      </c>
      <c r="C877" s="0" t="n">
        <f aca="false">'Form Responses (Pokemon Stats)'!C771</f>
        <v>0</v>
      </c>
      <c r="F877" s="0" t="n">
        <f aca="false">'Form Responses (Pokemon Stats)'!E771</f>
        <v>0</v>
      </c>
      <c r="G877" s="0" t="str">
        <f aca="false">IFERROR(__xludf.dummyfunction("ROUND(B877/ FILTER('Pokemon CP/HP'!$M$2:$M1000, LOWER('Pokemon CP/HP'!$B$2:$B1000)=LOWER(A877)))"),"#DIV/0!")</f>
        <v>#DIV/0!</v>
      </c>
      <c r="H877" s="0" t="str">
        <f aca="false">IFERROR(__xludf.dummyfunction("FILTER('Leveling Info'!$B$2:$B1000, 'Leveling Info'!$A$2:$A1000 =G877)"),"#N/A")</f>
        <v>#N/A</v>
      </c>
      <c r="I877" s="14" t="e">
        <f aca="false">SQRT(G877)</f>
        <v>#VALUE!</v>
      </c>
      <c r="J877" s="14" t="str">
        <f aca="false">IFERROR(__xludf.dummyfunction("IF(F877 = H877,C877/FILTER('Base Stats'!$C$2:$C1000, LOWER('Base Stats'!$B$2:$B1000) = LOWER($A877)), """")"),"#N/A")</f>
        <v>#N/A</v>
      </c>
      <c r="K877" s="0" t="str">
        <f aca="false">IF(F877 = H877, C877/G877, "")</f>
        <v/>
      </c>
      <c r="L877" s="0" t="str">
        <f aca="false">IFERROR(__xludf.dummyfunction("IF(AND(NOT(K877 = """"), G877 &gt;= 15),K877/FILTER('Base Stats'!$C$2:$C1000, LOWER('Base Stats'!$B$2:$B1000) = LOWER($A877)), """")"),"#N/A")</f>
        <v>#N/A</v>
      </c>
      <c r="M877" s="0" t="str">
        <f aca="false">IFERROR(__xludf.dummyfunction("1.15 + 0.02 * FILTER('Base Stats'!$C$2:$C1000, LOWER('Base Stats'!$B$2:$B1000) = LOWER($A877))"),"1.15")</f>
        <v>1.15</v>
      </c>
      <c r="N877" s="0" t="e">
        <f aca="false">IFERROR(IF(AND(NOT(K877 = ""), G877 &gt;= 15),K877/M877, ""))</f>
        <v>#VALUE!</v>
      </c>
    </row>
    <row r="878" customFormat="false" ht="15.75" hidden="false" customHeight="false" outlineLevel="0" collapsed="false">
      <c r="A878" s="0" t="n">
        <f aca="false">'Form Responses (Pokemon Stats)'!B772</f>
        <v>0</v>
      </c>
      <c r="B878" s="0" t="n">
        <f aca="false">'Form Responses (Pokemon Stats)'!D772</f>
        <v>0</v>
      </c>
      <c r="C878" s="0" t="n">
        <f aca="false">'Form Responses (Pokemon Stats)'!C772</f>
        <v>0</v>
      </c>
      <c r="F878" s="0" t="n">
        <f aca="false">'Form Responses (Pokemon Stats)'!E772</f>
        <v>0</v>
      </c>
      <c r="G878" s="0" t="str">
        <f aca="false">IFERROR(__xludf.dummyfunction("ROUND(B878/ FILTER('Pokemon CP/HP'!$M$2:$M1000, LOWER('Pokemon CP/HP'!$B$2:$B1000)=LOWER(A878)))"),"#DIV/0!")</f>
        <v>#DIV/0!</v>
      </c>
      <c r="H878" s="0" t="str">
        <f aca="false">IFERROR(__xludf.dummyfunction("FILTER('Leveling Info'!$B$2:$B1000, 'Leveling Info'!$A$2:$A1000 =G878)"),"#N/A")</f>
        <v>#N/A</v>
      </c>
      <c r="I878" s="14" t="e">
        <f aca="false">SQRT(G878)</f>
        <v>#VALUE!</v>
      </c>
      <c r="J878" s="14" t="str">
        <f aca="false">IFERROR(__xludf.dummyfunction("IF(F878 = H878,C878/FILTER('Base Stats'!$C$2:$C1000, LOWER('Base Stats'!$B$2:$B1000) = LOWER($A878)), """")"),"#N/A")</f>
        <v>#N/A</v>
      </c>
      <c r="K878" s="0" t="str">
        <f aca="false">IF(F878 = H878, C878/G878, "")</f>
        <v/>
      </c>
      <c r="L878" s="0" t="str">
        <f aca="false">IFERROR(__xludf.dummyfunction("IF(AND(NOT(K878 = """"), G878 &gt;= 15),K878/FILTER('Base Stats'!$C$2:$C1000, LOWER('Base Stats'!$B$2:$B1000) = LOWER($A878)), """")"),"#N/A")</f>
        <v>#N/A</v>
      </c>
      <c r="M878" s="0" t="str">
        <f aca="false">IFERROR(__xludf.dummyfunction("1.15 + 0.02 * FILTER('Base Stats'!$C$2:$C1000, LOWER('Base Stats'!$B$2:$B1000) = LOWER($A878))"),"1.15")</f>
        <v>1.15</v>
      </c>
      <c r="N878" s="0" t="e">
        <f aca="false">IFERROR(IF(AND(NOT(K878 = ""), G878 &gt;= 15),K878/M878, ""))</f>
        <v>#VALUE!</v>
      </c>
    </row>
    <row r="879" customFormat="false" ht="15.75" hidden="false" customHeight="false" outlineLevel="0" collapsed="false">
      <c r="A879" s="0" t="n">
        <f aca="false">'Form Responses (Pokemon Stats)'!B773</f>
        <v>0</v>
      </c>
      <c r="B879" s="0" t="n">
        <f aca="false">'Form Responses (Pokemon Stats)'!D773</f>
        <v>0</v>
      </c>
      <c r="C879" s="0" t="n">
        <f aca="false">'Form Responses (Pokemon Stats)'!C773</f>
        <v>0</v>
      </c>
      <c r="F879" s="0" t="n">
        <f aca="false">'Form Responses (Pokemon Stats)'!E773</f>
        <v>0</v>
      </c>
      <c r="G879" s="0" t="str">
        <f aca="false">IFERROR(__xludf.dummyfunction("ROUND(B879/ FILTER('Pokemon CP/HP'!$M$2:$M1000, LOWER('Pokemon CP/HP'!$B$2:$B1000)=LOWER(A879)))"),"#DIV/0!")</f>
        <v>#DIV/0!</v>
      </c>
      <c r="H879" s="0" t="str">
        <f aca="false">IFERROR(__xludf.dummyfunction("FILTER('Leveling Info'!$B$2:$B1000, 'Leveling Info'!$A$2:$A1000 =G879)"),"#N/A")</f>
        <v>#N/A</v>
      </c>
      <c r="I879" s="14" t="e">
        <f aca="false">SQRT(G879)</f>
        <v>#VALUE!</v>
      </c>
      <c r="J879" s="14" t="str">
        <f aca="false">IFERROR(__xludf.dummyfunction("IF(F879 = H879,C879/FILTER('Base Stats'!$C$2:$C1000, LOWER('Base Stats'!$B$2:$B1000) = LOWER($A879)), """")"),"#N/A")</f>
        <v>#N/A</v>
      </c>
      <c r="K879" s="0" t="str">
        <f aca="false">IF(F879 = H879, C879/G879, "")</f>
        <v/>
      </c>
      <c r="L879" s="0" t="str">
        <f aca="false">IFERROR(__xludf.dummyfunction("IF(AND(NOT(K879 = """"), G879 &gt;= 15),K879/FILTER('Base Stats'!$C$2:$C1000, LOWER('Base Stats'!$B$2:$B1000) = LOWER($A879)), """")"),"#N/A")</f>
        <v>#N/A</v>
      </c>
      <c r="M879" s="0" t="str">
        <f aca="false">IFERROR(__xludf.dummyfunction("1.15 + 0.02 * FILTER('Base Stats'!$C$2:$C1000, LOWER('Base Stats'!$B$2:$B1000) = LOWER($A879))"),"1.15")</f>
        <v>1.15</v>
      </c>
      <c r="N879" s="0" t="e">
        <f aca="false">IFERROR(IF(AND(NOT(K879 = ""), G879 &gt;= 15),K879/M879, ""))</f>
        <v>#VALUE!</v>
      </c>
    </row>
    <row r="880" customFormat="false" ht="15.75" hidden="false" customHeight="false" outlineLevel="0" collapsed="false">
      <c r="A880" s="0" t="n">
        <f aca="false">'Form Responses (Pokemon Stats)'!B774</f>
        <v>0</v>
      </c>
      <c r="B880" s="0" t="n">
        <f aca="false">'Form Responses (Pokemon Stats)'!D774</f>
        <v>0</v>
      </c>
      <c r="C880" s="0" t="n">
        <f aca="false">'Form Responses (Pokemon Stats)'!C774</f>
        <v>0</v>
      </c>
      <c r="F880" s="0" t="n">
        <f aca="false">'Form Responses (Pokemon Stats)'!E774</f>
        <v>0</v>
      </c>
      <c r="G880" s="0" t="str">
        <f aca="false">IFERROR(__xludf.dummyfunction("ROUND(B880/ FILTER('Pokemon CP/HP'!$M$2:$M1000, LOWER('Pokemon CP/HP'!$B$2:$B1000)=LOWER(A880)))"),"#DIV/0!")</f>
        <v>#DIV/0!</v>
      </c>
      <c r="H880" s="0" t="str">
        <f aca="false">IFERROR(__xludf.dummyfunction("FILTER('Leveling Info'!$B$2:$B1000, 'Leveling Info'!$A$2:$A1000 =G880)"),"#N/A")</f>
        <v>#N/A</v>
      </c>
      <c r="I880" s="14" t="e">
        <f aca="false">SQRT(G880)</f>
        <v>#VALUE!</v>
      </c>
      <c r="J880" s="14" t="str">
        <f aca="false">IFERROR(__xludf.dummyfunction("IF(F880 = H880,C880/FILTER('Base Stats'!$C$2:$C1000, LOWER('Base Stats'!$B$2:$B1000) = LOWER($A880)), """")"),"#N/A")</f>
        <v>#N/A</v>
      </c>
      <c r="K880" s="0" t="str">
        <f aca="false">IF(F880 = H880, C880/G880, "")</f>
        <v/>
      </c>
      <c r="L880" s="0" t="str">
        <f aca="false">IFERROR(__xludf.dummyfunction("IF(AND(NOT(K880 = """"), G880 &gt;= 15),K880/FILTER('Base Stats'!$C$2:$C1000, LOWER('Base Stats'!$B$2:$B1000) = LOWER($A880)), """")"),"#N/A")</f>
        <v>#N/A</v>
      </c>
      <c r="M880" s="0" t="str">
        <f aca="false">IFERROR(__xludf.dummyfunction("1.15 + 0.02 * FILTER('Base Stats'!$C$2:$C1000, LOWER('Base Stats'!$B$2:$B1000) = LOWER($A880))"),"1.15")</f>
        <v>1.15</v>
      </c>
      <c r="N880" s="0" t="e">
        <f aca="false">IFERROR(IF(AND(NOT(K880 = ""), G880 &gt;= 15),K880/M880, ""))</f>
        <v>#VALUE!</v>
      </c>
    </row>
    <row r="881" customFormat="false" ht="15.75" hidden="false" customHeight="false" outlineLevel="0" collapsed="false">
      <c r="A881" s="0" t="n">
        <f aca="false">'Form Responses (Pokemon Stats)'!B775</f>
        <v>0</v>
      </c>
      <c r="B881" s="0" t="n">
        <f aca="false">'Form Responses (Pokemon Stats)'!D775</f>
        <v>0</v>
      </c>
      <c r="C881" s="0" t="n">
        <f aca="false">'Form Responses (Pokemon Stats)'!C775</f>
        <v>0</v>
      </c>
      <c r="F881" s="0" t="n">
        <f aca="false">'Form Responses (Pokemon Stats)'!E775</f>
        <v>0</v>
      </c>
      <c r="G881" s="0" t="str">
        <f aca="false">IFERROR(__xludf.dummyfunction("ROUND(B881/ FILTER('Pokemon CP/HP'!$M$2:$M1000, LOWER('Pokemon CP/HP'!$B$2:$B1000)=LOWER(A881)))"),"#DIV/0!")</f>
        <v>#DIV/0!</v>
      </c>
      <c r="H881" s="0" t="str">
        <f aca="false">IFERROR(__xludf.dummyfunction("FILTER('Leveling Info'!$B$2:$B1000, 'Leveling Info'!$A$2:$A1000 =G881)"),"#N/A")</f>
        <v>#N/A</v>
      </c>
      <c r="I881" s="14" t="e">
        <f aca="false">SQRT(G881)</f>
        <v>#VALUE!</v>
      </c>
      <c r="J881" s="14" t="str">
        <f aca="false">IFERROR(__xludf.dummyfunction("IF(F881 = H881,C881/FILTER('Base Stats'!$C$2:$C1000, LOWER('Base Stats'!$B$2:$B1000) = LOWER($A881)), """")"),"#N/A")</f>
        <v>#N/A</v>
      </c>
      <c r="K881" s="0" t="str">
        <f aca="false">IF(F881 = H881, C881/G881, "")</f>
        <v/>
      </c>
      <c r="L881" s="0" t="str">
        <f aca="false">IFERROR(__xludf.dummyfunction("IF(AND(NOT(K881 = """"), G881 &gt;= 15),K881/FILTER('Base Stats'!$C$2:$C1000, LOWER('Base Stats'!$B$2:$B1000) = LOWER($A881)), """")"),"#N/A")</f>
        <v>#N/A</v>
      </c>
      <c r="M881" s="0" t="str">
        <f aca="false">IFERROR(__xludf.dummyfunction("1.15 + 0.02 * FILTER('Base Stats'!$C$2:$C1000, LOWER('Base Stats'!$B$2:$B1000) = LOWER($A881))"),"1.15")</f>
        <v>1.15</v>
      </c>
      <c r="N881" s="0" t="e">
        <f aca="false">IFERROR(IF(AND(NOT(K881 = ""), G881 &gt;= 15),K881/M881, ""))</f>
        <v>#VALUE!</v>
      </c>
    </row>
    <row r="882" customFormat="false" ht="15.75" hidden="false" customHeight="false" outlineLevel="0" collapsed="false">
      <c r="A882" s="0" t="n">
        <f aca="false">'Form Responses (Pokemon Stats)'!B776</f>
        <v>0</v>
      </c>
      <c r="B882" s="0" t="n">
        <f aca="false">'Form Responses (Pokemon Stats)'!D776</f>
        <v>0</v>
      </c>
      <c r="C882" s="0" t="n">
        <f aca="false">'Form Responses (Pokemon Stats)'!C776</f>
        <v>0</v>
      </c>
      <c r="F882" s="0" t="n">
        <f aca="false">'Form Responses (Pokemon Stats)'!E776</f>
        <v>0</v>
      </c>
      <c r="G882" s="0" t="str">
        <f aca="false">IFERROR(__xludf.dummyfunction("ROUND(B882/ FILTER('Pokemon CP/HP'!$M$2:$M1000, LOWER('Pokemon CP/HP'!$B$2:$B1000)=LOWER(A882)))"),"#DIV/0!")</f>
        <v>#DIV/0!</v>
      </c>
      <c r="H882" s="0" t="str">
        <f aca="false">IFERROR(__xludf.dummyfunction("FILTER('Leveling Info'!$B$2:$B1000, 'Leveling Info'!$A$2:$A1000 =G882)"),"#N/A")</f>
        <v>#N/A</v>
      </c>
      <c r="I882" s="14" t="e">
        <f aca="false">SQRT(G882)</f>
        <v>#VALUE!</v>
      </c>
      <c r="J882" s="14" t="str">
        <f aca="false">IFERROR(__xludf.dummyfunction("IF(F882 = H882,C882/FILTER('Base Stats'!$C$2:$C1000, LOWER('Base Stats'!$B$2:$B1000) = LOWER($A882)), """")"),"#N/A")</f>
        <v>#N/A</v>
      </c>
      <c r="K882" s="0" t="str">
        <f aca="false">IF(F882 = H882, C882/G882, "")</f>
        <v/>
      </c>
      <c r="L882" s="0" t="str">
        <f aca="false">IFERROR(__xludf.dummyfunction("IF(AND(NOT(K882 = """"), G882 &gt;= 15),K882/FILTER('Base Stats'!$C$2:$C1000, LOWER('Base Stats'!$B$2:$B1000) = LOWER($A882)), """")"),"#N/A")</f>
        <v>#N/A</v>
      </c>
      <c r="M882" s="0" t="str">
        <f aca="false">IFERROR(__xludf.dummyfunction("1.15 + 0.02 * FILTER('Base Stats'!$C$2:$C1000, LOWER('Base Stats'!$B$2:$B1000) = LOWER($A882))"),"1.15")</f>
        <v>1.15</v>
      </c>
      <c r="N882" s="0" t="e">
        <f aca="false">IFERROR(IF(AND(NOT(K882 = ""), G882 &gt;= 15),K882/M882, ""))</f>
        <v>#VALUE!</v>
      </c>
    </row>
    <row r="883" customFormat="false" ht="15.75" hidden="false" customHeight="false" outlineLevel="0" collapsed="false">
      <c r="A883" s="0" t="n">
        <f aca="false">'Form Responses (Pokemon Stats)'!B777</f>
        <v>0</v>
      </c>
      <c r="B883" s="0" t="n">
        <f aca="false">'Form Responses (Pokemon Stats)'!D777</f>
        <v>0</v>
      </c>
      <c r="C883" s="0" t="n">
        <f aca="false">'Form Responses (Pokemon Stats)'!C777</f>
        <v>0</v>
      </c>
      <c r="F883" s="0" t="n">
        <f aca="false">'Form Responses (Pokemon Stats)'!E777</f>
        <v>0</v>
      </c>
      <c r="G883" s="0" t="str">
        <f aca="false">IFERROR(__xludf.dummyfunction("ROUND(B883/ FILTER('Pokemon CP/HP'!$M$2:$M1000, LOWER('Pokemon CP/HP'!$B$2:$B1000)=LOWER(A883)))"),"#DIV/0!")</f>
        <v>#DIV/0!</v>
      </c>
      <c r="H883" s="0" t="str">
        <f aca="false">IFERROR(__xludf.dummyfunction("FILTER('Leveling Info'!$B$2:$B1000, 'Leveling Info'!$A$2:$A1000 =G883)"),"#N/A")</f>
        <v>#N/A</v>
      </c>
      <c r="I883" s="14" t="e">
        <f aca="false">SQRT(G883)</f>
        <v>#VALUE!</v>
      </c>
      <c r="J883" s="14" t="str">
        <f aca="false">IFERROR(__xludf.dummyfunction("IF(F883 = H883,C883/FILTER('Base Stats'!$C$2:$C1000, LOWER('Base Stats'!$B$2:$B1000) = LOWER($A883)), """")"),"#N/A")</f>
        <v>#N/A</v>
      </c>
      <c r="K883" s="0" t="str">
        <f aca="false">IF(F883 = H883, C883/G883, "")</f>
        <v/>
      </c>
      <c r="L883" s="0" t="str">
        <f aca="false">IFERROR(__xludf.dummyfunction("IF(AND(NOT(K883 = """"), G883 &gt;= 15),K883/FILTER('Base Stats'!$C$2:$C1000, LOWER('Base Stats'!$B$2:$B1000) = LOWER($A883)), """")"),"#N/A")</f>
        <v>#N/A</v>
      </c>
      <c r="M883" s="0" t="str">
        <f aca="false">IFERROR(__xludf.dummyfunction("1.15 + 0.02 * FILTER('Base Stats'!$C$2:$C1000, LOWER('Base Stats'!$B$2:$B1000) = LOWER($A883))"),"1.15")</f>
        <v>1.15</v>
      </c>
      <c r="N883" s="0" t="e">
        <f aca="false">IFERROR(IF(AND(NOT(K883 = ""), G883 &gt;= 15),K883/M883, ""))</f>
        <v>#VALUE!</v>
      </c>
    </row>
    <row r="884" customFormat="false" ht="15.75" hidden="false" customHeight="false" outlineLevel="0" collapsed="false">
      <c r="A884" s="0" t="n">
        <f aca="false">'Form Responses (Pokemon Stats)'!B778</f>
        <v>0</v>
      </c>
      <c r="B884" s="0" t="n">
        <f aca="false">'Form Responses (Pokemon Stats)'!D778</f>
        <v>0</v>
      </c>
      <c r="C884" s="0" t="n">
        <f aca="false">'Form Responses (Pokemon Stats)'!C778</f>
        <v>0</v>
      </c>
      <c r="F884" s="0" t="n">
        <f aca="false">'Form Responses (Pokemon Stats)'!E778</f>
        <v>0</v>
      </c>
      <c r="G884" s="0" t="str">
        <f aca="false">IFERROR(__xludf.dummyfunction("ROUND(B884/ FILTER('Pokemon CP/HP'!$M$2:$M1000, LOWER('Pokemon CP/HP'!$B$2:$B1000)=LOWER(A884)))"),"#DIV/0!")</f>
        <v>#DIV/0!</v>
      </c>
      <c r="H884" s="0" t="str">
        <f aca="false">IFERROR(__xludf.dummyfunction("FILTER('Leveling Info'!$B$2:$B1000, 'Leveling Info'!$A$2:$A1000 =G884)"),"#N/A")</f>
        <v>#N/A</v>
      </c>
      <c r="I884" s="14" t="e">
        <f aca="false">SQRT(G884)</f>
        <v>#VALUE!</v>
      </c>
      <c r="J884" s="14" t="str">
        <f aca="false">IFERROR(__xludf.dummyfunction("IF(F884 = H884,C884/FILTER('Base Stats'!$C$2:$C1000, LOWER('Base Stats'!$B$2:$B1000) = LOWER($A884)), """")"),"#N/A")</f>
        <v>#N/A</v>
      </c>
      <c r="K884" s="0" t="str">
        <f aca="false">IF(F884 = H884, C884/G884, "")</f>
        <v/>
      </c>
      <c r="L884" s="0" t="str">
        <f aca="false">IFERROR(__xludf.dummyfunction("IF(AND(NOT(K884 = """"), G884 &gt;= 15),K884/FILTER('Base Stats'!$C$2:$C1000, LOWER('Base Stats'!$B$2:$B1000) = LOWER($A884)), """")"),"#N/A")</f>
        <v>#N/A</v>
      </c>
      <c r="M884" s="0" t="str">
        <f aca="false">IFERROR(__xludf.dummyfunction("1.15 + 0.02 * FILTER('Base Stats'!$C$2:$C1000, LOWER('Base Stats'!$B$2:$B1000) = LOWER($A884))"),"1.15")</f>
        <v>1.15</v>
      </c>
      <c r="N884" s="0" t="e">
        <f aca="false">IFERROR(IF(AND(NOT(K884 = ""), G884 &gt;= 15),K884/M884, ""))</f>
        <v>#VALUE!</v>
      </c>
    </row>
    <row r="885" customFormat="false" ht="15.75" hidden="false" customHeight="false" outlineLevel="0" collapsed="false">
      <c r="A885" s="0" t="n">
        <f aca="false">'Form Responses (Pokemon Stats)'!B779</f>
        <v>0</v>
      </c>
      <c r="B885" s="0" t="n">
        <f aca="false">'Form Responses (Pokemon Stats)'!D779</f>
        <v>0</v>
      </c>
      <c r="C885" s="0" t="n">
        <f aca="false">'Form Responses (Pokemon Stats)'!C779</f>
        <v>0</v>
      </c>
      <c r="F885" s="0" t="n">
        <f aca="false">'Form Responses (Pokemon Stats)'!E779</f>
        <v>0</v>
      </c>
      <c r="G885" s="0" t="str">
        <f aca="false">IFERROR(__xludf.dummyfunction("ROUND(B885/ FILTER('Pokemon CP/HP'!$M$2:$M1000, LOWER('Pokemon CP/HP'!$B$2:$B1000)=LOWER(A885)))"),"#DIV/0!")</f>
        <v>#DIV/0!</v>
      </c>
      <c r="H885" s="0" t="str">
        <f aca="false">IFERROR(__xludf.dummyfunction("FILTER('Leveling Info'!$B$2:$B1000, 'Leveling Info'!$A$2:$A1000 =G885)"),"#N/A")</f>
        <v>#N/A</v>
      </c>
      <c r="I885" s="14" t="e">
        <f aca="false">SQRT(G885)</f>
        <v>#VALUE!</v>
      </c>
      <c r="J885" s="14" t="str">
        <f aca="false">IFERROR(__xludf.dummyfunction("IF(F885 = H885,C885/FILTER('Base Stats'!$C$2:$C1000, LOWER('Base Stats'!$B$2:$B1000) = LOWER($A885)), """")"),"#N/A")</f>
        <v>#N/A</v>
      </c>
      <c r="K885" s="0" t="str">
        <f aca="false">IF(F885 = H885, C885/G885, "")</f>
        <v/>
      </c>
      <c r="L885" s="0" t="str">
        <f aca="false">IFERROR(__xludf.dummyfunction("IF(AND(NOT(K885 = """"), G885 &gt;= 15),K885/FILTER('Base Stats'!$C$2:$C1000, LOWER('Base Stats'!$B$2:$B1000) = LOWER($A885)), """")"),"#N/A")</f>
        <v>#N/A</v>
      </c>
      <c r="M885" s="0" t="str">
        <f aca="false">IFERROR(__xludf.dummyfunction("1.15 + 0.02 * FILTER('Base Stats'!$C$2:$C1000, LOWER('Base Stats'!$B$2:$B1000) = LOWER($A885))"),"1.15")</f>
        <v>1.15</v>
      </c>
      <c r="N885" s="0" t="e">
        <f aca="false">IFERROR(IF(AND(NOT(K885 = ""), G885 &gt;= 15),K885/M885, ""))</f>
        <v>#VALUE!</v>
      </c>
    </row>
    <row r="886" customFormat="false" ht="15.75" hidden="false" customHeight="false" outlineLevel="0" collapsed="false">
      <c r="A886" s="0" t="n">
        <f aca="false">'Form Responses (Pokemon Stats)'!B780</f>
        <v>0</v>
      </c>
      <c r="B886" s="0" t="n">
        <f aca="false">'Form Responses (Pokemon Stats)'!D780</f>
        <v>0</v>
      </c>
      <c r="C886" s="0" t="n">
        <f aca="false">'Form Responses (Pokemon Stats)'!C780</f>
        <v>0</v>
      </c>
      <c r="F886" s="0" t="n">
        <f aca="false">'Form Responses (Pokemon Stats)'!E780</f>
        <v>0</v>
      </c>
      <c r="G886" s="0" t="str">
        <f aca="false">IFERROR(__xludf.dummyfunction("ROUND(B886/ FILTER('Pokemon CP/HP'!$M$2:$M1000, LOWER('Pokemon CP/HP'!$B$2:$B1000)=LOWER(A886)))"),"#DIV/0!")</f>
        <v>#DIV/0!</v>
      </c>
      <c r="H886" s="0" t="str">
        <f aca="false">IFERROR(__xludf.dummyfunction("FILTER('Leveling Info'!$B$2:$B1000, 'Leveling Info'!$A$2:$A1000 =G886)"),"#N/A")</f>
        <v>#N/A</v>
      </c>
      <c r="I886" s="14" t="e">
        <f aca="false">SQRT(G886)</f>
        <v>#VALUE!</v>
      </c>
      <c r="J886" s="14" t="str">
        <f aca="false">IFERROR(__xludf.dummyfunction("IF(F886 = H886,C886/FILTER('Base Stats'!$C$2:$C1000, LOWER('Base Stats'!$B$2:$B1000) = LOWER($A886)), """")"),"#N/A")</f>
        <v>#N/A</v>
      </c>
      <c r="K886" s="0" t="str">
        <f aca="false">IF(F886 = H886, C886/G886, "")</f>
        <v/>
      </c>
      <c r="L886" s="0" t="str">
        <f aca="false">IFERROR(__xludf.dummyfunction("IF(AND(NOT(K886 = """"), G886 &gt;= 15),K886/FILTER('Base Stats'!$C$2:$C1000, LOWER('Base Stats'!$B$2:$B1000) = LOWER($A886)), """")"),"#N/A")</f>
        <v>#N/A</v>
      </c>
      <c r="M886" s="0" t="str">
        <f aca="false">IFERROR(__xludf.dummyfunction("1.15 + 0.02 * FILTER('Base Stats'!$C$2:$C1000, LOWER('Base Stats'!$B$2:$B1000) = LOWER($A886))"),"1.15")</f>
        <v>1.15</v>
      </c>
      <c r="N886" s="0" t="e">
        <f aca="false">IFERROR(IF(AND(NOT(K886 = ""), G886 &gt;= 15),K886/M886, ""))</f>
        <v>#VALUE!</v>
      </c>
    </row>
    <row r="887" customFormat="false" ht="15.75" hidden="false" customHeight="false" outlineLevel="0" collapsed="false">
      <c r="A887" s="0" t="n">
        <f aca="false">'Form Responses (Pokemon Stats)'!B781</f>
        <v>0</v>
      </c>
      <c r="B887" s="0" t="n">
        <f aca="false">'Form Responses (Pokemon Stats)'!D781</f>
        <v>0</v>
      </c>
      <c r="C887" s="0" t="n">
        <f aca="false">'Form Responses (Pokemon Stats)'!C781</f>
        <v>0</v>
      </c>
      <c r="F887" s="0" t="n">
        <f aca="false">'Form Responses (Pokemon Stats)'!E781</f>
        <v>0</v>
      </c>
      <c r="G887" s="0" t="str">
        <f aca="false">IFERROR(__xludf.dummyfunction("ROUND(B887/ FILTER('Pokemon CP/HP'!$M$2:$M1000, LOWER('Pokemon CP/HP'!$B$2:$B1000)=LOWER(A887)))"),"#DIV/0!")</f>
        <v>#DIV/0!</v>
      </c>
      <c r="H887" s="0" t="str">
        <f aca="false">IFERROR(__xludf.dummyfunction("FILTER('Leveling Info'!$B$2:$B1000, 'Leveling Info'!$A$2:$A1000 =G887)"),"#N/A")</f>
        <v>#N/A</v>
      </c>
      <c r="I887" s="14" t="e">
        <f aca="false">SQRT(G887)</f>
        <v>#VALUE!</v>
      </c>
      <c r="J887" s="14" t="str">
        <f aca="false">IFERROR(__xludf.dummyfunction("IF(F887 = H887,C887/FILTER('Base Stats'!$C$2:$C1000, LOWER('Base Stats'!$B$2:$B1000) = LOWER($A887)), """")"),"#N/A")</f>
        <v>#N/A</v>
      </c>
      <c r="K887" s="0" t="str">
        <f aca="false">IF(F887 = H887, C887/G887, "")</f>
        <v/>
      </c>
      <c r="L887" s="0" t="str">
        <f aca="false">IFERROR(__xludf.dummyfunction("IF(AND(NOT(K887 = """"), G887 &gt;= 15),K887/FILTER('Base Stats'!$C$2:$C1000, LOWER('Base Stats'!$B$2:$B1000) = LOWER($A887)), """")"),"#N/A")</f>
        <v>#N/A</v>
      </c>
      <c r="M887" s="0" t="str">
        <f aca="false">IFERROR(__xludf.dummyfunction("1.15 + 0.02 * FILTER('Base Stats'!$C$2:$C1000, LOWER('Base Stats'!$B$2:$B1000) = LOWER($A887))"),"1.15")</f>
        <v>1.15</v>
      </c>
      <c r="N887" s="0" t="e">
        <f aca="false">IFERROR(IF(AND(NOT(K887 = ""), G887 &gt;= 15),K887/M887, ""))</f>
        <v>#VALUE!</v>
      </c>
    </row>
    <row r="888" customFormat="false" ht="15.75" hidden="false" customHeight="false" outlineLevel="0" collapsed="false">
      <c r="A888" s="0" t="n">
        <f aca="false">'Form Responses (Pokemon Stats)'!B782</f>
        <v>0</v>
      </c>
      <c r="B888" s="0" t="n">
        <f aca="false">'Form Responses (Pokemon Stats)'!D782</f>
        <v>0</v>
      </c>
      <c r="C888" s="0" t="n">
        <f aca="false">'Form Responses (Pokemon Stats)'!C782</f>
        <v>0</v>
      </c>
      <c r="F888" s="0" t="n">
        <f aca="false">'Form Responses (Pokemon Stats)'!E782</f>
        <v>0</v>
      </c>
      <c r="G888" s="0" t="str">
        <f aca="false">IFERROR(__xludf.dummyfunction("ROUND(B888/ FILTER('Pokemon CP/HP'!$M$2:$M1000, LOWER('Pokemon CP/HP'!$B$2:$B1000)=LOWER(A888)))"),"#DIV/0!")</f>
        <v>#DIV/0!</v>
      </c>
      <c r="H888" s="0" t="str">
        <f aca="false">IFERROR(__xludf.dummyfunction("FILTER('Leveling Info'!$B$2:$B1000, 'Leveling Info'!$A$2:$A1000 =G888)"),"#N/A")</f>
        <v>#N/A</v>
      </c>
      <c r="I888" s="14" t="e">
        <f aca="false">SQRT(G888)</f>
        <v>#VALUE!</v>
      </c>
      <c r="J888" s="14" t="str">
        <f aca="false">IFERROR(__xludf.dummyfunction("IF(F888 = H888,C888/FILTER('Base Stats'!$C$2:$C1000, LOWER('Base Stats'!$B$2:$B1000) = LOWER($A888)), """")"),"#N/A")</f>
        <v>#N/A</v>
      </c>
      <c r="K888" s="0" t="str">
        <f aca="false">IF(F888 = H888, C888/G888, "")</f>
        <v/>
      </c>
      <c r="L888" s="0" t="str">
        <f aca="false">IFERROR(__xludf.dummyfunction("IF(AND(NOT(K888 = """"), G888 &gt;= 15),K888/FILTER('Base Stats'!$C$2:$C1000, LOWER('Base Stats'!$B$2:$B1000) = LOWER($A888)), """")"),"#N/A")</f>
        <v>#N/A</v>
      </c>
      <c r="M888" s="0" t="str">
        <f aca="false">IFERROR(__xludf.dummyfunction("1.15 + 0.02 * FILTER('Base Stats'!$C$2:$C1000, LOWER('Base Stats'!$B$2:$B1000) = LOWER($A888))"),"1.15")</f>
        <v>1.15</v>
      </c>
      <c r="N888" s="0" t="e">
        <f aca="false">IFERROR(IF(AND(NOT(K888 = ""), G888 &gt;= 15),K888/M888, ""))</f>
        <v>#VALUE!</v>
      </c>
    </row>
    <row r="889" customFormat="false" ht="15.75" hidden="false" customHeight="false" outlineLevel="0" collapsed="false">
      <c r="A889" s="0" t="n">
        <f aca="false">'Form Responses (Pokemon Stats)'!B783</f>
        <v>0</v>
      </c>
      <c r="B889" s="0" t="n">
        <f aca="false">'Form Responses (Pokemon Stats)'!D783</f>
        <v>0</v>
      </c>
      <c r="C889" s="0" t="n">
        <f aca="false">'Form Responses (Pokemon Stats)'!C783</f>
        <v>0</v>
      </c>
      <c r="F889" s="0" t="n">
        <f aca="false">'Form Responses (Pokemon Stats)'!E783</f>
        <v>0</v>
      </c>
      <c r="G889" s="0" t="str">
        <f aca="false">IFERROR(__xludf.dummyfunction("ROUND(B889/ FILTER('Pokemon CP/HP'!$M$2:$M1000, LOWER('Pokemon CP/HP'!$B$2:$B1000)=LOWER(A889)))"),"#DIV/0!")</f>
        <v>#DIV/0!</v>
      </c>
      <c r="H889" s="0" t="str">
        <f aca="false">IFERROR(__xludf.dummyfunction("FILTER('Leveling Info'!$B$2:$B1000, 'Leveling Info'!$A$2:$A1000 =G889)"),"#N/A")</f>
        <v>#N/A</v>
      </c>
      <c r="I889" s="14" t="e">
        <f aca="false">SQRT(G889)</f>
        <v>#VALUE!</v>
      </c>
      <c r="J889" s="14" t="str">
        <f aca="false">IFERROR(__xludf.dummyfunction("IF(F889 = H889,C889/FILTER('Base Stats'!$C$2:$C1000, LOWER('Base Stats'!$B$2:$B1000) = LOWER($A889)), """")"),"#N/A")</f>
        <v>#N/A</v>
      </c>
      <c r="K889" s="0" t="str">
        <f aca="false">IF(F889 = H889, C889/G889, "")</f>
        <v/>
      </c>
      <c r="L889" s="0" t="str">
        <f aca="false">IFERROR(__xludf.dummyfunction("IF(AND(NOT(K889 = """"), G889 &gt;= 15),K889/FILTER('Base Stats'!$C$2:$C1000, LOWER('Base Stats'!$B$2:$B1000) = LOWER($A889)), """")"),"#N/A")</f>
        <v>#N/A</v>
      </c>
      <c r="M889" s="0" t="str">
        <f aca="false">IFERROR(__xludf.dummyfunction("1.15 + 0.02 * FILTER('Base Stats'!$C$2:$C1000, LOWER('Base Stats'!$B$2:$B1000) = LOWER($A889))"),"1.15")</f>
        <v>1.15</v>
      </c>
      <c r="N889" s="0" t="e">
        <f aca="false">IFERROR(IF(AND(NOT(K889 = ""), G889 &gt;= 15),K889/M889, ""))</f>
        <v>#VALUE!</v>
      </c>
    </row>
    <row r="890" customFormat="false" ht="15.75" hidden="false" customHeight="false" outlineLevel="0" collapsed="false">
      <c r="A890" s="0" t="n">
        <f aca="false">'Form Responses (Pokemon Stats)'!B784</f>
        <v>0</v>
      </c>
      <c r="B890" s="0" t="n">
        <f aca="false">'Form Responses (Pokemon Stats)'!D784</f>
        <v>0</v>
      </c>
      <c r="C890" s="0" t="n">
        <f aca="false">'Form Responses (Pokemon Stats)'!C784</f>
        <v>0</v>
      </c>
      <c r="F890" s="0" t="n">
        <f aca="false">'Form Responses (Pokemon Stats)'!E784</f>
        <v>0</v>
      </c>
      <c r="G890" s="0" t="str">
        <f aca="false">IFERROR(__xludf.dummyfunction("ROUND(B890/ FILTER('Pokemon CP/HP'!$M$2:$M1000, LOWER('Pokemon CP/HP'!$B$2:$B1000)=LOWER(A890)))"),"#DIV/0!")</f>
        <v>#DIV/0!</v>
      </c>
      <c r="H890" s="0" t="str">
        <f aca="false">IFERROR(__xludf.dummyfunction("FILTER('Leveling Info'!$B$2:$B1000, 'Leveling Info'!$A$2:$A1000 =G890)"),"#N/A")</f>
        <v>#N/A</v>
      </c>
      <c r="I890" s="14" t="e">
        <f aca="false">SQRT(G890)</f>
        <v>#VALUE!</v>
      </c>
      <c r="J890" s="14" t="str">
        <f aca="false">IFERROR(__xludf.dummyfunction("IF(F890 = H890,C890/FILTER('Base Stats'!$C$2:$C1000, LOWER('Base Stats'!$B$2:$B1000) = LOWER($A890)), """")"),"#N/A")</f>
        <v>#N/A</v>
      </c>
      <c r="K890" s="0" t="str">
        <f aca="false">IF(F890 = H890, C890/G890, "")</f>
        <v/>
      </c>
      <c r="L890" s="0" t="str">
        <f aca="false">IFERROR(__xludf.dummyfunction("IF(AND(NOT(K890 = """"), G890 &gt;= 15),K890/FILTER('Base Stats'!$C$2:$C1000, LOWER('Base Stats'!$B$2:$B1000) = LOWER($A890)), """")"),"#N/A")</f>
        <v>#N/A</v>
      </c>
      <c r="M890" s="0" t="str">
        <f aca="false">IFERROR(__xludf.dummyfunction("1.15 + 0.02 * FILTER('Base Stats'!$C$2:$C1000, LOWER('Base Stats'!$B$2:$B1000) = LOWER($A890))"),"1.15")</f>
        <v>1.15</v>
      </c>
      <c r="N890" s="0" t="e">
        <f aca="false">IFERROR(IF(AND(NOT(K890 = ""), G890 &gt;= 15),K890/M890, ""))</f>
        <v>#VALUE!</v>
      </c>
    </row>
    <row r="891" customFormat="false" ht="15.75" hidden="false" customHeight="false" outlineLevel="0" collapsed="false">
      <c r="A891" s="0" t="n">
        <f aca="false">'Form Responses (Pokemon Stats)'!B785</f>
        <v>0</v>
      </c>
      <c r="B891" s="0" t="n">
        <f aca="false">'Form Responses (Pokemon Stats)'!D785</f>
        <v>0</v>
      </c>
      <c r="C891" s="0" t="n">
        <f aca="false">'Form Responses (Pokemon Stats)'!C785</f>
        <v>0</v>
      </c>
      <c r="F891" s="0" t="n">
        <f aca="false">'Form Responses (Pokemon Stats)'!E785</f>
        <v>0</v>
      </c>
      <c r="G891" s="0" t="str">
        <f aca="false">IFERROR(__xludf.dummyfunction("ROUND(B891/ FILTER('Pokemon CP/HP'!$M$2:$M1000, LOWER('Pokemon CP/HP'!$B$2:$B1000)=LOWER(A891)))"),"#DIV/0!")</f>
        <v>#DIV/0!</v>
      </c>
      <c r="H891" s="0" t="str">
        <f aca="false">IFERROR(__xludf.dummyfunction("FILTER('Leveling Info'!$B$2:$B1000, 'Leveling Info'!$A$2:$A1000 =G891)"),"#N/A")</f>
        <v>#N/A</v>
      </c>
      <c r="I891" s="14" t="e">
        <f aca="false">SQRT(G891)</f>
        <v>#VALUE!</v>
      </c>
      <c r="J891" s="14" t="str">
        <f aca="false">IFERROR(__xludf.dummyfunction("IF(F891 = H891,C891/FILTER('Base Stats'!$C$2:$C1000, LOWER('Base Stats'!$B$2:$B1000) = LOWER($A891)), """")"),"#N/A")</f>
        <v>#N/A</v>
      </c>
      <c r="K891" s="0" t="str">
        <f aca="false">IF(F891 = H891, C891/G891, "")</f>
        <v/>
      </c>
      <c r="L891" s="0" t="str">
        <f aca="false">IFERROR(__xludf.dummyfunction("IF(AND(NOT(K891 = """"), G891 &gt;= 15),K891/FILTER('Base Stats'!$C$2:$C1000, LOWER('Base Stats'!$B$2:$B1000) = LOWER($A891)), """")"),"#N/A")</f>
        <v>#N/A</v>
      </c>
      <c r="M891" s="0" t="str">
        <f aca="false">IFERROR(__xludf.dummyfunction("1.15 + 0.02 * FILTER('Base Stats'!$C$2:$C1000, LOWER('Base Stats'!$B$2:$B1000) = LOWER($A891))"),"1.15")</f>
        <v>1.15</v>
      </c>
      <c r="N891" s="0" t="e">
        <f aca="false">IFERROR(IF(AND(NOT(K891 = ""), G891 &gt;= 15),K891/M891, ""))</f>
        <v>#VALUE!</v>
      </c>
    </row>
    <row r="892" customFormat="false" ht="15.75" hidden="false" customHeight="false" outlineLevel="0" collapsed="false">
      <c r="A892" s="0" t="n">
        <f aca="false">'Form Responses (Pokemon Stats)'!B786</f>
        <v>0</v>
      </c>
      <c r="B892" s="0" t="n">
        <f aca="false">'Form Responses (Pokemon Stats)'!D786</f>
        <v>0</v>
      </c>
      <c r="C892" s="0" t="n">
        <f aca="false">'Form Responses (Pokemon Stats)'!C786</f>
        <v>0</v>
      </c>
      <c r="F892" s="0" t="n">
        <f aca="false">'Form Responses (Pokemon Stats)'!E786</f>
        <v>0</v>
      </c>
      <c r="G892" s="0" t="str">
        <f aca="false">IFERROR(__xludf.dummyfunction("ROUND(B892/ FILTER('Pokemon CP/HP'!$M$2:$M1000, LOWER('Pokemon CP/HP'!$B$2:$B1000)=LOWER(A892)))"),"#DIV/0!")</f>
        <v>#DIV/0!</v>
      </c>
      <c r="H892" s="0" t="str">
        <f aca="false">IFERROR(__xludf.dummyfunction("FILTER('Leveling Info'!$B$2:$B1000, 'Leveling Info'!$A$2:$A1000 =G892)"),"#N/A")</f>
        <v>#N/A</v>
      </c>
      <c r="I892" s="14" t="e">
        <f aca="false">SQRT(G892)</f>
        <v>#VALUE!</v>
      </c>
      <c r="J892" s="14" t="str">
        <f aca="false">IFERROR(__xludf.dummyfunction("IF(F892 = H892,C892/FILTER('Base Stats'!$C$2:$C1000, LOWER('Base Stats'!$B$2:$B1000) = LOWER($A892)), """")"),"#N/A")</f>
        <v>#N/A</v>
      </c>
      <c r="K892" s="0" t="str">
        <f aca="false">IF(F892 = H892, C892/G892, "")</f>
        <v/>
      </c>
      <c r="L892" s="0" t="str">
        <f aca="false">IFERROR(__xludf.dummyfunction("IF(AND(NOT(K892 = """"), G892 &gt;= 15),K892/FILTER('Base Stats'!$C$2:$C1000, LOWER('Base Stats'!$B$2:$B1000) = LOWER($A892)), """")"),"#N/A")</f>
        <v>#N/A</v>
      </c>
      <c r="M892" s="0" t="str">
        <f aca="false">IFERROR(__xludf.dummyfunction("1.15 + 0.02 * FILTER('Base Stats'!$C$2:$C1000, LOWER('Base Stats'!$B$2:$B1000) = LOWER($A892))"),"1.15")</f>
        <v>1.15</v>
      </c>
      <c r="N892" s="0" t="e">
        <f aca="false">IFERROR(IF(AND(NOT(K892 = ""), G892 &gt;= 15),K892/M892, ""))</f>
        <v>#VALUE!</v>
      </c>
    </row>
    <row r="893" customFormat="false" ht="15.75" hidden="false" customHeight="false" outlineLevel="0" collapsed="false">
      <c r="A893" s="0" t="n">
        <f aca="false">'Form Responses (Pokemon Stats)'!B787</f>
        <v>0</v>
      </c>
      <c r="B893" s="0" t="n">
        <f aca="false">'Form Responses (Pokemon Stats)'!D787</f>
        <v>0</v>
      </c>
      <c r="C893" s="0" t="n">
        <f aca="false">'Form Responses (Pokemon Stats)'!C787</f>
        <v>0</v>
      </c>
      <c r="F893" s="0" t="n">
        <f aca="false">'Form Responses (Pokemon Stats)'!E787</f>
        <v>0</v>
      </c>
      <c r="G893" s="0" t="str">
        <f aca="false">IFERROR(__xludf.dummyfunction("ROUND(B893/ FILTER('Pokemon CP/HP'!$M$2:$M1000, LOWER('Pokemon CP/HP'!$B$2:$B1000)=LOWER(A893)))"),"#DIV/0!")</f>
        <v>#DIV/0!</v>
      </c>
      <c r="H893" s="0" t="str">
        <f aca="false">IFERROR(__xludf.dummyfunction("FILTER('Leveling Info'!$B$2:$B1000, 'Leveling Info'!$A$2:$A1000 =G893)"),"#N/A")</f>
        <v>#N/A</v>
      </c>
      <c r="I893" s="14" t="e">
        <f aca="false">SQRT(G893)</f>
        <v>#VALUE!</v>
      </c>
      <c r="J893" s="14" t="str">
        <f aca="false">IFERROR(__xludf.dummyfunction("IF(F893 = H893,C893/FILTER('Base Stats'!$C$2:$C1000, LOWER('Base Stats'!$B$2:$B1000) = LOWER($A893)), """")"),"#N/A")</f>
        <v>#N/A</v>
      </c>
      <c r="K893" s="0" t="str">
        <f aca="false">IF(F893 = H893, C893/G893, "")</f>
        <v/>
      </c>
      <c r="L893" s="0" t="str">
        <f aca="false">IFERROR(__xludf.dummyfunction("IF(AND(NOT(K893 = """"), G893 &gt;= 15),K893/FILTER('Base Stats'!$C$2:$C1000, LOWER('Base Stats'!$B$2:$B1000) = LOWER($A893)), """")"),"#N/A")</f>
        <v>#N/A</v>
      </c>
      <c r="M893" s="0" t="str">
        <f aca="false">IFERROR(__xludf.dummyfunction("1.15 + 0.02 * FILTER('Base Stats'!$C$2:$C1000, LOWER('Base Stats'!$B$2:$B1000) = LOWER($A893))"),"1.15")</f>
        <v>1.15</v>
      </c>
      <c r="N893" s="0" t="e">
        <f aca="false">IFERROR(IF(AND(NOT(K893 = ""), G893 &gt;= 15),K893/M893, ""))</f>
        <v>#VALUE!</v>
      </c>
    </row>
    <row r="894" customFormat="false" ht="15.75" hidden="false" customHeight="false" outlineLevel="0" collapsed="false">
      <c r="A894" s="0" t="n">
        <f aca="false">'Form Responses (Pokemon Stats)'!B788</f>
        <v>0</v>
      </c>
      <c r="B894" s="0" t="n">
        <f aca="false">'Form Responses (Pokemon Stats)'!D788</f>
        <v>0</v>
      </c>
      <c r="C894" s="0" t="n">
        <f aca="false">'Form Responses (Pokemon Stats)'!C788</f>
        <v>0</v>
      </c>
      <c r="F894" s="0" t="n">
        <f aca="false">'Form Responses (Pokemon Stats)'!E788</f>
        <v>0</v>
      </c>
      <c r="G894" s="0" t="str">
        <f aca="false">IFERROR(__xludf.dummyfunction("ROUND(B894/ FILTER('Pokemon CP/HP'!$M$2:$M1000, LOWER('Pokemon CP/HP'!$B$2:$B1000)=LOWER(A894)))"),"#DIV/0!")</f>
        <v>#DIV/0!</v>
      </c>
      <c r="H894" s="0" t="str">
        <f aca="false">IFERROR(__xludf.dummyfunction("FILTER('Leveling Info'!$B$2:$B1000, 'Leveling Info'!$A$2:$A1000 =G894)"),"#N/A")</f>
        <v>#N/A</v>
      </c>
      <c r="I894" s="14" t="e">
        <f aca="false">SQRT(G894)</f>
        <v>#VALUE!</v>
      </c>
      <c r="J894" s="14" t="str">
        <f aca="false">IFERROR(__xludf.dummyfunction("IF(F894 = H894,C894/FILTER('Base Stats'!$C$2:$C1000, LOWER('Base Stats'!$B$2:$B1000) = LOWER($A894)), """")"),"#N/A")</f>
        <v>#N/A</v>
      </c>
      <c r="K894" s="0" t="str">
        <f aca="false">IF(F894 = H894, C894/G894, "")</f>
        <v/>
      </c>
      <c r="L894" s="0" t="str">
        <f aca="false">IFERROR(__xludf.dummyfunction("IF(AND(NOT(K894 = """"), G894 &gt;= 15),K894/FILTER('Base Stats'!$C$2:$C1000, LOWER('Base Stats'!$B$2:$B1000) = LOWER($A894)), """")"),"#N/A")</f>
        <v>#N/A</v>
      </c>
      <c r="M894" s="0" t="str">
        <f aca="false">IFERROR(__xludf.dummyfunction("1.15 + 0.02 * FILTER('Base Stats'!$C$2:$C1000, LOWER('Base Stats'!$B$2:$B1000) = LOWER($A894))"),"1.15")</f>
        <v>1.15</v>
      </c>
      <c r="N894" s="0" t="e">
        <f aca="false">IFERROR(IF(AND(NOT(K894 = ""), G894 &gt;= 15),K894/M894, ""))</f>
        <v>#VALUE!</v>
      </c>
    </row>
    <row r="895" customFormat="false" ht="15.75" hidden="false" customHeight="false" outlineLevel="0" collapsed="false">
      <c r="A895" s="0" t="n">
        <f aca="false">'Form Responses (Pokemon Stats)'!B789</f>
        <v>0</v>
      </c>
      <c r="B895" s="0" t="n">
        <f aca="false">'Form Responses (Pokemon Stats)'!D789</f>
        <v>0</v>
      </c>
      <c r="C895" s="0" t="n">
        <f aca="false">'Form Responses (Pokemon Stats)'!C789</f>
        <v>0</v>
      </c>
      <c r="F895" s="0" t="n">
        <f aca="false">'Form Responses (Pokemon Stats)'!E789</f>
        <v>0</v>
      </c>
      <c r="G895" s="0" t="str">
        <f aca="false">IFERROR(__xludf.dummyfunction("ROUND(B895/ FILTER('Pokemon CP/HP'!$M$2:$M1000, LOWER('Pokemon CP/HP'!$B$2:$B1000)=LOWER(A895)))"),"#DIV/0!")</f>
        <v>#DIV/0!</v>
      </c>
      <c r="H895" s="0" t="str">
        <f aca="false">IFERROR(__xludf.dummyfunction("FILTER('Leveling Info'!$B$2:$B1000, 'Leveling Info'!$A$2:$A1000 =G895)"),"#N/A")</f>
        <v>#N/A</v>
      </c>
      <c r="I895" s="14" t="e">
        <f aca="false">SQRT(G895)</f>
        <v>#VALUE!</v>
      </c>
      <c r="J895" s="14" t="str">
        <f aca="false">IFERROR(__xludf.dummyfunction("IF(F895 = H895,C895/FILTER('Base Stats'!$C$2:$C1000, LOWER('Base Stats'!$B$2:$B1000) = LOWER($A895)), """")"),"#N/A")</f>
        <v>#N/A</v>
      </c>
      <c r="K895" s="0" t="str">
        <f aca="false">IF(F895 = H895, C895/G895, "")</f>
        <v/>
      </c>
      <c r="L895" s="0" t="str">
        <f aca="false">IFERROR(__xludf.dummyfunction("IF(AND(NOT(K895 = """"), G895 &gt;= 15),K895/FILTER('Base Stats'!$C$2:$C1000, LOWER('Base Stats'!$B$2:$B1000) = LOWER($A895)), """")"),"#N/A")</f>
        <v>#N/A</v>
      </c>
      <c r="M895" s="0" t="str">
        <f aca="false">IFERROR(__xludf.dummyfunction("1.15 + 0.02 * FILTER('Base Stats'!$C$2:$C1000, LOWER('Base Stats'!$B$2:$B1000) = LOWER($A895))"),"1.15")</f>
        <v>1.15</v>
      </c>
      <c r="N895" s="0" t="e">
        <f aca="false">IFERROR(IF(AND(NOT(K895 = ""), G895 &gt;= 15),K895/M895, ""))</f>
        <v>#VALUE!</v>
      </c>
    </row>
    <row r="896" customFormat="false" ht="15.75" hidden="false" customHeight="false" outlineLevel="0" collapsed="false">
      <c r="A896" s="0" t="n">
        <f aca="false">'Form Responses (Pokemon Stats)'!B790</f>
        <v>0</v>
      </c>
      <c r="B896" s="0" t="n">
        <f aca="false">'Form Responses (Pokemon Stats)'!D790</f>
        <v>0</v>
      </c>
      <c r="C896" s="0" t="n">
        <f aca="false">'Form Responses (Pokemon Stats)'!C790</f>
        <v>0</v>
      </c>
      <c r="F896" s="0" t="n">
        <f aca="false">'Form Responses (Pokemon Stats)'!E790</f>
        <v>0</v>
      </c>
      <c r="G896" s="0" t="str">
        <f aca="false">IFERROR(__xludf.dummyfunction("ROUND(B896/ FILTER('Pokemon CP/HP'!$M$2:$M1000, LOWER('Pokemon CP/HP'!$B$2:$B1000)=LOWER(A896)))"),"#DIV/0!")</f>
        <v>#DIV/0!</v>
      </c>
      <c r="H896" s="0" t="str">
        <f aca="false">IFERROR(__xludf.dummyfunction("FILTER('Leveling Info'!$B$2:$B1000, 'Leveling Info'!$A$2:$A1000 =G896)"),"#N/A")</f>
        <v>#N/A</v>
      </c>
      <c r="I896" s="14" t="e">
        <f aca="false">SQRT(G896)</f>
        <v>#VALUE!</v>
      </c>
      <c r="J896" s="14" t="str">
        <f aca="false">IFERROR(__xludf.dummyfunction("IF(F896 = H896,C896/FILTER('Base Stats'!$C$2:$C1000, LOWER('Base Stats'!$B$2:$B1000) = LOWER($A896)), """")"),"#N/A")</f>
        <v>#N/A</v>
      </c>
      <c r="K896" s="0" t="str">
        <f aca="false">IF(F896 = H896, C896/G896, "")</f>
        <v/>
      </c>
      <c r="L896" s="0" t="str">
        <f aca="false">IFERROR(__xludf.dummyfunction("IF(AND(NOT(K896 = """"), G896 &gt;= 15),K896/FILTER('Base Stats'!$C$2:$C1000, LOWER('Base Stats'!$B$2:$B1000) = LOWER($A896)), """")"),"#N/A")</f>
        <v>#N/A</v>
      </c>
      <c r="M896" s="0" t="str">
        <f aca="false">IFERROR(__xludf.dummyfunction("1.15 + 0.02 * FILTER('Base Stats'!$C$2:$C1000, LOWER('Base Stats'!$B$2:$B1000) = LOWER($A896))"),"1.15")</f>
        <v>1.15</v>
      </c>
      <c r="N896" s="0" t="e">
        <f aca="false">IFERROR(IF(AND(NOT(K896 = ""), G896 &gt;= 15),K896/M896, ""))</f>
        <v>#VALUE!</v>
      </c>
    </row>
    <row r="897" customFormat="false" ht="15.75" hidden="false" customHeight="false" outlineLevel="0" collapsed="false">
      <c r="A897" s="0" t="n">
        <f aca="false">'Form Responses (Pokemon Stats)'!B791</f>
        <v>0</v>
      </c>
      <c r="B897" s="0" t="n">
        <f aca="false">'Form Responses (Pokemon Stats)'!D791</f>
        <v>0</v>
      </c>
      <c r="C897" s="0" t="n">
        <f aca="false">'Form Responses (Pokemon Stats)'!C791</f>
        <v>0</v>
      </c>
      <c r="F897" s="0" t="n">
        <f aca="false">'Form Responses (Pokemon Stats)'!E791</f>
        <v>0</v>
      </c>
      <c r="G897" s="0" t="str">
        <f aca="false">IFERROR(__xludf.dummyfunction("ROUND(B897/ FILTER('Pokemon CP/HP'!$M$2:$M1000, LOWER('Pokemon CP/HP'!$B$2:$B1000)=LOWER(A897)))"),"#DIV/0!")</f>
        <v>#DIV/0!</v>
      </c>
      <c r="H897" s="0" t="str">
        <f aca="false">IFERROR(__xludf.dummyfunction("FILTER('Leveling Info'!$B$2:$B1000, 'Leveling Info'!$A$2:$A1000 =G897)"),"#N/A")</f>
        <v>#N/A</v>
      </c>
      <c r="I897" s="14" t="e">
        <f aca="false">SQRT(G897)</f>
        <v>#VALUE!</v>
      </c>
      <c r="J897" s="14" t="str">
        <f aca="false">IFERROR(__xludf.dummyfunction("IF(F897 = H897,C897/FILTER('Base Stats'!$C$2:$C1000, LOWER('Base Stats'!$B$2:$B1000) = LOWER($A897)), """")"),"#N/A")</f>
        <v>#N/A</v>
      </c>
      <c r="K897" s="0" t="str">
        <f aca="false">IF(F897 = H897, C897/G897, "")</f>
        <v/>
      </c>
      <c r="L897" s="0" t="str">
        <f aca="false">IFERROR(__xludf.dummyfunction("IF(AND(NOT(K897 = """"), G897 &gt;= 15),K897/FILTER('Base Stats'!$C$2:$C1000, LOWER('Base Stats'!$B$2:$B1000) = LOWER($A897)), """")"),"#N/A")</f>
        <v>#N/A</v>
      </c>
      <c r="M897" s="0" t="str">
        <f aca="false">IFERROR(__xludf.dummyfunction("1.15 + 0.02 * FILTER('Base Stats'!$C$2:$C1000, LOWER('Base Stats'!$B$2:$B1000) = LOWER($A897))"),"1.15")</f>
        <v>1.15</v>
      </c>
      <c r="N897" s="0" t="e">
        <f aca="false">IFERROR(IF(AND(NOT(K897 = ""), G897 &gt;= 15),K897/M897, ""))</f>
        <v>#VALUE!</v>
      </c>
    </row>
    <row r="898" customFormat="false" ht="15.75" hidden="false" customHeight="false" outlineLevel="0" collapsed="false">
      <c r="A898" s="0" t="n">
        <f aca="false">'Form Responses (Pokemon Stats)'!B792</f>
        <v>0</v>
      </c>
      <c r="B898" s="0" t="n">
        <f aca="false">'Form Responses (Pokemon Stats)'!D792</f>
        <v>0</v>
      </c>
      <c r="C898" s="0" t="n">
        <f aca="false">'Form Responses (Pokemon Stats)'!C792</f>
        <v>0</v>
      </c>
      <c r="F898" s="0" t="n">
        <f aca="false">'Form Responses (Pokemon Stats)'!E792</f>
        <v>0</v>
      </c>
      <c r="G898" s="0" t="str">
        <f aca="false">IFERROR(__xludf.dummyfunction("ROUND(B898/ FILTER('Pokemon CP/HP'!$M$2:$M1000, LOWER('Pokemon CP/HP'!$B$2:$B1000)=LOWER(A898)))"),"#DIV/0!")</f>
        <v>#DIV/0!</v>
      </c>
      <c r="H898" s="0" t="str">
        <f aca="false">IFERROR(__xludf.dummyfunction("FILTER('Leveling Info'!$B$2:$B1000, 'Leveling Info'!$A$2:$A1000 =G898)"),"#N/A")</f>
        <v>#N/A</v>
      </c>
      <c r="I898" s="14" t="e">
        <f aca="false">SQRT(G898)</f>
        <v>#VALUE!</v>
      </c>
      <c r="J898" s="14" t="str">
        <f aca="false">IFERROR(__xludf.dummyfunction("IF(F898 = H898,C898/FILTER('Base Stats'!$C$2:$C1000, LOWER('Base Stats'!$B$2:$B1000) = LOWER($A898)), """")"),"#N/A")</f>
        <v>#N/A</v>
      </c>
      <c r="K898" s="0" t="str">
        <f aca="false">IF(F898 = H898, C898/G898, "")</f>
        <v/>
      </c>
      <c r="L898" s="0" t="str">
        <f aca="false">IFERROR(__xludf.dummyfunction("IF(AND(NOT(K898 = """"), G898 &gt;= 15),K898/FILTER('Base Stats'!$C$2:$C1000, LOWER('Base Stats'!$B$2:$B1000) = LOWER($A898)), """")"),"#N/A")</f>
        <v>#N/A</v>
      </c>
      <c r="M898" s="0" t="str">
        <f aca="false">IFERROR(__xludf.dummyfunction("1.15 + 0.02 * FILTER('Base Stats'!$C$2:$C1000, LOWER('Base Stats'!$B$2:$B1000) = LOWER($A898))"),"1.15")</f>
        <v>1.15</v>
      </c>
      <c r="N898" s="0" t="e">
        <f aca="false">IFERROR(IF(AND(NOT(K898 = ""), G898 &gt;= 15),K898/M898, ""))</f>
        <v>#VALUE!</v>
      </c>
    </row>
    <row r="899" customFormat="false" ht="15.75" hidden="false" customHeight="false" outlineLevel="0" collapsed="false">
      <c r="A899" s="0" t="n">
        <f aca="false">'Form Responses (Pokemon Stats)'!B793</f>
        <v>0</v>
      </c>
      <c r="B899" s="0" t="n">
        <f aca="false">'Form Responses (Pokemon Stats)'!D793</f>
        <v>0</v>
      </c>
      <c r="C899" s="0" t="n">
        <f aca="false">'Form Responses (Pokemon Stats)'!C793</f>
        <v>0</v>
      </c>
      <c r="F899" s="0" t="n">
        <f aca="false">'Form Responses (Pokemon Stats)'!E793</f>
        <v>0</v>
      </c>
      <c r="G899" s="0" t="str">
        <f aca="false">IFERROR(__xludf.dummyfunction("ROUND(B899/ FILTER('Pokemon CP/HP'!$M$2:$M1000, LOWER('Pokemon CP/HP'!$B$2:$B1000)=LOWER(A899)))"),"#DIV/0!")</f>
        <v>#DIV/0!</v>
      </c>
      <c r="H899" s="0" t="str">
        <f aca="false">IFERROR(__xludf.dummyfunction("FILTER('Leveling Info'!$B$2:$B1000, 'Leveling Info'!$A$2:$A1000 =G899)"),"#N/A")</f>
        <v>#N/A</v>
      </c>
      <c r="I899" s="14" t="e">
        <f aca="false">SQRT(G899)</f>
        <v>#VALUE!</v>
      </c>
      <c r="J899" s="14" t="str">
        <f aca="false">IFERROR(__xludf.dummyfunction("IF(F899 = H899,C899/FILTER('Base Stats'!$C$2:$C1000, LOWER('Base Stats'!$B$2:$B1000) = LOWER($A899)), """")"),"#N/A")</f>
        <v>#N/A</v>
      </c>
      <c r="K899" s="0" t="str">
        <f aca="false">IF(F899 = H899, C899/G899, "")</f>
        <v/>
      </c>
      <c r="L899" s="0" t="str">
        <f aca="false">IFERROR(__xludf.dummyfunction("IF(AND(NOT(K899 = """"), G899 &gt;= 15),K899/FILTER('Base Stats'!$C$2:$C1000, LOWER('Base Stats'!$B$2:$B1000) = LOWER($A899)), """")"),"#N/A")</f>
        <v>#N/A</v>
      </c>
      <c r="M899" s="0" t="str">
        <f aca="false">IFERROR(__xludf.dummyfunction("1.15 + 0.02 * FILTER('Base Stats'!$C$2:$C1000, LOWER('Base Stats'!$B$2:$B1000) = LOWER($A899))"),"1.15")</f>
        <v>1.15</v>
      </c>
      <c r="N899" s="0" t="e">
        <f aca="false">IFERROR(IF(AND(NOT(K899 = ""), G899 &gt;= 15),K899/M899, ""))</f>
        <v>#VALUE!</v>
      </c>
    </row>
    <row r="900" customFormat="false" ht="15.75" hidden="false" customHeight="false" outlineLevel="0" collapsed="false">
      <c r="A900" s="0" t="n">
        <f aca="false">'Form Responses (Pokemon Stats)'!B794</f>
        <v>0</v>
      </c>
      <c r="B900" s="0" t="n">
        <f aca="false">'Form Responses (Pokemon Stats)'!D794</f>
        <v>0</v>
      </c>
      <c r="C900" s="0" t="n">
        <f aca="false">'Form Responses (Pokemon Stats)'!C794</f>
        <v>0</v>
      </c>
      <c r="F900" s="0" t="n">
        <f aca="false">'Form Responses (Pokemon Stats)'!E794</f>
        <v>0</v>
      </c>
      <c r="G900" s="0" t="str">
        <f aca="false">IFERROR(__xludf.dummyfunction("ROUND(B900/ FILTER('Pokemon CP/HP'!$M$2:$M1000, LOWER('Pokemon CP/HP'!$B$2:$B1000)=LOWER(A900)))"),"#DIV/0!")</f>
        <v>#DIV/0!</v>
      </c>
      <c r="H900" s="0" t="str">
        <f aca="false">IFERROR(__xludf.dummyfunction("FILTER('Leveling Info'!$B$2:$B1000, 'Leveling Info'!$A$2:$A1000 =G900)"),"#N/A")</f>
        <v>#N/A</v>
      </c>
      <c r="I900" s="14" t="e">
        <f aca="false">SQRT(G900)</f>
        <v>#VALUE!</v>
      </c>
      <c r="J900" s="14" t="str">
        <f aca="false">IFERROR(__xludf.dummyfunction("IF(F900 = H900,C900/FILTER('Base Stats'!$C$2:$C1000, LOWER('Base Stats'!$B$2:$B1000) = LOWER($A900)), """")"),"#N/A")</f>
        <v>#N/A</v>
      </c>
      <c r="K900" s="0" t="str">
        <f aca="false">IF(F900 = H900, C900/G900, "")</f>
        <v/>
      </c>
      <c r="L900" s="0" t="str">
        <f aca="false">IFERROR(__xludf.dummyfunction("IF(AND(NOT(K900 = """"), G900 &gt;= 15),K900/FILTER('Base Stats'!$C$2:$C1000, LOWER('Base Stats'!$B$2:$B1000) = LOWER($A900)), """")"),"#N/A")</f>
        <v>#N/A</v>
      </c>
      <c r="M900" s="0" t="str">
        <f aca="false">IFERROR(__xludf.dummyfunction("1.15 + 0.02 * FILTER('Base Stats'!$C$2:$C1000, LOWER('Base Stats'!$B$2:$B1000) = LOWER($A900))"),"1.15")</f>
        <v>1.15</v>
      </c>
      <c r="N900" s="0" t="e">
        <f aca="false">IFERROR(IF(AND(NOT(K900 = ""), G900 &gt;= 15),K900/M900, ""))</f>
        <v>#VALUE!</v>
      </c>
    </row>
    <row r="901" customFormat="false" ht="15.75" hidden="false" customHeight="false" outlineLevel="0" collapsed="false">
      <c r="A901" s="0" t="n">
        <f aca="false">'Form Responses (Pokemon Stats)'!B795</f>
        <v>0</v>
      </c>
      <c r="B901" s="0" t="n">
        <f aca="false">'Form Responses (Pokemon Stats)'!D795</f>
        <v>0</v>
      </c>
      <c r="C901" s="0" t="n">
        <f aca="false">'Form Responses (Pokemon Stats)'!C795</f>
        <v>0</v>
      </c>
      <c r="F901" s="0" t="n">
        <f aca="false">'Form Responses (Pokemon Stats)'!E795</f>
        <v>0</v>
      </c>
      <c r="G901" s="0" t="str">
        <f aca="false">IFERROR(__xludf.dummyfunction("ROUND(B901/ FILTER('Pokemon CP/HP'!$M$2:$M1000, LOWER('Pokemon CP/HP'!$B$2:$B1000)=LOWER(A901)))"),"#DIV/0!")</f>
        <v>#DIV/0!</v>
      </c>
      <c r="H901" s="0" t="str">
        <f aca="false">IFERROR(__xludf.dummyfunction("FILTER('Leveling Info'!$B$2:$B1000, 'Leveling Info'!$A$2:$A1000 =G901)"),"#N/A")</f>
        <v>#N/A</v>
      </c>
      <c r="I901" s="14" t="e">
        <f aca="false">SQRT(G901)</f>
        <v>#VALUE!</v>
      </c>
      <c r="J901" s="14" t="str">
        <f aca="false">IFERROR(__xludf.dummyfunction("IF(F901 = H901,C901/FILTER('Base Stats'!$C$2:$C1000, LOWER('Base Stats'!$B$2:$B1000) = LOWER($A901)), """")"),"#N/A")</f>
        <v>#N/A</v>
      </c>
      <c r="K901" s="0" t="str">
        <f aca="false">IF(F901 = H901, C901/G901, "")</f>
        <v/>
      </c>
      <c r="L901" s="0" t="str">
        <f aca="false">IFERROR(__xludf.dummyfunction("IF(AND(NOT(K901 = """"), G901 &gt;= 15),K901/FILTER('Base Stats'!$C$2:$C1000, LOWER('Base Stats'!$B$2:$B1000) = LOWER($A901)), """")"),"#N/A")</f>
        <v>#N/A</v>
      </c>
      <c r="M901" s="0" t="str">
        <f aca="false">IFERROR(__xludf.dummyfunction("1.15 + 0.02 * FILTER('Base Stats'!$C$2:$C1000, LOWER('Base Stats'!$B$2:$B1000) = LOWER($A901))"),"1.15")</f>
        <v>1.15</v>
      </c>
      <c r="N901" s="0" t="e">
        <f aca="false">IFERROR(IF(AND(NOT(K901 = ""), G901 &gt;= 15),K901/M901, ""))</f>
        <v>#VALUE!</v>
      </c>
    </row>
    <row r="902" customFormat="false" ht="15.75" hidden="false" customHeight="false" outlineLevel="0" collapsed="false">
      <c r="A902" s="0" t="n">
        <f aca="false">'Form Responses (Pokemon Stats)'!B796</f>
        <v>0</v>
      </c>
      <c r="B902" s="0" t="n">
        <f aca="false">'Form Responses (Pokemon Stats)'!D796</f>
        <v>0</v>
      </c>
      <c r="C902" s="0" t="n">
        <f aca="false">'Form Responses (Pokemon Stats)'!C796</f>
        <v>0</v>
      </c>
      <c r="F902" s="0" t="n">
        <f aca="false">'Form Responses (Pokemon Stats)'!E796</f>
        <v>0</v>
      </c>
      <c r="G902" s="0" t="str">
        <f aca="false">IFERROR(__xludf.dummyfunction("ROUND(B902/ FILTER('Pokemon CP/HP'!$M$2:$M1000, LOWER('Pokemon CP/HP'!$B$2:$B1000)=LOWER(A902)))"),"#DIV/0!")</f>
        <v>#DIV/0!</v>
      </c>
      <c r="H902" s="0" t="str">
        <f aca="false">IFERROR(__xludf.dummyfunction("FILTER('Leveling Info'!$B$2:$B1000, 'Leveling Info'!$A$2:$A1000 =G902)"),"#N/A")</f>
        <v>#N/A</v>
      </c>
      <c r="I902" s="14" t="e">
        <f aca="false">SQRT(G902)</f>
        <v>#VALUE!</v>
      </c>
      <c r="J902" s="14" t="str">
        <f aca="false">IFERROR(__xludf.dummyfunction("IF(F902 = H902,C902/FILTER('Base Stats'!$C$2:$C1000, LOWER('Base Stats'!$B$2:$B1000) = LOWER($A902)), """")"),"#N/A")</f>
        <v>#N/A</v>
      </c>
      <c r="K902" s="0" t="str">
        <f aca="false">IF(F902 = H902, C902/G902, "")</f>
        <v/>
      </c>
      <c r="L902" s="0" t="str">
        <f aca="false">IFERROR(__xludf.dummyfunction("IF(AND(NOT(K902 = """"), G902 &gt;= 15),K902/FILTER('Base Stats'!$C$2:$C1000, LOWER('Base Stats'!$B$2:$B1000) = LOWER($A902)), """")"),"#N/A")</f>
        <v>#N/A</v>
      </c>
      <c r="M902" s="0" t="str">
        <f aca="false">IFERROR(__xludf.dummyfunction("1.15 + 0.02 * FILTER('Base Stats'!$C$2:$C1000, LOWER('Base Stats'!$B$2:$B1000) = LOWER($A902))"),"1.15")</f>
        <v>1.15</v>
      </c>
      <c r="N902" s="0" t="e">
        <f aca="false">IFERROR(IF(AND(NOT(K902 = ""), G902 &gt;= 15),K902/M902, ""))</f>
        <v>#VALUE!</v>
      </c>
    </row>
    <row r="903" customFormat="false" ht="15.75" hidden="false" customHeight="false" outlineLevel="0" collapsed="false">
      <c r="A903" s="0" t="n">
        <f aca="false">'Form Responses (Pokemon Stats)'!B797</f>
        <v>0</v>
      </c>
      <c r="B903" s="0" t="n">
        <f aca="false">'Form Responses (Pokemon Stats)'!D797</f>
        <v>0</v>
      </c>
      <c r="C903" s="0" t="n">
        <f aca="false">'Form Responses (Pokemon Stats)'!C797</f>
        <v>0</v>
      </c>
      <c r="F903" s="0" t="n">
        <f aca="false">'Form Responses (Pokemon Stats)'!E797</f>
        <v>0</v>
      </c>
      <c r="G903" s="0" t="str">
        <f aca="false">IFERROR(__xludf.dummyfunction("ROUND(B903/ FILTER('Pokemon CP/HP'!$M$2:$M1000, LOWER('Pokemon CP/HP'!$B$2:$B1000)=LOWER(A903)))"),"#DIV/0!")</f>
        <v>#DIV/0!</v>
      </c>
      <c r="H903" s="0" t="str">
        <f aca="false">IFERROR(__xludf.dummyfunction("FILTER('Leveling Info'!$B$2:$B1000, 'Leveling Info'!$A$2:$A1000 =G903)"),"#N/A")</f>
        <v>#N/A</v>
      </c>
      <c r="I903" s="14" t="e">
        <f aca="false">SQRT(G903)</f>
        <v>#VALUE!</v>
      </c>
      <c r="J903" s="14" t="str">
        <f aca="false">IFERROR(__xludf.dummyfunction("IF(F903 = H903,C903/FILTER('Base Stats'!$C$2:$C1000, LOWER('Base Stats'!$B$2:$B1000) = LOWER($A903)), """")"),"#N/A")</f>
        <v>#N/A</v>
      </c>
      <c r="K903" s="0" t="str">
        <f aca="false">IF(F903 = H903, C903/G903, "")</f>
        <v/>
      </c>
      <c r="L903" s="0" t="str">
        <f aca="false">IFERROR(__xludf.dummyfunction("IF(AND(NOT(K903 = """"), G903 &gt;= 15),K903/FILTER('Base Stats'!$C$2:$C1000, LOWER('Base Stats'!$B$2:$B1000) = LOWER($A903)), """")"),"#N/A")</f>
        <v>#N/A</v>
      </c>
      <c r="M903" s="0" t="str">
        <f aca="false">IFERROR(__xludf.dummyfunction("1.15 + 0.02 * FILTER('Base Stats'!$C$2:$C1000, LOWER('Base Stats'!$B$2:$B1000) = LOWER($A903))"),"1.15")</f>
        <v>1.15</v>
      </c>
      <c r="N903" s="0" t="e">
        <f aca="false">IFERROR(IF(AND(NOT(K903 = ""), G903 &gt;= 15),K903/M903, ""))</f>
        <v>#VALUE!</v>
      </c>
    </row>
    <row r="904" customFormat="false" ht="15.75" hidden="false" customHeight="false" outlineLevel="0" collapsed="false">
      <c r="A904" s="0" t="n">
        <f aca="false">'Form Responses (Pokemon Stats)'!B798</f>
        <v>0</v>
      </c>
      <c r="B904" s="0" t="n">
        <f aca="false">'Form Responses (Pokemon Stats)'!D798</f>
        <v>0</v>
      </c>
      <c r="C904" s="0" t="n">
        <f aca="false">'Form Responses (Pokemon Stats)'!C798</f>
        <v>0</v>
      </c>
      <c r="F904" s="0" t="n">
        <f aca="false">'Form Responses (Pokemon Stats)'!E798</f>
        <v>0</v>
      </c>
      <c r="G904" s="0" t="str">
        <f aca="false">IFERROR(__xludf.dummyfunction("ROUND(B904/ FILTER('Pokemon CP/HP'!$M$2:$M1000, LOWER('Pokemon CP/HP'!$B$2:$B1000)=LOWER(A904)))"),"#DIV/0!")</f>
        <v>#DIV/0!</v>
      </c>
      <c r="H904" s="0" t="str">
        <f aca="false">IFERROR(__xludf.dummyfunction("FILTER('Leveling Info'!$B$2:$B1000, 'Leveling Info'!$A$2:$A1000 =G904)"),"#N/A")</f>
        <v>#N/A</v>
      </c>
      <c r="I904" s="14" t="e">
        <f aca="false">SQRT(G904)</f>
        <v>#VALUE!</v>
      </c>
      <c r="J904" s="14" t="str">
        <f aca="false">IFERROR(__xludf.dummyfunction("IF(F904 = H904,C904/FILTER('Base Stats'!$C$2:$C1000, LOWER('Base Stats'!$B$2:$B1000) = LOWER($A904)), """")"),"#N/A")</f>
        <v>#N/A</v>
      </c>
      <c r="K904" s="0" t="str">
        <f aca="false">IF(F904 = H904, C904/G904, "")</f>
        <v/>
      </c>
      <c r="L904" s="0" t="str">
        <f aca="false">IFERROR(__xludf.dummyfunction("IF(AND(NOT(K904 = """"), G904 &gt;= 15),K904/FILTER('Base Stats'!$C$2:$C1000, LOWER('Base Stats'!$B$2:$B1000) = LOWER($A904)), """")"),"#N/A")</f>
        <v>#N/A</v>
      </c>
      <c r="M904" s="0" t="str">
        <f aca="false">IFERROR(__xludf.dummyfunction("1.15 + 0.02 * FILTER('Base Stats'!$C$2:$C1000, LOWER('Base Stats'!$B$2:$B1000) = LOWER($A904))"),"1.15")</f>
        <v>1.15</v>
      </c>
      <c r="N904" s="0" t="e">
        <f aca="false">IFERROR(IF(AND(NOT(K904 = ""), G904 &gt;= 15),K904/M904, ""))</f>
        <v>#VALUE!</v>
      </c>
    </row>
    <row r="905" customFormat="false" ht="15.75" hidden="false" customHeight="false" outlineLevel="0" collapsed="false">
      <c r="A905" s="0" t="n">
        <f aca="false">'Form Responses (Pokemon Stats)'!B799</f>
        <v>0</v>
      </c>
      <c r="B905" s="0" t="n">
        <f aca="false">'Form Responses (Pokemon Stats)'!D799</f>
        <v>0</v>
      </c>
      <c r="C905" s="0" t="n">
        <f aca="false">'Form Responses (Pokemon Stats)'!C799</f>
        <v>0</v>
      </c>
      <c r="F905" s="0" t="n">
        <f aca="false">'Form Responses (Pokemon Stats)'!E799</f>
        <v>0</v>
      </c>
      <c r="G905" s="0" t="str">
        <f aca="false">IFERROR(__xludf.dummyfunction("ROUND(B905/ FILTER('Pokemon CP/HP'!$M$2:$M1000, LOWER('Pokemon CP/HP'!$B$2:$B1000)=LOWER(A905)))"),"#DIV/0!")</f>
        <v>#DIV/0!</v>
      </c>
      <c r="H905" s="0" t="str">
        <f aca="false">IFERROR(__xludf.dummyfunction("FILTER('Leveling Info'!$B$2:$B1000, 'Leveling Info'!$A$2:$A1000 =G905)"),"#N/A")</f>
        <v>#N/A</v>
      </c>
      <c r="I905" s="14" t="e">
        <f aca="false">SQRT(G905)</f>
        <v>#VALUE!</v>
      </c>
      <c r="J905" s="14" t="str">
        <f aca="false">IFERROR(__xludf.dummyfunction("IF(F905 = H905,C905/FILTER('Base Stats'!$C$2:$C1000, LOWER('Base Stats'!$B$2:$B1000) = LOWER($A905)), """")"),"#N/A")</f>
        <v>#N/A</v>
      </c>
      <c r="K905" s="0" t="str">
        <f aca="false">IF(F905 = H905, C905/G905, "")</f>
        <v/>
      </c>
      <c r="L905" s="0" t="str">
        <f aca="false">IFERROR(__xludf.dummyfunction("IF(AND(NOT(K905 = """"), G905 &gt;= 15),K905/FILTER('Base Stats'!$C$2:$C1000, LOWER('Base Stats'!$B$2:$B1000) = LOWER($A905)), """")"),"#N/A")</f>
        <v>#N/A</v>
      </c>
      <c r="M905" s="0" t="str">
        <f aca="false">IFERROR(__xludf.dummyfunction("1.15 + 0.02 * FILTER('Base Stats'!$C$2:$C1000, LOWER('Base Stats'!$B$2:$B1000) = LOWER($A905))"),"1.15")</f>
        <v>1.15</v>
      </c>
      <c r="N905" s="0" t="e">
        <f aca="false">IFERROR(IF(AND(NOT(K905 = ""), G905 &gt;= 15),K905/M905, ""))</f>
        <v>#VALUE!</v>
      </c>
    </row>
    <row r="906" customFormat="false" ht="15.75" hidden="false" customHeight="false" outlineLevel="0" collapsed="false">
      <c r="A906" s="0" t="n">
        <f aca="false">'Form Responses (Pokemon Stats)'!B800</f>
        <v>0</v>
      </c>
      <c r="B906" s="0" t="n">
        <f aca="false">'Form Responses (Pokemon Stats)'!D800</f>
        <v>0</v>
      </c>
      <c r="C906" s="0" t="n">
        <f aca="false">'Form Responses (Pokemon Stats)'!C800</f>
        <v>0</v>
      </c>
      <c r="F906" s="0" t="n">
        <f aca="false">'Form Responses (Pokemon Stats)'!E800</f>
        <v>0</v>
      </c>
      <c r="G906" s="0" t="str">
        <f aca="false">IFERROR(__xludf.dummyfunction("ROUND(B906/ FILTER('Pokemon CP/HP'!$M$2:$M1000, LOWER('Pokemon CP/HP'!$B$2:$B1000)=LOWER(A906)))"),"#DIV/0!")</f>
        <v>#DIV/0!</v>
      </c>
      <c r="H906" s="0" t="str">
        <f aca="false">IFERROR(__xludf.dummyfunction("FILTER('Leveling Info'!$B$2:$B1000, 'Leveling Info'!$A$2:$A1000 =G906)"),"#N/A")</f>
        <v>#N/A</v>
      </c>
      <c r="I906" s="14" t="e">
        <f aca="false">SQRT(G906)</f>
        <v>#VALUE!</v>
      </c>
      <c r="J906" s="14" t="str">
        <f aca="false">IFERROR(__xludf.dummyfunction("IF(F906 = H906,C906/FILTER('Base Stats'!$C$2:$C1000, LOWER('Base Stats'!$B$2:$B1000) = LOWER($A906)), """")"),"#N/A")</f>
        <v>#N/A</v>
      </c>
      <c r="K906" s="0" t="str">
        <f aca="false">IF(F906 = H906, C906/G906, "")</f>
        <v/>
      </c>
      <c r="L906" s="0" t="str">
        <f aca="false">IFERROR(__xludf.dummyfunction("IF(AND(NOT(K906 = """"), G906 &gt;= 15),K906/FILTER('Base Stats'!$C$2:$C1000, LOWER('Base Stats'!$B$2:$B1000) = LOWER($A906)), """")"),"#N/A")</f>
        <v>#N/A</v>
      </c>
      <c r="M906" s="0" t="str">
        <f aca="false">IFERROR(__xludf.dummyfunction("1.15 + 0.02 * FILTER('Base Stats'!$C$2:$C1000, LOWER('Base Stats'!$B$2:$B1000) = LOWER($A906))"),"1.15")</f>
        <v>1.15</v>
      </c>
      <c r="N906" s="0" t="e">
        <f aca="false">IFERROR(IF(AND(NOT(K906 = ""), G906 &gt;= 15),K906/M906, ""))</f>
        <v>#VALUE!</v>
      </c>
    </row>
    <row r="907" customFormat="false" ht="15.75" hidden="false" customHeight="false" outlineLevel="0" collapsed="false">
      <c r="A907" s="0" t="n">
        <f aca="false">'Form Responses (Pokemon Stats)'!B801</f>
        <v>0</v>
      </c>
      <c r="B907" s="0" t="n">
        <f aca="false">'Form Responses (Pokemon Stats)'!D801</f>
        <v>0</v>
      </c>
      <c r="C907" s="0" t="n">
        <f aca="false">'Form Responses (Pokemon Stats)'!C801</f>
        <v>0</v>
      </c>
      <c r="F907" s="0" t="n">
        <f aca="false">'Form Responses (Pokemon Stats)'!E801</f>
        <v>0</v>
      </c>
      <c r="G907" s="0" t="str">
        <f aca="false">IFERROR(__xludf.dummyfunction("ROUND(B907/ FILTER('Pokemon CP/HP'!$M$2:$M1000, LOWER('Pokemon CP/HP'!$B$2:$B1000)=LOWER(A907)))"),"#DIV/0!")</f>
        <v>#DIV/0!</v>
      </c>
      <c r="H907" s="0" t="str">
        <f aca="false">IFERROR(__xludf.dummyfunction("FILTER('Leveling Info'!$B$2:$B1000, 'Leveling Info'!$A$2:$A1000 =G907)"),"#N/A")</f>
        <v>#N/A</v>
      </c>
      <c r="I907" s="14" t="e">
        <f aca="false">SQRT(G907)</f>
        <v>#VALUE!</v>
      </c>
      <c r="J907" s="14" t="str">
        <f aca="false">IFERROR(__xludf.dummyfunction("IF(F907 = H907,C907/FILTER('Base Stats'!$C$2:$C1000, LOWER('Base Stats'!$B$2:$B1000) = LOWER($A907)), """")"),"#N/A")</f>
        <v>#N/A</v>
      </c>
      <c r="K907" s="0" t="str">
        <f aca="false">IF(F907 = H907, C907/G907, "")</f>
        <v/>
      </c>
      <c r="L907" s="0" t="str">
        <f aca="false">IFERROR(__xludf.dummyfunction("IF(AND(NOT(K907 = """"), G907 &gt;= 15),K907/FILTER('Base Stats'!$C$2:$C1000, LOWER('Base Stats'!$B$2:$B1000) = LOWER($A907)), """")"),"#N/A")</f>
        <v>#N/A</v>
      </c>
      <c r="M907" s="0" t="str">
        <f aca="false">IFERROR(__xludf.dummyfunction("1.15 + 0.02 * FILTER('Base Stats'!$C$2:$C1000, LOWER('Base Stats'!$B$2:$B1000) = LOWER($A907))"),"1.15")</f>
        <v>1.15</v>
      </c>
      <c r="N907" s="0" t="e">
        <f aca="false">IFERROR(IF(AND(NOT(K907 = ""), G907 &gt;= 15),K907/M907, ""))</f>
        <v>#VALUE!</v>
      </c>
    </row>
    <row r="908" customFormat="false" ht="15.75" hidden="false" customHeight="false" outlineLevel="0" collapsed="false">
      <c r="A908" s="0" t="n">
        <f aca="false">'Form Responses (Pokemon Stats)'!B802</f>
        <v>0</v>
      </c>
      <c r="B908" s="0" t="n">
        <f aca="false">'Form Responses (Pokemon Stats)'!D802</f>
        <v>0</v>
      </c>
      <c r="C908" s="0" t="n">
        <f aca="false">'Form Responses (Pokemon Stats)'!C802</f>
        <v>0</v>
      </c>
      <c r="F908" s="0" t="n">
        <f aca="false">'Form Responses (Pokemon Stats)'!E802</f>
        <v>0</v>
      </c>
      <c r="G908" s="0" t="str">
        <f aca="false">IFERROR(__xludf.dummyfunction("ROUND(B908/ FILTER('Pokemon CP/HP'!$M$2:$M1000, LOWER('Pokemon CP/HP'!$B$2:$B1000)=LOWER(A908)))"),"#DIV/0!")</f>
        <v>#DIV/0!</v>
      </c>
      <c r="H908" s="0" t="str">
        <f aca="false">IFERROR(__xludf.dummyfunction("FILTER('Leveling Info'!$B$2:$B1000, 'Leveling Info'!$A$2:$A1000 =G908)"),"#N/A")</f>
        <v>#N/A</v>
      </c>
      <c r="I908" s="14" t="e">
        <f aca="false">SQRT(G908)</f>
        <v>#VALUE!</v>
      </c>
      <c r="J908" s="14" t="str">
        <f aca="false">IFERROR(__xludf.dummyfunction("IF(F908 = H908,C908/FILTER('Base Stats'!$C$2:$C1000, LOWER('Base Stats'!$B$2:$B1000) = LOWER($A908)), """")"),"#N/A")</f>
        <v>#N/A</v>
      </c>
      <c r="K908" s="0" t="str">
        <f aca="false">IF(F908 = H908, C908/G908, "")</f>
        <v/>
      </c>
      <c r="L908" s="0" t="str">
        <f aca="false">IFERROR(__xludf.dummyfunction("IF(AND(NOT(K908 = """"), G908 &gt;= 15),K908/FILTER('Base Stats'!$C$2:$C1000, LOWER('Base Stats'!$B$2:$B1000) = LOWER($A908)), """")"),"#N/A")</f>
        <v>#N/A</v>
      </c>
      <c r="M908" s="0" t="str">
        <f aca="false">IFERROR(__xludf.dummyfunction("1.15 + 0.02 * FILTER('Base Stats'!$C$2:$C1000, LOWER('Base Stats'!$B$2:$B1000) = LOWER($A908))"),"1.15")</f>
        <v>1.15</v>
      </c>
      <c r="N908" s="0" t="e">
        <f aca="false">IFERROR(IF(AND(NOT(K908 = ""), G908 &gt;= 15),K908/M908, ""))</f>
        <v>#VALUE!</v>
      </c>
    </row>
    <row r="909" customFormat="false" ht="15.75" hidden="false" customHeight="false" outlineLevel="0" collapsed="false">
      <c r="A909" s="0" t="n">
        <f aca="false">'Form Responses (Pokemon Stats)'!B803</f>
        <v>0</v>
      </c>
      <c r="B909" s="0" t="n">
        <f aca="false">'Form Responses (Pokemon Stats)'!D803</f>
        <v>0</v>
      </c>
      <c r="C909" s="0" t="n">
        <f aca="false">'Form Responses (Pokemon Stats)'!C803</f>
        <v>0</v>
      </c>
      <c r="F909" s="0" t="n">
        <f aca="false">'Form Responses (Pokemon Stats)'!E803</f>
        <v>0</v>
      </c>
      <c r="G909" s="0" t="str">
        <f aca="false">IFERROR(__xludf.dummyfunction("ROUND(B909/ FILTER('Pokemon CP/HP'!$M$2:$M1000, LOWER('Pokemon CP/HP'!$B$2:$B1000)=LOWER(A909)))"),"#DIV/0!")</f>
        <v>#DIV/0!</v>
      </c>
      <c r="H909" s="0" t="str">
        <f aca="false">IFERROR(__xludf.dummyfunction("FILTER('Leveling Info'!$B$2:$B1000, 'Leveling Info'!$A$2:$A1000 =G909)"),"#N/A")</f>
        <v>#N/A</v>
      </c>
      <c r="I909" s="14" t="e">
        <f aca="false">SQRT(G909)</f>
        <v>#VALUE!</v>
      </c>
      <c r="J909" s="14" t="str">
        <f aca="false">IFERROR(__xludf.dummyfunction("IF(F909 = H909,C909/FILTER('Base Stats'!$C$2:$C1000, LOWER('Base Stats'!$B$2:$B1000) = LOWER($A909)), """")"),"#N/A")</f>
        <v>#N/A</v>
      </c>
      <c r="K909" s="0" t="str">
        <f aca="false">IF(F909 = H909, C909/G909, "")</f>
        <v/>
      </c>
      <c r="L909" s="0" t="str">
        <f aca="false">IFERROR(__xludf.dummyfunction("IF(AND(NOT(K909 = """"), G909 &gt;= 15),K909/FILTER('Base Stats'!$C$2:$C1000, LOWER('Base Stats'!$B$2:$B1000) = LOWER($A909)), """")"),"#N/A")</f>
        <v>#N/A</v>
      </c>
      <c r="M909" s="0" t="str">
        <f aca="false">IFERROR(__xludf.dummyfunction("1.15 + 0.02 * FILTER('Base Stats'!$C$2:$C1000, LOWER('Base Stats'!$B$2:$B1000) = LOWER($A909))"),"1.15")</f>
        <v>1.15</v>
      </c>
      <c r="N909" s="0" t="e">
        <f aca="false">IFERROR(IF(AND(NOT(K909 = ""), G909 &gt;= 15),K909/M909, ""))</f>
        <v>#VALUE!</v>
      </c>
    </row>
    <row r="910" customFormat="false" ht="15.75" hidden="false" customHeight="false" outlineLevel="0" collapsed="false">
      <c r="A910" s="0" t="n">
        <f aca="false">'Form Responses (Pokemon Stats)'!B804</f>
        <v>0</v>
      </c>
      <c r="B910" s="0" t="n">
        <f aca="false">'Form Responses (Pokemon Stats)'!D804</f>
        <v>0</v>
      </c>
      <c r="C910" s="0" t="n">
        <f aca="false">'Form Responses (Pokemon Stats)'!C804</f>
        <v>0</v>
      </c>
      <c r="F910" s="0" t="n">
        <f aca="false">'Form Responses (Pokemon Stats)'!E804</f>
        <v>0</v>
      </c>
      <c r="G910" s="0" t="str">
        <f aca="false">IFERROR(__xludf.dummyfunction("ROUND(B910/ FILTER('Pokemon CP/HP'!$M$2:$M1000, LOWER('Pokemon CP/HP'!$B$2:$B1000)=LOWER(A910)))"),"#DIV/0!")</f>
        <v>#DIV/0!</v>
      </c>
      <c r="H910" s="0" t="str">
        <f aca="false">IFERROR(__xludf.dummyfunction("FILTER('Leveling Info'!$B$2:$B1000, 'Leveling Info'!$A$2:$A1000 =G910)"),"#N/A")</f>
        <v>#N/A</v>
      </c>
      <c r="I910" s="14" t="e">
        <f aca="false">SQRT(G910)</f>
        <v>#VALUE!</v>
      </c>
      <c r="J910" s="14" t="str">
        <f aca="false">IFERROR(__xludf.dummyfunction("IF(F910 = H910,C910/FILTER('Base Stats'!$C$2:$C1000, LOWER('Base Stats'!$B$2:$B1000) = LOWER($A910)), """")"),"#N/A")</f>
        <v>#N/A</v>
      </c>
      <c r="K910" s="0" t="str">
        <f aca="false">IF(F910 = H910, C910/G910, "")</f>
        <v/>
      </c>
      <c r="L910" s="0" t="str">
        <f aca="false">IFERROR(__xludf.dummyfunction("IF(AND(NOT(K910 = """"), G910 &gt;= 15),K910/FILTER('Base Stats'!$C$2:$C1000, LOWER('Base Stats'!$B$2:$B1000) = LOWER($A910)), """")"),"#N/A")</f>
        <v>#N/A</v>
      </c>
      <c r="M910" s="0" t="str">
        <f aca="false">IFERROR(__xludf.dummyfunction("1.15 + 0.02 * FILTER('Base Stats'!$C$2:$C1000, LOWER('Base Stats'!$B$2:$B1000) = LOWER($A910))"),"1.15")</f>
        <v>1.15</v>
      </c>
      <c r="N910" s="0" t="e">
        <f aca="false">IFERROR(IF(AND(NOT(K910 = ""), G910 &gt;= 15),K910/M910, ""))</f>
        <v>#VALUE!</v>
      </c>
    </row>
    <row r="911" customFormat="false" ht="15.75" hidden="false" customHeight="false" outlineLevel="0" collapsed="false">
      <c r="A911" s="0" t="n">
        <f aca="false">'Form Responses (Pokemon Stats)'!B805</f>
        <v>0</v>
      </c>
      <c r="B911" s="0" t="n">
        <f aca="false">'Form Responses (Pokemon Stats)'!D805</f>
        <v>0</v>
      </c>
      <c r="C911" s="0" t="n">
        <f aca="false">'Form Responses (Pokemon Stats)'!C805</f>
        <v>0</v>
      </c>
      <c r="F911" s="0" t="n">
        <f aca="false">'Form Responses (Pokemon Stats)'!E805</f>
        <v>0</v>
      </c>
      <c r="G911" s="0" t="str">
        <f aca="false">IFERROR(__xludf.dummyfunction("ROUND(B911/ FILTER('Pokemon CP/HP'!$M$2:$M1000, LOWER('Pokemon CP/HP'!$B$2:$B1000)=LOWER(A911)))"),"#DIV/0!")</f>
        <v>#DIV/0!</v>
      </c>
      <c r="H911" s="0" t="str">
        <f aca="false">IFERROR(__xludf.dummyfunction("FILTER('Leveling Info'!$B$2:$B1000, 'Leveling Info'!$A$2:$A1000 =G911)"),"#N/A")</f>
        <v>#N/A</v>
      </c>
      <c r="I911" s="14" t="e">
        <f aca="false">SQRT(G911)</f>
        <v>#VALUE!</v>
      </c>
      <c r="J911" s="14" t="str">
        <f aca="false">IFERROR(__xludf.dummyfunction("IF(F911 = H911,C911/FILTER('Base Stats'!$C$2:$C1000, LOWER('Base Stats'!$B$2:$B1000) = LOWER($A911)), """")"),"#N/A")</f>
        <v>#N/A</v>
      </c>
      <c r="K911" s="0" t="str">
        <f aca="false">IF(F911 = H911, C911/G911, "")</f>
        <v/>
      </c>
      <c r="L911" s="0" t="str">
        <f aca="false">IFERROR(__xludf.dummyfunction("IF(AND(NOT(K911 = """"), G911 &gt;= 15),K911/FILTER('Base Stats'!$C$2:$C1000, LOWER('Base Stats'!$B$2:$B1000) = LOWER($A911)), """")"),"#N/A")</f>
        <v>#N/A</v>
      </c>
      <c r="M911" s="0" t="str">
        <f aca="false">IFERROR(__xludf.dummyfunction("1.15 + 0.02 * FILTER('Base Stats'!$C$2:$C1000, LOWER('Base Stats'!$B$2:$B1000) = LOWER($A911))"),"1.15")</f>
        <v>1.15</v>
      </c>
      <c r="N911" s="0" t="e">
        <f aca="false">IFERROR(IF(AND(NOT(K911 = ""), G911 &gt;= 15),K911/M911, ""))</f>
        <v>#VALUE!</v>
      </c>
    </row>
    <row r="912" customFormat="false" ht="15.75" hidden="false" customHeight="false" outlineLevel="0" collapsed="false">
      <c r="A912" s="0" t="n">
        <f aca="false">'Form Responses (Pokemon Stats)'!B806</f>
        <v>0</v>
      </c>
      <c r="B912" s="0" t="n">
        <f aca="false">'Form Responses (Pokemon Stats)'!D806</f>
        <v>0</v>
      </c>
      <c r="C912" s="0" t="n">
        <f aca="false">'Form Responses (Pokemon Stats)'!C806</f>
        <v>0</v>
      </c>
      <c r="F912" s="0" t="n">
        <f aca="false">'Form Responses (Pokemon Stats)'!E806</f>
        <v>0</v>
      </c>
      <c r="G912" s="0" t="str">
        <f aca="false">IFERROR(__xludf.dummyfunction("ROUND(B912/ FILTER('Pokemon CP/HP'!$M$2:$M1000, LOWER('Pokemon CP/HP'!$B$2:$B1000)=LOWER(A912)))"),"#DIV/0!")</f>
        <v>#DIV/0!</v>
      </c>
      <c r="H912" s="0" t="str">
        <f aca="false">IFERROR(__xludf.dummyfunction("FILTER('Leveling Info'!$B$2:$B1000, 'Leveling Info'!$A$2:$A1000 =G912)"),"#N/A")</f>
        <v>#N/A</v>
      </c>
      <c r="I912" s="14" t="e">
        <f aca="false">SQRT(G912)</f>
        <v>#VALUE!</v>
      </c>
      <c r="J912" s="14" t="str">
        <f aca="false">IFERROR(__xludf.dummyfunction("IF(F912 = H912,C912/FILTER('Base Stats'!$C$2:$C1000, LOWER('Base Stats'!$B$2:$B1000) = LOWER($A912)), """")"),"#N/A")</f>
        <v>#N/A</v>
      </c>
      <c r="K912" s="0" t="str">
        <f aca="false">IF(F912 = H912, C912/G912, "")</f>
        <v/>
      </c>
      <c r="L912" s="0" t="str">
        <f aca="false">IFERROR(__xludf.dummyfunction("IF(AND(NOT(K912 = """"), G912 &gt;= 15),K912/FILTER('Base Stats'!$C$2:$C1000, LOWER('Base Stats'!$B$2:$B1000) = LOWER($A912)), """")"),"#N/A")</f>
        <v>#N/A</v>
      </c>
      <c r="M912" s="0" t="str">
        <f aca="false">IFERROR(__xludf.dummyfunction("1.15 + 0.02 * FILTER('Base Stats'!$C$2:$C1000, LOWER('Base Stats'!$B$2:$B1000) = LOWER($A912))"),"1.15")</f>
        <v>1.15</v>
      </c>
      <c r="N912" s="0" t="e">
        <f aca="false">IFERROR(IF(AND(NOT(K912 = ""), G912 &gt;= 15),K912/M912, ""))</f>
        <v>#VALUE!</v>
      </c>
    </row>
    <row r="913" customFormat="false" ht="15.75" hidden="false" customHeight="false" outlineLevel="0" collapsed="false">
      <c r="A913" s="0" t="n">
        <f aca="false">'Form Responses (Pokemon Stats)'!B807</f>
        <v>0</v>
      </c>
      <c r="B913" s="0" t="n">
        <f aca="false">'Form Responses (Pokemon Stats)'!D807</f>
        <v>0</v>
      </c>
      <c r="C913" s="0" t="n">
        <f aca="false">'Form Responses (Pokemon Stats)'!C807</f>
        <v>0</v>
      </c>
      <c r="F913" s="0" t="n">
        <f aca="false">'Form Responses (Pokemon Stats)'!E807</f>
        <v>0</v>
      </c>
      <c r="G913" s="0" t="str">
        <f aca="false">IFERROR(__xludf.dummyfunction("ROUND(B913/ FILTER('Pokemon CP/HP'!$M$2:$M1000, LOWER('Pokemon CP/HP'!$B$2:$B1000)=LOWER(A913)))"),"#DIV/0!")</f>
        <v>#DIV/0!</v>
      </c>
      <c r="H913" s="0" t="str">
        <f aca="false">IFERROR(__xludf.dummyfunction("FILTER('Leveling Info'!$B$2:$B1000, 'Leveling Info'!$A$2:$A1000 =G913)"),"#N/A")</f>
        <v>#N/A</v>
      </c>
      <c r="I913" s="14" t="e">
        <f aca="false">SQRT(G913)</f>
        <v>#VALUE!</v>
      </c>
      <c r="J913" s="14" t="str">
        <f aca="false">IFERROR(__xludf.dummyfunction("IF(F913 = H913,C913/FILTER('Base Stats'!$C$2:$C1000, LOWER('Base Stats'!$B$2:$B1000) = LOWER($A913)), """")"),"#N/A")</f>
        <v>#N/A</v>
      </c>
      <c r="K913" s="0" t="str">
        <f aca="false">IF(F913 = H913, C913/G913, "")</f>
        <v/>
      </c>
      <c r="L913" s="0" t="str">
        <f aca="false">IFERROR(__xludf.dummyfunction("IF(AND(NOT(K913 = """"), G913 &gt;= 15),K913/FILTER('Base Stats'!$C$2:$C1000, LOWER('Base Stats'!$B$2:$B1000) = LOWER($A913)), """")"),"#N/A")</f>
        <v>#N/A</v>
      </c>
      <c r="M913" s="0" t="str">
        <f aca="false">IFERROR(__xludf.dummyfunction("1.15 + 0.02 * FILTER('Base Stats'!$C$2:$C1000, LOWER('Base Stats'!$B$2:$B1000) = LOWER($A913))"),"1.15")</f>
        <v>1.15</v>
      </c>
      <c r="N913" s="0" t="e">
        <f aca="false">IFERROR(IF(AND(NOT(K913 = ""), G913 &gt;= 15),K913/M913, ""))</f>
        <v>#VALUE!</v>
      </c>
    </row>
    <row r="914" customFormat="false" ht="15.75" hidden="false" customHeight="false" outlineLevel="0" collapsed="false">
      <c r="A914" s="0" t="n">
        <f aca="false">'Form Responses (Pokemon Stats)'!B808</f>
        <v>0</v>
      </c>
      <c r="B914" s="0" t="n">
        <f aca="false">'Form Responses (Pokemon Stats)'!D808</f>
        <v>0</v>
      </c>
      <c r="C914" s="0" t="n">
        <f aca="false">'Form Responses (Pokemon Stats)'!C808</f>
        <v>0</v>
      </c>
      <c r="F914" s="0" t="n">
        <f aca="false">'Form Responses (Pokemon Stats)'!E808</f>
        <v>0</v>
      </c>
      <c r="G914" s="0" t="str">
        <f aca="false">IFERROR(__xludf.dummyfunction("ROUND(B914/ FILTER('Pokemon CP/HP'!$M$2:$M1000, LOWER('Pokemon CP/HP'!$B$2:$B1000)=LOWER(A914)))"),"#DIV/0!")</f>
        <v>#DIV/0!</v>
      </c>
      <c r="H914" s="0" t="str">
        <f aca="false">IFERROR(__xludf.dummyfunction("FILTER('Leveling Info'!$B$2:$B1000, 'Leveling Info'!$A$2:$A1000 =G914)"),"#N/A")</f>
        <v>#N/A</v>
      </c>
      <c r="I914" s="14" t="e">
        <f aca="false">SQRT(G914)</f>
        <v>#VALUE!</v>
      </c>
      <c r="J914" s="14" t="str">
        <f aca="false">IFERROR(__xludf.dummyfunction("IF(F914 = H914,C914/FILTER('Base Stats'!$C$2:$C1000, LOWER('Base Stats'!$B$2:$B1000) = LOWER($A914)), """")"),"#N/A")</f>
        <v>#N/A</v>
      </c>
      <c r="K914" s="0" t="str">
        <f aca="false">IF(F914 = H914, C914/G914, "")</f>
        <v/>
      </c>
      <c r="L914" s="0" t="str">
        <f aca="false">IFERROR(__xludf.dummyfunction("IF(AND(NOT(K914 = """"), G914 &gt;= 15),K914/FILTER('Base Stats'!$C$2:$C1000, LOWER('Base Stats'!$B$2:$B1000) = LOWER($A914)), """")"),"#N/A")</f>
        <v>#N/A</v>
      </c>
      <c r="M914" s="0" t="str">
        <f aca="false">IFERROR(__xludf.dummyfunction("1.15 + 0.02 * FILTER('Base Stats'!$C$2:$C1000, LOWER('Base Stats'!$B$2:$B1000) = LOWER($A914))"),"1.15")</f>
        <v>1.15</v>
      </c>
      <c r="N914" s="0" t="e">
        <f aca="false">IFERROR(IF(AND(NOT(K914 = ""), G914 &gt;= 15),K914/M914, ""))</f>
        <v>#VALUE!</v>
      </c>
    </row>
    <row r="915" customFormat="false" ht="15.75" hidden="false" customHeight="false" outlineLevel="0" collapsed="false">
      <c r="A915" s="0" t="n">
        <f aca="false">'Form Responses (Pokemon Stats)'!B809</f>
        <v>0</v>
      </c>
      <c r="B915" s="0" t="n">
        <f aca="false">'Form Responses (Pokemon Stats)'!D809</f>
        <v>0</v>
      </c>
      <c r="C915" s="0" t="n">
        <f aca="false">'Form Responses (Pokemon Stats)'!C809</f>
        <v>0</v>
      </c>
      <c r="F915" s="0" t="n">
        <f aca="false">'Form Responses (Pokemon Stats)'!E809</f>
        <v>0</v>
      </c>
      <c r="G915" s="0" t="str">
        <f aca="false">IFERROR(__xludf.dummyfunction("ROUND(B915/ FILTER('Pokemon CP/HP'!$M$2:$M1000, LOWER('Pokemon CP/HP'!$B$2:$B1000)=LOWER(A915)))"),"#DIV/0!")</f>
        <v>#DIV/0!</v>
      </c>
      <c r="H915" s="0" t="str">
        <f aca="false">IFERROR(__xludf.dummyfunction("FILTER('Leveling Info'!$B$2:$B1000, 'Leveling Info'!$A$2:$A1000 =G915)"),"#N/A")</f>
        <v>#N/A</v>
      </c>
      <c r="I915" s="14" t="e">
        <f aca="false">SQRT(G915)</f>
        <v>#VALUE!</v>
      </c>
      <c r="J915" s="14" t="str">
        <f aca="false">IFERROR(__xludf.dummyfunction("IF(F915 = H915,C915/FILTER('Base Stats'!$C$2:$C1000, LOWER('Base Stats'!$B$2:$B1000) = LOWER($A915)), """")"),"#N/A")</f>
        <v>#N/A</v>
      </c>
      <c r="K915" s="0" t="str">
        <f aca="false">IF(F915 = H915, C915/G915, "")</f>
        <v/>
      </c>
      <c r="L915" s="0" t="str">
        <f aca="false">IFERROR(__xludf.dummyfunction("IF(AND(NOT(K915 = """"), G915 &gt;= 15),K915/FILTER('Base Stats'!$C$2:$C1000, LOWER('Base Stats'!$B$2:$B1000) = LOWER($A915)), """")"),"#N/A")</f>
        <v>#N/A</v>
      </c>
      <c r="M915" s="0" t="str">
        <f aca="false">IFERROR(__xludf.dummyfunction("1.15 + 0.02 * FILTER('Base Stats'!$C$2:$C1000, LOWER('Base Stats'!$B$2:$B1000) = LOWER($A915))"),"1.15")</f>
        <v>1.15</v>
      </c>
      <c r="N915" s="0" t="e">
        <f aca="false">IFERROR(IF(AND(NOT(K915 = ""), G915 &gt;= 15),K915/M915, ""))</f>
        <v>#VALUE!</v>
      </c>
    </row>
    <row r="916" customFormat="false" ht="15.75" hidden="false" customHeight="false" outlineLevel="0" collapsed="false">
      <c r="A916" s="0" t="n">
        <f aca="false">'Form Responses (Pokemon Stats)'!B810</f>
        <v>0</v>
      </c>
      <c r="B916" s="0" t="n">
        <f aca="false">'Form Responses (Pokemon Stats)'!D810</f>
        <v>0</v>
      </c>
      <c r="C916" s="0" t="n">
        <f aca="false">'Form Responses (Pokemon Stats)'!C810</f>
        <v>0</v>
      </c>
      <c r="F916" s="0" t="n">
        <f aca="false">'Form Responses (Pokemon Stats)'!E810</f>
        <v>0</v>
      </c>
      <c r="G916" s="0" t="str">
        <f aca="false">IFERROR(__xludf.dummyfunction("ROUND(B916/ FILTER('Pokemon CP/HP'!$M$2:$M1000, LOWER('Pokemon CP/HP'!$B$2:$B1000)=LOWER(A916)))"),"#DIV/0!")</f>
        <v>#DIV/0!</v>
      </c>
      <c r="H916" s="0" t="str">
        <f aca="false">IFERROR(__xludf.dummyfunction("FILTER('Leveling Info'!$B$2:$B1000, 'Leveling Info'!$A$2:$A1000 =G916)"),"#N/A")</f>
        <v>#N/A</v>
      </c>
      <c r="I916" s="14" t="e">
        <f aca="false">SQRT(G916)</f>
        <v>#VALUE!</v>
      </c>
      <c r="J916" s="14" t="str">
        <f aca="false">IFERROR(__xludf.dummyfunction("IF(F916 = H916,C916/FILTER('Base Stats'!$C$2:$C1000, LOWER('Base Stats'!$B$2:$B1000) = LOWER($A916)), """")"),"#N/A")</f>
        <v>#N/A</v>
      </c>
      <c r="K916" s="0" t="str">
        <f aca="false">IF(F916 = H916, C916/G916, "")</f>
        <v/>
      </c>
      <c r="L916" s="0" t="str">
        <f aca="false">IFERROR(__xludf.dummyfunction("IF(AND(NOT(K916 = """"), G916 &gt;= 15),K916/FILTER('Base Stats'!$C$2:$C1000, LOWER('Base Stats'!$B$2:$B1000) = LOWER($A916)), """")"),"#N/A")</f>
        <v>#N/A</v>
      </c>
      <c r="M916" s="0" t="str">
        <f aca="false">IFERROR(__xludf.dummyfunction("1.15 + 0.02 * FILTER('Base Stats'!$C$2:$C1000, LOWER('Base Stats'!$B$2:$B1000) = LOWER($A916))"),"1.15")</f>
        <v>1.15</v>
      </c>
      <c r="N916" s="0" t="e">
        <f aca="false">IFERROR(IF(AND(NOT(K916 = ""), G916 &gt;= 15),K916/M916, ""))</f>
        <v>#VALUE!</v>
      </c>
    </row>
    <row r="917" customFormat="false" ht="15.75" hidden="false" customHeight="false" outlineLevel="0" collapsed="false">
      <c r="A917" s="0" t="n">
        <f aca="false">'Form Responses (Pokemon Stats)'!B811</f>
        <v>0</v>
      </c>
      <c r="B917" s="0" t="n">
        <f aca="false">'Form Responses (Pokemon Stats)'!D811</f>
        <v>0</v>
      </c>
      <c r="C917" s="0" t="n">
        <f aca="false">'Form Responses (Pokemon Stats)'!C811</f>
        <v>0</v>
      </c>
      <c r="F917" s="0" t="n">
        <f aca="false">'Form Responses (Pokemon Stats)'!E811</f>
        <v>0</v>
      </c>
      <c r="G917" s="0" t="str">
        <f aca="false">IFERROR(__xludf.dummyfunction("ROUND(B917/ FILTER('Pokemon CP/HP'!$M$2:$M1000, LOWER('Pokemon CP/HP'!$B$2:$B1000)=LOWER(A917)))"),"#DIV/0!")</f>
        <v>#DIV/0!</v>
      </c>
      <c r="H917" s="0" t="str">
        <f aca="false">IFERROR(__xludf.dummyfunction("FILTER('Leveling Info'!$B$2:$B1000, 'Leveling Info'!$A$2:$A1000 =G917)"),"#N/A")</f>
        <v>#N/A</v>
      </c>
      <c r="I917" s="14" t="e">
        <f aca="false">SQRT(G917)</f>
        <v>#VALUE!</v>
      </c>
      <c r="J917" s="14" t="str">
        <f aca="false">IFERROR(__xludf.dummyfunction("IF(F917 = H917,C917/FILTER('Base Stats'!$C$2:$C1000, LOWER('Base Stats'!$B$2:$B1000) = LOWER($A917)), """")"),"#N/A")</f>
        <v>#N/A</v>
      </c>
      <c r="K917" s="0" t="str">
        <f aca="false">IF(F917 = H917, C917/G917, "")</f>
        <v/>
      </c>
      <c r="L917" s="0" t="str">
        <f aca="false">IFERROR(__xludf.dummyfunction("IF(AND(NOT(K917 = """"), G917 &gt;= 15),K917/FILTER('Base Stats'!$C$2:$C1000, LOWER('Base Stats'!$B$2:$B1000) = LOWER($A917)), """")"),"#N/A")</f>
        <v>#N/A</v>
      </c>
      <c r="M917" s="0" t="str">
        <f aca="false">IFERROR(__xludf.dummyfunction("1.15 + 0.02 * FILTER('Base Stats'!$C$2:$C1000, LOWER('Base Stats'!$B$2:$B1000) = LOWER($A917))"),"1.15")</f>
        <v>1.15</v>
      </c>
      <c r="N917" s="0" t="e">
        <f aca="false">IFERROR(IF(AND(NOT(K917 = ""), G917 &gt;= 15),K917/M917, ""))</f>
        <v>#VALUE!</v>
      </c>
    </row>
    <row r="918" customFormat="false" ht="15.75" hidden="false" customHeight="false" outlineLevel="0" collapsed="false">
      <c r="A918" s="0" t="n">
        <f aca="false">'Form Responses (Pokemon Stats)'!B812</f>
        <v>0</v>
      </c>
      <c r="B918" s="0" t="n">
        <f aca="false">'Form Responses (Pokemon Stats)'!D812</f>
        <v>0</v>
      </c>
      <c r="C918" s="0" t="n">
        <f aca="false">'Form Responses (Pokemon Stats)'!C812</f>
        <v>0</v>
      </c>
      <c r="F918" s="0" t="n">
        <f aca="false">'Form Responses (Pokemon Stats)'!E812</f>
        <v>0</v>
      </c>
      <c r="G918" s="0" t="str">
        <f aca="false">IFERROR(__xludf.dummyfunction("ROUND(B918/ FILTER('Pokemon CP/HP'!$M$2:$M1000, LOWER('Pokemon CP/HP'!$B$2:$B1000)=LOWER(A918)))"),"#DIV/0!")</f>
        <v>#DIV/0!</v>
      </c>
      <c r="H918" s="0" t="str">
        <f aca="false">IFERROR(__xludf.dummyfunction("FILTER('Leveling Info'!$B$2:$B1000, 'Leveling Info'!$A$2:$A1000 =G918)"),"#N/A")</f>
        <v>#N/A</v>
      </c>
      <c r="I918" s="14" t="e">
        <f aca="false">SQRT(G918)</f>
        <v>#VALUE!</v>
      </c>
      <c r="J918" s="14" t="str">
        <f aca="false">IFERROR(__xludf.dummyfunction("IF(F918 = H918,C918/FILTER('Base Stats'!$C$2:$C1000, LOWER('Base Stats'!$B$2:$B1000) = LOWER($A918)), """")"),"#N/A")</f>
        <v>#N/A</v>
      </c>
      <c r="K918" s="0" t="str">
        <f aca="false">IF(F918 = H918, C918/G918, "")</f>
        <v/>
      </c>
      <c r="L918" s="0" t="str">
        <f aca="false">IFERROR(__xludf.dummyfunction("IF(AND(NOT(K918 = """"), G918 &gt;= 15),K918/FILTER('Base Stats'!$C$2:$C1000, LOWER('Base Stats'!$B$2:$B1000) = LOWER($A918)), """")"),"#N/A")</f>
        <v>#N/A</v>
      </c>
      <c r="M918" s="0" t="str">
        <f aca="false">IFERROR(__xludf.dummyfunction("1.15 + 0.02 * FILTER('Base Stats'!$C$2:$C1000, LOWER('Base Stats'!$B$2:$B1000) = LOWER($A918))"),"1.15")</f>
        <v>1.15</v>
      </c>
      <c r="N918" s="0" t="e">
        <f aca="false">IFERROR(IF(AND(NOT(K918 = ""), G918 &gt;= 15),K918/M918, ""))</f>
        <v>#VALUE!</v>
      </c>
    </row>
    <row r="919" customFormat="false" ht="15.75" hidden="false" customHeight="false" outlineLevel="0" collapsed="false">
      <c r="A919" s="0" t="n">
        <f aca="false">'Form Responses (Pokemon Stats)'!B813</f>
        <v>0</v>
      </c>
      <c r="B919" s="0" t="n">
        <f aca="false">'Form Responses (Pokemon Stats)'!D813</f>
        <v>0</v>
      </c>
      <c r="C919" s="0" t="n">
        <f aca="false">'Form Responses (Pokemon Stats)'!C813</f>
        <v>0</v>
      </c>
      <c r="F919" s="0" t="n">
        <f aca="false">'Form Responses (Pokemon Stats)'!E813</f>
        <v>0</v>
      </c>
      <c r="G919" s="0" t="str">
        <f aca="false">IFERROR(__xludf.dummyfunction("ROUND(B919/ FILTER('Pokemon CP/HP'!$M$2:$M1000, LOWER('Pokemon CP/HP'!$B$2:$B1000)=LOWER(A919)))"),"#DIV/0!")</f>
        <v>#DIV/0!</v>
      </c>
      <c r="H919" s="0" t="str">
        <f aca="false">IFERROR(__xludf.dummyfunction("FILTER('Leveling Info'!$B$2:$B1000, 'Leveling Info'!$A$2:$A1000 =G919)"),"#N/A")</f>
        <v>#N/A</v>
      </c>
      <c r="I919" s="14" t="e">
        <f aca="false">SQRT(G919)</f>
        <v>#VALUE!</v>
      </c>
      <c r="J919" s="14" t="str">
        <f aca="false">IFERROR(__xludf.dummyfunction("IF(F919 = H919,C919/FILTER('Base Stats'!$C$2:$C1000, LOWER('Base Stats'!$B$2:$B1000) = LOWER($A919)), """")"),"#N/A")</f>
        <v>#N/A</v>
      </c>
      <c r="K919" s="0" t="str">
        <f aca="false">IF(F919 = H919, C919/G919, "")</f>
        <v/>
      </c>
      <c r="L919" s="0" t="str">
        <f aca="false">IFERROR(__xludf.dummyfunction("IF(AND(NOT(K919 = """"), G919 &gt;= 15),K919/FILTER('Base Stats'!$C$2:$C1000, LOWER('Base Stats'!$B$2:$B1000) = LOWER($A919)), """")"),"#N/A")</f>
        <v>#N/A</v>
      </c>
      <c r="M919" s="0" t="str">
        <f aca="false">IFERROR(__xludf.dummyfunction("1.15 + 0.02 * FILTER('Base Stats'!$C$2:$C1000, LOWER('Base Stats'!$B$2:$B1000) = LOWER($A919))"),"1.15")</f>
        <v>1.15</v>
      </c>
      <c r="N919" s="0" t="e">
        <f aca="false">IFERROR(IF(AND(NOT(K919 = ""), G919 &gt;= 15),K919/M919, ""))</f>
        <v>#VALUE!</v>
      </c>
    </row>
    <row r="920" customFormat="false" ht="15.75" hidden="false" customHeight="false" outlineLevel="0" collapsed="false">
      <c r="A920" s="0" t="n">
        <f aca="false">'Form Responses (Pokemon Stats)'!B814</f>
        <v>0</v>
      </c>
      <c r="B920" s="0" t="n">
        <f aca="false">'Form Responses (Pokemon Stats)'!D814</f>
        <v>0</v>
      </c>
      <c r="C920" s="0" t="n">
        <f aca="false">'Form Responses (Pokemon Stats)'!C814</f>
        <v>0</v>
      </c>
      <c r="F920" s="0" t="n">
        <f aca="false">'Form Responses (Pokemon Stats)'!E814</f>
        <v>0</v>
      </c>
      <c r="G920" s="0" t="str">
        <f aca="false">IFERROR(__xludf.dummyfunction("ROUND(B920/ FILTER('Pokemon CP/HP'!$M$2:$M1000, LOWER('Pokemon CP/HP'!$B$2:$B1000)=LOWER(A920)))"),"#DIV/0!")</f>
        <v>#DIV/0!</v>
      </c>
      <c r="H920" s="0" t="str">
        <f aca="false">IFERROR(__xludf.dummyfunction("FILTER('Leveling Info'!$B$2:$B1000, 'Leveling Info'!$A$2:$A1000 =G920)"),"#N/A")</f>
        <v>#N/A</v>
      </c>
      <c r="I920" s="14" t="e">
        <f aca="false">SQRT(G920)</f>
        <v>#VALUE!</v>
      </c>
      <c r="J920" s="14" t="str">
        <f aca="false">IFERROR(__xludf.dummyfunction("IF(F920 = H920,C920/FILTER('Base Stats'!$C$2:$C1000, LOWER('Base Stats'!$B$2:$B1000) = LOWER($A920)), """")"),"#N/A")</f>
        <v>#N/A</v>
      </c>
      <c r="K920" s="0" t="str">
        <f aca="false">IF(F920 = H920, C920/G920, "")</f>
        <v/>
      </c>
      <c r="L920" s="0" t="str">
        <f aca="false">IFERROR(__xludf.dummyfunction("IF(AND(NOT(K920 = """"), G920 &gt;= 15),K920/FILTER('Base Stats'!$C$2:$C1000, LOWER('Base Stats'!$B$2:$B1000) = LOWER($A920)), """")"),"#N/A")</f>
        <v>#N/A</v>
      </c>
      <c r="M920" s="0" t="str">
        <f aca="false">IFERROR(__xludf.dummyfunction("1.15 + 0.02 * FILTER('Base Stats'!$C$2:$C1000, LOWER('Base Stats'!$B$2:$B1000) = LOWER($A920))"),"1.15")</f>
        <v>1.15</v>
      </c>
      <c r="N920" s="0" t="e">
        <f aca="false">IFERROR(IF(AND(NOT(K920 = ""), G920 &gt;= 15),K920/M920, ""))</f>
        <v>#VALUE!</v>
      </c>
    </row>
    <row r="921" customFormat="false" ht="15.75" hidden="false" customHeight="false" outlineLevel="0" collapsed="false">
      <c r="A921" s="0" t="n">
        <f aca="false">'Form Responses (Pokemon Stats)'!B815</f>
        <v>0</v>
      </c>
      <c r="B921" s="0" t="n">
        <f aca="false">'Form Responses (Pokemon Stats)'!D815</f>
        <v>0</v>
      </c>
      <c r="C921" s="0" t="n">
        <f aca="false">'Form Responses (Pokemon Stats)'!C815</f>
        <v>0</v>
      </c>
      <c r="F921" s="0" t="n">
        <f aca="false">'Form Responses (Pokemon Stats)'!E815</f>
        <v>0</v>
      </c>
      <c r="G921" s="0" t="str">
        <f aca="false">IFERROR(__xludf.dummyfunction("ROUND(B921/ FILTER('Pokemon CP/HP'!$M$2:$M1000, LOWER('Pokemon CP/HP'!$B$2:$B1000)=LOWER(A921)))"),"#DIV/0!")</f>
        <v>#DIV/0!</v>
      </c>
      <c r="H921" s="0" t="str">
        <f aca="false">IFERROR(__xludf.dummyfunction("FILTER('Leveling Info'!$B$2:$B1000, 'Leveling Info'!$A$2:$A1000 =G921)"),"#N/A")</f>
        <v>#N/A</v>
      </c>
      <c r="I921" s="14" t="e">
        <f aca="false">SQRT(G921)</f>
        <v>#VALUE!</v>
      </c>
      <c r="J921" s="14" t="str">
        <f aca="false">IFERROR(__xludf.dummyfunction("IF(F921 = H921,C921/FILTER('Base Stats'!$C$2:$C1000, LOWER('Base Stats'!$B$2:$B1000) = LOWER($A921)), """")"),"#N/A")</f>
        <v>#N/A</v>
      </c>
      <c r="K921" s="0" t="str">
        <f aca="false">IF(F921 = H921, C921/G921, "")</f>
        <v/>
      </c>
      <c r="L921" s="0" t="str">
        <f aca="false">IFERROR(__xludf.dummyfunction("IF(AND(NOT(K921 = """"), G921 &gt;= 15),K921/FILTER('Base Stats'!$C$2:$C1000, LOWER('Base Stats'!$B$2:$B1000) = LOWER($A921)), """")"),"#N/A")</f>
        <v>#N/A</v>
      </c>
      <c r="M921" s="0" t="str">
        <f aca="false">IFERROR(__xludf.dummyfunction("1.15 + 0.02 * FILTER('Base Stats'!$C$2:$C1000, LOWER('Base Stats'!$B$2:$B1000) = LOWER($A921))"),"1.15")</f>
        <v>1.15</v>
      </c>
      <c r="N921" s="0" t="e">
        <f aca="false">IFERROR(IF(AND(NOT(K921 = ""), G921 &gt;= 15),K921/M921, ""))</f>
        <v>#VALUE!</v>
      </c>
    </row>
    <row r="922" customFormat="false" ht="15.75" hidden="false" customHeight="false" outlineLevel="0" collapsed="false">
      <c r="A922" s="0" t="n">
        <f aca="false">'Form Responses (Pokemon Stats)'!B816</f>
        <v>0</v>
      </c>
      <c r="B922" s="0" t="n">
        <f aca="false">'Form Responses (Pokemon Stats)'!D816</f>
        <v>0</v>
      </c>
      <c r="C922" s="0" t="n">
        <f aca="false">'Form Responses (Pokemon Stats)'!C816</f>
        <v>0</v>
      </c>
      <c r="F922" s="0" t="n">
        <f aca="false">'Form Responses (Pokemon Stats)'!E816</f>
        <v>0</v>
      </c>
      <c r="G922" s="0" t="str">
        <f aca="false">IFERROR(__xludf.dummyfunction("ROUND(B922/ FILTER('Pokemon CP/HP'!$M$2:$M1000, LOWER('Pokemon CP/HP'!$B$2:$B1000)=LOWER(A922)))"),"#DIV/0!")</f>
        <v>#DIV/0!</v>
      </c>
      <c r="H922" s="0" t="str">
        <f aca="false">IFERROR(__xludf.dummyfunction("FILTER('Leveling Info'!$B$2:$B1000, 'Leveling Info'!$A$2:$A1000 =G922)"),"#N/A")</f>
        <v>#N/A</v>
      </c>
      <c r="I922" s="14" t="e">
        <f aca="false">SQRT(G922)</f>
        <v>#VALUE!</v>
      </c>
      <c r="J922" s="14" t="str">
        <f aca="false">IFERROR(__xludf.dummyfunction("IF(F922 = H922,C922/FILTER('Base Stats'!$C$2:$C1000, LOWER('Base Stats'!$B$2:$B1000) = LOWER($A922)), """")"),"#N/A")</f>
        <v>#N/A</v>
      </c>
      <c r="K922" s="0" t="str">
        <f aca="false">IF(F922 = H922, C922/G922, "")</f>
        <v/>
      </c>
      <c r="L922" s="0" t="str">
        <f aca="false">IFERROR(__xludf.dummyfunction("IF(AND(NOT(K922 = """"), G922 &gt;= 15),K922/FILTER('Base Stats'!$C$2:$C1000, LOWER('Base Stats'!$B$2:$B1000) = LOWER($A922)), """")"),"#N/A")</f>
        <v>#N/A</v>
      </c>
      <c r="M922" s="0" t="str">
        <f aca="false">IFERROR(__xludf.dummyfunction("1.15 + 0.02 * FILTER('Base Stats'!$C$2:$C1000, LOWER('Base Stats'!$B$2:$B1000) = LOWER($A922))"),"1.15")</f>
        <v>1.15</v>
      </c>
      <c r="N922" s="0" t="e">
        <f aca="false">IFERROR(IF(AND(NOT(K922 = ""), G922 &gt;= 15),K922/M922, ""))</f>
        <v>#VALUE!</v>
      </c>
    </row>
    <row r="923" customFormat="false" ht="15.75" hidden="false" customHeight="false" outlineLevel="0" collapsed="false">
      <c r="A923" s="0" t="n">
        <f aca="false">'Form Responses (Pokemon Stats)'!B817</f>
        <v>0</v>
      </c>
      <c r="B923" s="0" t="n">
        <f aca="false">'Form Responses (Pokemon Stats)'!D817</f>
        <v>0</v>
      </c>
      <c r="C923" s="0" t="n">
        <f aca="false">'Form Responses (Pokemon Stats)'!C817</f>
        <v>0</v>
      </c>
      <c r="F923" s="0" t="n">
        <f aca="false">'Form Responses (Pokemon Stats)'!E817</f>
        <v>0</v>
      </c>
      <c r="G923" s="0" t="str">
        <f aca="false">IFERROR(__xludf.dummyfunction("ROUND(B923/ FILTER('Pokemon CP/HP'!$M$2:$M1000, LOWER('Pokemon CP/HP'!$B$2:$B1000)=LOWER(A923)))"),"#DIV/0!")</f>
        <v>#DIV/0!</v>
      </c>
      <c r="H923" s="0" t="str">
        <f aca="false">IFERROR(__xludf.dummyfunction("FILTER('Leveling Info'!$B$2:$B1000, 'Leveling Info'!$A$2:$A1000 =G923)"),"#N/A")</f>
        <v>#N/A</v>
      </c>
      <c r="I923" s="14" t="e">
        <f aca="false">SQRT(G923)</f>
        <v>#VALUE!</v>
      </c>
      <c r="J923" s="14" t="str">
        <f aca="false">IFERROR(__xludf.dummyfunction("IF(F923 = H923,C923/FILTER('Base Stats'!$C$2:$C1000, LOWER('Base Stats'!$B$2:$B1000) = LOWER($A923)), """")"),"#N/A")</f>
        <v>#N/A</v>
      </c>
      <c r="K923" s="0" t="str">
        <f aca="false">IF(F923 = H923, C923/G923, "")</f>
        <v/>
      </c>
      <c r="L923" s="0" t="str">
        <f aca="false">IFERROR(__xludf.dummyfunction("IF(AND(NOT(K923 = """"), G923 &gt;= 15),K923/FILTER('Base Stats'!$C$2:$C1000, LOWER('Base Stats'!$B$2:$B1000) = LOWER($A923)), """")"),"#N/A")</f>
        <v>#N/A</v>
      </c>
      <c r="M923" s="0" t="str">
        <f aca="false">IFERROR(__xludf.dummyfunction("1.15 + 0.02 * FILTER('Base Stats'!$C$2:$C1000, LOWER('Base Stats'!$B$2:$B1000) = LOWER($A923))"),"1.15")</f>
        <v>1.15</v>
      </c>
      <c r="N923" s="0" t="e">
        <f aca="false">IFERROR(IF(AND(NOT(K923 = ""), G923 &gt;= 15),K923/M923, ""))</f>
        <v>#VALUE!</v>
      </c>
    </row>
    <row r="924" customFormat="false" ht="15.75" hidden="false" customHeight="false" outlineLevel="0" collapsed="false">
      <c r="A924" s="0" t="n">
        <f aca="false">'Form Responses (Pokemon Stats)'!B818</f>
        <v>0</v>
      </c>
      <c r="B924" s="0" t="n">
        <f aca="false">'Form Responses (Pokemon Stats)'!D818</f>
        <v>0</v>
      </c>
      <c r="C924" s="0" t="n">
        <f aca="false">'Form Responses (Pokemon Stats)'!C818</f>
        <v>0</v>
      </c>
      <c r="F924" s="0" t="n">
        <f aca="false">'Form Responses (Pokemon Stats)'!E818</f>
        <v>0</v>
      </c>
      <c r="G924" s="0" t="str">
        <f aca="false">IFERROR(__xludf.dummyfunction("ROUND(B924/ FILTER('Pokemon CP/HP'!$M$2:$M1000, LOWER('Pokemon CP/HP'!$B$2:$B1000)=LOWER(A924)))"),"#DIV/0!")</f>
        <v>#DIV/0!</v>
      </c>
      <c r="H924" s="0" t="str">
        <f aca="false">IFERROR(__xludf.dummyfunction("FILTER('Leveling Info'!$B$2:$B1000, 'Leveling Info'!$A$2:$A1000 =G924)"),"#N/A")</f>
        <v>#N/A</v>
      </c>
      <c r="I924" s="14" t="e">
        <f aca="false">SQRT(G924)</f>
        <v>#VALUE!</v>
      </c>
      <c r="J924" s="14" t="str">
        <f aca="false">IFERROR(__xludf.dummyfunction("IF(F924 = H924,C924/FILTER('Base Stats'!$C$2:$C1000, LOWER('Base Stats'!$B$2:$B1000) = LOWER($A924)), """")"),"#N/A")</f>
        <v>#N/A</v>
      </c>
      <c r="K924" s="0" t="str">
        <f aca="false">IF(F924 = H924, C924/G924, "")</f>
        <v/>
      </c>
      <c r="L924" s="0" t="str">
        <f aca="false">IFERROR(__xludf.dummyfunction("IF(AND(NOT(K924 = """"), G924 &gt;= 15),K924/FILTER('Base Stats'!$C$2:$C1000, LOWER('Base Stats'!$B$2:$B1000) = LOWER($A924)), """")"),"#N/A")</f>
        <v>#N/A</v>
      </c>
      <c r="M924" s="0" t="str">
        <f aca="false">IFERROR(__xludf.dummyfunction("1.15 + 0.02 * FILTER('Base Stats'!$C$2:$C1000, LOWER('Base Stats'!$B$2:$B1000) = LOWER($A924))"),"1.15")</f>
        <v>1.15</v>
      </c>
      <c r="N924" s="0" t="e">
        <f aca="false">IFERROR(IF(AND(NOT(K924 = ""), G924 &gt;= 15),K924/M924, ""))</f>
        <v>#VALUE!</v>
      </c>
    </row>
    <row r="925" customFormat="false" ht="15.75" hidden="false" customHeight="false" outlineLevel="0" collapsed="false">
      <c r="A925" s="0" t="n">
        <f aca="false">'Form Responses (Pokemon Stats)'!B819</f>
        <v>0</v>
      </c>
      <c r="B925" s="0" t="n">
        <f aca="false">'Form Responses (Pokemon Stats)'!D819</f>
        <v>0</v>
      </c>
      <c r="C925" s="0" t="n">
        <f aca="false">'Form Responses (Pokemon Stats)'!C819</f>
        <v>0</v>
      </c>
      <c r="F925" s="0" t="n">
        <f aca="false">'Form Responses (Pokemon Stats)'!E819</f>
        <v>0</v>
      </c>
      <c r="G925" s="0" t="str">
        <f aca="false">IFERROR(__xludf.dummyfunction("ROUND(B925/ FILTER('Pokemon CP/HP'!$M$2:$M1000, LOWER('Pokemon CP/HP'!$B$2:$B1000)=LOWER(A925)))"),"#DIV/0!")</f>
        <v>#DIV/0!</v>
      </c>
      <c r="H925" s="0" t="str">
        <f aca="false">IFERROR(__xludf.dummyfunction("FILTER('Leveling Info'!$B$2:$B1000, 'Leveling Info'!$A$2:$A1000 =G925)"),"#N/A")</f>
        <v>#N/A</v>
      </c>
      <c r="I925" s="14" t="e">
        <f aca="false">SQRT(G925)</f>
        <v>#VALUE!</v>
      </c>
      <c r="J925" s="14" t="str">
        <f aca="false">IFERROR(__xludf.dummyfunction("IF(F925 = H925,C925/FILTER('Base Stats'!$C$2:$C1000, LOWER('Base Stats'!$B$2:$B1000) = LOWER($A925)), """")"),"#N/A")</f>
        <v>#N/A</v>
      </c>
      <c r="K925" s="0" t="str">
        <f aca="false">IF(F925 = H925, C925/G925, "")</f>
        <v/>
      </c>
      <c r="L925" s="0" t="str">
        <f aca="false">IFERROR(__xludf.dummyfunction("IF(AND(NOT(K925 = """"), G925 &gt;= 15),K925/FILTER('Base Stats'!$C$2:$C1000, LOWER('Base Stats'!$B$2:$B1000) = LOWER($A925)), """")"),"#N/A")</f>
        <v>#N/A</v>
      </c>
      <c r="M925" s="0" t="str">
        <f aca="false">IFERROR(__xludf.dummyfunction("1.15 + 0.02 * FILTER('Base Stats'!$C$2:$C1000, LOWER('Base Stats'!$B$2:$B1000) = LOWER($A925))"),"1.15")</f>
        <v>1.15</v>
      </c>
      <c r="N925" s="0" t="e">
        <f aca="false">IFERROR(IF(AND(NOT(K925 = ""), G925 &gt;= 15),K925/M925, ""))</f>
        <v>#VALUE!</v>
      </c>
    </row>
    <row r="926" customFormat="false" ht="15.75" hidden="false" customHeight="false" outlineLevel="0" collapsed="false">
      <c r="A926" s="0" t="n">
        <f aca="false">'Form Responses (Pokemon Stats)'!B820</f>
        <v>0</v>
      </c>
      <c r="B926" s="0" t="n">
        <f aca="false">'Form Responses (Pokemon Stats)'!D820</f>
        <v>0</v>
      </c>
      <c r="C926" s="0" t="n">
        <f aca="false">'Form Responses (Pokemon Stats)'!C820</f>
        <v>0</v>
      </c>
      <c r="F926" s="0" t="n">
        <f aca="false">'Form Responses (Pokemon Stats)'!E820</f>
        <v>0</v>
      </c>
      <c r="G926" s="0" t="str">
        <f aca="false">IFERROR(__xludf.dummyfunction("ROUND(B926/ FILTER('Pokemon CP/HP'!$M$2:$M1000, LOWER('Pokemon CP/HP'!$B$2:$B1000)=LOWER(A926)))"),"#DIV/0!")</f>
        <v>#DIV/0!</v>
      </c>
      <c r="H926" s="0" t="str">
        <f aca="false">IFERROR(__xludf.dummyfunction("FILTER('Leveling Info'!$B$2:$B1000, 'Leveling Info'!$A$2:$A1000 =G926)"),"#N/A")</f>
        <v>#N/A</v>
      </c>
      <c r="I926" s="14" t="e">
        <f aca="false">SQRT(G926)</f>
        <v>#VALUE!</v>
      </c>
      <c r="J926" s="14" t="str">
        <f aca="false">IFERROR(__xludf.dummyfunction("IF(F926 = H926,C926/FILTER('Base Stats'!$C$2:$C1000, LOWER('Base Stats'!$B$2:$B1000) = LOWER($A926)), """")"),"#N/A")</f>
        <v>#N/A</v>
      </c>
      <c r="K926" s="0" t="str">
        <f aca="false">IF(F926 = H926, C926/G926, "")</f>
        <v/>
      </c>
      <c r="L926" s="0" t="str">
        <f aca="false">IFERROR(__xludf.dummyfunction("IF(AND(NOT(K926 = """"), G926 &gt;= 15),K926/FILTER('Base Stats'!$C$2:$C1000, LOWER('Base Stats'!$B$2:$B1000) = LOWER($A926)), """")"),"#N/A")</f>
        <v>#N/A</v>
      </c>
      <c r="M926" s="0" t="str">
        <f aca="false">IFERROR(__xludf.dummyfunction("1.15 + 0.02 * FILTER('Base Stats'!$C$2:$C1000, LOWER('Base Stats'!$B$2:$B1000) = LOWER($A926))"),"1.15")</f>
        <v>1.15</v>
      </c>
      <c r="N926" s="0" t="e">
        <f aca="false">IFERROR(IF(AND(NOT(K926 = ""), G926 &gt;= 15),K926/M926, ""))</f>
        <v>#VALUE!</v>
      </c>
    </row>
    <row r="927" customFormat="false" ht="15.75" hidden="false" customHeight="false" outlineLevel="0" collapsed="false">
      <c r="A927" s="0" t="n">
        <f aca="false">'Form Responses (Pokemon Stats)'!B821</f>
        <v>0</v>
      </c>
      <c r="B927" s="0" t="n">
        <f aca="false">'Form Responses (Pokemon Stats)'!D821</f>
        <v>0</v>
      </c>
      <c r="C927" s="0" t="n">
        <f aca="false">'Form Responses (Pokemon Stats)'!C821</f>
        <v>0</v>
      </c>
      <c r="F927" s="0" t="n">
        <f aca="false">'Form Responses (Pokemon Stats)'!E821</f>
        <v>0</v>
      </c>
      <c r="G927" s="0" t="str">
        <f aca="false">IFERROR(__xludf.dummyfunction("ROUND(B927/ FILTER('Pokemon CP/HP'!$M$2:$M1000, LOWER('Pokemon CP/HP'!$B$2:$B1000)=LOWER(A927)))"),"#DIV/0!")</f>
        <v>#DIV/0!</v>
      </c>
      <c r="H927" s="0" t="str">
        <f aca="false">IFERROR(__xludf.dummyfunction("FILTER('Leveling Info'!$B$2:$B1000, 'Leveling Info'!$A$2:$A1000 =G927)"),"#N/A")</f>
        <v>#N/A</v>
      </c>
      <c r="I927" s="14" t="e">
        <f aca="false">SQRT(G927)</f>
        <v>#VALUE!</v>
      </c>
      <c r="J927" s="14" t="str">
        <f aca="false">IFERROR(__xludf.dummyfunction("IF(F927 = H927,C927/FILTER('Base Stats'!$C$2:$C1000, LOWER('Base Stats'!$B$2:$B1000) = LOWER($A927)), """")"),"#N/A")</f>
        <v>#N/A</v>
      </c>
      <c r="K927" s="0" t="str">
        <f aca="false">IF(F927 = H927, C927/G927, "")</f>
        <v/>
      </c>
      <c r="L927" s="0" t="str">
        <f aca="false">IFERROR(__xludf.dummyfunction("IF(AND(NOT(K927 = """"), G927 &gt;= 15),K927/FILTER('Base Stats'!$C$2:$C1000, LOWER('Base Stats'!$B$2:$B1000) = LOWER($A927)), """")"),"#N/A")</f>
        <v>#N/A</v>
      </c>
      <c r="M927" s="0" t="str">
        <f aca="false">IFERROR(__xludf.dummyfunction("1.15 + 0.02 * FILTER('Base Stats'!$C$2:$C1000, LOWER('Base Stats'!$B$2:$B1000) = LOWER($A927))"),"1.15")</f>
        <v>1.15</v>
      </c>
      <c r="N927" s="0" t="e">
        <f aca="false">IFERROR(IF(AND(NOT(K927 = ""), G927 &gt;= 15),K927/M927, ""))</f>
        <v>#VALUE!</v>
      </c>
    </row>
    <row r="928" customFormat="false" ht="15.75" hidden="false" customHeight="false" outlineLevel="0" collapsed="false">
      <c r="A928" s="0" t="n">
        <f aca="false">'Form Responses (Pokemon Stats)'!B822</f>
        <v>0</v>
      </c>
      <c r="B928" s="0" t="n">
        <f aca="false">'Form Responses (Pokemon Stats)'!D822</f>
        <v>0</v>
      </c>
      <c r="C928" s="0" t="n">
        <f aca="false">'Form Responses (Pokemon Stats)'!C822</f>
        <v>0</v>
      </c>
      <c r="F928" s="0" t="n">
        <f aca="false">'Form Responses (Pokemon Stats)'!E822</f>
        <v>0</v>
      </c>
      <c r="G928" s="0" t="str">
        <f aca="false">IFERROR(__xludf.dummyfunction("ROUND(B928/ FILTER('Pokemon CP/HP'!$M$2:$M1000, LOWER('Pokemon CP/HP'!$B$2:$B1000)=LOWER(A928)))"),"#DIV/0!")</f>
        <v>#DIV/0!</v>
      </c>
      <c r="H928" s="0" t="str">
        <f aca="false">IFERROR(__xludf.dummyfunction("FILTER('Leveling Info'!$B$2:$B1000, 'Leveling Info'!$A$2:$A1000 =G928)"),"#N/A")</f>
        <v>#N/A</v>
      </c>
      <c r="I928" s="14" t="e">
        <f aca="false">SQRT(G928)</f>
        <v>#VALUE!</v>
      </c>
      <c r="J928" s="14" t="str">
        <f aca="false">IFERROR(__xludf.dummyfunction("IF(F928 = H928,C928/FILTER('Base Stats'!$C$2:$C1000, LOWER('Base Stats'!$B$2:$B1000) = LOWER($A928)), """")"),"#N/A")</f>
        <v>#N/A</v>
      </c>
      <c r="K928" s="0" t="str">
        <f aca="false">IF(F928 = H928, C928/G928, "")</f>
        <v/>
      </c>
      <c r="L928" s="0" t="str">
        <f aca="false">IFERROR(__xludf.dummyfunction("IF(AND(NOT(K928 = """"), G928 &gt;= 15),K928/FILTER('Base Stats'!$C$2:$C1000, LOWER('Base Stats'!$B$2:$B1000) = LOWER($A928)), """")"),"#N/A")</f>
        <v>#N/A</v>
      </c>
      <c r="M928" s="0" t="str">
        <f aca="false">IFERROR(__xludf.dummyfunction("1.15 + 0.02 * FILTER('Base Stats'!$C$2:$C1000, LOWER('Base Stats'!$B$2:$B1000) = LOWER($A928))"),"1.15")</f>
        <v>1.15</v>
      </c>
      <c r="N928" s="0" t="e">
        <f aca="false">IFERROR(IF(AND(NOT(K928 = ""), G928 &gt;= 15),K928/M928, ""))</f>
        <v>#VALUE!</v>
      </c>
    </row>
    <row r="929" customFormat="false" ht="15.75" hidden="false" customHeight="false" outlineLevel="0" collapsed="false">
      <c r="A929" s="0" t="n">
        <f aca="false">'Form Responses (Pokemon Stats)'!B823</f>
        <v>0</v>
      </c>
      <c r="B929" s="0" t="n">
        <f aca="false">'Form Responses (Pokemon Stats)'!D823</f>
        <v>0</v>
      </c>
      <c r="C929" s="0" t="n">
        <f aca="false">'Form Responses (Pokemon Stats)'!C823</f>
        <v>0</v>
      </c>
      <c r="F929" s="0" t="n">
        <f aca="false">'Form Responses (Pokemon Stats)'!E823</f>
        <v>0</v>
      </c>
      <c r="G929" s="0" t="str">
        <f aca="false">IFERROR(__xludf.dummyfunction("ROUND(B929/ FILTER('Pokemon CP/HP'!$M$2:$M1000, LOWER('Pokemon CP/HP'!$B$2:$B1000)=LOWER(A929)))"),"#DIV/0!")</f>
        <v>#DIV/0!</v>
      </c>
      <c r="H929" s="0" t="str">
        <f aca="false">IFERROR(__xludf.dummyfunction("FILTER('Leveling Info'!$B$2:$B1000, 'Leveling Info'!$A$2:$A1000 =G929)"),"#N/A")</f>
        <v>#N/A</v>
      </c>
      <c r="I929" s="14" t="e">
        <f aca="false">SQRT(G929)</f>
        <v>#VALUE!</v>
      </c>
      <c r="J929" s="14" t="str">
        <f aca="false">IFERROR(__xludf.dummyfunction("IF(F929 = H929,C929/FILTER('Base Stats'!$C$2:$C1000, LOWER('Base Stats'!$B$2:$B1000) = LOWER($A929)), """")"),"#N/A")</f>
        <v>#N/A</v>
      </c>
      <c r="K929" s="0" t="str">
        <f aca="false">IF(F929 = H929, C929/G929, "")</f>
        <v/>
      </c>
      <c r="L929" s="0" t="str">
        <f aca="false">IFERROR(__xludf.dummyfunction("IF(AND(NOT(K929 = """"), G929 &gt;= 15),K929/FILTER('Base Stats'!$C$2:$C1000, LOWER('Base Stats'!$B$2:$B1000) = LOWER($A929)), """")"),"#N/A")</f>
        <v>#N/A</v>
      </c>
      <c r="M929" s="0" t="str">
        <f aca="false">IFERROR(__xludf.dummyfunction("1.15 + 0.02 * FILTER('Base Stats'!$C$2:$C1000, LOWER('Base Stats'!$B$2:$B1000) = LOWER($A929))"),"1.15")</f>
        <v>1.15</v>
      </c>
      <c r="N929" s="0" t="e">
        <f aca="false">IFERROR(IF(AND(NOT(K929 = ""), G929 &gt;= 15),K929/M929, ""))</f>
        <v>#VALUE!</v>
      </c>
    </row>
    <row r="930" customFormat="false" ht="15.75" hidden="false" customHeight="false" outlineLevel="0" collapsed="false">
      <c r="A930" s="0" t="n">
        <f aca="false">'Form Responses (Pokemon Stats)'!B824</f>
        <v>0</v>
      </c>
      <c r="B930" s="0" t="n">
        <f aca="false">'Form Responses (Pokemon Stats)'!D824</f>
        <v>0</v>
      </c>
      <c r="C930" s="0" t="n">
        <f aca="false">'Form Responses (Pokemon Stats)'!C824</f>
        <v>0</v>
      </c>
      <c r="F930" s="0" t="n">
        <f aca="false">'Form Responses (Pokemon Stats)'!E824</f>
        <v>0</v>
      </c>
      <c r="G930" s="0" t="str">
        <f aca="false">IFERROR(__xludf.dummyfunction("ROUND(B930/ FILTER('Pokemon CP/HP'!$M$2:$M1000, LOWER('Pokemon CP/HP'!$B$2:$B1000)=LOWER(A930)))"),"#DIV/0!")</f>
        <v>#DIV/0!</v>
      </c>
      <c r="H930" s="0" t="str">
        <f aca="false">IFERROR(__xludf.dummyfunction("FILTER('Leveling Info'!$B$2:$B1000, 'Leveling Info'!$A$2:$A1000 =G930)"),"#N/A")</f>
        <v>#N/A</v>
      </c>
      <c r="I930" s="14" t="e">
        <f aca="false">SQRT(G930)</f>
        <v>#VALUE!</v>
      </c>
      <c r="J930" s="14" t="str">
        <f aca="false">IFERROR(__xludf.dummyfunction("IF(F930 = H930,C930/FILTER('Base Stats'!$C$2:$C1000, LOWER('Base Stats'!$B$2:$B1000) = LOWER($A930)), """")"),"#N/A")</f>
        <v>#N/A</v>
      </c>
      <c r="K930" s="0" t="str">
        <f aca="false">IF(F930 = H930, C930/G930, "")</f>
        <v/>
      </c>
      <c r="L930" s="0" t="str">
        <f aca="false">IFERROR(__xludf.dummyfunction("IF(AND(NOT(K930 = """"), G930 &gt;= 15),K930/FILTER('Base Stats'!$C$2:$C1000, LOWER('Base Stats'!$B$2:$B1000) = LOWER($A930)), """")"),"#N/A")</f>
        <v>#N/A</v>
      </c>
      <c r="M930" s="0" t="str">
        <f aca="false">IFERROR(__xludf.dummyfunction("1.15 + 0.02 * FILTER('Base Stats'!$C$2:$C1000, LOWER('Base Stats'!$B$2:$B1000) = LOWER($A930))"),"1.15")</f>
        <v>1.15</v>
      </c>
      <c r="N930" s="0" t="e">
        <f aca="false">IFERROR(IF(AND(NOT(K930 = ""), G930 &gt;= 15),K930/M930, ""))</f>
        <v>#VALUE!</v>
      </c>
    </row>
    <row r="931" customFormat="false" ht="15.75" hidden="false" customHeight="false" outlineLevel="0" collapsed="false">
      <c r="A931" s="0" t="n">
        <f aca="false">'Form Responses (Pokemon Stats)'!B825</f>
        <v>0</v>
      </c>
      <c r="B931" s="0" t="n">
        <f aca="false">'Form Responses (Pokemon Stats)'!D825</f>
        <v>0</v>
      </c>
      <c r="C931" s="0" t="n">
        <f aca="false">'Form Responses (Pokemon Stats)'!C825</f>
        <v>0</v>
      </c>
      <c r="F931" s="0" t="n">
        <f aca="false">'Form Responses (Pokemon Stats)'!E825</f>
        <v>0</v>
      </c>
      <c r="G931" s="0" t="str">
        <f aca="false">IFERROR(__xludf.dummyfunction("ROUND(B931/ FILTER('Pokemon CP/HP'!$M$2:$M1000, LOWER('Pokemon CP/HP'!$B$2:$B1000)=LOWER(A931)))"),"#DIV/0!")</f>
        <v>#DIV/0!</v>
      </c>
      <c r="H931" s="0" t="str">
        <f aca="false">IFERROR(__xludf.dummyfunction("FILTER('Leveling Info'!$B$2:$B1000, 'Leveling Info'!$A$2:$A1000 =G931)"),"#N/A")</f>
        <v>#N/A</v>
      </c>
      <c r="I931" s="14" t="e">
        <f aca="false">SQRT(G931)</f>
        <v>#VALUE!</v>
      </c>
      <c r="J931" s="14" t="str">
        <f aca="false">IFERROR(__xludf.dummyfunction("IF(F931 = H931,C931/FILTER('Base Stats'!$C$2:$C1000, LOWER('Base Stats'!$B$2:$B1000) = LOWER($A931)), """")"),"#N/A")</f>
        <v>#N/A</v>
      </c>
      <c r="K931" s="0" t="str">
        <f aca="false">IF(F931 = H931, C931/G931, "")</f>
        <v/>
      </c>
      <c r="L931" s="0" t="str">
        <f aca="false">IFERROR(__xludf.dummyfunction("IF(AND(NOT(K931 = """"), G931 &gt;= 15),K931/FILTER('Base Stats'!$C$2:$C1000, LOWER('Base Stats'!$B$2:$B1000) = LOWER($A931)), """")"),"#N/A")</f>
        <v>#N/A</v>
      </c>
      <c r="M931" s="0" t="str">
        <f aca="false">IFERROR(__xludf.dummyfunction("1.15 + 0.02 * FILTER('Base Stats'!$C$2:$C1000, LOWER('Base Stats'!$B$2:$B1000) = LOWER($A931))"),"1.15")</f>
        <v>1.15</v>
      </c>
      <c r="N931" s="0" t="e">
        <f aca="false">IFERROR(IF(AND(NOT(K931 = ""), G931 &gt;= 15),K931/M931, ""))</f>
        <v>#VALUE!</v>
      </c>
    </row>
    <row r="932" customFormat="false" ht="15.75" hidden="false" customHeight="false" outlineLevel="0" collapsed="false">
      <c r="A932" s="0" t="n">
        <f aca="false">'Form Responses (Pokemon Stats)'!B826</f>
        <v>0</v>
      </c>
      <c r="B932" s="0" t="n">
        <f aca="false">'Form Responses (Pokemon Stats)'!D826</f>
        <v>0</v>
      </c>
      <c r="C932" s="0" t="n">
        <f aca="false">'Form Responses (Pokemon Stats)'!C826</f>
        <v>0</v>
      </c>
      <c r="F932" s="0" t="n">
        <f aca="false">'Form Responses (Pokemon Stats)'!E826</f>
        <v>0</v>
      </c>
      <c r="G932" s="0" t="str">
        <f aca="false">IFERROR(__xludf.dummyfunction("ROUND(B932/ FILTER('Pokemon CP/HP'!$M$2:$M1000, LOWER('Pokemon CP/HP'!$B$2:$B1000)=LOWER(A932)))"),"#DIV/0!")</f>
        <v>#DIV/0!</v>
      </c>
      <c r="H932" s="0" t="str">
        <f aca="false">IFERROR(__xludf.dummyfunction("FILTER('Leveling Info'!$B$2:$B1000, 'Leveling Info'!$A$2:$A1000 =G932)"),"#N/A")</f>
        <v>#N/A</v>
      </c>
      <c r="I932" s="14" t="e">
        <f aca="false">SQRT(G932)</f>
        <v>#VALUE!</v>
      </c>
      <c r="J932" s="14" t="str">
        <f aca="false">IFERROR(__xludf.dummyfunction("IF(F932 = H932,C932/FILTER('Base Stats'!$C$2:$C1000, LOWER('Base Stats'!$B$2:$B1000) = LOWER($A932)), """")"),"#N/A")</f>
        <v>#N/A</v>
      </c>
      <c r="K932" s="0" t="str">
        <f aca="false">IF(F932 = H932, C932/G932, "")</f>
        <v/>
      </c>
      <c r="L932" s="0" t="str">
        <f aca="false">IFERROR(__xludf.dummyfunction("IF(AND(NOT(K932 = """"), G932 &gt;= 15),K932/FILTER('Base Stats'!$C$2:$C1000, LOWER('Base Stats'!$B$2:$B1000) = LOWER($A932)), """")"),"#N/A")</f>
        <v>#N/A</v>
      </c>
      <c r="M932" s="0" t="str">
        <f aca="false">IFERROR(__xludf.dummyfunction("1.15 + 0.02 * FILTER('Base Stats'!$C$2:$C1000, LOWER('Base Stats'!$B$2:$B1000) = LOWER($A932))"),"1.15")</f>
        <v>1.15</v>
      </c>
      <c r="N932" s="0" t="e">
        <f aca="false">IFERROR(IF(AND(NOT(K932 = ""), G932 &gt;= 15),K932/M932, ""))</f>
        <v>#VALUE!</v>
      </c>
    </row>
    <row r="933" customFormat="false" ht="15.75" hidden="false" customHeight="false" outlineLevel="0" collapsed="false">
      <c r="A933" s="0" t="n">
        <f aca="false">'Form Responses (Pokemon Stats)'!B827</f>
        <v>0</v>
      </c>
      <c r="B933" s="0" t="n">
        <f aca="false">'Form Responses (Pokemon Stats)'!D827</f>
        <v>0</v>
      </c>
      <c r="C933" s="0" t="n">
        <f aca="false">'Form Responses (Pokemon Stats)'!C827</f>
        <v>0</v>
      </c>
      <c r="F933" s="0" t="n">
        <f aca="false">'Form Responses (Pokemon Stats)'!E827</f>
        <v>0</v>
      </c>
      <c r="G933" s="0" t="str">
        <f aca="false">IFERROR(__xludf.dummyfunction("ROUND(B933/ FILTER('Pokemon CP/HP'!$M$2:$M1000, LOWER('Pokemon CP/HP'!$B$2:$B1000)=LOWER(A933)))"),"#DIV/0!")</f>
        <v>#DIV/0!</v>
      </c>
      <c r="H933" s="0" t="str">
        <f aca="false">IFERROR(__xludf.dummyfunction("FILTER('Leveling Info'!$B$2:$B1000, 'Leveling Info'!$A$2:$A1000 =G933)"),"#N/A")</f>
        <v>#N/A</v>
      </c>
      <c r="I933" s="14" t="e">
        <f aca="false">SQRT(G933)</f>
        <v>#VALUE!</v>
      </c>
      <c r="J933" s="14" t="str">
        <f aca="false">IFERROR(__xludf.dummyfunction("IF(F933 = H933,C933/FILTER('Base Stats'!$C$2:$C1000, LOWER('Base Stats'!$B$2:$B1000) = LOWER($A933)), """")"),"#N/A")</f>
        <v>#N/A</v>
      </c>
      <c r="K933" s="0" t="str">
        <f aca="false">IF(F933 = H933, C933/G933, "")</f>
        <v/>
      </c>
      <c r="L933" s="0" t="str">
        <f aca="false">IFERROR(__xludf.dummyfunction("IF(AND(NOT(K933 = """"), G933 &gt;= 15),K933/FILTER('Base Stats'!$C$2:$C1000, LOWER('Base Stats'!$B$2:$B1000) = LOWER($A933)), """")"),"#N/A")</f>
        <v>#N/A</v>
      </c>
      <c r="M933" s="0" t="str">
        <f aca="false">IFERROR(__xludf.dummyfunction("1.15 + 0.02 * FILTER('Base Stats'!$C$2:$C1000, LOWER('Base Stats'!$B$2:$B1000) = LOWER($A933))"),"1.15")</f>
        <v>1.15</v>
      </c>
      <c r="N933" s="0" t="e">
        <f aca="false">IFERROR(IF(AND(NOT(K933 = ""), G933 &gt;= 15),K933/M933, ""))</f>
        <v>#VALUE!</v>
      </c>
    </row>
    <row r="934" customFormat="false" ht="15.75" hidden="false" customHeight="false" outlineLevel="0" collapsed="false">
      <c r="A934" s="0" t="n">
        <f aca="false">'Form Responses (Pokemon Stats)'!B828</f>
        <v>0</v>
      </c>
      <c r="B934" s="0" t="n">
        <f aca="false">'Form Responses (Pokemon Stats)'!D828</f>
        <v>0</v>
      </c>
      <c r="C934" s="0" t="n">
        <f aca="false">'Form Responses (Pokemon Stats)'!C828</f>
        <v>0</v>
      </c>
      <c r="F934" s="0" t="n">
        <f aca="false">'Form Responses (Pokemon Stats)'!E828</f>
        <v>0</v>
      </c>
      <c r="G934" s="0" t="str">
        <f aca="false">IFERROR(__xludf.dummyfunction("ROUND(B934/ FILTER('Pokemon CP/HP'!$M$2:$M1000, LOWER('Pokemon CP/HP'!$B$2:$B1000)=LOWER(A934)))"),"#DIV/0!")</f>
        <v>#DIV/0!</v>
      </c>
      <c r="H934" s="0" t="str">
        <f aca="false">IFERROR(__xludf.dummyfunction("FILTER('Leveling Info'!$B$2:$B1000, 'Leveling Info'!$A$2:$A1000 =G934)"),"#N/A")</f>
        <v>#N/A</v>
      </c>
      <c r="I934" s="14" t="e">
        <f aca="false">SQRT(G934)</f>
        <v>#VALUE!</v>
      </c>
      <c r="J934" s="14" t="str">
        <f aca="false">IFERROR(__xludf.dummyfunction("IF(F934 = H934,C934/FILTER('Base Stats'!$C$2:$C1000, LOWER('Base Stats'!$B$2:$B1000) = LOWER($A934)), """")"),"#N/A")</f>
        <v>#N/A</v>
      </c>
      <c r="K934" s="0" t="str">
        <f aca="false">IF(F934 = H934, C934/G934, "")</f>
        <v/>
      </c>
      <c r="L934" s="0" t="str">
        <f aca="false">IFERROR(__xludf.dummyfunction("IF(AND(NOT(K934 = """"), G934 &gt;= 15),K934/FILTER('Base Stats'!$C$2:$C1000, LOWER('Base Stats'!$B$2:$B1000) = LOWER($A934)), """")"),"#N/A")</f>
        <v>#N/A</v>
      </c>
      <c r="M934" s="0" t="str">
        <f aca="false">IFERROR(__xludf.dummyfunction("1.15 + 0.02 * FILTER('Base Stats'!$C$2:$C1000, LOWER('Base Stats'!$B$2:$B1000) = LOWER($A934))"),"1.15")</f>
        <v>1.15</v>
      </c>
      <c r="N934" s="0" t="e">
        <f aca="false">IFERROR(IF(AND(NOT(K934 = ""), G934 &gt;= 15),K934/M934, ""))</f>
        <v>#VALUE!</v>
      </c>
    </row>
    <row r="935" customFormat="false" ht="15.75" hidden="false" customHeight="false" outlineLevel="0" collapsed="false">
      <c r="A935" s="0" t="n">
        <f aca="false">'Form Responses (Pokemon Stats)'!B829</f>
        <v>0</v>
      </c>
      <c r="B935" s="0" t="n">
        <f aca="false">'Form Responses (Pokemon Stats)'!D829</f>
        <v>0</v>
      </c>
      <c r="C935" s="0" t="n">
        <f aca="false">'Form Responses (Pokemon Stats)'!C829</f>
        <v>0</v>
      </c>
      <c r="F935" s="0" t="n">
        <f aca="false">'Form Responses (Pokemon Stats)'!E829</f>
        <v>0</v>
      </c>
      <c r="G935" s="0" t="str">
        <f aca="false">IFERROR(__xludf.dummyfunction("ROUND(B935/ FILTER('Pokemon CP/HP'!$M$2:$M1000, LOWER('Pokemon CP/HP'!$B$2:$B1000)=LOWER(A935)))"),"#DIV/0!")</f>
        <v>#DIV/0!</v>
      </c>
      <c r="H935" s="0" t="str">
        <f aca="false">IFERROR(__xludf.dummyfunction("FILTER('Leveling Info'!$B$2:$B1000, 'Leveling Info'!$A$2:$A1000 =G935)"),"#N/A")</f>
        <v>#N/A</v>
      </c>
      <c r="I935" s="14" t="e">
        <f aca="false">SQRT(G935)</f>
        <v>#VALUE!</v>
      </c>
      <c r="J935" s="14" t="str">
        <f aca="false">IFERROR(__xludf.dummyfunction("IF(F935 = H935,C935/FILTER('Base Stats'!$C$2:$C1000, LOWER('Base Stats'!$B$2:$B1000) = LOWER($A935)), """")"),"#N/A")</f>
        <v>#N/A</v>
      </c>
      <c r="K935" s="0" t="str">
        <f aca="false">IF(F935 = H935, C935/G935, "")</f>
        <v/>
      </c>
      <c r="L935" s="0" t="str">
        <f aca="false">IFERROR(__xludf.dummyfunction("IF(AND(NOT(K935 = """"), G935 &gt;= 15),K935/FILTER('Base Stats'!$C$2:$C1000, LOWER('Base Stats'!$B$2:$B1000) = LOWER($A935)), """")"),"#N/A")</f>
        <v>#N/A</v>
      </c>
      <c r="M935" s="0" t="str">
        <f aca="false">IFERROR(__xludf.dummyfunction("1.15 + 0.02 * FILTER('Base Stats'!$C$2:$C1000, LOWER('Base Stats'!$B$2:$B1000) = LOWER($A935))"),"1.15")</f>
        <v>1.15</v>
      </c>
      <c r="N935" s="0" t="e">
        <f aca="false">IFERROR(IF(AND(NOT(K935 = ""), G935 &gt;= 15),K935/M935, ""))</f>
        <v>#VALUE!</v>
      </c>
    </row>
    <row r="936" customFormat="false" ht="15.75" hidden="false" customHeight="false" outlineLevel="0" collapsed="false">
      <c r="A936" s="0" t="n">
        <f aca="false">'Form Responses (Pokemon Stats)'!B830</f>
        <v>0</v>
      </c>
      <c r="B936" s="0" t="n">
        <f aca="false">'Form Responses (Pokemon Stats)'!D830</f>
        <v>0</v>
      </c>
      <c r="C936" s="0" t="n">
        <f aca="false">'Form Responses (Pokemon Stats)'!C830</f>
        <v>0</v>
      </c>
      <c r="F936" s="0" t="n">
        <f aca="false">'Form Responses (Pokemon Stats)'!E830</f>
        <v>0</v>
      </c>
      <c r="G936" s="0" t="str">
        <f aca="false">IFERROR(__xludf.dummyfunction("ROUND(B936/ FILTER('Pokemon CP/HP'!$M$2:$M1000, LOWER('Pokemon CP/HP'!$B$2:$B1000)=LOWER(A936)))"),"#DIV/0!")</f>
        <v>#DIV/0!</v>
      </c>
      <c r="H936" s="0" t="str">
        <f aca="false">IFERROR(__xludf.dummyfunction("FILTER('Leveling Info'!$B$2:$B1000, 'Leveling Info'!$A$2:$A1000 =G936)"),"#N/A")</f>
        <v>#N/A</v>
      </c>
      <c r="I936" s="14" t="e">
        <f aca="false">SQRT(G936)</f>
        <v>#VALUE!</v>
      </c>
      <c r="J936" s="14" t="str">
        <f aca="false">IFERROR(__xludf.dummyfunction("IF(F936 = H936,C936/FILTER('Base Stats'!$C$2:$C1000, LOWER('Base Stats'!$B$2:$B1000) = LOWER($A936)), """")"),"#N/A")</f>
        <v>#N/A</v>
      </c>
      <c r="K936" s="0" t="str">
        <f aca="false">IF(F936 = H936, C936/G936, "")</f>
        <v/>
      </c>
      <c r="L936" s="0" t="str">
        <f aca="false">IFERROR(__xludf.dummyfunction("IF(AND(NOT(K936 = """"), G936 &gt;= 15),K936/FILTER('Base Stats'!$C$2:$C1000, LOWER('Base Stats'!$B$2:$B1000) = LOWER($A936)), """")"),"#N/A")</f>
        <v>#N/A</v>
      </c>
      <c r="M936" s="0" t="str">
        <f aca="false">IFERROR(__xludf.dummyfunction("1.15 + 0.02 * FILTER('Base Stats'!$C$2:$C1000, LOWER('Base Stats'!$B$2:$B1000) = LOWER($A936))"),"1.15")</f>
        <v>1.15</v>
      </c>
      <c r="N936" s="0" t="e">
        <f aca="false">IFERROR(IF(AND(NOT(K936 = ""), G936 &gt;= 15),K936/M936, ""))</f>
        <v>#VALUE!</v>
      </c>
    </row>
    <row r="937" customFormat="false" ht="15.75" hidden="false" customHeight="false" outlineLevel="0" collapsed="false">
      <c r="A937" s="0" t="n">
        <f aca="false">'Form Responses (Pokemon Stats)'!B831</f>
        <v>0</v>
      </c>
      <c r="B937" s="0" t="n">
        <f aca="false">'Form Responses (Pokemon Stats)'!D831</f>
        <v>0</v>
      </c>
      <c r="C937" s="0" t="n">
        <f aca="false">'Form Responses (Pokemon Stats)'!C831</f>
        <v>0</v>
      </c>
      <c r="F937" s="0" t="n">
        <f aca="false">'Form Responses (Pokemon Stats)'!E831</f>
        <v>0</v>
      </c>
      <c r="G937" s="0" t="str">
        <f aca="false">IFERROR(__xludf.dummyfunction("ROUND(B937/ FILTER('Pokemon CP/HP'!$M$2:$M1000, LOWER('Pokemon CP/HP'!$B$2:$B1000)=LOWER(A937)))"),"#DIV/0!")</f>
        <v>#DIV/0!</v>
      </c>
      <c r="H937" s="0" t="str">
        <f aca="false">IFERROR(__xludf.dummyfunction("FILTER('Leveling Info'!$B$2:$B1000, 'Leveling Info'!$A$2:$A1000 =G937)"),"#N/A")</f>
        <v>#N/A</v>
      </c>
      <c r="I937" s="14" t="e">
        <f aca="false">SQRT(G937)</f>
        <v>#VALUE!</v>
      </c>
      <c r="J937" s="14" t="str">
        <f aca="false">IFERROR(__xludf.dummyfunction("IF(F937 = H937,C937/FILTER('Base Stats'!$C$2:$C1000, LOWER('Base Stats'!$B$2:$B1000) = LOWER($A937)), """")"),"#N/A")</f>
        <v>#N/A</v>
      </c>
      <c r="K937" s="0" t="str">
        <f aca="false">IF(F937 = H937, C937/G937, "")</f>
        <v/>
      </c>
      <c r="L937" s="0" t="str">
        <f aca="false">IFERROR(__xludf.dummyfunction("IF(AND(NOT(K937 = """"), G937 &gt;= 15),K937/FILTER('Base Stats'!$C$2:$C1000, LOWER('Base Stats'!$B$2:$B1000) = LOWER($A937)), """")"),"#N/A")</f>
        <v>#N/A</v>
      </c>
      <c r="M937" s="0" t="str">
        <f aca="false">IFERROR(__xludf.dummyfunction("1.15 + 0.02 * FILTER('Base Stats'!$C$2:$C1000, LOWER('Base Stats'!$B$2:$B1000) = LOWER($A937))"),"1.15")</f>
        <v>1.15</v>
      </c>
      <c r="N937" s="0" t="e">
        <f aca="false">IFERROR(IF(AND(NOT(K937 = ""), G937 &gt;= 15),K937/M937, ""))</f>
        <v>#VALUE!</v>
      </c>
    </row>
    <row r="938" customFormat="false" ht="15.75" hidden="false" customHeight="false" outlineLevel="0" collapsed="false">
      <c r="A938" s="0" t="n">
        <f aca="false">'Form Responses (Pokemon Stats)'!B832</f>
        <v>0</v>
      </c>
      <c r="B938" s="0" t="n">
        <f aca="false">'Form Responses (Pokemon Stats)'!D832</f>
        <v>0</v>
      </c>
      <c r="C938" s="0" t="n">
        <f aca="false">'Form Responses (Pokemon Stats)'!C832</f>
        <v>0</v>
      </c>
      <c r="F938" s="0" t="n">
        <f aca="false">'Form Responses (Pokemon Stats)'!E832</f>
        <v>0</v>
      </c>
      <c r="G938" s="0" t="str">
        <f aca="false">IFERROR(__xludf.dummyfunction("ROUND(B938/ FILTER('Pokemon CP/HP'!$M$2:$M1000, LOWER('Pokemon CP/HP'!$B$2:$B1000)=LOWER(A938)))"),"#DIV/0!")</f>
        <v>#DIV/0!</v>
      </c>
      <c r="H938" s="0" t="str">
        <f aca="false">IFERROR(__xludf.dummyfunction("FILTER('Leveling Info'!$B$2:$B1000, 'Leveling Info'!$A$2:$A1000 =G938)"),"#N/A")</f>
        <v>#N/A</v>
      </c>
      <c r="I938" s="14" t="e">
        <f aca="false">SQRT(G938)</f>
        <v>#VALUE!</v>
      </c>
      <c r="J938" s="14" t="str">
        <f aca="false">IFERROR(__xludf.dummyfunction("IF(F938 = H938,C938/FILTER('Base Stats'!$C$2:$C1000, LOWER('Base Stats'!$B$2:$B1000) = LOWER($A938)), """")"),"#N/A")</f>
        <v>#N/A</v>
      </c>
      <c r="K938" s="0" t="str">
        <f aca="false">IF(F938 = H938, C938/G938, "")</f>
        <v/>
      </c>
      <c r="L938" s="0" t="str">
        <f aca="false">IFERROR(__xludf.dummyfunction("IF(AND(NOT(K938 = """"), G938 &gt;= 15),K938/FILTER('Base Stats'!$C$2:$C1000, LOWER('Base Stats'!$B$2:$B1000) = LOWER($A938)), """")"),"#N/A")</f>
        <v>#N/A</v>
      </c>
      <c r="M938" s="0" t="str">
        <f aca="false">IFERROR(__xludf.dummyfunction("1.15 + 0.02 * FILTER('Base Stats'!$C$2:$C1000, LOWER('Base Stats'!$B$2:$B1000) = LOWER($A938))"),"1.15")</f>
        <v>1.15</v>
      </c>
      <c r="N938" s="0" t="e">
        <f aca="false">IFERROR(IF(AND(NOT(K938 = ""), G938 &gt;= 15),K938/M938, ""))</f>
        <v>#VALUE!</v>
      </c>
    </row>
    <row r="939" customFormat="false" ht="15.75" hidden="false" customHeight="false" outlineLevel="0" collapsed="false">
      <c r="A939" s="0" t="n">
        <f aca="false">'Form Responses (Pokemon Stats)'!B833</f>
        <v>0</v>
      </c>
      <c r="B939" s="0" t="n">
        <f aca="false">'Form Responses (Pokemon Stats)'!D833</f>
        <v>0</v>
      </c>
      <c r="C939" s="0" t="n">
        <f aca="false">'Form Responses (Pokemon Stats)'!C833</f>
        <v>0</v>
      </c>
      <c r="F939" s="0" t="n">
        <f aca="false">'Form Responses (Pokemon Stats)'!E833</f>
        <v>0</v>
      </c>
      <c r="G939" s="0" t="str">
        <f aca="false">IFERROR(__xludf.dummyfunction("ROUND(B939/ FILTER('Pokemon CP/HP'!$M$2:$M1000, LOWER('Pokemon CP/HP'!$B$2:$B1000)=LOWER(A939)))"),"#DIV/0!")</f>
        <v>#DIV/0!</v>
      </c>
      <c r="H939" s="0" t="str">
        <f aca="false">IFERROR(__xludf.dummyfunction("FILTER('Leveling Info'!$B$2:$B1000, 'Leveling Info'!$A$2:$A1000 =G939)"),"#N/A")</f>
        <v>#N/A</v>
      </c>
      <c r="I939" s="14" t="e">
        <f aca="false">SQRT(G939)</f>
        <v>#VALUE!</v>
      </c>
      <c r="J939" s="14" t="str">
        <f aca="false">IFERROR(__xludf.dummyfunction("IF(F939 = H939,C939/FILTER('Base Stats'!$C$2:$C1000, LOWER('Base Stats'!$B$2:$B1000) = LOWER($A939)), """")"),"#N/A")</f>
        <v>#N/A</v>
      </c>
      <c r="K939" s="0" t="str">
        <f aca="false">IF(F939 = H939, C939/G939, "")</f>
        <v/>
      </c>
      <c r="L939" s="0" t="str">
        <f aca="false">IFERROR(__xludf.dummyfunction("IF(AND(NOT(K939 = """"), G939 &gt;= 15),K939/FILTER('Base Stats'!$C$2:$C1000, LOWER('Base Stats'!$B$2:$B1000) = LOWER($A939)), """")"),"#N/A")</f>
        <v>#N/A</v>
      </c>
      <c r="M939" s="0" t="str">
        <f aca="false">IFERROR(__xludf.dummyfunction("1.15 + 0.02 * FILTER('Base Stats'!$C$2:$C1000, LOWER('Base Stats'!$B$2:$B1000) = LOWER($A939))"),"1.15")</f>
        <v>1.15</v>
      </c>
      <c r="N939" s="0" t="e">
        <f aca="false">IFERROR(IF(AND(NOT(K939 = ""), G939 &gt;= 15),K939/M939, ""))</f>
        <v>#VALUE!</v>
      </c>
    </row>
    <row r="940" customFormat="false" ht="15.75" hidden="false" customHeight="false" outlineLevel="0" collapsed="false">
      <c r="A940" s="0" t="n">
        <f aca="false">'Form Responses (Pokemon Stats)'!B834</f>
        <v>0</v>
      </c>
      <c r="B940" s="0" t="n">
        <f aca="false">'Form Responses (Pokemon Stats)'!D834</f>
        <v>0</v>
      </c>
      <c r="C940" s="0" t="n">
        <f aca="false">'Form Responses (Pokemon Stats)'!C834</f>
        <v>0</v>
      </c>
      <c r="F940" s="0" t="n">
        <f aca="false">'Form Responses (Pokemon Stats)'!E834</f>
        <v>0</v>
      </c>
      <c r="G940" s="0" t="str">
        <f aca="false">IFERROR(__xludf.dummyfunction("ROUND(B940/ FILTER('Pokemon CP/HP'!$M$2:$M1000, LOWER('Pokemon CP/HP'!$B$2:$B1000)=LOWER(A940)))"),"#DIV/0!")</f>
        <v>#DIV/0!</v>
      </c>
      <c r="H940" s="0" t="str">
        <f aca="false">IFERROR(__xludf.dummyfunction("FILTER('Leveling Info'!$B$2:$B1000, 'Leveling Info'!$A$2:$A1000 =G940)"),"#N/A")</f>
        <v>#N/A</v>
      </c>
      <c r="I940" s="14" t="e">
        <f aca="false">SQRT(G940)</f>
        <v>#VALUE!</v>
      </c>
      <c r="J940" s="14" t="str">
        <f aca="false">IFERROR(__xludf.dummyfunction("IF(F940 = H940,C940/FILTER('Base Stats'!$C$2:$C1000, LOWER('Base Stats'!$B$2:$B1000) = LOWER($A940)), """")"),"#N/A")</f>
        <v>#N/A</v>
      </c>
      <c r="K940" s="0" t="str">
        <f aca="false">IF(F940 = H940, C940/G940, "")</f>
        <v/>
      </c>
      <c r="L940" s="0" t="str">
        <f aca="false">IFERROR(__xludf.dummyfunction("IF(AND(NOT(K940 = """"), G940 &gt;= 15),K940/FILTER('Base Stats'!$C$2:$C1000, LOWER('Base Stats'!$B$2:$B1000) = LOWER($A940)), """")"),"#N/A")</f>
        <v>#N/A</v>
      </c>
      <c r="M940" s="0" t="str">
        <f aca="false">IFERROR(__xludf.dummyfunction("1.15 + 0.02 * FILTER('Base Stats'!$C$2:$C1000, LOWER('Base Stats'!$B$2:$B1000) = LOWER($A940))"),"1.15")</f>
        <v>1.15</v>
      </c>
      <c r="N940" s="0" t="e">
        <f aca="false">IFERROR(IF(AND(NOT(K940 = ""), G940 &gt;= 15),K940/M940, ""))</f>
        <v>#VALUE!</v>
      </c>
    </row>
    <row r="941" customFormat="false" ht="15.75" hidden="false" customHeight="false" outlineLevel="0" collapsed="false">
      <c r="A941" s="0" t="n">
        <f aca="false">'Form Responses (Pokemon Stats)'!B835</f>
        <v>0</v>
      </c>
      <c r="B941" s="0" t="n">
        <f aca="false">'Form Responses (Pokemon Stats)'!D835</f>
        <v>0</v>
      </c>
      <c r="C941" s="0" t="n">
        <f aca="false">'Form Responses (Pokemon Stats)'!C835</f>
        <v>0</v>
      </c>
      <c r="F941" s="0" t="n">
        <f aca="false">'Form Responses (Pokemon Stats)'!E835</f>
        <v>0</v>
      </c>
      <c r="G941" s="0" t="str">
        <f aca="false">IFERROR(__xludf.dummyfunction("ROUND(B941/ FILTER('Pokemon CP/HP'!$M$2:$M1000, LOWER('Pokemon CP/HP'!$B$2:$B1000)=LOWER(A941)))"),"#DIV/0!")</f>
        <v>#DIV/0!</v>
      </c>
      <c r="H941" s="0" t="str">
        <f aca="false">IFERROR(__xludf.dummyfunction("FILTER('Leveling Info'!$B$2:$B1000, 'Leveling Info'!$A$2:$A1000 =G941)"),"#N/A")</f>
        <v>#N/A</v>
      </c>
      <c r="I941" s="14" t="e">
        <f aca="false">SQRT(G941)</f>
        <v>#VALUE!</v>
      </c>
      <c r="J941" s="14" t="str">
        <f aca="false">IFERROR(__xludf.dummyfunction("IF(F941 = H941,C941/FILTER('Base Stats'!$C$2:$C1000, LOWER('Base Stats'!$B$2:$B1000) = LOWER($A941)), """")"),"#N/A")</f>
        <v>#N/A</v>
      </c>
      <c r="K941" s="0" t="str">
        <f aca="false">IF(F941 = H941, C941/G941, "")</f>
        <v/>
      </c>
      <c r="L941" s="0" t="str">
        <f aca="false">IFERROR(__xludf.dummyfunction("IF(AND(NOT(K941 = """"), G941 &gt;= 15),K941/FILTER('Base Stats'!$C$2:$C1000, LOWER('Base Stats'!$B$2:$B1000) = LOWER($A941)), """")"),"#N/A")</f>
        <v>#N/A</v>
      </c>
      <c r="M941" s="0" t="str">
        <f aca="false">IFERROR(__xludf.dummyfunction("1.15 + 0.02 * FILTER('Base Stats'!$C$2:$C1000, LOWER('Base Stats'!$B$2:$B1000) = LOWER($A941))"),"1.15")</f>
        <v>1.15</v>
      </c>
      <c r="N941" s="0" t="e">
        <f aca="false">IFERROR(IF(AND(NOT(K941 = ""), G941 &gt;= 15),K941/M941, ""))</f>
        <v>#VALUE!</v>
      </c>
    </row>
    <row r="942" customFormat="false" ht="15.75" hidden="false" customHeight="false" outlineLevel="0" collapsed="false">
      <c r="A942" s="0" t="n">
        <f aca="false">'Form Responses (Pokemon Stats)'!B836</f>
        <v>0</v>
      </c>
      <c r="B942" s="0" t="n">
        <f aca="false">'Form Responses (Pokemon Stats)'!D836</f>
        <v>0</v>
      </c>
      <c r="C942" s="0" t="n">
        <f aca="false">'Form Responses (Pokemon Stats)'!C836</f>
        <v>0</v>
      </c>
      <c r="F942" s="0" t="n">
        <f aca="false">'Form Responses (Pokemon Stats)'!E836</f>
        <v>0</v>
      </c>
      <c r="G942" s="0" t="str">
        <f aca="false">IFERROR(__xludf.dummyfunction("ROUND(B942/ FILTER('Pokemon CP/HP'!$M$2:$M1000, LOWER('Pokemon CP/HP'!$B$2:$B1000)=LOWER(A942)))"),"#DIV/0!")</f>
        <v>#DIV/0!</v>
      </c>
      <c r="H942" s="0" t="str">
        <f aca="false">IFERROR(__xludf.dummyfunction("FILTER('Leveling Info'!$B$2:$B1000, 'Leveling Info'!$A$2:$A1000 =G942)"),"#N/A")</f>
        <v>#N/A</v>
      </c>
      <c r="I942" s="14" t="e">
        <f aca="false">SQRT(G942)</f>
        <v>#VALUE!</v>
      </c>
      <c r="J942" s="14" t="str">
        <f aca="false">IFERROR(__xludf.dummyfunction("IF(F942 = H942,C942/FILTER('Base Stats'!$C$2:$C1000, LOWER('Base Stats'!$B$2:$B1000) = LOWER($A942)), """")"),"#N/A")</f>
        <v>#N/A</v>
      </c>
      <c r="K942" s="0" t="str">
        <f aca="false">IF(F942 = H942, C942/G942, "")</f>
        <v/>
      </c>
      <c r="L942" s="0" t="str">
        <f aca="false">IFERROR(__xludf.dummyfunction("IF(AND(NOT(K942 = """"), G942 &gt;= 15),K942/FILTER('Base Stats'!$C$2:$C1000, LOWER('Base Stats'!$B$2:$B1000) = LOWER($A942)), """")"),"#N/A")</f>
        <v>#N/A</v>
      </c>
      <c r="M942" s="0" t="str">
        <f aca="false">IFERROR(__xludf.dummyfunction("1.15 + 0.02 * FILTER('Base Stats'!$C$2:$C1000, LOWER('Base Stats'!$B$2:$B1000) = LOWER($A942))"),"1.15")</f>
        <v>1.15</v>
      </c>
      <c r="N942" s="0" t="e">
        <f aca="false">IFERROR(IF(AND(NOT(K942 = ""), G942 &gt;= 15),K942/M942, ""))</f>
        <v>#VALUE!</v>
      </c>
    </row>
    <row r="943" customFormat="false" ht="15.75" hidden="false" customHeight="false" outlineLevel="0" collapsed="false">
      <c r="A943" s="0" t="n">
        <f aca="false">'Form Responses (Pokemon Stats)'!B837</f>
        <v>0</v>
      </c>
      <c r="B943" s="0" t="n">
        <f aca="false">'Form Responses (Pokemon Stats)'!D837</f>
        <v>0</v>
      </c>
      <c r="C943" s="0" t="n">
        <f aca="false">'Form Responses (Pokemon Stats)'!C837</f>
        <v>0</v>
      </c>
      <c r="F943" s="0" t="n">
        <f aca="false">'Form Responses (Pokemon Stats)'!E837</f>
        <v>0</v>
      </c>
      <c r="G943" s="0" t="str">
        <f aca="false">IFERROR(__xludf.dummyfunction("ROUND(B943/ FILTER('Pokemon CP/HP'!$M$2:$M1000, LOWER('Pokemon CP/HP'!$B$2:$B1000)=LOWER(A943)))"),"#DIV/0!")</f>
        <v>#DIV/0!</v>
      </c>
      <c r="H943" s="0" t="str">
        <f aca="false">IFERROR(__xludf.dummyfunction("FILTER('Leveling Info'!$B$2:$B1000, 'Leveling Info'!$A$2:$A1000 =G943)"),"#N/A")</f>
        <v>#N/A</v>
      </c>
      <c r="I943" s="14" t="e">
        <f aca="false">SQRT(G943)</f>
        <v>#VALUE!</v>
      </c>
      <c r="J943" s="14" t="str">
        <f aca="false">IFERROR(__xludf.dummyfunction("IF(F943 = H943,C943/FILTER('Base Stats'!$C$2:$C1000, LOWER('Base Stats'!$B$2:$B1000) = LOWER($A943)), """")"),"#N/A")</f>
        <v>#N/A</v>
      </c>
      <c r="K943" s="0" t="str">
        <f aca="false">IF(F943 = H943, C943/G943, "")</f>
        <v/>
      </c>
      <c r="L943" s="0" t="str">
        <f aca="false">IFERROR(__xludf.dummyfunction("IF(AND(NOT(K943 = """"), G943 &gt;= 15),K943/FILTER('Base Stats'!$C$2:$C1000, LOWER('Base Stats'!$B$2:$B1000) = LOWER($A943)), """")"),"#N/A")</f>
        <v>#N/A</v>
      </c>
      <c r="M943" s="0" t="str">
        <f aca="false">IFERROR(__xludf.dummyfunction("1.15 + 0.02 * FILTER('Base Stats'!$C$2:$C1000, LOWER('Base Stats'!$B$2:$B1000) = LOWER($A943))"),"1.15")</f>
        <v>1.15</v>
      </c>
      <c r="N943" s="0" t="e">
        <f aca="false">IFERROR(IF(AND(NOT(K943 = ""), G943 &gt;= 15),K943/M943, ""))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2016-07-22T12:32:00Z</dcterms:modified>
  <cp:revision>1</cp:revision>
  <dc:subject/>
  <dc:title/>
</cp:coreProperties>
</file>