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40" windowHeight="16300" activeTab="2"/>
  </bookViews>
  <sheets>
    <sheet name="2020" sheetId="2" r:id="rId1"/>
    <sheet name="2021" sheetId="3" r:id="rId2"/>
    <sheet name="chart" sheetId="4" r:id="rId3"/>
  </sheets>
  <calcPr calcId="144525"/>
</workbook>
</file>

<file path=xl/comments1.xml><?xml version="1.0" encoding="utf-8"?>
<comments xmlns="http://schemas.openxmlformats.org/spreadsheetml/2006/main">
  <authors>
    <author>俗子</author>
  </authors>
  <commentList>
    <comment ref="O2" authorId="0">
      <text>
        <r>
          <rPr>
            <b/>
            <sz val="9"/>
            <rFont val="宋体"/>
            <charset val="134"/>
          </rPr>
          <t xml:space="preserve">俗子:外出携带
</t>
        </r>
      </text>
    </comment>
    <comment ref="O23" authorId="0">
      <text>
        <r>
          <rPr>
            <b/>
            <sz val="9"/>
            <rFont val="宋体"/>
            <charset val="134"/>
          </rPr>
          <t xml:space="preserve">俗子:还刘德鋆款
</t>
        </r>
      </text>
    </comment>
    <comment ref="O31" authorId="0">
      <text>
        <r>
          <rPr>
            <b/>
            <sz val="9"/>
            <rFont val="宋体"/>
            <charset val="134"/>
          </rPr>
          <t xml:space="preserve">房租押金，安坝坊
</t>
        </r>
      </text>
    </comment>
    <comment ref="O41" authorId="0">
      <text>
        <r>
          <rPr>
            <b/>
            <sz val="9"/>
            <rFont val="宋体"/>
            <charset val="134"/>
          </rPr>
          <t>俗子:</t>
        </r>
        <r>
          <rPr>
            <sz val="9"/>
            <rFont val="宋体"/>
            <charset val="134"/>
          </rPr>
          <t xml:space="preserve">
未入账，工资押金
</t>
        </r>
      </text>
    </comment>
    <comment ref="O81" authorId="0">
      <text>
        <r>
          <rPr>
            <b/>
            <sz val="9"/>
            <rFont val="宋体"/>
            <charset val="134"/>
          </rPr>
          <t>俗子:</t>
        </r>
        <r>
          <rPr>
            <sz val="9"/>
            <rFont val="宋体"/>
            <charset val="134"/>
          </rPr>
          <t xml:space="preserve">
大学生就业补贴和交通补贴
</t>
        </r>
      </text>
    </comment>
    <comment ref="O87" authorId="0">
      <text>
        <r>
          <rPr>
            <b/>
            <sz val="9"/>
            <rFont val="宋体"/>
            <charset val="134"/>
          </rPr>
          <t>俗子:</t>
        </r>
        <r>
          <rPr>
            <sz val="9"/>
            <rFont val="宋体"/>
            <charset val="134"/>
          </rPr>
          <t xml:space="preserve">
大学生就业补贴
</t>
        </r>
      </text>
    </comment>
    <comment ref="O126" authorId="0">
      <text>
        <r>
          <rPr>
            <b/>
            <sz val="9"/>
            <rFont val="宋体"/>
            <charset val="134"/>
          </rPr>
          <t>俗子:</t>
        </r>
        <r>
          <rPr>
            <sz val="9"/>
            <rFont val="宋体"/>
            <charset val="134"/>
          </rPr>
          <t xml:space="preserve">
家庭转入拍婚纱照
</t>
        </r>
      </text>
    </comment>
    <comment ref="F188" authorId="0">
      <text>
        <r>
          <rPr>
            <b/>
            <sz val="9"/>
            <rFont val="宋体"/>
            <charset val="134"/>
          </rPr>
          <t>俗子:</t>
        </r>
        <r>
          <rPr>
            <sz val="9"/>
            <rFont val="宋体"/>
            <charset val="134"/>
          </rPr>
          <t xml:space="preserve">
十一票
</t>
        </r>
      </text>
    </comment>
    <comment ref="J188" authorId="0">
      <text>
        <r>
          <rPr>
            <b/>
            <sz val="9"/>
            <rFont val="宋体"/>
            <charset val="134"/>
          </rPr>
          <t>俗子:</t>
        </r>
        <r>
          <rPr>
            <sz val="9"/>
            <rFont val="宋体"/>
            <charset val="134"/>
          </rPr>
          <t xml:space="preserve">
敬
</t>
        </r>
      </text>
    </comment>
  </commentList>
</comments>
</file>

<file path=xl/comments2.xml><?xml version="1.0" encoding="utf-8"?>
<comments xmlns="http://schemas.openxmlformats.org/spreadsheetml/2006/main">
  <authors>
    <author>俗子</author>
    <author>jackfeng</author>
  </authors>
  <commentList>
    <comment ref="D1" authorId="0">
      <text>
        <r>
          <rPr>
            <b/>
            <sz val="9"/>
            <rFont val="宋体"/>
            <charset val="134"/>
          </rPr>
          <t>俗子:
1.电话费
2.网络费用</t>
        </r>
      </text>
    </comment>
    <comment ref="E1" authorId="0">
      <text>
        <r>
          <rPr>
            <b/>
            <sz val="9"/>
            <rFont val="宋体"/>
            <charset val="134"/>
          </rPr>
          <t>俗子:</t>
        </r>
        <r>
          <rPr>
            <sz val="9"/>
            <rFont val="宋体"/>
            <charset val="134"/>
          </rPr>
          <t xml:space="preserve">
1.买菜
2.外出
3.饮品
</t>
        </r>
      </text>
    </comment>
    <comment ref="N2" authorId="0">
      <text>
        <r>
          <rPr>
            <b/>
            <sz val="9"/>
            <rFont val="宋体"/>
            <charset val="134"/>
          </rPr>
          <t>俗子:</t>
        </r>
        <r>
          <rPr>
            <sz val="9"/>
            <rFont val="宋体"/>
            <charset val="134"/>
          </rPr>
          <t xml:space="preserve">
2020
</t>
        </r>
      </text>
    </comment>
    <comment ref="J38" authorId="1">
      <text>
        <r>
          <rPr>
            <b/>
            <sz val="9"/>
            <rFont val="方正书宋_GBK"/>
            <charset val="134"/>
          </rPr>
          <t xml:space="preserve">jackfeng:高腾翔结婚
</t>
        </r>
      </text>
    </comment>
    <comment ref="J58" authorId="1">
      <text>
        <r>
          <rPr>
            <b/>
            <sz val="9"/>
            <rFont val="方正书宋_GBK"/>
            <charset val="134"/>
          </rPr>
          <t>jackfeng:</t>
        </r>
        <r>
          <rPr>
            <sz val="9"/>
            <rFont val="方正书宋_GBK"/>
            <charset val="134"/>
          </rPr>
          <t xml:space="preserve">
李宏博借钱，微信
</t>
        </r>
      </text>
    </comment>
  </commentList>
</comments>
</file>

<file path=xl/comments3.xml><?xml version="1.0" encoding="utf-8"?>
<comments xmlns="http://schemas.openxmlformats.org/spreadsheetml/2006/main">
  <authors>
    <author>俗子</author>
    <author>jackfeng</author>
  </authors>
  <commentList>
    <comment ref="D1" authorId="0">
      <text>
        <r>
          <rPr>
            <b/>
            <sz val="9"/>
            <rFont val="宋体"/>
            <charset val="134"/>
          </rPr>
          <t>俗子:
1.电话费
2.网络费用</t>
        </r>
      </text>
    </comment>
    <comment ref="E1" authorId="0">
      <text>
        <r>
          <rPr>
            <b/>
            <sz val="9"/>
            <rFont val="宋体"/>
            <charset val="134"/>
          </rPr>
          <t>俗子:</t>
        </r>
        <r>
          <rPr>
            <sz val="9"/>
            <rFont val="宋体"/>
            <charset val="134"/>
          </rPr>
          <t xml:space="preserve">
1.买菜
2.外出
3.饮品
</t>
        </r>
      </text>
    </comment>
    <comment ref="O1" authorId="1">
      <text>
        <r>
          <rPr>
            <b/>
            <sz val="9"/>
            <rFont val="方正书宋_GBK"/>
            <charset val="134"/>
          </rPr>
          <t xml:space="preserve">jackfeng:
</t>
        </r>
        <r>
          <rPr>
            <sz val="9"/>
            <rFont val="方正书宋_GBK"/>
            <charset val="134"/>
          </rPr>
          <t xml:space="preserve">今年收入-去年剩余-今年支出
</t>
        </r>
      </text>
    </comment>
  </commentList>
</comments>
</file>

<file path=xl/sharedStrings.xml><?xml version="1.0" encoding="utf-8"?>
<sst xmlns="http://schemas.openxmlformats.org/spreadsheetml/2006/main" count="95">
  <si>
    <t>时间</t>
  </si>
  <si>
    <t>年份</t>
  </si>
  <si>
    <t>月份</t>
  </si>
  <si>
    <t>日期</t>
  </si>
  <si>
    <t>星期</t>
  </si>
  <si>
    <t>通讯</t>
  </si>
  <si>
    <t>餐饮</t>
  </si>
  <si>
    <t>生活日用及房租</t>
  </si>
  <si>
    <t>服饰</t>
  </si>
  <si>
    <t>教育</t>
  </si>
  <si>
    <t>社交</t>
  </si>
  <si>
    <t>婚事</t>
  </si>
  <si>
    <t>礼金</t>
  </si>
  <si>
    <t>开销</t>
  </si>
  <si>
    <t>收入</t>
  </si>
  <si>
    <t>2020年</t>
  </si>
  <si>
    <t>3月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</si>
  <si>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</si>
  <si>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</si>
  <si>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</si>
  <si>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</si>
  <si>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</si>
  <si>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</si>
  <si>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</si>
  <si>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</si>
  <si>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</si>
  <si>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</si>
  <si>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</si>
  <si>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</si>
  <si>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</si>
  <si>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</si>
  <si>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</si>
  <si>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</si>
  <si>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</si>
  <si>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</si>
  <si>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</si>
  <si>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</si>
  <si>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</si>
  <si>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</si>
  <si>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</si>
  <si>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</si>
  <si>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</si>
  <si>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4月</t>
  </si>
  <si>
    <t>1日</t>
  </si>
  <si>
    <t>2日</t>
  </si>
  <si>
    <t>3日</t>
  </si>
  <si>
    <t>4日</t>
  </si>
  <si>
    <t>5日</t>
  </si>
  <si>
    <t>6日</t>
  </si>
  <si>
    <t>5月</t>
  </si>
  <si>
    <t>6月</t>
  </si>
  <si>
    <t>7月</t>
  </si>
  <si>
    <t>8月</t>
  </si>
  <si>
    <t>9月</t>
  </si>
  <si>
    <t>2021年</t>
  </si>
  <si>
    <t>10月</t>
  </si>
  <si>
    <t>2022年</t>
  </si>
  <si>
    <t>11月</t>
  </si>
  <si>
    <t>2023年</t>
  </si>
  <si>
    <t>12月</t>
  </si>
  <si>
    <t>2024年</t>
  </si>
  <si>
    <t>13月</t>
  </si>
  <si>
    <t>2025年</t>
  </si>
  <si>
    <t>14月</t>
  </si>
  <si>
    <t>2026年</t>
  </si>
  <si>
    <t>15月</t>
  </si>
  <si>
    <t>2027年</t>
  </si>
  <si>
    <t>16月</t>
  </si>
  <si>
    <t>2028年</t>
  </si>
  <si>
    <t>17月</t>
  </si>
  <si>
    <t>2029年</t>
  </si>
  <si>
    <t>18月</t>
  </si>
  <si>
    <t>2030年</t>
  </si>
  <si>
    <t>19月</t>
  </si>
  <si>
    <t>2031年</t>
  </si>
  <si>
    <t>20月</t>
  </si>
  <si>
    <t>2032年</t>
  </si>
  <si>
    <t>21月</t>
  </si>
  <si>
    <t>2033年</t>
  </si>
  <si>
    <t>22月</t>
  </si>
  <si>
    <t>2034年</t>
  </si>
  <si>
    <t>23月</t>
  </si>
  <si>
    <t>交通</t>
  </si>
  <si>
    <t>住房</t>
  </si>
  <si>
    <t>网络</t>
  </si>
  <si>
    <t>水果</t>
  </si>
  <si>
    <t>美妆</t>
  </si>
  <si>
    <t>其他</t>
  </si>
  <si>
    <t>人情</t>
  </si>
  <si>
    <t>娱乐生活</t>
  </si>
  <si>
    <t>总支出</t>
  </si>
  <si>
    <t>今年支出</t>
  </si>
  <si>
    <t>今年收入</t>
  </si>
  <si>
    <t>资金池</t>
  </si>
  <si>
    <t>近年净收入</t>
  </si>
</sst>
</file>

<file path=xl/styles.xml><?xml version="1.0" encoding="utf-8"?>
<styleSheet xmlns="http://schemas.openxmlformats.org/spreadsheetml/2006/main">
  <numFmts count="6"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[$-804]aaaa;@"/>
  </numFmts>
  <fonts count="3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0"/>
      <name val="楷体"/>
      <charset val="134"/>
    </font>
    <font>
      <b/>
      <sz val="14"/>
      <color rgb="FFFF0000"/>
      <name val="宋体"/>
      <charset val="134"/>
      <scheme val="minor"/>
    </font>
    <font>
      <sz val="14"/>
      <color rgb="FF00206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6"/>
      <color theme="1"/>
      <name val="楷体"/>
      <charset val="134"/>
    </font>
    <font>
      <sz val="12"/>
      <name val="楷体"/>
      <charset val="134"/>
    </font>
    <font>
      <sz val="12"/>
      <color theme="1"/>
      <name val="楷体"/>
      <charset val="134"/>
    </font>
    <font>
      <sz val="11"/>
      <color theme="1"/>
      <name val="微软雅黑"/>
      <charset val="134"/>
    </font>
    <font>
      <sz val="11"/>
      <color theme="1"/>
      <name val="华文楷体"/>
      <charset val="134"/>
    </font>
    <font>
      <sz val="10"/>
      <color theme="1"/>
      <name val="华文楷体"/>
      <charset val="134"/>
    </font>
    <font>
      <sz val="10"/>
      <color rgb="FFFF0000"/>
      <name val="华文楷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1D27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34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8" fillId="17" borderId="10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0" fillId="3" borderId="0" xfId="0" applyFill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176" fontId="10" fillId="3" borderId="0" xfId="0" applyNumberFormat="1" applyFont="1" applyFill="1">
      <alignment vertical="center"/>
    </xf>
    <xf numFmtId="177" fontId="10" fillId="3" borderId="0" xfId="0" applyNumberFormat="1" applyFont="1" applyFill="1">
      <alignment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176" fontId="11" fillId="5" borderId="2" xfId="0" applyNumberFormat="1" applyFont="1" applyFill="1" applyBorder="1" applyAlignment="1">
      <alignment horizontal="center" vertical="center"/>
    </xf>
    <xf numFmtId="14" fontId="12" fillId="3" borderId="2" xfId="0" applyNumberFormat="1" applyFont="1" applyFill="1" applyBorder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77" fontId="11" fillId="5" borderId="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0" fillId="3" borderId="2" xfId="0" applyFont="1" applyFill="1" applyBorder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177" fontId="12" fillId="3" borderId="4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3" borderId="0" xfId="0" applyFont="1" applyFill="1">
      <alignment vertical="center"/>
    </xf>
    <xf numFmtId="0" fontId="10" fillId="2" borderId="2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51D2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6339833379108"/>
          <c:y val="0.00435900301777132"/>
          <c:w val="0.784674539961549"/>
          <c:h val="0.957974740136359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explosion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chart!$B$1:$L$1</c:f>
              <c:strCache>
                <c:ptCount val="11"/>
                <c:pt idx="0">
                  <c:v>交通</c:v>
                </c:pt>
                <c:pt idx="1">
                  <c:v>住房</c:v>
                </c:pt>
                <c:pt idx="2">
                  <c:v>网络</c:v>
                </c:pt>
                <c:pt idx="3">
                  <c:v>餐饮</c:v>
                </c:pt>
                <c:pt idx="4">
                  <c:v>水果</c:v>
                </c:pt>
                <c:pt idx="5">
                  <c:v>服饰</c:v>
                </c:pt>
                <c:pt idx="6">
                  <c:v>美妆</c:v>
                </c:pt>
                <c:pt idx="7">
                  <c:v>其他</c:v>
                </c:pt>
                <c:pt idx="8">
                  <c:v>人情</c:v>
                </c:pt>
                <c:pt idx="9">
                  <c:v>娱乐生活</c:v>
                </c:pt>
                <c:pt idx="10">
                  <c:v>教育</c:v>
                </c:pt>
              </c:strCache>
            </c:strRef>
          </c:cat>
          <c:val>
            <c:numRef>
              <c:f>chart!$B$2:$L$2</c:f>
              <c:numCache>
                <c:formatCode>General</c:formatCode>
                <c:ptCount val="11"/>
                <c:pt idx="0">
                  <c:v>810.2</c:v>
                </c:pt>
                <c:pt idx="1">
                  <c:v>3860</c:v>
                </c:pt>
                <c:pt idx="2">
                  <c:v>230</c:v>
                </c:pt>
                <c:pt idx="3">
                  <c:v>3932.63</c:v>
                </c:pt>
                <c:pt idx="4">
                  <c:v>188.7</c:v>
                </c:pt>
                <c:pt idx="5">
                  <c:v>433</c:v>
                </c:pt>
                <c:pt idx="6">
                  <c:v>1996.8</c:v>
                </c:pt>
                <c:pt idx="7">
                  <c:v>2497.51</c:v>
                </c:pt>
                <c:pt idx="8">
                  <c:v>1300</c:v>
                </c:pt>
                <c:pt idx="9">
                  <c:v>709.74</c:v>
                </c:pt>
                <c:pt idx="10">
                  <c:v>18048.43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22310720498"/>
          <c:y val="0.9530257657254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4109149277689"/>
          <c:y val="0.0337866857551897"/>
          <c:w val="0.901123595505618"/>
          <c:h val="0.899556191839656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chart!$B$1:$L$1</c:f>
              <c:strCache>
                <c:ptCount val="11"/>
                <c:pt idx="0">
                  <c:v>交通</c:v>
                </c:pt>
                <c:pt idx="1">
                  <c:v>住房</c:v>
                </c:pt>
                <c:pt idx="2">
                  <c:v>网络</c:v>
                </c:pt>
                <c:pt idx="3">
                  <c:v>餐饮</c:v>
                </c:pt>
                <c:pt idx="4">
                  <c:v>水果</c:v>
                </c:pt>
                <c:pt idx="5">
                  <c:v>服饰</c:v>
                </c:pt>
                <c:pt idx="6">
                  <c:v>美妆</c:v>
                </c:pt>
                <c:pt idx="7">
                  <c:v>其他</c:v>
                </c:pt>
                <c:pt idx="8">
                  <c:v>人情</c:v>
                </c:pt>
                <c:pt idx="9">
                  <c:v>娱乐生活</c:v>
                </c:pt>
                <c:pt idx="10">
                  <c:v>教育</c:v>
                </c:pt>
              </c:strCache>
            </c:strRef>
          </c:cat>
          <c:val>
            <c:numRef>
              <c:f>chart!$B$2:$L$2</c:f>
              <c:numCache>
                <c:formatCode>General</c:formatCode>
                <c:ptCount val="11"/>
                <c:pt idx="0">
                  <c:v>810.2</c:v>
                </c:pt>
                <c:pt idx="1">
                  <c:v>3860</c:v>
                </c:pt>
                <c:pt idx="2">
                  <c:v>230</c:v>
                </c:pt>
                <c:pt idx="3">
                  <c:v>3932.63</c:v>
                </c:pt>
                <c:pt idx="4">
                  <c:v>188.7</c:v>
                </c:pt>
                <c:pt idx="5">
                  <c:v>433</c:v>
                </c:pt>
                <c:pt idx="6">
                  <c:v>1996.8</c:v>
                </c:pt>
                <c:pt idx="7">
                  <c:v>2497.51</c:v>
                </c:pt>
                <c:pt idx="8">
                  <c:v>1300</c:v>
                </c:pt>
                <c:pt idx="9">
                  <c:v>709.74</c:v>
                </c:pt>
                <c:pt idx="10">
                  <c:v>18048.43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95760094"/>
        <c:axId val="846256947"/>
      </c:lineChart>
      <c:catAx>
        <c:axId val="69576009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256947"/>
        <c:crosses val="autoZero"/>
        <c:auto val="1"/>
        <c:lblAlgn val="ctr"/>
        <c:lblOffset val="100"/>
        <c:noMultiLvlLbl val="0"/>
      </c:catAx>
      <c:valAx>
        <c:axId val="8462569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7600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302895</xdr:colOff>
      <xdr:row>3</xdr:row>
      <xdr:rowOff>131445</xdr:rowOff>
    </xdr:from>
    <xdr:to>
      <xdr:col>10</xdr:col>
      <xdr:colOff>634365</xdr:colOff>
      <xdr:row>30</xdr:row>
      <xdr:rowOff>192405</xdr:rowOff>
    </xdr:to>
    <xdr:graphicFrame>
      <xdr:nvGraphicFramePr>
        <xdr:cNvPr id="3" name="图表 2"/>
        <xdr:cNvGraphicFramePr/>
      </xdr:nvGraphicFramePr>
      <xdr:xfrm>
        <a:off x="302895" y="1327785"/>
        <a:ext cx="6935470" cy="582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636270</xdr:colOff>
      <xdr:row>5</xdr:row>
      <xdr:rowOff>161925</xdr:rowOff>
    </xdr:from>
    <xdr:to>
      <xdr:col>15</xdr:col>
      <xdr:colOff>1144905</xdr:colOff>
      <xdr:row>26</xdr:row>
      <xdr:rowOff>152400</xdr:rowOff>
    </xdr:to>
    <xdr:graphicFrame>
      <xdr:nvGraphicFramePr>
        <xdr:cNvPr id="4" name="图表 3"/>
        <xdr:cNvGraphicFramePr/>
      </xdr:nvGraphicFramePr>
      <xdr:xfrm>
        <a:off x="7240270" y="1784985"/>
        <a:ext cx="6327775" cy="447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03"/>
  <sheetViews>
    <sheetView zoomScale="136" zoomScaleNormal="136" workbookViewId="0">
      <pane ySplit="1" topLeftCell="A162" activePane="bottomLeft" state="frozen"/>
      <selection/>
      <selection pane="bottomLeft" activeCell="N1" sqref="N1"/>
    </sheetView>
  </sheetViews>
  <sheetFormatPr defaultColWidth="9" defaultRowHeight="14.4"/>
  <cols>
    <col min="1" max="1" width="17.375" style="18" customWidth="1"/>
    <col min="2" max="2" width="10.875" style="19"/>
    <col min="3" max="4" width="9" style="18"/>
    <col min="5" max="5" width="9.25" style="20"/>
    <col min="6" max="6" width="9" style="21"/>
    <col min="7" max="7" width="9.44230769230769" style="22"/>
    <col min="8" max="8" width="15" style="21" customWidth="1"/>
    <col min="9" max="9" width="9" style="21"/>
    <col min="10" max="10" width="9" style="23"/>
    <col min="11" max="11" width="9" style="21"/>
    <col min="12" max="12" width="10.2211538461538" style="23"/>
    <col min="13" max="14" width="9" style="21"/>
    <col min="15" max="15" width="10.2211538461538" style="21"/>
    <col min="16" max="16384" width="9" style="18"/>
  </cols>
  <sheetData>
    <row r="1" spans="1:16">
      <c r="A1" s="24" t="s">
        <v>0</v>
      </c>
      <c r="B1" s="25" t="s">
        <v>1</v>
      </c>
      <c r="C1" s="24" t="s">
        <v>2</v>
      </c>
      <c r="D1" s="24" t="s">
        <v>3</v>
      </c>
      <c r="E1" s="29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32" t="s">
        <v>9</v>
      </c>
      <c r="K1" s="24" t="s">
        <v>10</v>
      </c>
      <c r="L1" s="32" t="s">
        <v>11</v>
      </c>
      <c r="M1" s="24" t="s">
        <v>12</v>
      </c>
      <c r="N1" s="24" t="s">
        <v>13</v>
      </c>
      <c r="O1" s="24" t="s">
        <v>14</v>
      </c>
      <c r="P1" s="34">
        <f>SUM(O:O)</f>
        <v>113808.63</v>
      </c>
    </row>
    <row r="2" spans="1:15">
      <c r="A2" s="26">
        <v>43897</v>
      </c>
      <c r="B2" s="27" t="s">
        <v>15</v>
      </c>
      <c r="C2" s="28" t="s">
        <v>16</v>
      </c>
      <c r="D2" s="28" t="s">
        <v>17</v>
      </c>
      <c r="E2" s="30">
        <f>WEEKDAY(A2,1)</f>
        <v>7</v>
      </c>
      <c r="F2" s="31">
        <v>0</v>
      </c>
      <c r="G2" s="28">
        <v>0</v>
      </c>
      <c r="H2" s="28">
        <f>2275+461+95+135</f>
        <v>2966</v>
      </c>
      <c r="I2" s="31">
        <v>0</v>
      </c>
      <c r="J2" s="32">
        <v>0</v>
      </c>
      <c r="K2" s="31">
        <v>0</v>
      </c>
      <c r="L2" s="32">
        <v>0</v>
      </c>
      <c r="M2" s="31">
        <v>0</v>
      </c>
      <c r="N2" s="28">
        <f>SUM(F2:M2)</f>
        <v>2966</v>
      </c>
      <c r="O2" s="28">
        <v>20000</v>
      </c>
    </row>
    <row r="3" spans="1:15">
      <c r="A3" s="26">
        <v>43898</v>
      </c>
      <c r="B3" s="27" t="s">
        <v>15</v>
      </c>
      <c r="C3" s="28" t="s">
        <v>16</v>
      </c>
      <c r="D3" s="28" t="s">
        <v>18</v>
      </c>
      <c r="E3" s="30">
        <f t="shared" ref="E3:E34" si="0">WEEKDAY(A3,1)</f>
        <v>1</v>
      </c>
      <c r="F3" s="31">
        <v>0</v>
      </c>
      <c r="G3" s="28">
        <v>165</v>
      </c>
      <c r="H3" s="28">
        <v>570</v>
      </c>
      <c r="I3" s="31">
        <v>0</v>
      </c>
      <c r="J3" s="32">
        <v>0</v>
      </c>
      <c r="K3" s="31">
        <v>0</v>
      </c>
      <c r="L3" s="32">
        <v>0</v>
      </c>
      <c r="M3" s="31">
        <v>0</v>
      </c>
      <c r="N3" s="28">
        <f t="shared" ref="N3:N34" si="1">SUM(F3:M3)</f>
        <v>735</v>
      </c>
      <c r="O3" s="28"/>
    </row>
    <row r="4" spans="1:15">
      <c r="A4" s="26">
        <v>43899</v>
      </c>
      <c r="B4" s="27" t="s">
        <v>15</v>
      </c>
      <c r="C4" s="28" t="s">
        <v>16</v>
      </c>
      <c r="D4" s="28" t="s">
        <v>19</v>
      </c>
      <c r="E4" s="30">
        <f t="shared" si="0"/>
        <v>2</v>
      </c>
      <c r="F4" s="31">
        <v>0</v>
      </c>
      <c r="G4" s="31">
        <v>0</v>
      </c>
      <c r="H4" s="31">
        <v>0</v>
      </c>
      <c r="I4" s="31">
        <v>0</v>
      </c>
      <c r="J4" s="32">
        <v>0</v>
      </c>
      <c r="K4" s="31">
        <v>0</v>
      </c>
      <c r="L4" s="32">
        <v>0</v>
      </c>
      <c r="M4" s="31">
        <v>0</v>
      </c>
      <c r="N4" s="28">
        <f t="shared" si="1"/>
        <v>0</v>
      </c>
      <c r="O4" s="28"/>
    </row>
    <row r="5" spans="1:15">
      <c r="A5" s="26">
        <v>43900</v>
      </c>
      <c r="B5" s="27" t="s">
        <v>15</v>
      </c>
      <c r="C5" s="28" t="s">
        <v>16</v>
      </c>
      <c r="D5" s="28" t="s">
        <v>20</v>
      </c>
      <c r="E5" s="30">
        <f t="shared" si="0"/>
        <v>3</v>
      </c>
      <c r="F5" s="31">
        <v>0</v>
      </c>
      <c r="G5" s="28">
        <f>93+35</f>
        <v>128</v>
      </c>
      <c r="H5" s="28">
        <v>40</v>
      </c>
      <c r="I5" s="28">
        <f>70+70</f>
        <v>140</v>
      </c>
      <c r="J5" s="32">
        <v>0</v>
      </c>
      <c r="K5" s="31">
        <v>0</v>
      </c>
      <c r="L5" s="32">
        <v>0</v>
      </c>
      <c r="M5" s="31">
        <v>0</v>
      </c>
      <c r="N5" s="28">
        <f t="shared" si="1"/>
        <v>308</v>
      </c>
      <c r="O5" s="28"/>
    </row>
    <row r="6" spans="1:15">
      <c r="A6" s="26">
        <v>43901</v>
      </c>
      <c r="B6" s="27" t="s">
        <v>15</v>
      </c>
      <c r="C6" s="28" t="s">
        <v>16</v>
      </c>
      <c r="D6" s="28" t="s">
        <v>21</v>
      </c>
      <c r="E6" s="30">
        <f t="shared" si="0"/>
        <v>4</v>
      </c>
      <c r="F6" s="31">
        <v>0</v>
      </c>
      <c r="G6" s="31">
        <v>0</v>
      </c>
      <c r="H6" s="31">
        <v>0</v>
      </c>
      <c r="I6" s="31">
        <v>0</v>
      </c>
      <c r="J6" s="32">
        <v>0</v>
      </c>
      <c r="K6" s="31">
        <v>0</v>
      </c>
      <c r="L6" s="32">
        <v>0</v>
      </c>
      <c r="M6" s="31">
        <v>0</v>
      </c>
      <c r="N6" s="28">
        <f t="shared" si="1"/>
        <v>0</v>
      </c>
      <c r="O6" s="28"/>
    </row>
    <row r="7" spans="1:15">
      <c r="A7" s="26">
        <v>43902</v>
      </c>
      <c r="B7" s="27" t="s">
        <v>15</v>
      </c>
      <c r="C7" s="28" t="s">
        <v>16</v>
      </c>
      <c r="D7" s="28" t="s">
        <v>22</v>
      </c>
      <c r="E7" s="30">
        <f t="shared" si="0"/>
        <v>5</v>
      </c>
      <c r="F7" s="31">
        <v>0</v>
      </c>
      <c r="G7" s="28">
        <v>83</v>
      </c>
      <c r="H7" s="31">
        <v>0</v>
      </c>
      <c r="I7" s="31">
        <v>0</v>
      </c>
      <c r="J7" s="32">
        <v>0</v>
      </c>
      <c r="K7" s="31">
        <v>0</v>
      </c>
      <c r="L7" s="32">
        <v>0</v>
      </c>
      <c r="M7" s="31">
        <v>0</v>
      </c>
      <c r="N7" s="28">
        <f t="shared" si="1"/>
        <v>83</v>
      </c>
      <c r="O7" s="28"/>
    </row>
    <row r="8" spans="1:15">
      <c r="A8" s="26">
        <v>43903</v>
      </c>
      <c r="B8" s="27" t="s">
        <v>15</v>
      </c>
      <c r="C8" s="28" t="s">
        <v>16</v>
      </c>
      <c r="D8" s="28" t="s">
        <v>23</v>
      </c>
      <c r="E8" s="30">
        <f t="shared" si="0"/>
        <v>6</v>
      </c>
      <c r="F8" s="31">
        <v>0</v>
      </c>
      <c r="G8" s="31">
        <v>0</v>
      </c>
      <c r="H8" s="31">
        <v>0</v>
      </c>
      <c r="I8" s="31">
        <v>0</v>
      </c>
      <c r="J8" s="32">
        <v>0</v>
      </c>
      <c r="K8" s="31">
        <v>0</v>
      </c>
      <c r="L8" s="32">
        <v>0</v>
      </c>
      <c r="M8" s="31">
        <v>0</v>
      </c>
      <c r="N8" s="28">
        <f t="shared" si="1"/>
        <v>0</v>
      </c>
      <c r="O8" s="28"/>
    </row>
    <row r="9" spans="1:15">
      <c r="A9" s="26">
        <v>43904</v>
      </c>
      <c r="B9" s="27" t="s">
        <v>15</v>
      </c>
      <c r="C9" s="28" t="s">
        <v>16</v>
      </c>
      <c r="D9" s="28" t="s">
        <v>24</v>
      </c>
      <c r="E9" s="30">
        <f t="shared" si="0"/>
        <v>7</v>
      </c>
      <c r="F9" s="31">
        <v>0</v>
      </c>
      <c r="G9" s="28">
        <v>25</v>
      </c>
      <c r="H9" s="31">
        <v>0</v>
      </c>
      <c r="I9" s="31">
        <v>0</v>
      </c>
      <c r="J9" s="32">
        <v>0</v>
      </c>
      <c r="K9" s="31">
        <v>0</v>
      </c>
      <c r="L9" s="32">
        <v>0</v>
      </c>
      <c r="M9" s="31">
        <v>0</v>
      </c>
      <c r="N9" s="28">
        <f t="shared" si="1"/>
        <v>25</v>
      </c>
      <c r="O9" s="28"/>
    </row>
    <row r="10" spans="1:15">
      <c r="A10" s="26">
        <v>43905</v>
      </c>
      <c r="B10" s="27" t="s">
        <v>15</v>
      </c>
      <c r="C10" s="28" t="s">
        <v>16</v>
      </c>
      <c r="D10" s="28" t="s">
        <v>25</v>
      </c>
      <c r="E10" s="30">
        <f t="shared" si="0"/>
        <v>1</v>
      </c>
      <c r="F10" s="31">
        <v>0</v>
      </c>
      <c r="G10" s="28">
        <v>118</v>
      </c>
      <c r="H10" s="31">
        <v>0</v>
      </c>
      <c r="I10" s="31">
        <v>0</v>
      </c>
      <c r="J10" s="32">
        <v>0</v>
      </c>
      <c r="K10" s="31">
        <v>0</v>
      </c>
      <c r="L10" s="32">
        <v>0</v>
      </c>
      <c r="M10" s="31">
        <v>0</v>
      </c>
      <c r="N10" s="28">
        <f t="shared" si="1"/>
        <v>118</v>
      </c>
      <c r="O10" s="28"/>
    </row>
    <row r="11" spans="1:15">
      <c r="A11" s="26">
        <v>43906</v>
      </c>
      <c r="B11" s="27" t="s">
        <v>15</v>
      </c>
      <c r="C11" s="28" t="s">
        <v>16</v>
      </c>
      <c r="D11" s="28" t="s">
        <v>26</v>
      </c>
      <c r="E11" s="30">
        <f t="shared" si="0"/>
        <v>2</v>
      </c>
      <c r="F11" s="31">
        <v>0</v>
      </c>
      <c r="G11" s="31">
        <v>0</v>
      </c>
      <c r="H11" s="31">
        <v>0</v>
      </c>
      <c r="I11" s="31">
        <v>0</v>
      </c>
      <c r="J11" s="32">
        <v>0</v>
      </c>
      <c r="K11" s="31">
        <v>0</v>
      </c>
      <c r="L11" s="32">
        <v>0</v>
      </c>
      <c r="M11" s="31">
        <v>0</v>
      </c>
      <c r="N11" s="28">
        <f t="shared" si="1"/>
        <v>0</v>
      </c>
      <c r="O11" s="28"/>
    </row>
    <row r="12" spans="1:15">
      <c r="A12" s="26">
        <v>43907</v>
      </c>
      <c r="B12" s="27" t="s">
        <v>15</v>
      </c>
      <c r="C12" s="28" t="s">
        <v>16</v>
      </c>
      <c r="D12" s="28" t="s">
        <v>27</v>
      </c>
      <c r="E12" s="30">
        <f t="shared" si="0"/>
        <v>3</v>
      </c>
      <c r="F12" s="31">
        <v>0</v>
      </c>
      <c r="G12" s="28">
        <v>72</v>
      </c>
      <c r="H12" s="31">
        <v>0</v>
      </c>
      <c r="I12" s="31">
        <v>0</v>
      </c>
      <c r="J12" s="32">
        <v>0</v>
      </c>
      <c r="K12" s="31">
        <v>0</v>
      </c>
      <c r="L12" s="32">
        <v>0</v>
      </c>
      <c r="M12" s="31">
        <v>0</v>
      </c>
      <c r="N12" s="28">
        <f t="shared" si="1"/>
        <v>72</v>
      </c>
      <c r="O12" s="28"/>
    </row>
    <row r="13" spans="1:15">
      <c r="A13" s="26">
        <v>43908</v>
      </c>
      <c r="B13" s="27" t="s">
        <v>15</v>
      </c>
      <c r="C13" s="28" t="s">
        <v>16</v>
      </c>
      <c r="D13" s="28" t="s">
        <v>28</v>
      </c>
      <c r="E13" s="30">
        <f t="shared" si="0"/>
        <v>4</v>
      </c>
      <c r="F13" s="31">
        <v>0</v>
      </c>
      <c r="G13" s="28">
        <v>153</v>
      </c>
      <c r="H13" s="31">
        <v>0</v>
      </c>
      <c r="I13" s="31">
        <v>0</v>
      </c>
      <c r="J13" s="32">
        <v>0</v>
      </c>
      <c r="K13" s="31">
        <v>0</v>
      </c>
      <c r="L13" s="32">
        <v>0</v>
      </c>
      <c r="M13" s="31">
        <v>0</v>
      </c>
      <c r="N13" s="28">
        <f t="shared" si="1"/>
        <v>153</v>
      </c>
      <c r="O13" s="28"/>
    </row>
    <row r="14" spans="1:15">
      <c r="A14" s="26">
        <v>43909</v>
      </c>
      <c r="B14" s="27" t="s">
        <v>15</v>
      </c>
      <c r="C14" s="28" t="s">
        <v>16</v>
      </c>
      <c r="D14" s="28" t="s">
        <v>29</v>
      </c>
      <c r="E14" s="30">
        <f t="shared" si="0"/>
        <v>5</v>
      </c>
      <c r="F14" s="31">
        <v>0</v>
      </c>
      <c r="G14" s="31">
        <v>0</v>
      </c>
      <c r="H14" s="31">
        <v>0</v>
      </c>
      <c r="I14" s="31">
        <v>0</v>
      </c>
      <c r="J14" s="32">
        <v>0</v>
      </c>
      <c r="K14" s="31">
        <v>0</v>
      </c>
      <c r="L14" s="32">
        <v>0</v>
      </c>
      <c r="M14" s="31">
        <v>0</v>
      </c>
      <c r="N14" s="28">
        <f t="shared" si="1"/>
        <v>0</v>
      </c>
      <c r="O14" s="28"/>
    </row>
    <row r="15" spans="1:15">
      <c r="A15" s="26">
        <v>43910</v>
      </c>
      <c r="B15" s="27" t="s">
        <v>15</v>
      </c>
      <c r="C15" s="28" t="s">
        <v>16</v>
      </c>
      <c r="D15" s="28" t="s">
        <v>30</v>
      </c>
      <c r="E15" s="30">
        <f t="shared" si="0"/>
        <v>6</v>
      </c>
      <c r="F15" s="31">
        <v>0</v>
      </c>
      <c r="G15" s="28">
        <v>57</v>
      </c>
      <c r="H15" s="28">
        <v>133</v>
      </c>
      <c r="I15" s="31">
        <v>0</v>
      </c>
      <c r="J15" s="32">
        <v>0</v>
      </c>
      <c r="K15" s="31">
        <v>0</v>
      </c>
      <c r="L15" s="32">
        <v>0</v>
      </c>
      <c r="M15" s="31">
        <v>0</v>
      </c>
      <c r="N15" s="28">
        <f t="shared" si="1"/>
        <v>190</v>
      </c>
      <c r="O15" s="28"/>
    </row>
    <row r="16" spans="1:15">
      <c r="A16" s="26">
        <v>43911</v>
      </c>
      <c r="B16" s="27" t="s">
        <v>15</v>
      </c>
      <c r="C16" s="28" t="s">
        <v>16</v>
      </c>
      <c r="D16" s="28" t="s">
        <v>31</v>
      </c>
      <c r="E16" s="30">
        <f t="shared" si="0"/>
        <v>7</v>
      </c>
      <c r="F16" s="31">
        <v>0</v>
      </c>
      <c r="G16" s="31">
        <v>0</v>
      </c>
      <c r="H16" s="31">
        <v>0</v>
      </c>
      <c r="I16" s="31">
        <v>0</v>
      </c>
      <c r="J16" s="32">
        <v>0</v>
      </c>
      <c r="K16" s="31">
        <v>0</v>
      </c>
      <c r="L16" s="32">
        <v>0</v>
      </c>
      <c r="M16" s="31">
        <v>0</v>
      </c>
      <c r="N16" s="28">
        <f t="shared" si="1"/>
        <v>0</v>
      </c>
      <c r="O16" s="28"/>
    </row>
    <row r="17" spans="1:15">
      <c r="A17" s="26">
        <v>43912</v>
      </c>
      <c r="B17" s="27" t="s">
        <v>15</v>
      </c>
      <c r="C17" s="28" t="s">
        <v>16</v>
      </c>
      <c r="D17" s="28" t="s">
        <v>32</v>
      </c>
      <c r="E17" s="30">
        <f t="shared" si="0"/>
        <v>1</v>
      </c>
      <c r="F17" s="31">
        <v>0</v>
      </c>
      <c r="G17" s="31">
        <v>0</v>
      </c>
      <c r="H17" s="28">
        <v>165</v>
      </c>
      <c r="I17" s="31">
        <v>0</v>
      </c>
      <c r="J17" s="32">
        <v>0</v>
      </c>
      <c r="K17" s="31">
        <v>0</v>
      </c>
      <c r="L17" s="32">
        <v>0</v>
      </c>
      <c r="M17" s="31">
        <v>0</v>
      </c>
      <c r="N17" s="28">
        <f t="shared" si="1"/>
        <v>165</v>
      </c>
      <c r="O17" s="28"/>
    </row>
    <row r="18" spans="1:15">
      <c r="A18" s="26">
        <v>43913</v>
      </c>
      <c r="B18" s="27" t="s">
        <v>15</v>
      </c>
      <c r="C18" s="28" t="s">
        <v>16</v>
      </c>
      <c r="D18" s="28" t="s">
        <v>33</v>
      </c>
      <c r="E18" s="30">
        <f t="shared" si="0"/>
        <v>2</v>
      </c>
      <c r="F18" s="28">
        <v>45</v>
      </c>
      <c r="G18" s="28">
        <v>36</v>
      </c>
      <c r="H18" s="31">
        <v>0</v>
      </c>
      <c r="I18" s="31">
        <v>0</v>
      </c>
      <c r="J18" s="32">
        <v>0</v>
      </c>
      <c r="K18" s="31">
        <v>0</v>
      </c>
      <c r="L18" s="32">
        <v>0</v>
      </c>
      <c r="M18" s="31">
        <v>0</v>
      </c>
      <c r="N18" s="28">
        <f t="shared" si="1"/>
        <v>81</v>
      </c>
      <c r="O18" s="28"/>
    </row>
    <row r="19" spans="1:15">
      <c r="A19" s="26">
        <v>43914</v>
      </c>
      <c r="B19" s="27" t="s">
        <v>15</v>
      </c>
      <c r="C19" s="28" t="s">
        <v>16</v>
      </c>
      <c r="D19" s="28" t="s">
        <v>34</v>
      </c>
      <c r="E19" s="30">
        <f t="shared" si="0"/>
        <v>3</v>
      </c>
      <c r="F19" s="28">
        <v>58</v>
      </c>
      <c r="G19" s="31">
        <v>0</v>
      </c>
      <c r="H19" s="31">
        <v>0</v>
      </c>
      <c r="I19" s="31">
        <v>0</v>
      </c>
      <c r="J19" s="32">
        <v>0</v>
      </c>
      <c r="K19" s="31">
        <v>0</v>
      </c>
      <c r="L19" s="32">
        <v>0</v>
      </c>
      <c r="M19" s="31">
        <v>0</v>
      </c>
      <c r="N19" s="28">
        <f t="shared" si="1"/>
        <v>58</v>
      </c>
      <c r="O19" s="28"/>
    </row>
    <row r="20" spans="1:15">
      <c r="A20" s="26">
        <v>43915</v>
      </c>
      <c r="B20" s="27" t="s">
        <v>15</v>
      </c>
      <c r="C20" s="28" t="s">
        <v>16</v>
      </c>
      <c r="D20" s="28" t="s">
        <v>35</v>
      </c>
      <c r="E20" s="30">
        <f t="shared" si="0"/>
        <v>4</v>
      </c>
      <c r="F20" s="28">
        <v>54</v>
      </c>
      <c r="G20" s="28">
        <v>57</v>
      </c>
      <c r="H20" s="31">
        <v>0</v>
      </c>
      <c r="I20" s="31">
        <v>0</v>
      </c>
      <c r="J20" s="32">
        <v>0</v>
      </c>
      <c r="K20" s="31">
        <v>0</v>
      </c>
      <c r="L20" s="32">
        <v>0</v>
      </c>
      <c r="M20" s="31">
        <v>0</v>
      </c>
      <c r="N20" s="28">
        <f t="shared" si="1"/>
        <v>111</v>
      </c>
      <c r="O20" s="28"/>
    </row>
    <row r="21" spans="1:15">
      <c r="A21" s="26">
        <v>43916</v>
      </c>
      <c r="B21" s="27" t="s">
        <v>15</v>
      </c>
      <c r="C21" s="28" t="s">
        <v>16</v>
      </c>
      <c r="D21" s="28" t="s">
        <v>36</v>
      </c>
      <c r="E21" s="30">
        <f t="shared" si="0"/>
        <v>5</v>
      </c>
      <c r="F21" s="28">
        <v>34</v>
      </c>
      <c r="G21" s="28">
        <v>44</v>
      </c>
      <c r="H21" s="31">
        <v>0</v>
      </c>
      <c r="I21" s="31">
        <v>0</v>
      </c>
      <c r="J21" s="32">
        <v>0</v>
      </c>
      <c r="K21" s="31">
        <v>0</v>
      </c>
      <c r="L21" s="32">
        <v>0</v>
      </c>
      <c r="M21" s="31">
        <v>0</v>
      </c>
      <c r="N21" s="28">
        <f t="shared" si="1"/>
        <v>78</v>
      </c>
      <c r="O21" s="28">
        <v>1748</v>
      </c>
    </row>
    <row r="22" spans="1:15">
      <c r="A22" s="26">
        <v>43917</v>
      </c>
      <c r="B22" s="27" t="s">
        <v>15</v>
      </c>
      <c r="C22" s="28" t="s">
        <v>16</v>
      </c>
      <c r="D22" s="28" t="s">
        <v>37</v>
      </c>
      <c r="E22" s="30">
        <f t="shared" si="0"/>
        <v>6</v>
      </c>
      <c r="F22" s="28">
        <v>14</v>
      </c>
      <c r="G22" s="28">
        <v>58</v>
      </c>
      <c r="H22" s="31">
        <v>0</v>
      </c>
      <c r="I22" s="31">
        <v>0</v>
      </c>
      <c r="J22" s="32">
        <v>0</v>
      </c>
      <c r="K22" s="31">
        <v>0</v>
      </c>
      <c r="L22" s="32">
        <v>0</v>
      </c>
      <c r="M22" s="31">
        <v>0</v>
      </c>
      <c r="N22" s="28">
        <f t="shared" si="1"/>
        <v>72</v>
      </c>
      <c r="O22" s="28">
        <v>2638</v>
      </c>
    </row>
    <row r="23" spans="1:15">
      <c r="A23" s="26">
        <v>43918</v>
      </c>
      <c r="B23" s="27" t="s">
        <v>15</v>
      </c>
      <c r="C23" s="28" t="s">
        <v>16</v>
      </c>
      <c r="D23" s="28" t="s">
        <v>38</v>
      </c>
      <c r="E23" s="30">
        <f t="shared" si="0"/>
        <v>7</v>
      </c>
      <c r="F23" s="28">
        <v>43</v>
      </c>
      <c r="G23" s="31">
        <v>0</v>
      </c>
      <c r="H23" s="28">
        <v>44</v>
      </c>
      <c r="I23" s="31">
        <v>0</v>
      </c>
      <c r="J23" s="32">
        <v>0</v>
      </c>
      <c r="K23" s="31">
        <v>0</v>
      </c>
      <c r="L23" s="32">
        <v>0</v>
      </c>
      <c r="M23" s="31">
        <v>0</v>
      </c>
      <c r="N23" s="28">
        <f t="shared" si="1"/>
        <v>87</v>
      </c>
      <c r="O23" s="28">
        <v>-1000</v>
      </c>
    </row>
    <row r="24" spans="1:15">
      <c r="A24" s="26">
        <v>43919</v>
      </c>
      <c r="B24" s="27" t="s">
        <v>15</v>
      </c>
      <c r="C24" s="28" t="s">
        <v>16</v>
      </c>
      <c r="D24" s="28" t="s">
        <v>39</v>
      </c>
      <c r="E24" s="30">
        <f t="shared" si="0"/>
        <v>1</v>
      </c>
      <c r="F24" s="31">
        <v>0</v>
      </c>
      <c r="G24" s="31">
        <v>0</v>
      </c>
      <c r="H24" s="28">
        <v>20</v>
      </c>
      <c r="I24" s="31">
        <v>0</v>
      </c>
      <c r="J24" s="32">
        <v>0</v>
      </c>
      <c r="K24" s="31">
        <v>0</v>
      </c>
      <c r="L24" s="32">
        <v>0</v>
      </c>
      <c r="M24" s="31">
        <v>0</v>
      </c>
      <c r="N24" s="28">
        <f t="shared" si="1"/>
        <v>20</v>
      </c>
      <c r="O24" s="28"/>
    </row>
    <row r="25" spans="1:15">
      <c r="A25" s="26">
        <v>43920</v>
      </c>
      <c r="B25" s="27" t="s">
        <v>15</v>
      </c>
      <c r="C25" s="28" t="s">
        <v>16</v>
      </c>
      <c r="D25" s="28" t="s">
        <v>40</v>
      </c>
      <c r="E25" s="30">
        <f t="shared" si="0"/>
        <v>2</v>
      </c>
      <c r="F25" s="28">
        <v>30</v>
      </c>
      <c r="G25" s="28">
        <v>20</v>
      </c>
      <c r="H25" s="28">
        <v>76</v>
      </c>
      <c r="I25" s="31">
        <v>0</v>
      </c>
      <c r="J25" s="32">
        <v>0</v>
      </c>
      <c r="K25" s="31">
        <v>0</v>
      </c>
      <c r="L25" s="32">
        <v>0</v>
      </c>
      <c r="M25" s="31">
        <v>0</v>
      </c>
      <c r="N25" s="28">
        <f t="shared" si="1"/>
        <v>126</v>
      </c>
      <c r="O25" s="28"/>
    </row>
    <row r="26" spans="1:15">
      <c r="A26" s="26">
        <v>43921</v>
      </c>
      <c r="B26" s="27" t="s">
        <v>15</v>
      </c>
      <c r="C26" s="28" t="s">
        <v>16</v>
      </c>
      <c r="D26" s="28" t="s">
        <v>41</v>
      </c>
      <c r="E26" s="30">
        <f t="shared" si="0"/>
        <v>3</v>
      </c>
      <c r="F26" s="28">
        <v>32</v>
      </c>
      <c r="G26" s="28">
        <v>20</v>
      </c>
      <c r="H26" s="28">
        <v>33</v>
      </c>
      <c r="I26" s="31">
        <v>0</v>
      </c>
      <c r="J26" s="32">
        <v>0</v>
      </c>
      <c r="K26" s="31">
        <v>0</v>
      </c>
      <c r="L26" s="32">
        <v>0</v>
      </c>
      <c r="M26" s="31">
        <v>0</v>
      </c>
      <c r="N26" s="28">
        <f t="shared" si="1"/>
        <v>85</v>
      </c>
      <c r="O26" s="28"/>
    </row>
    <row r="27" spans="1:15">
      <c r="A27" s="26">
        <v>43922</v>
      </c>
      <c r="B27" s="27" t="s">
        <v>15</v>
      </c>
      <c r="C27" s="28" t="s">
        <v>42</v>
      </c>
      <c r="D27" s="28" t="s">
        <v>43</v>
      </c>
      <c r="E27" s="30">
        <f t="shared" si="0"/>
        <v>4</v>
      </c>
      <c r="F27" s="28">
        <v>30</v>
      </c>
      <c r="G27" s="28">
        <f>20+35</f>
        <v>55</v>
      </c>
      <c r="H27" s="31">
        <v>0</v>
      </c>
      <c r="I27" s="31">
        <v>0</v>
      </c>
      <c r="J27" s="32">
        <v>0</v>
      </c>
      <c r="K27" s="31">
        <v>0</v>
      </c>
      <c r="L27" s="32">
        <v>0</v>
      </c>
      <c r="M27" s="31">
        <v>0</v>
      </c>
      <c r="N27" s="28">
        <f t="shared" si="1"/>
        <v>85</v>
      </c>
      <c r="O27" s="28"/>
    </row>
    <row r="28" spans="1:15">
      <c r="A28" s="26">
        <v>43923</v>
      </c>
      <c r="B28" s="27" t="s">
        <v>15</v>
      </c>
      <c r="C28" s="28" t="s">
        <v>42</v>
      </c>
      <c r="D28" s="28" t="s">
        <v>44</v>
      </c>
      <c r="E28" s="30">
        <f t="shared" si="0"/>
        <v>5</v>
      </c>
      <c r="F28" s="28">
        <v>12</v>
      </c>
      <c r="G28" s="28">
        <f>30+37+42</f>
        <v>109</v>
      </c>
      <c r="H28" s="31">
        <v>0</v>
      </c>
      <c r="I28" s="31">
        <v>0</v>
      </c>
      <c r="J28" s="32">
        <v>0</v>
      </c>
      <c r="K28" s="31">
        <v>0</v>
      </c>
      <c r="L28" s="32">
        <v>0</v>
      </c>
      <c r="M28" s="31">
        <v>0</v>
      </c>
      <c r="N28" s="28">
        <f t="shared" si="1"/>
        <v>121</v>
      </c>
      <c r="O28" s="28"/>
    </row>
    <row r="29" spans="1:15">
      <c r="A29" s="26">
        <v>43924</v>
      </c>
      <c r="B29" s="27" t="s">
        <v>15</v>
      </c>
      <c r="C29" s="28" t="s">
        <v>42</v>
      </c>
      <c r="D29" s="28" t="s">
        <v>45</v>
      </c>
      <c r="E29" s="30">
        <f t="shared" si="0"/>
        <v>6</v>
      </c>
      <c r="F29" s="28">
        <v>44</v>
      </c>
      <c r="G29" s="28">
        <f>32+125</f>
        <v>157</v>
      </c>
      <c r="H29" s="31">
        <v>0</v>
      </c>
      <c r="I29" s="31">
        <v>0</v>
      </c>
      <c r="J29" s="32">
        <v>0</v>
      </c>
      <c r="K29" s="31">
        <v>0</v>
      </c>
      <c r="L29" s="32">
        <v>0</v>
      </c>
      <c r="M29" s="31">
        <v>0</v>
      </c>
      <c r="N29" s="28">
        <f t="shared" si="1"/>
        <v>201</v>
      </c>
      <c r="O29" s="28"/>
    </row>
    <row r="30" spans="1:15">
      <c r="A30" s="26">
        <v>43925</v>
      </c>
      <c r="B30" s="27" t="s">
        <v>15</v>
      </c>
      <c r="C30" s="28" t="s">
        <v>42</v>
      </c>
      <c r="D30" s="28" t="s">
        <v>46</v>
      </c>
      <c r="E30" s="30">
        <f t="shared" si="0"/>
        <v>7</v>
      </c>
      <c r="F30" s="28">
        <v>17</v>
      </c>
      <c r="G30" s="28">
        <f>17+67</f>
        <v>84</v>
      </c>
      <c r="H30" s="31">
        <v>0</v>
      </c>
      <c r="I30" s="31">
        <v>0</v>
      </c>
      <c r="J30" s="32">
        <v>0</v>
      </c>
      <c r="K30" s="31">
        <v>0</v>
      </c>
      <c r="L30" s="32">
        <v>0</v>
      </c>
      <c r="M30" s="31">
        <v>0</v>
      </c>
      <c r="N30" s="28">
        <f t="shared" si="1"/>
        <v>101</v>
      </c>
      <c r="O30" s="35"/>
    </row>
    <row r="31" spans="1:15">
      <c r="A31" s="26">
        <v>43926</v>
      </c>
      <c r="B31" s="27" t="s">
        <v>15</v>
      </c>
      <c r="C31" s="28" t="s">
        <v>42</v>
      </c>
      <c r="D31" s="28" t="s">
        <v>47</v>
      </c>
      <c r="E31" s="30">
        <f t="shared" si="0"/>
        <v>1</v>
      </c>
      <c r="F31" s="28">
        <v>56</v>
      </c>
      <c r="G31" s="28">
        <v>10</v>
      </c>
      <c r="H31" s="28">
        <f>427+232+2547</f>
        <v>3206</v>
      </c>
      <c r="I31" s="31">
        <v>0</v>
      </c>
      <c r="J31" s="32">
        <v>0</v>
      </c>
      <c r="K31" s="31">
        <v>0</v>
      </c>
      <c r="L31" s="32">
        <v>0</v>
      </c>
      <c r="M31" s="31">
        <v>0</v>
      </c>
      <c r="N31" s="28">
        <f t="shared" si="1"/>
        <v>3272</v>
      </c>
      <c r="O31" s="36">
        <v>1850</v>
      </c>
    </row>
    <row r="32" spans="1:15">
      <c r="A32" s="26">
        <v>43927</v>
      </c>
      <c r="B32" s="27" t="s">
        <v>15</v>
      </c>
      <c r="C32" s="28" t="s">
        <v>42</v>
      </c>
      <c r="D32" s="28" t="s">
        <v>48</v>
      </c>
      <c r="E32" s="30">
        <f t="shared" si="0"/>
        <v>2</v>
      </c>
      <c r="F32" s="31">
        <v>0</v>
      </c>
      <c r="G32" s="31">
        <v>0</v>
      </c>
      <c r="H32" s="28">
        <f>109+313+103</f>
        <v>525</v>
      </c>
      <c r="I32" s="28">
        <v>472</v>
      </c>
      <c r="J32" s="32">
        <v>0</v>
      </c>
      <c r="K32" s="31">
        <v>0</v>
      </c>
      <c r="L32" s="32">
        <v>0</v>
      </c>
      <c r="M32" s="31">
        <v>0</v>
      </c>
      <c r="N32" s="28">
        <f t="shared" si="1"/>
        <v>997</v>
      </c>
      <c r="O32" s="28"/>
    </row>
    <row r="33" spans="1:15">
      <c r="A33" s="26">
        <v>43928</v>
      </c>
      <c r="B33" s="27" t="s">
        <v>15</v>
      </c>
      <c r="C33" s="28" t="s">
        <v>42</v>
      </c>
      <c r="D33" s="28" t="s">
        <v>17</v>
      </c>
      <c r="E33" s="30">
        <f t="shared" si="0"/>
        <v>3</v>
      </c>
      <c r="F33" s="28">
        <v>12</v>
      </c>
      <c r="G33" s="31">
        <v>0</v>
      </c>
      <c r="H33" s="28">
        <f>52+21</f>
        <v>73</v>
      </c>
      <c r="I33" s="31">
        <v>0</v>
      </c>
      <c r="J33" s="32">
        <v>0</v>
      </c>
      <c r="K33" s="31">
        <v>0</v>
      </c>
      <c r="L33" s="32">
        <v>0</v>
      </c>
      <c r="M33" s="31">
        <v>0</v>
      </c>
      <c r="N33" s="28">
        <f t="shared" si="1"/>
        <v>85</v>
      </c>
      <c r="O33" s="28"/>
    </row>
    <row r="34" spans="1:15">
      <c r="A34" s="26">
        <v>43929</v>
      </c>
      <c r="B34" s="27" t="s">
        <v>15</v>
      </c>
      <c r="C34" s="28" t="s">
        <v>42</v>
      </c>
      <c r="D34" s="28" t="s">
        <v>18</v>
      </c>
      <c r="E34" s="30">
        <f t="shared" si="0"/>
        <v>4</v>
      </c>
      <c r="F34" s="31">
        <v>0</v>
      </c>
      <c r="G34" s="31">
        <v>0</v>
      </c>
      <c r="H34" s="28">
        <f>36+25</f>
        <v>61</v>
      </c>
      <c r="I34" s="31">
        <v>0</v>
      </c>
      <c r="J34" s="32">
        <v>0</v>
      </c>
      <c r="K34" s="31">
        <v>0</v>
      </c>
      <c r="L34" s="32">
        <v>0</v>
      </c>
      <c r="M34" s="31">
        <v>0</v>
      </c>
      <c r="N34" s="28">
        <f t="shared" si="1"/>
        <v>61</v>
      </c>
      <c r="O34" s="28"/>
    </row>
    <row r="35" spans="1:15">
      <c r="A35" s="26">
        <v>43930</v>
      </c>
      <c r="B35" s="27" t="s">
        <v>15</v>
      </c>
      <c r="C35" s="28" t="s">
        <v>42</v>
      </c>
      <c r="D35" s="28" t="s">
        <v>19</v>
      </c>
      <c r="E35" s="30">
        <f t="shared" ref="E35:E66" si="2">WEEKDAY(A35,1)</f>
        <v>5</v>
      </c>
      <c r="F35" s="31">
        <v>0</v>
      </c>
      <c r="G35" s="31">
        <v>0</v>
      </c>
      <c r="H35" s="28">
        <f>49+13</f>
        <v>62</v>
      </c>
      <c r="I35" s="31">
        <v>0</v>
      </c>
      <c r="J35" s="32">
        <v>0</v>
      </c>
      <c r="K35" s="31">
        <v>0</v>
      </c>
      <c r="L35" s="32">
        <v>0</v>
      </c>
      <c r="M35" s="31">
        <v>0</v>
      </c>
      <c r="N35" s="28">
        <f t="shared" ref="N35:N66" si="3">SUM(F35:M35)</f>
        <v>62</v>
      </c>
      <c r="O35" s="28"/>
    </row>
    <row r="36" spans="1:15">
      <c r="A36" s="26">
        <v>43931</v>
      </c>
      <c r="B36" s="27" t="s">
        <v>15</v>
      </c>
      <c r="C36" s="28" t="s">
        <v>42</v>
      </c>
      <c r="D36" s="28" t="s">
        <v>20</v>
      </c>
      <c r="E36" s="30">
        <f t="shared" si="2"/>
        <v>6</v>
      </c>
      <c r="F36" s="31">
        <v>0</v>
      </c>
      <c r="G36" s="28">
        <v>36</v>
      </c>
      <c r="H36" s="31">
        <v>0</v>
      </c>
      <c r="I36" s="28">
        <f>89+29+59+20</f>
        <v>197</v>
      </c>
      <c r="J36" s="32">
        <v>0</v>
      </c>
      <c r="K36" s="31">
        <v>0</v>
      </c>
      <c r="L36" s="32">
        <v>0</v>
      </c>
      <c r="M36" s="31">
        <v>0</v>
      </c>
      <c r="N36" s="28">
        <f t="shared" si="3"/>
        <v>233</v>
      </c>
      <c r="O36" s="28"/>
    </row>
    <row r="37" spans="1:15">
      <c r="A37" s="26">
        <v>43932</v>
      </c>
      <c r="B37" s="27" t="s">
        <v>15</v>
      </c>
      <c r="C37" s="28" t="s">
        <v>42</v>
      </c>
      <c r="D37" s="28" t="s">
        <v>21</v>
      </c>
      <c r="E37" s="30">
        <f t="shared" si="2"/>
        <v>7</v>
      </c>
      <c r="F37" s="28">
        <v>4</v>
      </c>
      <c r="G37" s="28">
        <v>22</v>
      </c>
      <c r="H37" s="28">
        <v>61</v>
      </c>
      <c r="I37" s="31">
        <v>0</v>
      </c>
      <c r="J37" s="32">
        <v>0</v>
      </c>
      <c r="K37" s="31">
        <v>0</v>
      </c>
      <c r="L37" s="32">
        <v>0</v>
      </c>
      <c r="M37" s="31">
        <v>0</v>
      </c>
      <c r="N37" s="28">
        <f t="shared" si="3"/>
        <v>87</v>
      </c>
      <c r="O37" s="28"/>
    </row>
    <row r="38" spans="1:15">
      <c r="A38" s="26">
        <v>43933</v>
      </c>
      <c r="B38" s="27" t="s">
        <v>15</v>
      </c>
      <c r="C38" s="28" t="s">
        <v>42</v>
      </c>
      <c r="D38" s="28" t="s">
        <v>22</v>
      </c>
      <c r="E38" s="30">
        <f t="shared" si="2"/>
        <v>1</v>
      </c>
      <c r="F38" s="31">
        <v>0</v>
      </c>
      <c r="G38" s="28">
        <f>12+25+129</f>
        <v>166</v>
      </c>
      <c r="H38" s="31">
        <v>0</v>
      </c>
      <c r="I38" s="28">
        <v>213</v>
      </c>
      <c r="J38" s="32">
        <v>0</v>
      </c>
      <c r="K38" s="31">
        <v>0</v>
      </c>
      <c r="L38" s="32">
        <v>0</v>
      </c>
      <c r="M38" s="31">
        <v>0</v>
      </c>
      <c r="N38" s="28">
        <f t="shared" si="3"/>
        <v>379</v>
      </c>
      <c r="O38" s="28"/>
    </row>
    <row r="39" spans="1:15">
      <c r="A39" s="26">
        <v>43934</v>
      </c>
      <c r="B39" s="27" t="s">
        <v>15</v>
      </c>
      <c r="C39" s="28" t="s">
        <v>42</v>
      </c>
      <c r="D39" s="28" t="s">
        <v>23</v>
      </c>
      <c r="E39" s="30">
        <f t="shared" si="2"/>
        <v>2</v>
      </c>
      <c r="F39" s="28">
        <v>56</v>
      </c>
      <c r="G39" s="31">
        <v>0</v>
      </c>
      <c r="H39" s="28">
        <f>38+12.5</f>
        <v>50.5</v>
      </c>
      <c r="I39" s="28">
        <v>2177</v>
      </c>
      <c r="J39" s="32">
        <v>0</v>
      </c>
      <c r="K39" s="31">
        <v>0</v>
      </c>
      <c r="L39" s="32">
        <v>0</v>
      </c>
      <c r="M39" s="31">
        <v>0</v>
      </c>
      <c r="N39" s="28">
        <f t="shared" si="3"/>
        <v>2283.5</v>
      </c>
      <c r="O39" s="28"/>
    </row>
    <row r="40" spans="1:15">
      <c r="A40" s="26">
        <v>43935</v>
      </c>
      <c r="B40" s="27" t="s">
        <v>15</v>
      </c>
      <c r="C40" s="28" t="s">
        <v>42</v>
      </c>
      <c r="D40" s="28" t="s">
        <v>24</v>
      </c>
      <c r="E40" s="30">
        <f t="shared" si="2"/>
        <v>3</v>
      </c>
      <c r="F40" s="28">
        <v>50</v>
      </c>
      <c r="G40" s="31">
        <v>0</v>
      </c>
      <c r="H40" s="28">
        <v>31</v>
      </c>
      <c r="I40" s="31">
        <v>0</v>
      </c>
      <c r="J40" s="32">
        <v>0</v>
      </c>
      <c r="K40" s="31">
        <v>0</v>
      </c>
      <c r="L40" s="32">
        <v>0</v>
      </c>
      <c r="M40" s="31">
        <v>0</v>
      </c>
      <c r="N40" s="28">
        <f t="shared" si="3"/>
        <v>81</v>
      </c>
      <c r="O40" s="28"/>
    </row>
    <row r="41" spans="1:15">
      <c r="A41" s="26">
        <v>43936</v>
      </c>
      <c r="B41" s="27" t="s">
        <v>15</v>
      </c>
      <c r="C41" s="28" t="s">
        <v>42</v>
      </c>
      <c r="D41" s="28" t="s">
        <v>25</v>
      </c>
      <c r="E41" s="30">
        <f t="shared" si="2"/>
        <v>4</v>
      </c>
      <c r="F41" s="31">
        <v>0</v>
      </c>
      <c r="G41" s="31">
        <v>0</v>
      </c>
      <c r="H41" s="28">
        <f>44+20</f>
        <v>64</v>
      </c>
      <c r="I41" s="31">
        <v>0</v>
      </c>
      <c r="J41" s="32">
        <v>0</v>
      </c>
      <c r="K41" s="31">
        <v>0</v>
      </c>
      <c r="L41" s="32">
        <v>0</v>
      </c>
      <c r="M41" s="31">
        <v>0</v>
      </c>
      <c r="N41" s="28">
        <f t="shared" si="3"/>
        <v>64</v>
      </c>
      <c r="O41" s="36">
        <f>4885/2</f>
        <v>2442.5</v>
      </c>
    </row>
    <row r="42" spans="1:15">
      <c r="A42" s="26">
        <v>43937</v>
      </c>
      <c r="B42" s="27" t="s">
        <v>15</v>
      </c>
      <c r="C42" s="28" t="s">
        <v>42</v>
      </c>
      <c r="D42" s="28" t="s">
        <v>26</v>
      </c>
      <c r="E42" s="30">
        <f t="shared" si="2"/>
        <v>5</v>
      </c>
      <c r="F42" s="28">
        <v>12</v>
      </c>
      <c r="G42" s="31">
        <v>0</v>
      </c>
      <c r="H42" s="28">
        <f>40+50+18</f>
        <v>108</v>
      </c>
      <c r="I42" s="31">
        <v>0</v>
      </c>
      <c r="J42" s="33">
        <v>417</v>
      </c>
      <c r="K42" s="31">
        <v>0</v>
      </c>
      <c r="L42" s="32">
        <v>0</v>
      </c>
      <c r="M42" s="31">
        <v>0</v>
      </c>
      <c r="N42" s="28">
        <f t="shared" si="3"/>
        <v>537</v>
      </c>
      <c r="O42" s="28"/>
    </row>
    <row r="43" spans="1:15">
      <c r="A43" s="26">
        <v>43938</v>
      </c>
      <c r="B43" s="27" t="s">
        <v>15</v>
      </c>
      <c r="C43" s="28" t="s">
        <v>42</v>
      </c>
      <c r="D43" s="28" t="s">
        <v>27</v>
      </c>
      <c r="E43" s="30">
        <f t="shared" si="2"/>
        <v>6</v>
      </c>
      <c r="F43" s="31">
        <v>0</v>
      </c>
      <c r="G43" s="28">
        <f>25+18</f>
        <v>43</v>
      </c>
      <c r="H43" s="31">
        <v>0</v>
      </c>
      <c r="I43" s="31">
        <v>0</v>
      </c>
      <c r="J43" s="32">
        <v>0</v>
      </c>
      <c r="K43" s="31">
        <v>0</v>
      </c>
      <c r="L43" s="32">
        <v>0</v>
      </c>
      <c r="M43" s="31">
        <v>0</v>
      </c>
      <c r="N43" s="28">
        <f t="shared" si="3"/>
        <v>43</v>
      </c>
      <c r="O43" s="28"/>
    </row>
    <row r="44" spans="1:15">
      <c r="A44" s="26">
        <v>43939</v>
      </c>
      <c r="B44" s="27" t="s">
        <v>15</v>
      </c>
      <c r="C44" s="28" t="s">
        <v>42</v>
      </c>
      <c r="D44" s="28" t="s">
        <v>28</v>
      </c>
      <c r="E44" s="30">
        <f t="shared" si="2"/>
        <v>7</v>
      </c>
      <c r="F44" s="31">
        <v>0</v>
      </c>
      <c r="G44" s="28">
        <v>91</v>
      </c>
      <c r="H44" s="28">
        <v>386</v>
      </c>
      <c r="I44" s="31">
        <v>0</v>
      </c>
      <c r="J44" s="32">
        <v>0</v>
      </c>
      <c r="K44" s="31">
        <v>0</v>
      </c>
      <c r="L44" s="32">
        <v>0</v>
      </c>
      <c r="M44" s="31">
        <v>0</v>
      </c>
      <c r="N44" s="28">
        <f t="shared" si="3"/>
        <v>477</v>
      </c>
      <c r="O44" s="28">
        <v>247</v>
      </c>
    </row>
    <row r="45" spans="1:15">
      <c r="A45" s="26">
        <v>43940</v>
      </c>
      <c r="B45" s="27" t="s">
        <v>15</v>
      </c>
      <c r="C45" s="28" t="s">
        <v>42</v>
      </c>
      <c r="D45" s="28" t="s">
        <v>29</v>
      </c>
      <c r="E45" s="30">
        <f t="shared" si="2"/>
        <v>1</v>
      </c>
      <c r="F45" s="31">
        <v>0</v>
      </c>
      <c r="G45" s="31">
        <v>0</v>
      </c>
      <c r="H45" s="28">
        <v>25</v>
      </c>
      <c r="I45" s="28">
        <v>119</v>
      </c>
      <c r="J45" s="33">
        <f>176</f>
        <v>176</v>
      </c>
      <c r="K45" s="31">
        <v>0</v>
      </c>
      <c r="L45" s="32">
        <v>0</v>
      </c>
      <c r="M45" s="31">
        <v>0</v>
      </c>
      <c r="N45" s="28">
        <f t="shared" si="3"/>
        <v>320</v>
      </c>
      <c r="O45" s="28"/>
    </row>
    <row r="46" spans="1:15">
      <c r="A46" s="26">
        <v>43941</v>
      </c>
      <c r="B46" s="27" t="s">
        <v>15</v>
      </c>
      <c r="C46" s="28" t="s">
        <v>42</v>
      </c>
      <c r="D46" s="28" t="s">
        <v>30</v>
      </c>
      <c r="E46" s="30">
        <f t="shared" si="2"/>
        <v>2</v>
      </c>
      <c r="F46" s="28">
        <f>100+12</f>
        <v>112</v>
      </c>
      <c r="G46" s="28">
        <f>29+21.5</f>
        <v>50.5</v>
      </c>
      <c r="H46" s="28">
        <f>15+10+10</f>
        <v>35</v>
      </c>
      <c r="I46" s="31">
        <v>0</v>
      </c>
      <c r="J46" s="32">
        <v>0</v>
      </c>
      <c r="K46" s="31">
        <v>0</v>
      </c>
      <c r="L46" s="32">
        <v>0</v>
      </c>
      <c r="M46" s="31">
        <v>0</v>
      </c>
      <c r="N46" s="28">
        <f t="shared" si="3"/>
        <v>197.5</v>
      </c>
      <c r="O46" s="28"/>
    </row>
    <row r="47" spans="1:15">
      <c r="A47" s="26">
        <v>43942</v>
      </c>
      <c r="B47" s="27" t="s">
        <v>15</v>
      </c>
      <c r="C47" s="28" t="s">
        <v>42</v>
      </c>
      <c r="D47" s="28" t="s">
        <v>31</v>
      </c>
      <c r="E47" s="30">
        <f t="shared" si="2"/>
        <v>3</v>
      </c>
      <c r="F47" s="28">
        <v>50</v>
      </c>
      <c r="G47" s="28">
        <f>24+22+29</f>
        <v>75</v>
      </c>
      <c r="H47" s="28">
        <v>24</v>
      </c>
      <c r="I47" s="31">
        <v>0</v>
      </c>
      <c r="J47" s="32">
        <v>0</v>
      </c>
      <c r="K47" s="31">
        <v>0</v>
      </c>
      <c r="L47" s="32">
        <v>0</v>
      </c>
      <c r="M47" s="31">
        <v>0</v>
      </c>
      <c r="N47" s="28">
        <f t="shared" si="3"/>
        <v>149</v>
      </c>
      <c r="O47" s="28"/>
    </row>
    <row r="48" spans="1:15">
      <c r="A48" s="26">
        <v>43943</v>
      </c>
      <c r="B48" s="27" t="s">
        <v>15</v>
      </c>
      <c r="C48" s="28" t="s">
        <v>42</v>
      </c>
      <c r="D48" s="28" t="s">
        <v>32</v>
      </c>
      <c r="E48" s="30">
        <f t="shared" si="2"/>
        <v>4</v>
      </c>
      <c r="F48" s="31">
        <v>0</v>
      </c>
      <c r="G48" s="28">
        <f>18.5+200+16</f>
        <v>234.5</v>
      </c>
      <c r="H48" s="31">
        <v>0</v>
      </c>
      <c r="I48" s="31">
        <v>0</v>
      </c>
      <c r="J48" s="32">
        <v>0</v>
      </c>
      <c r="K48" s="31">
        <v>0</v>
      </c>
      <c r="L48" s="32">
        <v>0</v>
      </c>
      <c r="M48" s="31">
        <v>0</v>
      </c>
      <c r="N48" s="28">
        <f t="shared" si="3"/>
        <v>234.5</v>
      </c>
      <c r="O48" s="28"/>
    </row>
    <row r="49" spans="1:15">
      <c r="A49" s="26">
        <v>43944</v>
      </c>
      <c r="B49" s="27" t="s">
        <v>15</v>
      </c>
      <c r="C49" s="28" t="s">
        <v>42</v>
      </c>
      <c r="D49" s="28" t="s">
        <v>33</v>
      </c>
      <c r="E49" s="30">
        <f t="shared" si="2"/>
        <v>5</v>
      </c>
      <c r="F49" s="28">
        <v>11</v>
      </c>
      <c r="G49" s="28">
        <f>16+23</f>
        <v>39</v>
      </c>
      <c r="H49" s="31">
        <v>0</v>
      </c>
      <c r="I49" s="28">
        <f>169+108</f>
        <v>277</v>
      </c>
      <c r="J49" s="32">
        <v>0</v>
      </c>
      <c r="K49" s="31">
        <v>0</v>
      </c>
      <c r="L49" s="32">
        <v>0</v>
      </c>
      <c r="M49" s="31">
        <v>0</v>
      </c>
      <c r="N49" s="28">
        <f t="shared" si="3"/>
        <v>327</v>
      </c>
      <c r="O49" s="28"/>
    </row>
    <row r="50" spans="1:15">
      <c r="A50" s="26">
        <v>43945</v>
      </c>
      <c r="B50" s="27" t="s">
        <v>15</v>
      </c>
      <c r="C50" s="28" t="s">
        <v>42</v>
      </c>
      <c r="D50" s="28" t="s">
        <v>34</v>
      </c>
      <c r="E50" s="30">
        <f t="shared" si="2"/>
        <v>6</v>
      </c>
      <c r="F50" s="31">
        <v>0</v>
      </c>
      <c r="G50" s="28">
        <f>15+32</f>
        <v>47</v>
      </c>
      <c r="H50" s="31">
        <v>0</v>
      </c>
      <c r="I50" s="31">
        <v>0</v>
      </c>
      <c r="J50" s="32">
        <v>0</v>
      </c>
      <c r="K50" s="31">
        <v>0</v>
      </c>
      <c r="L50" s="32">
        <v>0</v>
      </c>
      <c r="M50" s="31">
        <v>0</v>
      </c>
      <c r="N50" s="28">
        <f t="shared" si="3"/>
        <v>47</v>
      </c>
      <c r="O50" s="28"/>
    </row>
    <row r="51" spans="1:15">
      <c r="A51" s="26">
        <v>43946</v>
      </c>
      <c r="B51" s="27" t="s">
        <v>15</v>
      </c>
      <c r="C51" s="28" t="s">
        <v>42</v>
      </c>
      <c r="D51" s="28" t="s">
        <v>35</v>
      </c>
      <c r="E51" s="30">
        <f t="shared" si="2"/>
        <v>7</v>
      </c>
      <c r="F51" s="31">
        <v>0</v>
      </c>
      <c r="G51" s="28">
        <f>13+22.6</f>
        <v>35.6</v>
      </c>
      <c r="H51" s="31">
        <v>0</v>
      </c>
      <c r="I51" s="28">
        <v>58</v>
      </c>
      <c r="J51" s="32">
        <v>0</v>
      </c>
      <c r="K51" s="31">
        <v>0</v>
      </c>
      <c r="L51" s="32">
        <v>0</v>
      </c>
      <c r="M51" s="31">
        <v>0</v>
      </c>
      <c r="N51" s="28">
        <f t="shared" si="3"/>
        <v>93.6</v>
      </c>
      <c r="O51" s="28"/>
    </row>
    <row r="52" spans="1:15">
      <c r="A52" s="26">
        <v>43947</v>
      </c>
      <c r="B52" s="27" t="s">
        <v>15</v>
      </c>
      <c r="C52" s="28" t="s">
        <v>42</v>
      </c>
      <c r="D52" s="28" t="s">
        <v>36</v>
      </c>
      <c r="E52" s="30">
        <f t="shared" si="2"/>
        <v>1</v>
      </c>
      <c r="F52" s="28">
        <f>1.5+11</f>
        <v>12.5</v>
      </c>
      <c r="G52" s="28">
        <f>33+21.5</f>
        <v>54.5</v>
      </c>
      <c r="H52" s="31">
        <v>0</v>
      </c>
      <c r="I52" s="28">
        <f>64+16.5</f>
        <v>80.5</v>
      </c>
      <c r="J52" s="32">
        <v>0</v>
      </c>
      <c r="K52" s="31">
        <v>0</v>
      </c>
      <c r="L52" s="32">
        <v>0</v>
      </c>
      <c r="M52" s="31">
        <v>0</v>
      </c>
      <c r="N52" s="28">
        <f t="shared" si="3"/>
        <v>147.5</v>
      </c>
      <c r="O52" s="28"/>
    </row>
    <row r="53" spans="1:15">
      <c r="A53" s="26">
        <v>43948</v>
      </c>
      <c r="B53" s="27" t="s">
        <v>15</v>
      </c>
      <c r="C53" s="28" t="s">
        <v>42</v>
      </c>
      <c r="D53" s="28" t="s">
        <v>37</v>
      </c>
      <c r="E53" s="30">
        <f t="shared" si="2"/>
        <v>2</v>
      </c>
      <c r="F53" s="31">
        <v>0</v>
      </c>
      <c r="G53" s="28">
        <f>20+22+25</f>
        <v>67</v>
      </c>
      <c r="H53" s="31">
        <v>0</v>
      </c>
      <c r="I53" s="28">
        <v>69</v>
      </c>
      <c r="J53" s="32">
        <v>0</v>
      </c>
      <c r="K53" s="31">
        <v>0</v>
      </c>
      <c r="L53" s="32">
        <v>0</v>
      </c>
      <c r="M53" s="31">
        <v>0</v>
      </c>
      <c r="N53" s="28">
        <f t="shared" si="3"/>
        <v>136</v>
      </c>
      <c r="O53" s="28"/>
    </row>
    <row r="54" spans="1:15">
      <c r="A54" s="26">
        <v>43949</v>
      </c>
      <c r="B54" s="27" t="s">
        <v>15</v>
      </c>
      <c r="C54" s="28" t="s">
        <v>42</v>
      </c>
      <c r="D54" s="28" t="s">
        <v>38</v>
      </c>
      <c r="E54" s="30">
        <f t="shared" si="2"/>
        <v>3</v>
      </c>
      <c r="F54" s="28">
        <v>30</v>
      </c>
      <c r="G54" s="28">
        <f>22+16</f>
        <v>38</v>
      </c>
      <c r="H54" s="28">
        <v>19</v>
      </c>
      <c r="I54" s="31">
        <v>0</v>
      </c>
      <c r="J54" s="32">
        <v>0</v>
      </c>
      <c r="K54" s="31">
        <v>0</v>
      </c>
      <c r="L54" s="32">
        <v>0</v>
      </c>
      <c r="M54" s="31">
        <v>0</v>
      </c>
      <c r="N54" s="28">
        <f t="shared" si="3"/>
        <v>87</v>
      </c>
      <c r="O54" s="28">
        <v>7924</v>
      </c>
    </row>
    <row r="55" spans="1:15">
      <c r="A55" s="26">
        <v>43950</v>
      </c>
      <c r="B55" s="27" t="s">
        <v>15</v>
      </c>
      <c r="C55" s="28" t="s">
        <v>42</v>
      </c>
      <c r="D55" s="28" t="s">
        <v>39</v>
      </c>
      <c r="E55" s="30">
        <f t="shared" si="2"/>
        <v>4</v>
      </c>
      <c r="F55" s="28">
        <v>95</v>
      </c>
      <c r="G55" s="28">
        <f>37+19</f>
        <v>56</v>
      </c>
      <c r="H55" s="31">
        <v>0</v>
      </c>
      <c r="I55" s="31">
        <v>0</v>
      </c>
      <c r="J55" s="32">
        <v>0</v>
      </c>
      <c r="K55" s="31">
        <v>0</v>
      </c>
      <c r="L55" s="32">
        <v>0</v>
      </c>
      <c r="M55" s="31">
        <v>0</v>
      </c>
      <c r="N55" s="28">
        <f t="shared" si="3"/>
        <v>151</v>
      </c>
      <c r="O55" s="28"/>
    </row>
    <row r="56" spans="1:15">
      <c r="A56" s="26">
        <v>43951</v>
      </c>
      <c r="B56" s="27" t="s">
        <v>15</v>
      </c>
      <c r="C56" s="28" t="s">
        <v>42</v>
      </c>
      <c r="D56" s="28" t="s">
        <v>40</v>
      </c>
      <c r="E56" s="30">
        <f t="shared" si="2"/>
        <v>5</v>
      </c>
      <c r="F56" s="28">
        <v>30</v>
      </c>
      <c r="G56" s="28">
        <f>15+24+46</f>
        <v>85</v>
      </c>
      <c r="H56" s="28">
        <f>1830+118</f>
        <v>1948</v>
      </c>
      <c r="I56" s="31">
        <v>0</v>
      </c>
      <c r="J56" s="32">
        <v>0</v>
      </c>
      <c r="K56" s="31">
        <v>0</v>
      </c>
      <c r="L56" s="32">
        <v>0</v>
      </c>
      <c r="M56" s="31">
        <v>0</v>
      </c>
      <c r="N56" s="28">
        <f t="shared" si="3"/>
        <v>2063</v>
      </c>
      <c r="O56" s="28"/>
    </row>
    <row r="57" spans="1:15">
      <c r="A57" s="26">
        <v>43952</v>
      </c>
      <c r="B57" s="27" t="s">
        <v>15</v>
      </c>
      <c r="C57" s="28" t="s">
        <v>49</v>
      </c>
      <c r="D57" s="28" t="s">
        <v>43</v>
      </c>
      <c r="E57" s="30">
        <f t="shared" si="2"/>
        <v>6</v>
      </c>
      <c r="F57" s="31">
        <v>0</v>
      </c>
      <c r="G57" s="28">
        <f>36+29+11+28+44+2+45+14+11</f>
        <v>220</v>
      </c>
      <c r="H57" s="31">
        <v>0</v>
      </c>
      <c r="I57" s="31">
        <v>0</v>
      </c>
      <c r="J57" s="32">
        <v>0</v>
      </c>
      <c r="K57" s="31">
        <v>0</v>
      </c>
      <c r="L57" s="32">
        <v>0</v>
      </c>
      <c r="M57" s="31">
        <v>0</v>
      </c>
      <c r="N57" s="28">
        <f t="shared" si="3"/>
        <v>220</v>
      </c>
      <c r="O57" s="28"/>
    </row>
    <row r="58" spans="1:15">
      <c r="A58" s="26">
        <v>43953</v>
      </c>
      <c r="B58" s="27" t="s">
        <v>15</v>
      </c>
      <c r="C58" s="28" t="s">
        <v>49</v>
      </c>
      <c r="D58" s="28" t="s">
        <v>44</v>
      </c>
      <c r="E58" s="30">
        <f t="shared" si="2"/>
        <v>7</v>
      </c>
      <c r="F58" s="28">
        <v>100</v>
      </c>
      <c r="G58" s="28">
        <f>42+17+10+5+43</f>
        <v>117</v>
      </c>
      <c r="H58" s="31">
        <v>0</v>
      </c>
      <c r="I58" s="31">
        <v>0</v>
      </c>
      <c r="J58" s="32">
        <v>0</v>
      </c>
      <c r="K58" s="31">
        <v>0</v>
      </c>
      <c r="L58" s="32">
        <v>0</v>
      </c>
      <c r="M58" s="31">
        <v>0</v>
      </c>
      <c r="N58" s="28">
        <f t="shared" si="3"/>
        <v>217</v>
      </c>
      <c r="O58" s="28"/>
    </row>
    <row r="59" spans="1:15">
      <c r="A59" s="26">
        <v>43954</v>
      </c>
      <c r="B59" s="27" t="s">
        <v>15</v>
      </c>
      <c r="C59" s="28" t="s">
        <v>49</v>
      </c>
      <c r="D59" s="28" t="s">
        <v>45</v>
      </c>
      <c r="E59" s="30">
        <f t="shared" si="2"/>
        <v>1</v>
      </c>
      <c r="F59" s="31">
        <v>0</v>
      </c>
      <c r="G59" s="28">
        <f>11+40+5+38.5+6+9</f>
        <v>109.5</v>
      </c>
      <c r="H59" s="28">
        <f>445</f>
        <v>445</v>
      </c>
      <c r="I59" s="28">
        <v>20</v>
      </c>
      <c r="J59" s="32">
        <v>0</v>
      </c>
      <c r="K59" s="31">
        <v>0</v>
      </c>
      <c r="L59" s="32">
        <v>0</v>
      </c>
      <c r="M59" s="31">
        <v>0</v>
      </c>
      <c r="N59" s="28">
        <f t="shared" si="3"/>
        <v>574.5</v>
      </c>
      <c r="O59" s="28"/>
    </row>
    <row r="60" spans="1:15">
      <c r="A60" s="26">
        <v>43955</v>
      </c>
      <c r="B60" s="27" t="s">
        <v>15</v>
      </c>
      <c r="C60" s="28" t="s">
        <v>49</v>
      </c>
      <c r="D60" s="28" t="s">
        <v>46</v>
      </c>
      <c r="E60" s="30">
        <f t="shared" si="2"/>
        <v>2</v>
      </c>
      <c r="F60" s="31">
        <v>0</v>
      </c>
      <c r="G60" s="31">
        <v>0</v>
      </c>
      <c r="H60" s="28">
        <f>26.5+70</f>
        <v>96.5</v>
      </c>
      <c r="I60" s="31">
        <v>0</v>
      </c>
      <c r="J60" s="32">
        <v>0</v>
      </c>
      <c r="K60" s="31">
        <v>0</v>
      </c>
      <c r="L60" s="32">
        <v>0</v>
      </c>
      <c r="M60" s="31">
        <v>0</v>
      </c>
      <c r="N60" s="28">
        <f t="shared" si="3"/>
        <v>96.5</v>
      </c>
      <c r="O60" s="28"/>
    </row>
    <row r="61" spans="1:15">
      <c r="A61" s="26">
        <v>43956</v>
      </c>
      <c r="B61" s="27" t="s">
        <v>15</v>
      </c>
      <c r="C61" s="28" t="s">
        <v>49</v>
      </c>
      <c r="D61" s="28" t="s">
        <v>47</v>
      </c>
      <c r="E61" s="30">
        <f t="shared" si="2"/>
        <v>3</v>
      </c>
      <c r="F61" s="31">
        <v>0</v>
      </c>
      <c r="G61" s="28">
        <f>80+16.5</f>
        <v>96.5</v>
      </c>
      <c r="H61" s="28">
        <f>88</f>
        <v>88</v>
      </c>
      <c r="I61" s="28">
        <v>70</v>
      </c>
      <c r="J61" s="32">
        <v>0</v>
      </c>
      <c r="K61" s="31">
        <v>0</v>
      </c>
      <c r="L61" s="32">
        <v>0</v>
      </c>
      <c r="M61" s="31">
        <v>0</v>
      </c>
      <c r="N61" s="28">
        <f t="shared" si="3"/>
        <v>254.5</v>
      </c>
      <c r="O61" s="28"/>
    </row>
    <row r="62" spans="1:15">
      <c r="A62" s="26">
        <v>43957</v>
      </c>
      <c r="B62" s="27" t="s">
        <v>15</v>
      </c>
      <c r="C62" s="28" t="s">
        <v>49</v>
      </c>
      <c r="D62" s="28" t="s">
        <v>48</v>
      </c>
      <c r="E62" s="30">
        <f t="shared" si="2"/>
        <v>4</v>
      </c>
      <c r="F62" s="31">
        <v>0</v>
      </c>
      <c r="G62" s="28">
        <f>10+51</f>
        <v>61</v>
      </c>
      <c r="H62" s="31">
        <v>0</v>
      </c>
      <c r="I62" s="31">
        <v>0</v>
      </c>
      <c r="J62" s="32">
        <v>0</v>
      </c>
      <c r="K62" s="31">
        <v>0</v>
      </c>
      <c r="L62" s="32">
        <v>0</v>
      </c>
      <c r="M62" s="31">
        <v>0</v>
      </c>
      <c r="N62" s="28">
        <f t="shared" si="3"/>
        <v>61</v>
      </c>
      <c r="O62" s="28"/>
    </row>
    <row r="63" spans="1:15">
      <c r="A63" s="26">
        <v>43958</v>
      </c>
      <c r="B63" s="27" t="s">
        <v>15</v>
      </c>
      <c r="C63" s="28" t="s">
        <v>49</v>
      </c>
      <c r="D63" s="28" t="s">
        <v>17</v>
      </c>
      <c r="E63" s="30">
        <f t="shared" si="2"/>
        <v>5</v>
      </c>
      <c r="F63" s="31">
        <v>0</v>
      </c>
      <c r="G63" s="28">
        <v>20</v>
      </c>
      <c r="H63" s="31">
        <v>0</v>
      </c>
      <c r="I63" s="31">
        <v>0</v>
      </c>
      <c r="J63" s="32">
        <v>0</v>
      </c>
      <c r="K63" s="31">
        <v>0</v>
      </c>
      <c r="L63" s="32">
        <v>0</v>
      </c>
      <c r="M63" s="31">
        <v>0</v>
      </c>
      <c r="N63" s="28">
        <f t="shared" si="3"/>
        <v>20</v>
      </c>
      <c r="O63" s="28"/>
    </row>
    <row r="64" spans="1:15">
      <c r="A64" s="26">
        <v>43959</v>
      </c>
      <c r="B64" s="27" t="s">
        <v>15</v>
      </c>
      <c r="C64" s="28" t="s">
        <v>49</v>
      </c>
      <c r="D64" s="28" t="s">
        <v>18</v>
      </c>
      <c r="E64" s="30">
        <f t="shared" si="2"/>
        <v>6</v>
      </c>
      <c r="F64" s="31">
        <v>0</v>
      </c>
      <c r="G64" s="28">
        <v>11.5</v>
      </c>
      <c r="H64" s="31">
        <v>0</v>
      </c>
      <c r="I64" s="31">
        <v>0</v>
      </c>
      <c r="J64" s="32">
        <v>0</v>
      </c>
      <c r="K64" s="31">
        <v>0</v>
      </c>
      <c r="L64" s="32">
        <v>0</v>
      </c>
      <c r="M64" s="31">
        <v>0</v>
      </c>
      <c r="N64" s="28">
        <f t="shared" si="3"/>
        <v>11.5</v>
      </c>
      <c r="O64" s="28"/>
    </row>
    <row r="65" spans="1:15">
      <c r="A65" s="26">
        <v>43960</v>
      </c>
      <c r="B65" s="27" t="s">
        <v>15</v>
      </c>
      <c r="C65" s="28" t="s">
        <v>49</v>
      </c>
      <c r="D65" s="28" t="s">
        <v>19</v>
      </c>
      <c r="E65" s="30">
        <f t="shared" si="2"/>
        <v>7</v>
      </c>
      <c r="F65" s="31">
        <v>0</v>
      </c>
      <c r="G65" s="28">
        <f>23+13.5</f>
        <v>36.5</v>
      </c>
      <c r="H65" s="31">
        <v>0</v>
      </c>
      <c r="I65" s="31">
        <v>0</v>
      </c>
      <c r="J65" s="32">
        <v>0</v>
      </c>
      <c r="K65" s="31">
        <v>0</v>
      </c>
      <c r="L65" s="32">
        <v>0</v>
      </c>
      <c r="M65" s="31">
        <v>0</v>
      </c>
      <c r="N65" s="28">
        <f t="shared" si="3"/>
        <v>36.5</v>
      </c>
      <c r="O65" s="28"/>
    </row>
    <row r="66" spans="1:15">
      <c r="A66" s="26">
        <v>43961</v>
      </c>
      <c r="B66" s="27" t="s">
        <v>15</v>
      </c>
      <c r="C66" s="28" t="s">
        <v>49</v>
      </c>
      <c r="D66" s="28" t="s">
        <v>20</v>
      </c>
      <c r="E66" s="30">
        <f t="shared" si="2"/>
        <v>1</v>
      </c>
      <c r="F66" s="31">
        <v>0</v>
      </c>
      <c r="G66" s="28">
        <f>13+4+36.8+26+6+10+4+42+16</f>
        <v>157.8</v>
      </c>
      <c r="H66" s="31">
        <v>0</v>
      </c>
      <c r="I66" s="31">
        <v>0</v>
      </c>
      <c r="J66" s="32">
        <v>0</v>
      </c>
      <c r="K66" s="31">
        <v>0</v>
      </c>
      <c r="L66" s="32">
        <v>0</v>
      </c>
      <c r="M66" s="31">
        <v>0</v>
      </c>
      <c r="N66" s="28">
        <f t="shared" si="3"/>
        <v>157.8</v>
      </c>
      <c r="O66" s="28"/>
    </row>
    <row r="67" spans="1:15">
      <c r="A67" s="26">
        <v>43962</v>
      </c>
      <c r="B67" s="27" t="s">
        <v>15</v>
      </c>
      <c r="C67" s="28" t="s">
        <v>49</v>
      </c>
      <c r="D67" s="28" t="s">
        <v>21</v>
      </c>
      <c r="E67" s="30">
        <f t="shared" ref="E67:E87" si="4">WEEKDAY(A67,1)</f>
        <v>2</v>
      </c>
      <c r="F67" s="31">
        <v>0</v>
      </c>
      <c r="G67" s="31">
        <f>24+13</f>
        <v>37</v>
      </c>
      <c r="H67" s="31">
        <v>0</v>
      </c>
      <c r="I67" s="31">
        <v>0</v>
      </c>
      <c r="J67" s="32">
        <v>0</v>
      </c>
      <c r="K67" s="31">
        <v>0</v>
      </c>
      <c r="L67" s="32">
        <v>0</v>
      </c>
      <c r="M67" s="31">
        <v>0</v>
      </c>
      <c r="N67" s="28">
        <f t="shared" ref="N67:N98" si="5">SUM(F67:M67)</f>
        <v>37</v>
      </c>
      <c r="O67" s="28"/>
    </row>
    <row r="68" spans="1:15">
      <c r="A68" s="26">
        <v>43963</v>
      </c>
      <c r="B68" s="27" t="s">
        <v>15</v>
      </c>
      <c r="C68" s="28" t="s">
        <v>49</v>
      </c>
      <c r="D68" s="28" t="s">
        <v>22</v>
      </c>
      <c r="E68" s="30">
        <f t="shared" si="4"/>
        <v>3</v>
      </c>
      <c r="F68" s="31">
        <v>0</v>
      </c>
      <c r="G68" s="31">
        <f>12.5+29</f>
        <v>41.5</v>
      </c>
      <c r="H68" s="31">
        <v>0</v>
      </c>
      <c r="I68" s="31">
        <v>0</v>
      </c>
      <c r="J68" s="32">
        <v>0</v>
      </c>
      <c r="K68" s="31">
        <v>0</v>
      </c>
      <c r="L68" s="32">
        <v>0</v>
      </c>
      <c r="M68" s="31">
        <v>0</v>
      </c>
      <c r="N68" s="28">
        <f t="shared" si="5"/>
        <v>41.5</v>
      </c>
      <c r="O68" s="28"/>
    </row>
    <row r="69" spans="1:15">
      <c r="A69" s="26">
        <v>43964</v>
      </c>
      <c r="B69" s="27" t="s">
        <v>15</v>
      </c>
      <c r="C69" s="28" t="s">
        <v>49</v>
      </c>
      <c r="D69" s="28" t="s">
        <v>23</v>
      </c>
      <c r="E69" s="30">
        <f t="shared" si="4"/>
        <v>4</v>
      </c>
      <c r="F69" s="31">
        <v>100</v>
      </c>
      <c r="G69" s="31">
        <f>25+11</f>
        <v>36</v>
      </c>
      <c r="H69" s="31">
        <v>0</v>
      </c>
      <c r="I69" s="31">
        <v>0</v>
      </c>
      <c r="J69" s="32">
        <v>0</v>
      </c>
      <c r="K69" s="31">
        <v>0</v>
      </c>
      <c r="L69" s="32">
        <v>0</v>
      </c>
      <c r="M69" s="31">
        <v>0</v>
      </c>
      <c r="N69" s="28">
        <f t="shared" si="5"/>
        <v>136</v>
      </c>
      <c r="O69" s="28"/>
    </row>
    <row r="70" spans="1:15">
      <c r="A70" s="26">
        <v>43965</v>
      </c>
      <c r="B70" s="27" t="s">
        <v>15</v>
      </c>
      <c r="C70" s="28" t="s">
        <v>49</v>
      </c>
      <c r="D70" s="28" t="s">
        <v>24</v>
      </c>
      <c r="E70" s="30">
        <f t="shared" si="4"/>
        <v>5</v>
      </c>
      <c r="F70" s="31">
        <v>0</v>
      </c>
      <c r="G70" s="31">
        <f>18+3+29</f>
        <v>50</v>
      </c>
      <c r="H70" s="31">
        <v>0</v>
      </c>
      <c r="I70" s="31">
        <v>0</v>
      </c>
      <c r="J70" s="32">
        <v>0</v>
      </c>
      <c r="K70" s="31">
        <v>0</v>
      </c>
      <c r="L70" s="32">
        <v>0</v>
      </c>
      <c r="M70" s="31">
        <v>0</v>
      </c>
      <c r="N70" s="28">
        <f t="shared" si="5"/>
        <v>50</v>
      </c>
      <c r="O70" s="28"/>
    </row>
    <row r="71" spans="1:15">
      <c r="A71" s="26">
        <v>43966</v>
      </c>
      <c r="B71" s="27" t="s">
        <v>15</v>
      </c>
      <c r="C71" s="28" t="s">
        <v>49</v>
      </c>
      <c r="D71" s="28" t="s">
        <v>25</v>
      </c>
      <c r="E71" s="30">
        <f t="shared" si="4"/>
        <v>6</v>
      </c>
      <c r="F71" s="31">
        <v>0</v>
      </c>
      <c r="G71" s="31">
        <f>17+15+21.5+14</f>
        <v>67.5</v>
      </c>
      <c r="H71" s="31">
        <v>136</v>
      </c>
      <c r="I71" s="31">
        <v>0</v>
      </c>
      <c r="J71" s="32">
        <v>0</v>
      </c>
      <c r="K71" s="31">
        <v>0</v>
      </c>
      <c r="L71" s="32">
        <v>0</v>
      </c>
      <c r="M71" s="31">
        <v>0</v>
      </c>
      <c r="N71" s="28">
        <f t="shared" si="5"/>
        <v>203.5</v>
      </c>
      <c r="O71" s="28">
        <v>4885</v>
      </c>
    </row>
    <row r="72" spans="1:15">
      <c r="A72" s="26">
        <v>43967</v>
      </c>
      <c r="B72" s="27" t="s">
        <v>15</v>
      </c>
      <c r="C72" s="28" t="s">
        <v>49</v>
      </c>
      <c r="D72" s="28" t="s">
        <v>26</v>
      </c>
      <c r="E72" s="30">
        <f t="shared" si="4"/>
        <v>7</v>
      </c>
      <c r="F72" s="31">
        <v>0</v>
      </c>
      <c r="G72" s="31">
        <v>29</v>
      </c>
      <c r="H72" s="31">
        <v>0</v>
      </c>
      <c r="I72" s="31">
        <v>0</v>
      </c>
      <c r="J72" s="32">
        <v>0</v>
      </c>
      <c r="K72" s="31">
        <v>0</v>
      </c>
      <c r="L72" s="32">
        <v>0</v>
      </c>
      <c r="M72" s="31">
        <v>0</v>
      </c>
      <c r="N72" s="28">
        <f t="shared" si="5"/>
        <v>29</v>
      </c>
      <c r="O72" s="28"/>
    </row>
    <row r="73" spans="1:15">
      <c r="A73" s="26">
        <v>43968</v>
      </c>
      <c r="B73" s="27" t="s">
        <v>15</v>
      </c>
      <c r="C73" s="28" t="s">
        <v>49</v>
      </c>
      <c r="D73" s="28" t="s">
        <v>27</v>
      </c>
      <c r="E73" s="30">
        <f t="shared" si="4"/>
        <v>1</v>
      </c>
      <c r="F73" s="31">
        <v>0</v>
      </c>
      <c r="G73" s="31">
        <f>21+82+12+37.5+22</f>
        <v>174.5</v>
      </c>
      <c r="H73" s="31">
        <v>50</v>
      </c>
      <c r="I73" s="31">
        <v>0</v>
      </c>
      <c r="J73" s="32">
        <v>0</v>
      </c>
      <c r="K73" s="31">
        <v>0</v>
      </c>
      <c r="L73" s="32">
        <v>0</v>
      </c>
      <c r="M73" s="31">
        <v>0</v>
      </c>
      <c r="N73" s="28">
        <f t="shared" si="5"/>
        <v>224.5</v>
      </c>
      <c r="O73" s="28"/>
    </row>
    <row r="74" spans="1:15">
      <c r="A74" s="26">
        <v>43969</v>
      </c>
      <c r="B74" s="27" t="s">
        <v>15</v>
      </c>
      <c r="C74" s="28" t="s">
        <v>49</v>
      </c>
      <c r="D74" s="28" t="s">
        <v>28</v>
      </c>
      <c r="E74" s="30">
        <f t="shared" si="4"/>
        <v>2</v>
      </c>
      <c r="F74" s="31">
        <v>200</v>
      </c>
      <c r="G74" s="31">
        <f>33+22.5</f>
        <v>55.5</v>
      </c>
      <c r="H74" s="31">
        <v>89</v>
      </c>
      <c r="I74" s="31">
        <v>0</v>
      </c>
      <c r="J74" s="32">
        <v>0</v>
      </c>
      <c r="K74" s="31">
        <v>0</v>
      </c>
      <c r="L74" s="32">
        <v>0</v>
      </c>
      <c r="M74" s="31">
        <v>0</v>
      </c>
      <c r="N74" s="28">
        <f t="shared" si="5"/>
        <v>344.5</v>
      </c>
      <c r="O74" s="31"/>
    </row>
    <row r="75" spans="1:15">
      <c r="A75" s="26">
        <v>43970</v>
      </c>
      <c r="B75" s="27" t="s">
        <v>15</v>
      </c>
      <c r="C75" s="28" t="s">
        <v>49</v>
      </c>
      <c r="D75" s="28" t="s">
        <v>29</v>
      </c>
      <c r="E75" s="30">
        <f t="shared" si="4"/>
        <v>3</v>
      </c>
      <c r="F75" s="31">
        <v>0</v>
      </c>
      <c r="G75" s="31">
        <f>18+3.5+22</f>
        <v>43.5</v>
      </c>
      <c r="H75" s="31">
        <v>0</v>
      </c>
      <c r="I75" s="31">
        <v>0</v>
      </c>
      <c r="J75" s="32">
        <v>0</v>
      </c>
      <c r="K75" s="31">
        <v>0</v>
      </c>
      <c r="L75" s="32">
        <v>0</v>
      </c>
      <c r="M75" s="31">
        <v>0</v>
      </c>
      <c r="N75" s="28">
        <f t="shared" si="5"/>
        <v>43.5</v>
      </c>
      <c r="O75" s="31"/>
    </row>
    <row r="76" spans="1:15">
      <c r="A76" s="26">
        <v>43971</v>
      </c>
      <c r="B76" s="27" t="s">
        <v>15</v>
      </c>
      <c r="C76" s="28" t="s">
        <v>49</v>
      </c>
      <c r="D76" s="28" t="s">
        <v>30</v>
      </c>
      <c r="E76" s="30">
        <f t="shared" si="4"/>
        <v>4</v>
      </c>
      <c r="F76" s="31">
        <v>0</v>
      </c>
      <c r="G76" s="31">
        <f>27+27</f>
        <v>54</v>
      </c>
      <c r="H76" s="31">
        <v>13</v>
      </c>
      <c r="I76" s="31">
        <v>0</v>
      </c>
      <c r="J76" s="32">
        <v>0</v>
      </c>
      <c r="K76" s="31">
        <v>0</v>
      </c>
      <c r="L76" s="32">
        <v>0</v>
      </c>
      <c r="M76" s="31">
        <v>0</v>
      </c>
      <c r="N76" s="28">
        <f t="shared" si="5"/>
        <v>67</v>
      </c>
      <c r="O76" s="31"/>
    </row>
    <row r="77" spans="1:15">
      <c r="A77" s="26">
        <v>43972</v>
      </c>
      <c r="B77" s="27" t="s">
        <v>15</v>
      </c>
      <c r="C77" s="28" t="s">
        <v>49</v>
      </c>
      <c r="D77" s="28" t="s">
        <v>31</v>
      </c>
      <c r="E77" s="30">
        <f t="shared" si="4"/>
        <v>5</v>
      </c>
      <c r="F77" s="31">
        <v>0</v>
      </c>
      <c r="G77" s="31">
        <f>12+17.5+3</f>
        <v>32.5</v>
      </c>
      <c r="H77" s="31">
        <v>0</v>
      </c>
      <c r="I77" s="31">
        <v>0</v>
      </c>
      <c r="J77" s="32">
        <v>0</v>
      </c>
      <c r="K77" s="31">
        <v>0</v>
      </c>
      <c r="L77" s="32">
        <v>0</v>
      </c>
      <c r="M77" s="31">
        <v>0</v>
      </c>
      <c r="N77" s="28">
        <f t="shared" si="5"/>
        <v>32.5</v>
      </c>
      <c r="O77" s="31"/>
    </row>
    <row r="78" spans="1:15">
      <c r="A78" s="26">
        <v>43973</v>
      </c>
      <c r="B78" s="27" t="s">
        <v>15</v>
      </c>
      <c r="C78" s="28" t="s">
        <v>49</v>
      </c>
      <c r="D78" s="28" t="s">
        <v>32</v>
      </c>
      <c r="E78" s="30">
        <f t="shared" si="4"/>
        <v>6</v>
      </c>
      <c r="F78" s="31">
        <v>0</v>
      </c>
      <c r="G78" s="31">
        <f>18+26</f>
        <v>44</v>
      </c>
      <c r="H78" s="31">
        <f>318+368</f>
        <v>686</v>
      </c>
      <c r="I78" s="31">
        <v>0</v>
      </c>
      <c r="J78" s="32">
        <v>30</v>
      </c>
      <c r="K78" s="31">
        <v>0</v>
      </c>
      <c r="L78" s="32">
        <v>0</v>
      </c>
      <c r="M78" s="31">
        <v>0</v>
      </c>
      <c r="N78" s="28">
        <f t="shared" si="5"/>
        <v>760</v>
      </c>
      <c r="O78" s="31"/>
    </row>
    <row r="79" spans="1:15">
      <c r="A79" s="26">
        <v>43974</v>
      </c>
      <c r="B79" s="27" t="s">
        <v>15</v>
      </c>
      <c r="C79" s="28" t="s">
        <v>49</v>
      </c>
      <c r="D79" s="28" t="s">
        <v>33</v>
      </c>
      <c r="E79" s="30">
        <f t="shared" si="4"/>
        <v>7</v>
      </c>
      <c r="F79" s="31">
        <v>50</v>
      </c>
      <c r="G79" s="31">
        <f>20+60+48</f>
        <v>128</v>
      </c>
      <c r="H79" s="31">
        <v>0</v>
      </c>
      <c r="I79" s="31">
        <v>0</v>
      </c>
      <c r="J79" s="32">
        <v>0</v>
      </c>
      <c r="K79" s="31">
        <v>0</v>
      </c>
      <c r="L79" s="32">
        <v>0</v>
      </c>
      <c r="M79" s="31">
        <v>0</v>
      </c>
      <c r="N79" s="28">
        <f t="shared" si="5"/>
        <v>178</v>
      </c>
      <c r="O79" s="31"/>
    </row>
    <row r="80" spans="1:15">
      <c r="A80" s="26">
        <v>43975</v>
      </c>
      <c r="B80" s="27" t="s">
        <v>15</v>
      </c>
      <c r="C80" s="28" t="s">
        <v>49</v>
      </c>
      <c r="D80" s="28" t="s">
        <v>34</v>
      </c>
      <c r="E80" s="30">
        <f t="shared" si="4"/>
        <v>1</v>
      </c>
      <c r="F80" s="31">
        <v>14</v>
      </c>
      <c r="G80" s="31">
        <f>150+16+26+10.8+5+4.4+19.4+5.3+4+18.5</f>
        <v>259.4</v>
      </c>
      <c r="H80" s="31">
        <v>0</v>
      </c>
      <c r="I80" s="31">
        <v>0</v>
      </c>
      <c r="J80" s="32">
        <v>0</v>
      </c>
      <c r="K80" s="31">
        <v>0</v>
      </c>
      <c r="L80" s="32">
        <v>0</v>
      </c>
      <c r="M80" s="31">
        <v>0</v>
      </c>
      <c r="N80" s="28">
        <f t="shared" si="5"/>
        <v>273.4</v>
      </c>
      <c r="O80" s="31"/>
    </row>
    <row r="81" spans="1:15">
      <c r="A81" s="26">
        <v>43976</v>
      </c>
      <c r="B81" s="27" t="s">
        <v>15</v>
      </c>
      <c r="C81" s="28" t="s">
        <v>49</v>
      </c>
      <c r="D81" s="28" t="s">
        <v>35</v>
      </c>
      <c r="E81" s="30">
        <f t="shared" si="4"/>
        <v>2</v>
      </c>
      <c r="F81" s="31">
        <f>100+14</f>
        <v>114</v>
      </c>
      <c r="G81" s="31">
        <f>26+17</f>
        <v>43</v>
      </c>
      <c r="H81" s="31">
        <v>0</v>
      </c>
      <c r="I81" s="31">
        <v>0</v>
      </c>
      <c r="J81" s="32">
        <v>29</v>
      </c>
      <c r="K81" s="31">
        <v>0</v>
      </c>
      <c r="L81" s="32">
        <v>0</v>
      </c>
      <c r="M81" s="31">
        <v>0</v>
      </c>
      <c r="N81" s="28">
        <f t="shared" si="5"/>
        <v>186</v>
      </c>
      <c r="O81" s="31">
        <v>10800</v>
      </c>
    </row>
    <row r="82" spans="1:15">
      <c r="A82" s="26">
        <v>43977</v>
      </c>
      <c r="B82" s="27" t="s">
        <v>15</v>
      </c>
      <c r="C82" s="28" t="s">
        <v>49</v>
      </c>
      <c r="D82" s="28" t="s">
        <v>36</v>
      </c>
      <c r="E82" s="30">
        <f t="shared" si="4"/>
        <v>3</v>
      </c>
      <c r="F82" s="31">
        <v>0</v>
      </c>
      <c r="G82" s="31">
        <f>29+24+21</f>
        <v>74</v>
      </c>
      <c r="H82" s="31">
        <f>988+988+688+688+388+74+55</f>
        <v>3869</v>
      </c>
      <c r="I82" s="31">
        <v>0</v>
      </c>
      <c r="J82" s="32">
        <v>0</v>
      </c>
      <c r="K82" s="31">
        <v>0</v>
      </c>
      <c r="L82" s="32">
        <v>0</v>
      </c>
      <c r="M82" s="31">
        <v>1400</v>
      </c>
      <c r="N82" s="28">
        <f t="shared" si="5"/>
        <v>5343</v>
      </c>
      <c r="O82" s="31"/>
    </row>
    <row r="83" spans="1:15">
      <c r="A83" s="26">
        <v>43978</v>
      </c>
      <c r="B83" s="27" t="s">
        <v>15</v>
      </c>
      <c r="C83" s="28" t="s">
        <v>49</v>
      </c>
      <c r="D83" s="28" t="s">
        <v>37</v>
      </c>
      <c r="E83" s="30">
        <f t="shared" si="4"/>
        <v>4</v>
      </c>
      <c r="F83" s="31">
        <v>0</v>
      </c>
      <c r="G83" s="31">
        <f>23+29+64</f>
        <v>116</v>
      </c>
      <c r="H83" s="31">
        <v>0</v>
      </c>
      <c r="I83" s="31">
        <v>0</v>
      </c>
      <c r="J83" s="32">
        <v>0</v>
      </c>
      <c r="K83" s="31">
        <v>0</v>
      </c>
      <c r="L83" s="32">
        <v>0</v>
      </c>
      <c r="M83" s="31">
        <v>0</v>
      </c>
      <c r="N83" s="28">
        <f t="shared" si="5"/>
        <v>116</v>
      </c>
      <c r="O83" s="31"/>
    </row>
    <row r="84" spans="1:15">
      <c r="A84" s="26">
        <v>43979</v>
      </c>
      <c r="B84" s="27" t="s">
        <v>15</v>
      </c>
      <c r="C84" s="28" t="s">
        <v>49</v>
      </c>
      <c r="D84" s="28" t="s">
        <v>38</v>
      </c>
      <c r="E84" s="30">
        <f t="shared" si="4"/>
        <v>5</v>
      </c>
      <c r="F84" s="31">
        <f>80</f>
        <v>80</v>
      </c>
      <c r="G84" s="31">
        <f>13+17</f>
        <v>30</v>
      </c>
      <c r="H84" s="31">
        <v>1830</v>
      </c>
      <c r="I84" s="31">
        <v>0</v>
      </c>
      <c r="J84" s="32">
        <v>1859</v>
      </c>
      <c r="K84" s="31">
        <v>0</v>
      </c>
      <c r="L84" s="32">
        <v>0</v>
      </c>
      <c r="M84" s="31">
        <v>0</v>
      </c>
      <c r="N84" s="28">
        <f t="shared" si="5"/>
        <v>3799</v>
      </c>
      <c r="O84" s="31">
        <v>6330</v>
      </c>
    </row>
    <row r="85" spans="1:15">
      <c r="A85" s="26">
        <v>43980</v>
      </c>
      <c r="B85" s="27" t="s">
        <v>15</v>
      </c>
      <c r="C85" s="28" t="s">
        <v>49</v>
      </c>
      <c r="D85" s="28" t="s">
        <v>39</v>
      </c>
      <c r="E85" s="30">
        <f t="shared" si="4"/>
        <v>6</v>
      </c>
      <c r="F85" s="31">
        <v>0</v>
      </c>
      <c r="G85" s="31">
        <f>62+12</f>
        <v>74</v>
      </c>
      <c r="H85" s="31">
        <v>0</v>
      </c>
      <c r="I85" s="31">
        <v>0</v>
      </c>
      <c r="J85" s="32">
        <v>0</v>
      </c>
      <c r="K85" s="31">
        <v>0</v>
      </c>
      <c r="L85" s="32">
        <v>0</v>
      </c>
      <c r="M85" s="31">
        <v>0</v>
      </c>
      <c r="N85" s="28">
        <f t="shared" si="5"/>
        <v>74</v>
      </c>
      <c r="O85" s="31"/>
    </row>
    <row r="86" spans="1:15">
      <c r="A86" s="26">
        <v>43981</v>
      </c>
      <c r="B86" s="27" t="s">
        <v>15</v>
      </c>
      <c r="C86" s="28" t="s">
        <v>49</v>
      </c>
      <c r="D86" s="28" t="s">
        <v>40</v>
      </c>
      <c r="E86" s="30">
        <f t="shared" si="4"/>
        <v>7</v>
      </c>
      <c r="F86" s="31">
        <v>0</v>
      </c>
      <c r="G86" s="31">
        <f>26+58+30+8.5+10</f>
        <v>132.5</v>
      </c>
      <c r="H86" s="31">
        <f>1990+2299</f>
        <v>4289</v>
      </c>
      <c r="I86" s="31">
        <v>0</v>
      </c>
      <c r="J86" s="32">
        <v>0</v>
      </c>
      <c r="K86" s="31">
        <v>0</v>
      </c>
      <c r="L86" s="32">
        <v>0</v>
      </c>
      <c r="M86" s="31">
        <v>0</v>
      </c>
      <c r="N86" s="28">
        <f t="shared" si="5"/>
        <v>4421.5</v>
      </c>
      <c r="O86" s="31"/>
    </row>
    <row r="87" spans="1:15">
      <c r="A87" s="26">
        <v>43982</v>
      </c>
      <c r="B87" s="27" t="s">
        <v>15</v>
      </c>
      <c r="C87" s="28" t="s">
        <v>49</v>
      </c>
      <c r="D87" s="28" t="s">
        <v>41</v>
      </c>
      <c r="E87" s="30">
        <f t="shared" si="4"/>
        <v>1</v>
      </c>
      <c r="F87" s="31">
        <v>0</v>
      </c>
      <c r="G87" s="31">
        <v>0</v>
      </c>
      <c r="H87" s="31">
        <v>0</v>
      </c>
      <c r="I87" s="31">
        <v>0</v>
      </c>
      <c r="J87" s="32">
        <v>37</v>
      </c>
      <c r="K87" s="31">
        <v>0</v>
      </c>
      <c r="L87" s="32">
        <f>40+50+100+50+20+370+209+249+150+475</f>
        <v>1713</v>
      </c>
      <c r="M87" s="31">
        <v>0</v>
      </c>
      <c r="N87" s="28">
        <f t="shared" si="5"/>
        <v>1750</v>
      </c>
      <c r="O87" s="31">
        <v>10000</v>
      </c>
    </row>
    <row r="88" spans="1:15">
      <c r="A88" s="26">
        <v>43983</v>
      </c>
      <c r="B88" s="27" t="s">
        <v>15</v>
      </c>
      <c r="C88" s="28" t="s">
        <v>50</v>
      </c>
      <c r="D88" s="31" t="s">
        <v>43</v>
      </c>
      <c r="E88" s="30">
        <f t="shared" ref="E88:E94" si="6">WEEKDAY(A88,1)</f>
        <v>2</v>
      </c>
      <c r="F88" s="31">
        <f>200</f>
        <v>200</v>
      </c>
      <c r="G88" s="31">
        <f>21+12</f>
        <v>33</v>
      </c>
      <c r="H88" s="31">
        <v>0</v>
      </c>
      <c r="I88" s="31">
        <v>0</v>
      </c>
      <c r="J88" s="32">
        <v>0</v>
      </c>
      <c r="K88" s="31">
        <v>0</v>
      </c>
      <c r="L88" s="32">
        <v>0</v>
      </c>
      <c r="M88" s="31">
        <v>0</v>
      </c>
      <c r="N88" s="28">
        <f t="shared" si="5"/>
        <v>233</v>
      </c>
      <c r="O88" s="31"/>
    </row>
    <row r="89" spans="1:15">
      <c r="A89" s="26">
        <v>43984</v>
      </c>
      <c r="B89" s="27" t="s">
        <v>15</v>
      </c>
      <c r="C89" s="28" t="s">
        <v>50</v>
      </c>
      <c r="D89" s="31" t="s">
        <v>44</v>
      </c>
      <c r="E89" s="30">
        <f t="shared" si="6"/>
        <v>3</v>
      </c>
      <c r="F89" s="31">
        <v>0</v>
      </c>
      <c r="G89" s="31">
        <f>22.5+14+20</f>
        <v>56.5</v>
      </c>
      <c r="H89" s="31">
        <f>79+101+170</f>
        <v>350</v>
      </c>
      <c r="I89" s="31">
        <v>0</v>
      </c>
      <c r="J89" s="32">
        <v>0</v>
      </c>
      <c r="K89" s="31">
        <v>0</v>
      </c>
      <c r="L89" s="32">
        <v>0</v>
      </c>
      <c r="M89" s="31">
        <v>0</v>
      </c>
      <c r="N89" s="28">
        <f t="shared" si="5"/>
        <v>406.5</v>
      </c>
      <c r="O89" s="31"/>
    </row>
    <row r="90" spans="1:16">
      <c r="A90" s="26">
        <v>43985</v>
      </c>
      <c r="B90" s="27" t="s">
        <v>15</v>
      </c>
      <c r="C90" s="28" t="s">
        <v>50</v>
      </c>
      <c r="D90" s="31" t="s">
        <v>45</v>
      </c>
      <c r="E90" s="30">
        <f t="shared" si="6"/>
        <v>4</v>
      </c>
      <c r="F90" s="31">
        <v>0</v>
      </c>
      <c r="G90" s="31">
        <f>27</f>
        <v>27</v>
      </c>
      <c r="H90" s="31"/>
      <c r="I90" s="31">
        <v>0</v>
      </c>
      <c r="J90" s="32">
        <v>0</v>
      </c>
      <c r="K90" s="31">
        <v>0</v>
      </c>
      <c r="L90" s="32">
        <v>0</v>
      </c>
      <c r="M90" s="31">
        <v>0</v>
      </c>
      <c r="N90" s="28">
        <f t="shared" si="5"/>
        <v>27</v>
      </c>
      <c r="O90" s="31"/>
      <c r="P90" s="40"/>
    </row>
    <row r="91" spans="1:15">
      <c r="A91" s="26">
        <v>43986</v>
      </c>
      <c r="B91" s="27" t="s">
        <v>15</v>
      </c>
      <c r="C91" s="28" t="s">
        <v>50</v>
      </c>
      <c r="D91" s="31" t="s">
        <v>46</v>
      </c>
      <c r="E91" s="30">
        <f t="shared" si="6"/>
        <v>5</v>
      </c>
      <c r="F91" s="31">
        <v>0</v>
      </c>
      <c r="G91" s="31">
        <f>19+17</f>
        <v>36</v>
      </c>
      <c r="H91" s="31">
        <f>66+159+59+45</f>
        <v>329</v>
      </c>
      <c r="I91" s="31">
        <v>0</v>
      </c>
      <c r="J91" s="32">
        <v>0</v>
      </c>
      <c r="K91" s="31">
        <v>0</v>
      </c>
      <c r="L91" s="32">
        <v>0</v>
      </c>
      <c r="M91" s="31">
        <v>0</v>
      </c>
      <c r="N91" s="28">
        <f t="shared" si="5"/>
        <v>365</v>
      </c>
      <c r="O91" s="31"/>
    </row>
    <row r="92" spans="1:15">
      <c r="A92" s="26">
        <v>43987</v>
      </c>
      <c r="B92" s="27" t="s">
        <v>15</v>
      </c>
      <c r="C92" s="28" t="s">
        <v>50</v>
      </c>
      <c r="D92" s="31" t="s">
        <v>47</v>
      </c>
      <c r="E92" s="30">
        <f t="shared" si="6"/>
        <v>6</v>
      </c>
      <c r="F92" s="31">
        <v>0</v>
      </c>
      <c r="G92" s="31">
        <f>29+27</f>
        <v>56</v>
      </c>
      <c r="H92" s="31">
        <f>45+200+86+200</f>
        <v>531</v>
      </c>
      <c r="I92" s="31">
        <v>0</v>
      </c>
      <c r="J92" s="32">
        <v>0</v>
      </c>
      <c r="K92" s="31">
        <v>0</v>
      </c>
      <c r="L92" s="32">
        <v>0</v>
      </c>
      <c r="M92" s="31">
        <v>0</v>
      </c>
      <c r="N92" s="28">
        <f t="shared" si="5"/>
        <v>587</v>
      </c>
      <c r="O92" s="31"/>
    </row>
    <row r="93" spans="1:15">
      <c r="A93" s="26">
        <v>43988</v>
      </c>
      <c r="B93" s="27" t="s">
        <v>15</v>
      </c>
      <c r="C93" s="28" t="s">
        <v>50</v>
      </c>
      <c r="D93" s="31" t="s">
        <v>48</v>
      </c>
      <c r="E93" s="30">
        <f t="shared" si="6"/>
        <v>7</v>
      </c>
      <c r="F93" s="31">
        <v>0</v>
      </c>
      <c r="G93" s="31">
        <f>222+34+25+61</f>
        <v>342</v>
      </c>
      <c r="H93" s="31">
        <v>0</v>
      </c>
      <c r="I93" s="31">
        <v>0</v>
      </c>
      <c r="J93" s="32">
        <v>0</v>
      </c>
      <c r="K93" s="31">
        <v>0</v>
      </c>
      <c r="L93" s="32">
        <v>0</v>
      </c>
      <c r="M93" s="31">
        <v>0</v>
      </c>
      <c r="N93" s="28">
        <f t="shared" si="5"/>
        <v>342</v>
      </c>
      <c r="O93" s="31"/>
    </row>
    <row r="94" spans="1:15">
      <c r="A94" s="26">
        <v>43989</v>
      </c>
      <c r="B94" s="27" t="s">
        <v>15</v>
      </c>
      <c r="C94" s="28" t="s">
        <v>50</v>
      </c>
      <c r="D94" s="31" t="s">
        <v>17</v>
      </c>
      <c r="E94" s="30">
        <f t="shared" si="6"/>
        <v>1</v>
      </c>
      <c r="F94" s="31">
        <v>0</v>
      </c>
      <c r="G94" s="31">
        <f>62+25+27+22+16+9+4+47+2</f>
        <v>214</v>
      </c>
      <c r="H94" s="31">
        <f>16</f>
        <v>16</v>
      </c>
      <c r="I94" s="31">
        <v>0</v>
      </c>
      <c r="J94" s="32">
        <f>228</f>
        <v>228</v>
      </c>
      <c r="K94" s="31">
        <v>0</v>
      </c>
      <c r="L94" s="32">
        <v>0</v>
      </c>
      <c r="M94" s="31">
        <v>0</v>
      </c>
      <c r="N94" s="28">
        <f t="shared" si="5"/>
        <v>458</v>
      </c>
      <c r="O94" s="31"/>
    </row>
    <row r="95" spans="1:15">
      <c r="A95" s="26">
        <v>43990</v>
      </c>
      <c r="B95" s="27" t="s">
        <v>15</v>
      </c>
      <c r="C95" s="28" t="s">
        <v>50</v>
      </c>
      <c r="D95" s="31" t="s">
        <v>18</v>
      </c>
      <c r="E95" s="30">
        <f t="shared" ref="E95:E101" si="7">WEEKDAY(A95,1)</f>
        <v>2</v>
      </c>
      <c r="F95" s="31">
        <v>0</v>
      </c>
      <c r="G95" s="31">
        <f>25+15+11.5</f>
        <v>51.5</v>
      </c>
      <c r="H95" s="31">
        <v>0</v>
      </c>
      <c r="I95" s="31">
        <v>0</v>
      </c>
      <c r="J95" s="32">
        <v>0</v>
      </c>
      <c r="K95" s="31">
        <v>0</v>
      </c>
      <c r="L95" s="32">
        <v>0</v>
      </c>
      <c r="M95" s="31">
        <v>0</v>
      </c>
      <c r="N95" s="28">
        <f t="shared" si="5"/>
        <v>51.5</v>
      </c>
      <c r="O95" s="31"/>
    </row>
    <row r="96" spans="1:15">
      <c r="A96" s="26">
        <v>43991</v>
      </c>
      <c r="B96" s="27" t="s">
        <v>15</v>
      </c>
      <c r="C96" s="28" t="s">
        <v>50</v>
      </c>
      <c r="D96" s="31" t="s">
        <v>19</v>
      </c>
      <c r="E96" s="30">
        <f t="shared" si="7"/>
        <v>3</v>
      </c>
      <c r="F96" s="31">
        <v>0</v>
      </c>
      <c r="G96" s="31">
        <f>65+17</f>
        <v>82</v>
      </c>
      <c r="H96" s="31">
        <f>88.5+67</f>
        <v>155.5</v>
      </c>
      <c r="I96" s="31">
        <v>0</v>
      </c>
      <c r="J96" s="32">
        <v>0</v>
      </c>
      <c r="K96" s="31">
        <v>0</v>
      </c>
      <c r="L96" s="32">
        <v>0</v>
      </c>
      <c r="M96" s="31">
        <v>0</v>
      </c>
      <c r="N96" s="28">
        <f t="shared" si="5"/>
        <v>237.5</v>
      </c>
      <c r="O96" s="31"/>
    </row>
    <row r="97" spans="1:15">
      <c r="A97" s="26">
        <v>43992</v>
      </c>
      <c r="B97" s="27" t="s">
        <v>15</v>
      </c>
      <c r="C97" s="28" t="s">
        <v>50</v>
      </c>
      <c r="D97" s="31" t="s">
        <v>20</v>
      </c>
      <c r="E97" s="30">
        <f t="shared" si="7"/>
        <v>4</v>
      </c>
      <c r="F97" s="31">
        <v>30</v>
      </c>
      <c r="G97" s="31">
        <f>29+4</f>
        <v>33</v>
      </c>
      <c r="H97" s="31">
        <v>0</v>
      </c>
      <c r="I97" s="31">
        <v>0</v>
      </c>
      <c r="J97" s="32">
        <v>0</v>
      </c>
      <c r="K97" s="31">
        <v>0</v>
      </c>
      <c r="L97" s="32">
        <v>0</v>
      </c>
      <c r="M97" s="31">
        <v>0</v>
      </c>
      <c r="N97" s="28">
        <f t="shared" si="5"/>
        <v>63</v>
      </c>
      <c r="O97" s="31"/>
    </row>
    <row r="98" spans="1:15">
      <c r="A98" s="26">
        <v>43993</v>
      </c>
      <c r="B98" s="27" t="s">
        <v>15</v>
      </c>
      <c r="C98" s="28" t="s">
        <v>50</v>
      </c>
      <c r="D98" s="31" t="s">
        <v>21</v>
      </c>
      <c r="E98" s="30">
        <f t="shared" si="7"/>
        <v>5</v>
      </c>
      <c r="F98" s="31">
        <v>0</v>
      </c>
      <c r="G98" s="31">
        <f>24+13</f>
        <v>37</v>
      </c>
      <c r="H98" s="31">
        <v>0</v>
      </c>
      <c r="I98" s="31">
        <v>0</v>
      </c>
      <c r="J98" s="32">
        <v>0</v>
      </c>
      <c r="K98" s="31">
        <v>0</v>
      </c>
      <c r="L98" s="32">
        <v>0</v>
      </c>
      <c r="M98" s="31">
        <v>0</v>
      </c>
      <c r="N98" s="28">
        <f t="shared" si="5"/>
        <v>37</v>
      </c>
      <c r="O98" s="31"/>
    </row>
    <row r="99" spans="1:15">
      <c r="A99" s="26">
        <v>43994</v>
      </c>
      <c r="B99" s="27" t="s">
        <v>15</v>
      </c>
      <c r="C99" s="28" t="s">
        <v>50</v>
      </c>
      <c r="D99" s="31" t="s">
        <v>22</v>
      </c>
      <c r="E99" s="30">
        <f t="shared" si="7"/>
        <v>6</v>
      </c>
      <c r="F99" s="31">
        <v>0</v>
      </c>
      <c r="G99" s="31">
        <f>24</f>
        <v>24</v>
      </c>
      <c r="H99" s="31">
        <v>0</v>
      </c>
      <c r="I99" s="31">
        <v>0</v>
      </c>
      <c r="J99" s="32">
        <v>0</v>
      </c>
      <c r="K99" s="31">
        <v>0</v>
      </c>
      <c r="L99" s="32">
        <v>0</v>
      </c>
      <c r="M99" s="31">
        <v>0</v>
      </c>
      <c r="N99" s="28">
        <f t="shared" ref="N99:N114" si="8">SUM(F99:M99)</f>
        <v>24</v>
      </c>
      <c r="O99" s="31"/>
    </row>
    <row r="100" spans="1:15">
      <c r="A100" s="26">
        <v>43995</v>
      </c>
      <c r="B100" s="27" t="s">
        <v>15</v>
      </c>
      <c r="C100" s="28" t="s">
        <v>50</v>
      </c>
      <c r="D100" s="31" t="s">
        <v>23</v>
      </c>
      <c r="E100" s="30">
        <f t="shared" si="7"/>
        <v>7</v>
      </c>
      <c r="F100" s="31">
        <v>0</v>
      </c>
      <c r="G100" s="31">
        <f>19</f>
        <v>19</v>
      </c>
      <c r="H100" s="31">
        <v>109</v>
      </c>
      <c r="I100" s="31">
        <v>0</v>
      </c>
      <c r="J100" s="32">
        <v>0</v>
      </c>
      <c r="K100" s="31">
        <v>0</v>
      </c>
      <c r="L100" s="32">
        <v>0</v>
      </c>
      <c r="M100" s="31">
        <v>0</v>
      </c>
      <c r="N100" s="28">
        <f t="shared" si="8"/>
        <v>128</v>
      </c>
      <c r="O100" s="31"/>
    </row>
    <row r="101" spans="1:15">
      <c r="A101" s="26">
        <v>43996</v>
      </c>
      <c r="B101" s="27" t="s">
        <v>15</v>
      </c>
      <c r="C101" s="28" t="s">
        <v>50</v>
      </c>
      <c r="D101" s="31" t="s">
        <v>24</v>
      </c>
      <c r="E101" s="30">
        <f t="shared" si="7"/>
        <v>1</v>
      </c>
      <c r="F101" s="31">
        <v>0</v>
      </c>
      <c r="G101" s="31">
        <f>76+11+10+50.3+39</f>
        <v>186.3</v>
      </c>
      <c r="H101" s="31">
        <v>0</v>
      </c>
      <c r="I101" s="31">
        <v>0</v>
      </c>
      <c r="J101" s="32">
        <v>0</v>
      </c>
      <c r="K101" s="31">
        <v>0</v>
      </c>
      <c r="L101" s="32">
        <v>0</v>
      </c>
      <c r="M101" s="31">
        <v>0</v>
      </c>
      <c r="N101" s="28">
        <f t="shared" si="8"/>
        <v>186.3</v>
      </c>
      <c r="O101" s="31"/>
    </row>
    <row r="102" spans="1:15">
      <c r="A102" s="26">
        <v>43997</v>
      </c>
      <c r="B102" s="27" t="s">
        <v>15</v>
      </c>
      <c r="C102" s="28" t="s">
        <v>50</v>
      </c>
      <c r="D102" s="31" t="s">
        <v>25</v>
      </c>
      <c r="E102" s="30">
        <f t="shared" ref="E102:E122" si="9">WEEKDAY(A102,1)</f>
        <v>2</v>
      </c>
      <c r="F102" s="31">
        <v>0</v>
      </c>
      <c r="G102" s="31">
        <f>17+20+6+16.68+3</f>
        <v>62.68</v>
      </c>
      <c r="H102" s="31">
        <v>0</v>
      </c>
      <c r="I102" s="31">
        <v>0</v>
      </c>
      <c r="J102" s="32">
        <v>0</v>
      </c>
      <c r="K102" s="31">
        <v>0</v>
      </c>
      <c r="L102" s="32">
        <v>0</v>
      </c>
      <c r="M102" s="31">
        <v>0</v>
      </c>
      <c r="N102" s="28">
        <f t="shared" si="8"/>
        <v>62.68</v>
      </c>
      <c r="O102" s="31">
        <v>4885</v>
      </c>
    </row>
    <row r="103" spans="1:15">
      <c r="A103" s="26">
        <v>43998</v>
      </c>
      <c r="B103" s="27" t="s">
        <v>15</v>
      </c>
      <c r="C103" s="28" t="s">
        <v>50</v>
      </c>
      <c r="D103" s="31" t="s">
        <v>26</v>
      </c>
      <c r="E103" s="30">
        <f t="shared" si="9"/>
        <v>3</v>
      </c>
      <c r="F103" s="31">
        <v>0</v>
      </c>
      <c r="G103" s="31">
        <f>31+17.68</f>
        <v>48.68</v>
      </c>
      <c r="H103" s="31">
        <v>0</v>
      </c>
      <c r="I103" s="31">
        <f>60.06+87.92+52.58+59.6+27.03+46.63+38.01+25.06</f>
        <v>396.89</v>
      </c>
      <c r="J103" s="32">
        <v>0</v>
      </c>
      <c r="K103" s="31">
        <v>0</v>
      </c>
      <c r="L103" s="32">
        <v>0</v>
      </c>
      <c r="M103" s="31">
        <v>0</v>
      </c>
      <c r="N103" s="28">
        <f t="shared" si="8"/>
        <v>445.57</v>
      </c>
      <c r="O103" s="31"/>
    </row>
    <row r="104" spans="1:15">
      <c r="A104" s="26">
        <v>43999</v>
      </c>
      <c r="B104" s="27" t="s">
        <v>15</v>
      </c>
      <c r="C104" s="28" t="s">
        <v>50</v>
      </c>
      <c r="D104" s="31" t="s">
        <v>27</v>
      </c>
      <c r="E104" s="30">
        <f t="shared" si="9"/>
        <v>4</v>
      </c>
      <c r="F104" s="31">
        <f>6+6</f>
        <v>12</v>
      </c>
      <c r="G104" s="31">
        <f>18</f>
        <v>18</v>
      </c>
      <c r="H104" s="31">
        <v>0</v>
      </c>
      <c r="I104" s="31">
        <v>0</v>
      </c>
      <c r="J104" s="32">
        <v>0</v>
      </c>
      <c r="K104" s="31">
        <v>0</v>
      </c>
      <c r="L104" s="32">
        <v>0</v>
      </c>
      <c r="M104" s="31">
        <v>0</v>
      </c>
      <c r="N104" s="28">
        <f t="shared" si="8"/>
        <v>30</v>
      </c>
      <c r="O104" s="31"/>
    </row>
    <row r="105" spans="1:15">
      <c r="A105" s="26">
        <v>44000</v>
      </c>
      <c r="B105" s="27" t="s">
        <v>15</v>
      </c>
      <c r="C105" s="28" t="s">
        <v>50</v>
      </c>
      <c r="D105" s="31" t="s">
        <v>28</v>
      </c>
      <c r="E105" s="30">
        <f t="shared" si="9"/>
        <v>5</v>
      </c>
      <c r="F105" s="31">
        <f>6+6</f>
        <v>12</v>
      </c>
      <c r="G105" s="31">
        <f>26+20.8+32.5</f>
        <v>79.3</v>
      </c>
      <c r="H105" s="31">
        <v>0</v>
      </c>
      <c r="I105" s="31">
        <v>0</v>
      </c>
      <c r="J105" s="32">
        <v>0</v>
      </c>
      <c r="K105" s="31">
        <v>100</v>
      </c>
      <c r="L105" s="32">
        <v>0</v>
      </c>
      <c r="M105" s="31">
        <v>0</v>
      </c>
      <c r="N105" s="28">
        <f t="shared" si="8"/>
        <v>191.3</v>
      </c>
      <c r="O105" s="31"/>
    </row>
    <row r="106" spans="1:15">
      <c r="A106" s="26">
        <v>44001</v>
      </c>
      <c r="B106" s="27" t="s">
        <v>15</v>
      </c>
      <c r="C106" s="28" t="s">
        <v>50</v>
      </c>
      <c r="D106" s="31" t="s">
        <v>29</v>
      </c>
      <c r="E106" s="30">
        <f t="shared" si="9"/>
        <v>6</v>
      </c>
      <c r="F106" s="31">
        <f>6+G1066</f>
        <v>6</v>
      </c>
      <c r="G106" s="31">
        <f>31+15.5+3+10+6.5</f>
        <v>66</v>
      </c>
      <c r="H106" s="31">
        <f>100</f>
        <v>100</v>
      </c>
      <c r="I106" s="31">
        <f>52.29+188.22</f>
        <v>240.51</v>
      </c>
      <c r="J106" s="32">
        <v>0</v>
      </c>
      <c r="K106" s="31">
        <v>0</v>
      </c>
      <c r="L106" s="32">
        <v>0</v>
      </c>
      <c r="M106" s="31">
        <v>0</v>
      </c>
      <c r="N106" s="28">
        <f t="shared" si="8"/>
        <v>412.51</v>
      </c>
      <c r="O106" s="31"/>
    </row>
    <row r="107" spans="1:15">
      <c r="A107" s="26">
        <v>44002</v>
      </c>
      <c r="B107" s="27" t="s">
        <v>15</v>
      </c>
      <c r="C107" s="28" t="s">
        <v>50</v>
      </c>
      <c r="D107" s="31" t="s">
        <v>30</v>
      </c>
      <c r="E107" s="30">
        <f t="shared" si="9"/>
        <v>7</v>
      </c>
      <c r="F107" s="31">
        <v>0</v>
      </c>
      <c r="G107" s="31">
        <f>22</f>
        <v>22</v>
      </c>
      <c r="H107" s="31">
        <v>0</v>
      </c>
      <c r="I107" s="31">
        <v>0</v>
      </c>
      <c r="J107" s="32">
        <v>0</v>
      </c>
      <c r="K107" s="31">
        <v>0</v>
      </c>
      <c r="L107" s="32">
        <v>0</v>
      </c>
      <c r="M107" s="31">
        <v>0</v>
      </c>
      <c r="N107" s="28">
        <f t="shared" si="8"/>
        <v>22</v>
      </c>
      <c r="O107" s="31"/>
    </row>
    <row r="108" spans="1:15">
      <c r="A108" s="26">
        <v>44003</v>
      </c>
      <c r="B108" s="27" t="s">
        <v>15</v>
      </c>
      <c r="C108" s="28" t="s">
        <v>50</v>
      </c>
      <c r="D108" s="31" t="s">
        <v>31</v>
      </c>
      <c r="E108" s="30">
        <f t="shared" si="9"/>
        <v>1</v>
      </c>
      <c r="F108" s="31">
        <v>0</v>
      </c>
      <c r="G108" s="31">
        <f>70+95</f>
        <v>165</v>
      </c>
      <c r="H108" s="31">
        <v>0</v>
      </c>
      <c r="I108" s="31">
        <v>0</v>
      </c>
      <c r="J108" s="32">
        <v>0</v>
      </c>
      <c r="K108" s="31">
        <v>0</v>
      </c>
      <c r="L108" s="32">
        <v>0</v>
      </c>
      <c r="M108" s="31">
        <v>0</v>
      </c>
      <c r="N108" s="28">
        <f t="shared" si="8"/>
        <v>165</v>
      </c>
      <c r="O108" s="31"/>
    </row>
    <row r="109" spans="1:15">
      <c r="A109" s="26">
        <v>44004</v>
      </c>
      <c r="B109" s="27" t="s">
        <v>15</v>
      </c>
      <c r="C109" s="28" t="s">
        <v>50</v>
      </c>
      <c r="D109" s="31" t="s">
        <v>32</v>
      </c>
      <c r="E109" s="30">
        <f t="shared" si="9"/>
        <v>2</v>
      </c>
      <c r="F109" s="31">
        <f>6</f>
        <v>6</v>
      </c>
      <c r="G109" s="31">
        <f>29+25.37+3</f>
        <v>57.37</v>
      </c>
      <c r="H109" s="31">
        <v>0</v>
      </c>
      <c r="I109" s="31">
        <v>0</v>
      </c>
      <c r="J109" s="32">
        <v>0</v>
      </c>
      <c r="K109" s="31">
        <v>0</v>
      </c>
      <c r="L109" s="32">
        <v>0</v>
      </c>
      <c r="M109" s="31">
        <v>0</v>
      </c>
      <c r="N109" s="28">
        <f t="shared" si="8"/>
        <v>63.37</v>
      </c>
      <c r="O109" s="31"/>
    </row>
    <row r="110" spans="1:15">
      <c r="A110" s="26">
        <v>44005</v>
      </c>
      <c r="B110" s="27" t="s">
        <v>15</v>
      </c>
      <c r="C110" s="28" t="s">
        <v>50</v>
      </c>
      <c r="D110" s="31" t="s">
        <v>33</v>
      </c>
      <c r="E110" s="30">
        <f t="shared" si="9"/>
        <v>3</v>
      </c>
      <c r="F110" s="31">
        <v>0</v>
      </c>
      <c r="G110" s="31">
        <f>25+14.3</f>
        <v>39.3</v>
      </c>
      <c r="H110" s="31">
        <v>0</v>
      </c>
      <c r="I110" s="31">
        <v>0</v>
      </c>
      <c r="J110" s="32">
        <v>0</v>
      </c>
      <c r="K110" s="31">
        <v>0</v>
      </c>
      <c r="L110" s="32">
        <v>0</v>
      </c>
      <c r="M110" s="31">
        <v>0</v>
      </c>
      <c r="N110" s="28">
        <f t="shared" si="8"/>
        <v>39.3</v>
      </c>
      <c r="O110" s="31"/>
    </row>
    <row r="111" spans="1:15">
      <c r="A111" s="26">
        <v>44006</v>
      </c>
      <c r="B111" s="27" t="s">
        <v>15</v>
      </c>
      <c r="C111" s="28" t="s">
        <v>50</v>
      </c>
      <c r="D111" s="31" t="s">
        <v>34</v>
      </c>
      <c r="E111" s="30">
        <f t="shared" si="9"/>
        <v>4</v>
      </c>
      <c r="F111" s="31">
        <f>13.94</f>
        <v>13.94</v>
      </c>
      <c r="G111" s="31">
        <f>25+15+3</f>
        <v>43</v>
      </c>
      <c r="H111" s="31">
        <v>0</v>
      </c>
      <c r="I111" s="31">
        <v>0</v>
      </c>
      <c r="J111" s="32">
        <v>0</v>
      </c>
      <c r="K111" s="31">
        <v>351</v>
      </c>
      <c r="L111" s="32">
        <v>0</v>
      </c>
      <c r="M111" s="31">
        <v>0</v>
      </c>
      <c r="N111" s="28">
        <f t="shared" si="8"/>
        <v>407.94</v>
      </c>
      <c r="O111" s="31"/>
    </row>
    <row r="112" spans="1:15">
      <c r="A112" s="26">
        <v>44007</v>
      </c>
      <c r="B112" s="27" t="s">
        <v>15</v>
      </c>
      <c r="C112" s="28" t="s">
        <v>50</v>
      </c>
      <c r="D112" s="31" t="s">
        <v>35</v>
      </c>
      <c r="E112" s="30">
        <f t="shared" si="9"/>
        <v>5</v>
      </c>
      <c r="F112" s="31">
        <f>31+24</f>
        <v>55</v>
      </c>
      <c r="G112" s="31">
        <f>29+7+4+38+159+69+2+14+3+6+6+34+33.74</f>
        <v>404.74</v>
      </c>
      <c r="H112" s="31">
        <v>0</v>
      </c>
      <c r="I112" s="31">
        <v>0</v>
      </c>
      <c r="J112" s="32">
        <v>0</v>
      </c>
      <c r="K112" s="31">
        <v>0</v>
      </c>
      <c r="L112" s="32">
        <v>2000</v>
      </c>
      <c r="M112" s="31">
        <v>0</v>
      </c>
      <c r="N112" s="28">
        <f t="shared" si="8"/>
        <v>2459.74</v>
      </c>
      <c r="O112" s="31"/>
    </row>
    <row r="113" spans="1:15">
      <c r="A113" s="26">
        <v>44008</v>
      </c>
      <c r="B113" s="27" t="s">
        <v>15</v>
      </c>
      <c r="C113" s="28" t="s">
        <v>50</v>
      </c>
      <c r="D113" s="31" t="s">
        <v>36</v>
      </c>
      <c r="E113" s="30">
        <f t="shared" si="9"/>
        <v>6</v>
      </c>
      <c r="F113" s="31">
        <v>0</v>
      </c>
      <c r="G113" s="31">
        <v>0</v>
      </c>
      <c r="H113" s="31">
        <v>0</v>
      </c>
      <c r="I113" s="31">
        <v>0</v>
      </c>
      <c r="J113" s="32">
        <v>0</v>
      </c>
      <c r="K113" s="31">
        <v>0</v>
      </c>
      <c r="L113" s="32">
        <f>89+29+145+168+59+150+79</f>
        <v>719</v>
      </c>
      <c r="M113" s="31">
        <v>200</v>
      </c>
      <c r="N113" s="28">
        <f t="shared" si="8"/>
        <v>919</v>
      </c>
      <c r="O113" s="31"/>
    </row>
    <row r="114" spans="1:15">
      <c r="A114" s="26">
        <v>44009</v>
      </c>
      <c r="B114" s="27" t="s">
        <v>15</v>
      </c>
      <c r="C114" s="28" t="s">
        <v>50</v>
      </c>
      <c r="D114" s="31" t="s">
        <v>37</v>
      </c>
      <c r="E114" s="37">
        <f t="shared" si="9"/>
        <v>7</v>
      </c>
      <c r="F114" s="38">
        <v>0</v>
      </c>
      <c r="G114" s="38">
        <v>0</v>
      </c>
      <c r="H114" s="38">
        <v>0</v>
      </c>
      <c r="I114" s="38">
        <v>0</v>
      </c>
      <c r="J114" s="39">
        <v>0</v>
      </c>
      <c r="K114" s="38">
        <v>0</v>
      </c>
      <c r="L114" s="39">
        <v>0</v>
      </c>
      <c r="M114" s="31">
        <v>0</v>
      </c>
      <c r="N114" s="28">
        <f t="shared" si="8"/>
        <v>0</v>
      </c>
      <c r="O114" s="31"/>
    </row>
    <row r="115" spans="1:15">
      <c r="A115" s="26">
        <v>44010</v>
      </c>
      <c r="B115" s="27" t="s">
        <v>15</v>
      </c>
      <c r="C115" s="28" t="s">
        <v>50</v>
      </c>
      <c r="D115" s="31" t="s">
        <v>38</v>
      </c>
      <c r="E115" s="30">
        <f t="shared" si="9"/>
        <v>1</v>
      </c>
      <c r="F115" s="31">
        <f>30+200+30</f>
        <v>260</v>
      </c>
      <c r="G115" s="31">
        <f>22+3+33.7</f>
        <v>58.7</v>
      </c>
      <c r="H115" s="31">
        <f>2547</f>
        <v>2547</v>
      </c>
      <c r="I115" s="31">
        <v>0</v>
      </c>
      <c r="J115" s="32">
        <v>0</v>
      </c>
      <c r="K115" s="31">
        <v>0</v>
      </c>
      <c r="L115" s="32">
        <v>0</v>
      </c>
      <c r="M115" s="31">
        <v>0</v>
      </c>
      <c r="N115" s="28">
        <f t="shared" ref="N115:N122" si="10">SUM(F115:M115)</f>
        <v>2865.7</v>
      </c>
      <c r="O115" s="31">
        <v>6372.9</v>
      </c>
    </row>
    <row r="116" spans="1:15">
      <c r="A116" s="26">
        <v>44011</v>
      </c>
      <c r="B116" s="27" t="s">
        <v>15</v>
      </c>
      <c r="C116" s="28" t="s">
        <v>50</v>
      </c>
      <c r="D116" s="31" t="s">
        <v>39</v>
      </c>
      <c r="E116" s="30">
        <f t="shared" si="9"/>
        <v>2</v>
      </c>
      <c r="F116" s="31">
        <v>0</v>
      </c>
      <c r="G116" s="31">
        <f>23+20.9</f>
        <v>43.9</v>
      </c>
      <c r="H116" s="31">
        <v>0</v>
      </c>
      <c r="I116" s="31">
        <v>0</v>
      </c>
      <c r="J116" s="32">
        <v>0</v>
      </c>
      <c r="K116" s="31">
        <v>0</v>
      </c>
      <c r="L116" s="32">
        <v>0</v>
      </c>
      <c r="M116" s="31">
        <v>0</v>
      </c>
      <c r="N116" s="28">
        <f t="shared" si="10"/>
        <v>43.9</v>
      </c>
      <c r="O116" s="31"/>
    </row>
    <row r="117" spans="1:15">
      <c r="A117" s="26">
        <v>44012</v>
      </c>
      <c r="B117" s="27" t="s">
        <v>15</v>
      </c>
      <c r="C117" s="28" t="s">
        <v>50</v>
      </c>
      <c r="D117" s="31" t="s">
        <v>40</v>
      </c>
      <c r="E117" s="30">
        <f t="shared" si="9"/>
        <v>3</v>
      </c>
      <c r="F117" s="31">
        <f>200</f>
        <v>200</v>
      </c>
      <c r="G117" s="31">
        <f>19+19+3+7</f>
        <v>48</v>
      </c>
      <c r="H117" s="31">
        <v>15</v>
      </c>
      <c r="I117" s="31">
        <v>0</v>
      </c>
      <c r="J117" s="32">
        <v>0</v>
      </c>
      <c r="K117" s="31">
        <v>0</v>
      </c>
      <c r="L117" s="32">
        <v>0</v>
      </c>
      <c r="M117" s="31">
        <v>0</v>
      </c>
      <c r="N117" s="28">
        <f t="shared" si="10"/>
        <v>263</v>
      </c>
      <c r="O117" s="31"/>
    </row>
    <row r="118" spans="1:15">
      <c r="A118" s="26">
        <v>44013</v>
      </c>
      <c r="B118" s="27" t="s">
        <v>15</v>
      </c>
      <c r="C118" s="28" t="s">
        <v>51</v>
      </c>
      <c r="D118" s="31" t="s">
        <v>43</v>
      </c>
      <c r="E118" s="30">
        <f t="shared" si="9"/>
        <v>4</v>
      </c>
      <c r="F118" s="31">
        <v>0</v>
      </c>
      <c r="G118" s="31">
        <f>29+2</f>
        <v>31</v>
      </c>
      <c r="H118" s="31">
        <v>0</v>
      </c>
      <c r="I118" s="31">
        <v>0</v>
      </c>
      <c r="J118" s="32">
        <v>0</v>
      </c>
      <c r="K118" s="31">
        <v>0</v>
      </c>
      <c r="L118" s="32">
        <v>0</v>
      </c>
      <c r="M118" s="31">
        <v>0</v>
      </c>
      <c r="N118" s="28">
        <f t="shared" si="10"/>
        <v>31</v>
      </c>
      <c r="O118" s="31"/>
    </row>
    <row r="119" spans="1:15">
      <c r="A119" s="26">
        <v>44014</v>
      </c>
      <c r="B119" s="27" t="s">
        <v>15</v>
      </c>
      <c r="C119" s="28" t="s">
        <v>51</v>
      </c>
      <c r="D119" s="31" t="s">
        <v>44</v>
      </c>
      <c r="E119" s="30">
        <f t="shared" si="9"/>
        <v>5</v>
      </c>
      <c r="F119" s="31">
        <v>0</v>
      </c>
      <c r="G119" s="31">
        <f>12+29+2+18</f>
        <v>61</v>
      </c>
      <c r="H119" s="31">
        <v>0</v>
      </c>
      <c r="I119" s="31">
        <v>0</v>
      </c>
      <c r="J119" s="32">
        <v>0</v>
      </c>
      <c r="K119" s="31">
        <v>0</v>
      </c>
      <c r="L119" s="32">
        <v>0</v>
      </c>
      <c r="M119" s="31">
        <v>0</v>
      </c>
      <c r="N119" s="28">
        <f t="shared" si="10"/>
        <v>61</v>
      </c>
      <c r="O119" s="31"/>
    </row>
    <row r="120" spans="1:15">
      <c r="A120" s="26">
        <v>44015</v>
      </c>
      <c r="B120" s="27" t="s">
        <v>15</v>
      </c>
      <c r="C120" s="28" t="s">
        <v>51</v>
      </c>
      <c r="D120" s="31" t="s">
        <v>45</v>
      </c>
      <c r="E120" s="30">
        <f t="shared" si="9"/>
        <v>6</v>
      </c>
      <c r="F120" s="31">
        <v>0</v>
      </c>
      <c r="G120" s="31">
        <f>17+26.8+4+12.5</f>
        <v>60.3</v>
      </c>
      <c r="H120" s="31">
        <f>330+158</f>
        <v>488</v>
      </c>
      <c r="I120" s="31">
        <v>0</v>
      </c>
      <c r="J120" s="32">
        <v>0</v>
      </c>
      <c r="K120" s="31">
        <v>0</v>
      </c>
      <c r="L120" s="32">
        <v>0</v>
      </c>
      <c r="M120" s="31">
        <v>0</v>
      </c>
      <c r="N120" s="28">
        <f t="shared" si="10"/>
        <v>548.3</v>
      </c>
      <c r="O120" s="31"/>
    </row>
    <row r="121" spans="1:15">
      <c r="A121" s="26">
        <v>44016</v>
      </c>
      <c r="B121" s="27" t="s">
        <v>15</v>
      </c>
      <c r="C121" s="28" t="s">
        <v>51</v>
      </c>
      <c r="D121" s="31" t="s">
        <v>46</v>
      </c>
      <c r="E121" s="30">
        <f t="shared" si="9"/>
        <v>7</v>
      </c>
      <c r="F121" s="31">
        <v>0</v>
      </c>
      <c r="G121" s="31">
        <f>23</f>
        <v>23</v>
      </c>
      <c r="H121" s="31">
        <v>0</v>
      </c>
      <c r="I121" s="31">
        <v>0</v>
      </c>
      <c r="J121" s="32">
        <v>0</v>
      </c>
      <c r="K121" s="31">
        <v>0</v>
      </c>
      <c r="L121" s="32">
        <v>0</v>
      </c>
      <c r="M121" s="31">
        <v>0</v>
      </c>
      <c r="N121" s="28">
        <f t="shared" si="10"/>
        <v>23</v>
      </c>
      <c r="O121" s="31"/>
    </row>
    <row r="122" spans="1:15">
      <c r="A122" s="26">
        <v>44017</v>
      </c>
      <c r="B122" s="27" t="s">
        <v>15</v>
      </c>
      <c r="C122" s="28" t="s">
        <v>51</v>
      </c>
      <c r="D122" s="31" t="s">
        <v>47</v>
      </c>
      <c r="E122" s="30">
        <f t="shared" si="9"/>
        <v>1</v>
      </c>
      <c r="F122" s="31">
        <v>0</v>
      </c>
      <c r="G122" s="31">
        <f>10+10+51+63+16+20+22+9+4</f>
        <v>205</v>
      </c>
      <c r="H122" s="31">
        <v>0</v>
      </c>
      <c r="I122" s="31">
        <v>0</v>
      </c>
      <c r="J122" s="32">
        <v>0</v>
      </c>
      <c r="K122" s="31">
        <v>0</v>
      </c>
      <c r="L122" s="32">
        <v>0</v>
      </c>
      <c r="M122" s="31">
        <v>0</v>
      </c>
      <c r="N122" s="28">
        <f t="shared" si="10"/>
        <v>205</v>
      </c>
      <c r="O122" s="31"/>
    </row>
    <row r="123" spans="1:15">
      <c r="A123" s="26">
        <v>44018</v>
      </c>
      <c r="B123" s="27" t="s">
        <v>15</v>
      </c>
      <c r="C123" s="28" t="s">
        <v>51</v>
      </c>
      <c r="D123" s="31" t="s">
        <v>48</v>
      </c>
      <c r="E123" s="30">
        <f t="shared" ref="E123:E136" si="11">WEEKDAY(A123,1)</f>
        <v>2</v>
      </c>
      <c r="F123" s="31">
        <f>6</f>
        <v>6</v>
      </c>
      <c r="G123" s="31">
        <f>29+22+158+8</f>
        <v>217</v>
      </c>
      <c r="H123" s="31">
        <f>308</f>
        <v>308</v>
      </c>
      <c r="I123" s="31">
        <v>0</v>
      </c>
      <c r="J123" s="32">
        <v>0</v>
      </c>
      <c r="K123" s="31">
        <v>0</v>
      </c>
      <c r="L123" s="32">
        <v>0</v>
      </c>
      <c r="M123" s="31">
        <v>0</v>
      </c>
      <c r="N123" s="28">
        <f t="shared" ref="N123:N148" si="12">SUM(F123:M123)</f>
        <v>531</v>
      </c>
      <c r="O123" s="35"/>
    </row>
    <row r="124" spans="1:15">
      <c r="A124" s="26">
        <v>44019</v>
      </c>
      <c r="B124" s="27" t="s">
        <v>15</v>
      </c>
      <c r="C124" s="28" t="s">
        <v>51</v>
      </c>
      <c r="D124" s="31" t="s">
        <v>17</v>
      </c>
      <c r="E124" s="30">
        <f t="shared" si="11"/>
        <v>3</v>
      </c>
      <c r="F124" s="31">
        <v>0</v>
      </c>
      <c r="G124" s="31">
        <f>7+27+25.4+2+71</f>
        <v>132.4</v>
      </c>
      <c r="H124" s="31">
        <v>0</v>
      </c>
      <c r="I124" s="31">
        <v>0</v>
      </c>
      <c r="J124" s="32">
        <v>0</v>
      </c>
      <c r="K124" s="31">
        <v>0</v>
      </c>
      <c r="L124" s="32">
        <v>0</v>
      </c>
      <c r="M124" s="31">
        <v>0</v>
      </c>
      <c r="N124" s="28">
        <f t="shared" si="12"/>
        <v>132.4</v>
      </c>
      <c r="O124" s="35"/>
    </row>
    <row r="125" spans="1:15">
      <c r="A125" s="26">
        <v>44020</v>
      </c>
      <c r="B125" s="27" t="s">
        <v>15</v>
      </c>
      <c r="C125" s="28" t="s">
        <v>51</v>
      </c>
      <c r="D125" s="31" t="s">
        <v>18</v>
      </c>
      <c r="E125" s="30">
        <f t="shared" si="11"/>
        <v>4</v>
      </c>
      <c r="F125" s="31">
        <v>0</v>
      </c>
      <c r="G125" s="31">
        <f>33+19</f>
        <v>52</v>
      </c>
      <c r="H125" s="31">
        <v>0</v>
      </c>
      <c r="I125" s="31">
        <v>0</v>
      </c>
      <c r="J125" s="32">
        <v>0</v>
      </c>
      <c r="K125" s="31">
        <v>0</v>
      </c>
      <c r="L125" s="32">
        <v>0</v>
      </c>
      <c r="M125" s="31">
        <v>0</v>
      </c>
      <c r="N125" s="28">
        <f t="shared" si="12"/>
        <v>52</v>
      </c>
      <c r="O125" s="35"/>
    </row>
    <row r="126" spans="1:15">
      <c r="A126" s="26">
        <v>44021</v>
      </c>
      <c r="B126" s="27" t="s">
        <v>15</v>
      </c>
      <c r="C126" s="28" t="s">
        <v>51</v>
      </c>
      <c r="D126" s="31" t="s">
        <v>19</v>
      </c>
      <c r="E126" s="30">
        <f t="shared" si="11"/>
        <v>5</v>
      </c>
      <c r="F126" s="31">
        <v>0</v>
      </c>
      <c r="G126" s="31">
        <f>22+12.8+11.88</f>
        <v>46.68</v>
      </c>
      <c r="H126" s="31">
        <v>0</v>
      </c>
      <c r="I126" s="31">
        <v>0</v>
      </c>
      <c r="J126" s="32">
        <v>0</v>
      </c>
      <c r="K126" s="31">
        <v>0</v>
      </c>
      <c r="L126" s="32">
        <v>0</v>
      </c>
      <c r="M126" s="31">
        <v>0</v>
      </c>
      <c r="N126" s="28">
        <f t="shared" si="12"/>
        <v>46.68</v>
      </c>
      <c r="O126" s="35">
        <v>10000</v>
      </c>
    </row>
    <row r="127" spans="1:15">
      <c r="A127" s="26">
        <v>44022</v>
      </c>
      <c r="B127" s="27" t="s">
        <v>15</v>
      </c>
      <c r="C127" s="28" t="s">
        <v>51</v>
      </c>
      <c r="D127" s="31" t="s">
        <v>20</v>
      </c>
      <c r="E127" s="30">
        <f t="shared" si="11"/>
        <v>6</v>
      </c>
      <c r="F127" s="31">
        <f>8</f>
        <v>8</v>
      </c>
      <c r="G127" s="31">
        <f>20+10.8</f>
        <v>30.8</v>
      </c>
      <c r="H127" s="31">
        <f>27.94+79.2+63.64+59.86</f>
        <v>230.64</v>
      </c>
      <c r="I127" s="31">
        <v>0</v>
      </c>
      <c r="J127" s="32">
        <v>0</v>
      </c>
      <c r="K127" s="31">
        <v>0</v>
      </c>
      <c r="L127" s="32">
        <v>0</v>
      </c>
      <c r="M127" s="31">
        <v>0</v>
      </c>
      <c r="N127" s="28">
        <f t="shared" si="12"/>
        <v>269.44</v>
      </c>
      <c r="O127" s="35"/>
    </row>
    <row r="128" spans="1:15">
      <c r="A128" s="26">
        <v>44023</v>
      </c>
      <c r="B128" s="27" t="s">
        <v>15</v>
      </c>
      <c r="C128" s="28" t="s">
        <v>51</v>
      </c>
      <c r="D128" s="31" t="s">
        <v>21</v>
      </c>
      <c r="E128" s="30">
        <f t="shared" si="11"/>
        <v>7</v>
      </c>
      <c r="F128" s="31">
        <f>20+53.18</f>
        <v>73.18</v>
      </c>
      <c r="G128" s="31">
        <f>18+11.5</f>
        <v>29.5</v>
      </c>
      <c r="H128" s="31">
        <v>0</v>
      </c>
      <c r="I128" s="31">
        <v>0</v>
      </c>
      <c r="J128" s="32">
        <v>0</v>
      </c>
      <c r="K128" s="31">
        <v>0</v>
      </c>
      <c r="L128" s="32">
        <v>0</v>
      </c>
      <c r="M128" s="31">
        <v>0</v>
      </c>
      <c r="N128" s="28">
        <f t="shared" si="12"/>
        <v>102.68</v>
      </c>
      <c r="O128" s="35"/>
    </row>
    <row r="129" spans="1:15">
      <c r="A129" s="26">
        <v>44024</v>
      </c>
      <c r="B129" s="27" t="s">
        <v>15</v>
      </c>
      <c r="C129" s="28" t="s">
        <v>51</v>
      </c>
      <c r="D129" s="31" t="s">
        <v>22</v>
      </c>
      <c r="E129" s="30">
        <f t="shared" si="11"/>
        <v>1</v>
      </c>
      <c r="F129" s="31">
        <v>0</v>
      </c>
      <c r="G129" s="31">
        <f>26+31+11+17+4+8+18+20+8.5+23.8+20.5</f>
        <v>187.8</v>
      </c>
      <c r="H129" s="31">
        <v>0</v>
      </c>
      <c r="I129" s="31">
        <v>0</v>
      </c>
      <c r="J129" s="32">
        <v>0</v>
      </c>
      <c r="K129" s="31">
        <v>0</v>
      </c>
      <c r="L129" s="32">
        <v>0</v>
      </c>
      <c r="M129" s="31">
        <v>0</v>
      </c>
      <c r="N129" s="28">
        <f t="shared" si="12"/>
        <v>187.8</v>
      </c>
      <c r="O129" s="35"/>
    </row>
    <row r="130" spans="1:15">
      <c r="A130" s="26">
        <v>44025</v>
      </c>
      <c r="B130" s="27" t="s">
        <v>15</v>
      </c>
      <c r="C130" s="28" t="s">
        <v>51</v>
      </c>
      <c r="D130" s="31" t="s">
        <v>23</v>
      </c>
      <c r="E130" s="30">
        <f t="shared" si="11"/>
        <v>2</v>
      </c>
      <c r="F130" s="31">
        <v>0</v>
      </c>
      <c r="G130" s="31">
        <f>93.5</f>
        <v>93.5</v>
      </c>
      <c r="H130" s="31">
        <v>0</v>
      </c>
      <c r="I130" s="31">
        <v>0</v>
      </c>
      <c r="J130" s="32">
        <v>0</v>
      </c>
      <c r="K130" s="31">
        <v>0</v>
      </c>
      <c r="L130" s="32">
        <v>0</v>
      </c>
      <c r="M130" s="31">
        <v>0</v>
      </c>
      <c r="N130" s="28">
        <f t="shared" si="12"/>
        <v>93.5</v>
      </c>
      <c r="O130" s="35"/>
    </row>
    <row r="131" spans="1:15">
      <c r="A131" s="26">
        <v>44026</v>
      </c>
      <c r="B131" s="27" t="s">
        <v>15</v>
      </c>
      <c r="C131" s="28" t="s">
        <v>51</v>
      </c>
      <c r="D131" s="31" t="s">
        <v>24</v>
      </c>
      <c r="E131" s="30">
        <f t="shared" si="11"/>
        <v>3</v>
      </c>
      <c r="F131" s="31">
        <v>0</v>
      </c>
      <c r="G131" s="31">
        <f>4+18+2+11.8</f>
        <v>35.8</v>
      </c>
      <c r="H131" s="31">
        <v>0</v>
      </c>
      <c r="I131" s="31">
        <v>0</v>
      </c>
      <c r="J131" s="32">
        <v>0</v>
      </c>
      <c r="K131" s="31">
        <v>0</v>
      </c>
      <c r="L131" s="32">
        <v>0</v>
      </c>
      <c r="M131" s="31">
        <v>0</v>
      </c>
      <c r="N131" s="28">
        <f t="shared" si="12"/>
        <v>35.8</v>
      </c>
      <c r="O131" s="35"/>
    </row>
    <row r="132" spans="1:15">
      <c r="A132" s="26">
        <v>44027</v>
      </c>
      <c r="B132" s="27" t="s">
        <v>15</v>
      </c>
      <c r="C132" s="28" t="s">
        <v>51</v>
      </c>
      <c r="D132" s="31" t="s">
        <v>25</v>
      </c>
      <c r="E132" s="30">
        <f t="shared" si="11"/>
        <v>4</v>
      </c>
      <c r="F132" s="31">
        <f>30+6+8.75</f>
        <v>44.75</v>
      </c>
      <c r="G132" s="31">
        <f>29+2+17.9+2+17</f>
        <v>67.9</v>
      </c>
      <c r="H132" s="31">
        <v>0</v>
      </c>
      <c r="I132" s="31">
        <v>0</v>
      </c>
      <c r="J132" s="32">
        <v>0</v>
      </c>
      <c r="K132" s="31">
        <v>0</v>
      </c>
      <c r="L132" s="32">
        <v>0</v>
      </c>
      <c r="M132" s="31">
        <v>0</v>
      </c>
      <c r="N132" s="28">
        <f t="shared" si="12"/>
        <v>112.65</v>
      </c>
      <c r="O132" s="35">
        <v>4905.23</v>
      </c>
    </row>
    <row r="133" spans="1:15">
      <c r="A133" s="26">
        <v>44028</v>
      </c>
      <c r="B133" s="27" t="s">
        <v>15</v>
      </c>
      <c r="C133" s="28" t="s">
        <v>51</v>
      </c>
      <c r="D133" s="31" t="s">
        <v>26</v>
      </c>
      <c r="E133" s="30">
        <f t="shared" si="11"/>
        <v>5</v>
      </c>
      <c r="F133" s="31">
        <v>0</v>
      </c>
      <c r="G133" s="31">
        <f>21+17+16.9+2+2</f>
        <v>58.9</v>
      </c>
      <c r="H133" s="31">
        <f>95.06+128+13.78</f>
        <v>236.84</v>
      </c>
      <c r="I133" s="31">
        <v>0</v>
      </c>
      <c r="J133" s="32">
        <v>0</v>
      </c>
      <c r="K133" s="31">
        <v>0</v>
      </c>
      <c r="L133" s="32">
        <v>0</v>
      </c>
      <c r="M133" s="31">
        <v>0</v>
      </c>
      <c r="N133" s="28">
        <f t="shared" si="12"/>
        <v>295.74</v>
      </c>
      <c r="O133" s="35"/>
    </row>
    <row r="134" spans="1:15">
      <c r="A134" s="26">
        <v>44029</v>
      </c>
      <c r="B134" s="27" t="s">
        <v>15</v>
      </c>
      <c r="C134" s="28" t="s">
        <v>51</v>
      </c>
      <c r="D134" s="31" t="s">
        <v>27</v>
      </c>
      <c r="E134" s="30">
        <f t="shared" si="11"/>
        <v>6</v>
      </c>
      <c r="F134" s="31">
        <v>0</v>
      </c>
      <c r="G134" s="31">
        <f>18+54.4+10</f>
        <v>82.4</v>
      </c>
      <c r="H134" s="31">
        <f>82.6+30</f>
        <v>112.6</v>
      </c>
      <c r="I134" s="31">
        <v>0</v>
      </c>
      <c r="J134" s="32">
        <f>1899</f>
        <v>1899</v>
      </c>
      <c r="K134" s="31">
        <v>0</v>
      </c>
      <c r="L134" s="32">
        <f>160+408+1078</f>
        <v>1646</v>
      </c>
      <c r="M134" s="31">
        <v>0</v>
      </c>
      <c r="N134" s="28">
        <f t="shared" si="12"/>
        <v>3740</v>
      </c>
      <c r="O134" s="35"/>
    </row>
    <row r="135" spans="1:15">
      <c r="A135" s="26">
        <v>44030</v>
      </c>
      <c r="B135" s="27" t="s">
        <v>15</v>
      </c>
      <c r="C135" s="28" t="s">
        <v>51</v>
      </c>
      <c r="D135" s="31" t="s">
        <v>28</v>
      </c>
      <c r="E135" s="30">
        <f t="shared" si="11"/>
        <v>7</v>
      </c>
      <c r="F135" s="31">
        <v>0</v>
      </c>
      <c r="G135" s="31">
        <f>122+6</f>
        <v>128</v>
      </c>
      <c r="H135" s="31">
        <f>10</f>
        <v>10</v>
      </c>
      <c r="I135" s="31">
        <v>0</v>
      </c>
      <c r="J135" s="32">
        <f>55</f>
        <v>55</v>
      </c>
      <c r="K135" s="31">
        <v>0</v>
      </c>
      <c r="L135" s="32">
        <v>0</v>
      </c>
      <c r="M135" s="31">
        <v>0</v>
      </c>
      <c r="N135" s="31">
        <f t="shared" si="12"/>
        <v>193</v>
      </c>
      <c r="O135" s="35"/>
    </row>
    <row r="136" spans="1:15">
      <c r="A136" s="26">
        <v>44031</v>
      </c>
      <c r="B136" s="27" t="s">
        <v>15</v>
      </c>
      <c r="C136" s="28" t="s">
        <v>51</v>
      </c>
      <c r="D136" s="31" t="s">
        <v>29</v>
      </c>
      <c r="E136" s="30">
        <f t="shared" si="11"/>
        <v>1</v>
      </c>
      <c r="F136" s="31">
        <v>0</v>
      </c>
      <c r="G136" s="31">
        <f>32+293</f>
        <v>325</v>
      </c>
      <c r="H136" s="31">
        <v>0</v>
      </c>
      <c r="I136" s="31">
        <v>0</v>
      </c>
      <c r="J136" s="32">
        <v>0</v>
      </c>
      <c r="K136" s="31">
        <v>0</v>
      </c>
      <c r="L136" s="32">
        <v>0</v>
      </c>
      <c r="M136" s="31">
        <v>0</v>
      </c>
      <c r="N136" s="31">
        <f t="shared" si="12"/>
        <v>325</v>
      </c>
      <c r="O136" s="35"/>
    </row>
    <row r="137" spans="1:15">
      <c r="A137" s="26">
        <v>44032</v>
      </c>
      <c r="B137" s="27" t="s">
        <v>15</v>
      </c>
      <c r="C137" s="28" t="s">
        <v>51</v>
      </c>
      <c r="D137" s="31" t="s">
        <v>30</v>
      </c>
      <c r="E137" s="30">
        <f t="shared" ref="E131:E148" si="13">WEEKDAY(A137,1)</f>
        <v>2</v>
      </c>
      <c r="F137" s="31">
        <v>3</v>
      </c>
      <c r="G137" s="31">
        <f>17+12.5</f>
        <v>29.5</v>
      </c>
      <c r="H137" s="31">
        <v>12</v>
      </c>
      <c r="I137" s="31">
        <v>0</v>
      </c>
      <c r="J137" s="32">
        <v>0</v>
      </c>
      <c r="K137" s="31">
        <v>0</v>
      </c>
      <c r="L137" s="32">
        <v>0</v>
      </c>
      <c r="M137" s="31">
        <v>0</v>
      </c>
      <c r="N137" s="31">
        <f t="shared" si="12"/>
        <v>44.5</v>
      </c>
      <c r="O137" s="31"/>
    </row>
    <row r="138" spans="1:15">
      <c r="A138" s="26">
        <v>44033</v>
      </c>
      <c r="B138" s="27" t="s">
        <v>15</v>
      </c>
      <c r="C138" s="28" t="s">
        <v>51</v>
      </c>
      <c r="D138" s="31" t="s">
        <v>31</v>
      </c>
      <c r="E138" s="30">
        <f t="shared" si="13"/>
        <v>3</v>
      </c>
      <c r="F138" s="31">
        <v>200</v>
      </c>
      <c r="G138" s="31">
        <f>39+19</f>
        <v>58</v>
      </c>
      <c r="H138" s="31">
        <v>0</v>
      </c>
      <c r="I138" s="31">
        <v>0</v>
      </c>
      <c r="J138" s="32">
        <v>0</v>
      </c>
      <c r="K138" s="31">
        <v>0</v>
      </c>
      <c r="L138" s="32">
        <v>0</v>
      </c>
      <c r="M138" s="31">
        <v>0</v>
      </c>
      <c r="N138" s="31">
        <f t="shared" si="12"/>
        <v>258</v>
      </c>
      <c r="O138" s="31"/>
    </row>
    <row r="139" spans="1:15">
      <c r="A139" s="26">
        <v>44034</v>
      </c>
      <c r="B139" s="27" t="s">
        <v>15</v>
      </c>
      <c r="C139" s="28" t="s">
        <v>51</v>
      </c>
      <c r="D139" s="31" t="s">
        <v>32</v>
      </c>
      <c r="E139" s="30">
        <f t="shared" si="13"/>
        <v>4</v>
      </c>
      <c r="F139" s="31">
        <f>200+8.8</f>
        <v>208.8</v>
      </c>
      <c r="G139" s="31">
        <f>20+18.4+16</f>
        <v>54.4</v>
      </c>
      <c r="H139" s="31">
        <v>100</v>
      </c>
      <c r="I139" s="31">
        <v>0</v>
      </c>
      <c r="J139" s="32">
        <v>0</v>
      </c>
      <c r="K139" s="31">
        <v>0</v>
      </c>
      <c r="L139" s="32">
        <v>0</v>
      </c>
      <c r="M139" s="31">
        <v>0</v>
      </c>
      <c r="N139" s="31">
        <f t="shared" si="12"/>
        <v>363.2</v>
      </c>
      <c r="O139" s="31"/>
    </row>
    <row r="140" spans="1:15">
      <c r="A140" s="26">
        <v>44035</v>
      </c>
      <c r="B140" s="27" t="s">
        <v>15</v>
      </c>
      <c r="C140" s="28" t="s">
        <v>51</v>
      </c>
      <c r="D140" s="31" t="s">
        <v>33</v>
      </c>
      <c r="E140" s="30">
        <f t="shared" si="13"/>
        <v>5</v>
      </c>
      <c r="F140" s="31">
        <v>0</v>
      </c>
      <c r="G140" s="31">
        <f>22.5+14.79</f>
        <v>37.29</v>
      </c>
      <c r="H140" s="31">
        <v>0</v>
      </c>
      <c r="I140" s="31">
        <v>0</v>
      </c>
      <c r="J140" s="32">
        <v>0</v>
      </c>
      <c r="K140" s="31">
        <v>0</v>
      </c>
      <c r="L140" s="32">
        <v>0</v>
      </c>
      <c r="M140" s="31">
        <v>0</v>
      </c>
      <c r="N140" s="31">
        <f t="shared" si="12"/>
        <v>37.29</v>
      </c>
      <c r="O140" s="31"/>
    </row>
    <row r="141" spans="1:15">
      <c r="A141" s="26">
        <v>44036</v>
      </c>
      <c r="B141" s="27" t="s">
        <v>15</v>
      </c>
      <c r="C141" s="28" t="s">
        <v>51</v>
      </c>
      <c r="D141" s="31" t="s">
        <v>34</v>
      </c>
      <c r="E141" s="30">
        <f t="shared" si="13"/>
        <v>6</v>
      </c>
      <c r="F141" s="31">
        <v>0</v>
      </c>
      <c r="G141" s="31">
        <f>19+29+44</f>
        <v>92</v>
      </c>
      <c r="H141" s="31">
        <v>0</v>
      </c>
      <c r="I141" s="31">
        <v>0</v>
      </c>
      <c r="J141" s="32">
        <v>0</v>
      </c>
      <c r="K141" s="31">
        <v>0</v>
      </c>
      <c r="L141" s="32">
        <v>0</v>
      </c>
      <c r="M141" s="31">
        <v>0</v>
      </c>
      <c r="N141" s="31">
        <f t="shared" si="12"/>
        <v>92</v>
      </c>
      <c r="O141" s="31"/>
    </row>
    <row r="142" spans="1:15">
      <c r="A142" s="26">
        <v>44037</v>
      </c>
      <c r="B142" s="27" t="s">
        <v>15</v>
      </c>
      <c r="C142" s="28" t="s">
        <v>51</v>
      </c>
      <c r="D142" s="31" t="s">
        <v>35</v>
      </c>
      <c r="E142" s="30">
        <f t="shared" si="13"/>
        <v>7</v>
      </c>
      <c r="F142" s="31">
        <v>4</v>
      </c>
      <c r="G142" s="31">
        <f>32+64</f>
        <v>96</v>
      </c>
      <c r="H142" s="31">
        <v>0</v>
      </c>
      <c r="I142" s="31">
        <v>0</v>
      </c>
      <c r="J142" s="32">
        <v>0</v>
      </c>
      <c r="K142" s="31">
        <v>0</v>
      </c>
      <c r="L142" s="32">
        <v>0</v>
      </c>
      <c r="M142" s="31">
        <v>0</v>
      </c>
      <c r="N142" s="31">
        <f t="shared" si="12"/>
        <v>100</v>
      </c>
      <c r="O142" s="31"/>
    </row>
    <row r="143" spans="1:19">
      <c r="A143" s="26">
        <v>44038</v>
      </c>
      <c r="B143" s="27" t="s">
        <v>15</v>
      </c>
      <c r="C143" s="28" t="s">
        <v>51</v>
      </c>
      <c r="D143" s="31" t="s">
        <v>36</v>
      </c>
      <c r="E143" s="30">
        <f t="shared" si="13"/>
        <v>1</v>
      </c>
      <c r="F143" s="31">
        <v>0</v>
      </c>
      <c r="G143" s="31">
        <v>0</v>
      </c>
      <c r="H143" s="31">
        <v>0</v>
      </c>
      <c r="I143" s="31">
        <v>0</v>
      </c>
      <c r="J143" s="32">
        <v>0</v>
      </c>
      <c r="K143" s="31">
        <v>0</v>
      </c>
      <c r="L143" s="32">
        <f>166.5+39+8.52+30+3990+57+1074+254+40+70+2000+44</f>
        <v>7773.02</v>
      </c>
      <c r="M143" s="31">
        <v>0</v>
      </c>
      <c r="N143" s="31">
        <f t="shared" si="12"/>
        <v>7773.02</v>
      </c>
      <c r="O143" s="31"/>
      <c r="S143" s="18">
        <v>0</v>
      </c>
    </row>
    <row r="144" spans="1:15">
      <c r="A144" s="26">
        <v>44039</v>
      </c>
      <c r="B144" s="27" t="s">
        <v>15</v>
      </c>
      <c r="C144" s="28" t="s">
        <v>51</v>
      </c>
      <c r="D144" s="31" t="s">
        <v>37</v>
      </c>
      <c r="E144" s="30">
        <f t="shared" si="13"/>
        <v>2</v>
      </c>
      <c r="F144" s="31">
        <v>30</v>
      </c>
      <c r="G144" s="31">
        <v>0</v>
      </c>
      <c r="H144" s="31">
        <v>0</v>
      </c>
      <c r="I144" s="31">
        <v>0</v>
      </c>
      <c r="J144" s="32">
        <v>0</v>
      </c>
      <c r="K144" s="31">
        <v>0</v>
      </c>
      <c r="L144" s="32">
        <f>96+135+4+47.74+98+41+113+25</f>
        <v>559.74</v>
      </c>
      <c r="M144" s="31">
        <v>0</v>
      </c>
      <c r="N144" s="31">
        <f t="shared" si="12"/>
        <v>589.74</v>
      </c>
      <c r="O144" s="35">
        <v>7831</v>
      </c>
    </row>
    <row r="145" spans="1:15">
      <c r="A145" s="26">
        <v>44040</v>
      </c>
      <c r="B145" s="27" t="s">
        <v>15</v>
      </c>
      <c r="C145" s="28" t="s">
        <v>51</v>
      </c>
      <c r="D145" s="31" t="s">
        <v>38</v>
      </c>
      <c r="E145" s="30">
        <f t="shared" si="13"/>
        <v>3</v>
      </c>
      <c r="F145" s="31">
        <v>0</v>
      </c>
      <c r="G145" s="31">
        <v>0</v>
      </c>
      <c r="H145" s="31">
        <v>0</v>
      </c>
      <c r="I145" s="31">
        <v>0</v>
      </c>
      <c r="J145" s="32">
        <v>0</v>
      </c>
      <c r="K145" s="31">
        <v>0</v>
      </c>
      <c r="L145" s="32">
        <f>74+3+48.24+140+8+10.56+10+27+147.96+135+14+222+40+39.8</f>
        <v>919.56</v>
      </c>
      <c r="M145" s="31">
        <v>0</v>
      </c>
      <c r="N145" s="31">
        <f t="shared" si="12"/>
        <v>919.56</v>
      </c>
      <c r="O145" s="31"/>
    </row>
    <row r="146" spans="1:15">
      <c r="A146" s="26">
        <v>44041</v>
      </c>
      <c r="B146" s="27" t="s">
        <v>15</v>
      </c>
      <c r="C146" s="28" t="s">
        <v>51</v>
      </c>
      <c r="D146" s="31" t="s">
        <v>39</v>
      </c>
      <c r="E146" s="30">
        <f t="shared" si="13"/>
        <v>4</v>
      </c>
      <c r="F146" s="31">
        <v>30</v>
      </c>
      <c r="G146" s="31">
        <f>17.98</f>
        <v>17.98</v>
      </c>
      <c r="H146" s="31">
        <v>1830</v>
      </c>
      <c r="I146" s="31">
        <v>0</v>
      </c>
      <c r="J146" s="32">
        <v>0</v>
      </c>
      <c r="K146" s="31">
        <v>0</v>
      </c>
      <c r="L146" s="32">
        <v>0</v>
      </c>
      <c r="M146" s="31">
        <v>0</v>
      </c>
      <c r="N146" s="31">
        <f t="shared" si="12"/>
        <v>1877.98</v>
      </c>
      <c r="O146" s="31"/>
    </row>
    <row r="147" spans="1:15">
      <c r="A147" s="26">
        <v>44042</v>
      </c>
      <c r="B147" s="27" t="s">
        <v>15</v>
      </c>
      <c r="C147" s="28" t="s">
        <v>51</v>
      </c>
      <c r="D147" s="31" t="s">
        <v>40</v>
      </c>
      <c r="E147" s="30">
        <f t="shared" si="13"/>
        <v>5</v>
      </c>
      <c r="F147" s="31">
        <v>0</v>
      </c>
      <c r="G147" s="31">
        <f>25.46+38.7+21.42+291+15.51+18+133</f>
        <v>543.09</v>
      </c>
      <c r="H147" s="31">
        <v>0</v>
      </c>
      <c r="I147" s="31">
        <v>119</v>
      </c>
      <c r="J147" s="32">
        <v>0</v>
      </c>
      <c r="K147" s="31">
        <v>0</v>
      </c>
      <c r="L147" s="32">
        <v>0</v>
      </c>
      <c r="M147" s="31">
        <v>0</v>
      </c>
      <c r="N147" s="31">
        <f t="shared" si="12"/>
        <v>662.09</v>
      </c>
      <c r="O147" s="31"/>
    </row>
    <row r="148" spans="1:15">
      <c r="A148" s="26">
        <v>44043</v>
      </c>
      <c r="B148" s="27" t="s">
        <v>15</v>
      </c>
      <c r="C148" s="28" t="s">
        <v>51</v>
      </c>
      <c r="D148" s="31" t="s">
        <v>41</v>
      </c>
      <c r="E148" s="30">
        <f t="shared" si="13"/>
        <v>6</v>
      </c>
      <c r="F148" s="31">
        <v>12</v>
      </c>
      <c r="G148" s="31">
        <f>18+21+6.5</f>
        <v>45.5</v>
      </c>
      <c r="H148" s="31">
        <v>0</v>
      </c>
      <c r="I148" s="31">
        <v>0</v>
      </c>
      <c r="J148" s="32">
        <v>0</v>
      </c>
      <c r="K148" s="31">
        <v>0</v>
      </c>
      <c r="L148" s="32">
        <v>0</v>
      </c>
      <c r="M148" s="31">
        <v>0</v>
      </c>
      <c r="N148" s="31">
        <f t="shared" ref="N148:N163" si="14">SUM(F148:M148)</f>
        <v>57.5</v>
      </c>
      <c r="O148" s="31"/>
    </row>
    <row r="149" spans="1:15">
      <c r="A149" s="26">
        <v>44044</v>
      </c>
      <c r="B149" s="27" t="s">
        <v>15</v>
      </c>
      <c r="C149" s="28" t="s">
        <v>52</v>
      </c>
      <c r="D149" s="31" t="s">
        <v>43</v>
      </c>
      <c r="E149" s="30">
        <f t="shared" ref="E149:E170" si="15">WEEKDAY(A149,1)</f>
        <v>7</v>
      </c>
      <c r="F149" s="31">
        <v>0</v>
      </c>
      <c r="G149" s="31">
        <v>0</v>
      </c>
      <c r="H149" s="31">
        <v>0</v>
      </c>
      <c r="I149" s="31">
        <v>0</v>
      </c>
      <c r="J149" s="32">
        <v>0</v>
      </c>
      <c r="K149" s="31">
        <v>0</v>
      </c>
      <c r="L149" s="32">
        <v>0</v>
      </c>
      <c r="M149" s="31">
        <v>0</v>
      </c>
      <c r="N149" s="31">
        <f t="shared" si="14"/>
        <v>0</v>
      </c>
      <c r="O149" s="35"/>
    </row>
    <row r="150" spans="1:15">
      <c r="A150" s="26">
        <v>44045</v>
      </c>
      <c r="B150" s="27" t="s">
        <v>15</v>
      </c>
      <c r="C150" s="28" t="s">
        <v>52</v>
      </c>
      <c r="D150" s="31" t="s">
        <v>44</v>
      </c>
      <c r="E150" s="30">
        <f t="shared" si="15"/>
        <v>1</v>
      </c>
      <c r="F150" s="31">
        <v>0</v>
      </c>
      <c r="G150" s="31">
        <f>15.5+8+29</f>
        <v>52.5</v>
      </c>
      <c r="H150" s="31">
        <v>0</v>
      </c>
      <c r="I150" s="31">
        <v>0</v>
      </c>
      <c r="J150" s="32">
        <v>0</v>
      </c>
      <c r="K150" s="31">
        <v>0</v>
      </c>
      <c r="L150" s="32">
        <v>0</v>
      </c>
      <c r="M150" s="31">
        <v>0</v>
      </c>
      <c r="N150" s="31">
        <f t="shared" si="14"/>
        <v>52.5</v>
      </c>
      <c r="O150" s="35"/>
    </row>
    <row r="151" spans="1:15">
      <c r="A151" s="26">
        <v>44046</v>
      </c>
      <c r="B151" s="27" t="s">
        <v>15</v>
      </c>
      <c r="C151" s="28" t="s">
        <v>52</v>
      </c>
      <c r="D151" s="31" t="s">
        <v>45</v>
      </c>
      <c r="E151" s="30">
        <f t="shared" si="15"/>
        <v>2</v>
      </c>
      <c r="F151" s="31">
        <v>12</v>
      </c>
      <c r="G151" s="31">
        <f>18+22+15+7</f>
        <v>62</v>
      </c>
      <c r="H151" s="31">
        <v>0</v>
      </c>
      <c r="I151" s="31">
        <v>0</v>
      </c>
      <c r="J151" s="32">
        <v>0</v>
      </c>
      <c r="K151" s="31">
        <v>0</v>
      </c>
      <c r="L151" s="32">
        <v>0</v>
      </c>
      <c r="M151" s="31">
        <v>0</v>
      </c>
      <c r="N151" s="31">
        <f t="shared" si="14"/>
        <v>74</v>
      </c>
      <c r="O151" s="35"/>
    </row>
    <row r="152" spans="1:15">
      <c r="A152" s="26">
        <v>44047</v>
      </c>
      <c r="B152" s="27" t="s">
        <v>15</v>
      </c>
      <c r="C152" s="28" t="s">
        <v>52</v>
      </c>
      <c r="D152" s="31" t="s">
        <v>46</v>
      </c>
      <c r="E152" s="30">
        <f t="shared" si="15"/>
        <v>3</v>
      </c>
      <c r="F152" s="31">
        <f>12</f>
        <v>12</v>
      </c>
      <c r="G152" s="31">
        <f>22.9+12.8</f>
        <v>35.7</v>
      </c>
      <c r="H152" s="31">
        <v>0</v>
      </c>
      <c r="I152" s="31">
        <v>0</v>
      </c>
      <c r="J152" s="32">
        <v>0</v>
      </c>
      <c r="K152" s="31">
        <v>0</v>
      </c>
      <c r="L152" s="32">
        <v>0</v>
      </c>
      <c r="M152" s="31">
        <v>0</v>
      </c>
      <c r="N152" s="31">
        <f t="shared" si="14"/>
        <v>47.7</v>
      </c>
      <c r="O152" s="35"/>
    </row>
    <row r="153" spans="1:15">
      <c r="A153" s="26">
        <v>44048</v>
      </c>
      <c r="B153" s="27" t="s">
        <v>15</v>
      </c>
      <c r="C153" s="28" t="s">
        <v>52</v>
      </c>
      <c r="D153" s="31" t="s">
        <v>47</v>
      </c>
      <c r="E153" s="30">
        <f t="shared" si="15"/>
        <v>4</v>
      </c>
      <c r="F153" s="31">
        <v>12</v>
      </c>
      <c r="G153" s="31">
        <f>29+15</f>
        <v>44</v>
      </c>
      <c r="H153" s="31">
        <v>0</v>
      </c>
      <c r="I153" s="31">
        <v>0</v>
      </c>
      <c r="J153" s="32">
        <v>0</v>
      </c>
      <c r="K153" s="31">
        <v>0</v>
      </c>
      <c r="L153" s="32">
        <v>0</v>
      </c>
      <c r="M153" s="31">
        <v>0</v>
      </c>
      <c r="N153" s="31">
        <f t="shared" si="14"/>
        <v>56</v>
      </c>
      <c r="O153" s="35"/>
    </row>
    <row r="154" spans="1:15">
      <c r="A154" s="26">
        <v>44049</v>
      </c>
      <c r="B154" s="27" t="s">
        <v>15</v>
      </c>
      <c r="C154" s="28" t="s">
        <v>52</v>
      </c>
      <c r="D154" s="31" t="s">
        <v>48</v>
      </c>
      <c r="E154" s="30">
        <f t="shared" si="15"/>
        <v>5</v>
      </c>
      <c r="F154" s="31">
        <v>0</v>
      </c>
      <c r="G154" s="31">
        <f>18+17+10</f>
        <v>45</v>
      </c>
      <c r="H154" s="31">
        <v>0</v>
      </c>
      <c r="I154" s="31">
        <v>0</v>
      </c>
      <c r="J154" s="32">
        <v>0</v>
      </c>
      <c r="K154" s="31">
        <v>0</v>
      </c>
      <c r="L154" s="32">
        <v>0</v>
      </c>
      <c r="M154" s="31">
        <v>0</v>
      </c>
      <c r="N154" s="31">
        <f t="shared" si="14"/>
        <v>45</v>
      </c>
      <c r="O154" s="35"/>
    </row>
    <row r="155" spans="1:15">
      <c r="A155" s="26">
        <v>44050</v>
      </c>
      <c r="B155" s="27" t="s">
        <v>15</v>
      </c>
      <c r="C155" s="28" t="s">
        <v>52</v>
      </c>
      <c r="D155" s="31" t="s">
        <v>17</v>
      </c>
      <c r="E155" s="30">
        <f t="shared" si="15"/>
        <v>6</v>
      </c>
      <c r="F155" s="31">
        <v>0</v>
      </c>
      <c r="G155" s="31">
        <f>28+18+22</f>
        <v>68</v>
      </c>
      <c r="H155" s="31">
        <f>98.52+269+206+270</f>
        <v>843.52</v>
      </c>
      <c r="I155" s="31">
        <v>0</v>
      </c>
      <c r="J155" s="32">
        <v>0</v>
      </c>
      <c r="K155" s="31">
        <v>0</v>
      </c>
      <c r="L155" s="32">
        <v>0</v>
      </c>
      <c r="M155" s="31">
        <v>0</v>
      </c>
      <c r="N155" s="31">
        <f t="shared" si="14"/>
        <v>911.52</v>
      </c>
      <c r="O155" s="35"/>
    </row>
    <row r="156" spans="1:15">
      <c r="A156" s="26">
        <v>44051</v>
      </c>
      <c r="B156" s="27" t="s">
        <v>15</v>
      </c>
      <c r="C156" s="28" t="s">
        <v>52</v>
      </c>
      <c r="D156" s="31" t="s">
        <v>18</v>
      </c>
      <c r="E156" s="30">
        <f t="shared" si="15"/>
        <v>7</v>
      </c>
      <c r="F156" s="31">
        <v>0</v>
      </c>
      <c r="G156" s="31">
        <f>74+23.4+15+6.4+5+30.5+4+4+22.5+13+0.7+11</f>
        <v>209.5</v>
      </c>
      <c r="H156" s="31">
        <v>39</v>
      </c>
      <c r="I156" s="31">
        <v>0</v>
      </c>
      <c r="J156" s="32">
        <v>0</v>
      </c>
      <c r="K156" s="31">
        <v>0</v>
      </c>
      <c r="L156" s="32">
        <v>0</v>
      </c>
      <c r="M156" s="31">
        <v>0</v>
      </c>
      <c r="N156" s="31">
        <f t="shared" si="14"/>
        <v>248.5</v>
      </c>
      <c r="O156" s="35"/>
    </row>
    <row r="157" spans="1:15">
      <c r="A157" s="26">
        <v>44052</v>
      </c>
      <c r="B157" s="27" t="s">
        <v>15</v>
      </c>
      <c r="C157" s="28" t="s">
        <v>52</v>
      </c>
      <c r="D157" s="31" t="s">
        <v>19</v>
      </c>
      <c r="E157" s="30">
        <f t="shared" si="15"/>
        <v>1</v>
      </c>
      <c r="F157" s="31">
        <v>0</v>
      </c>
      <c r="G157" s="31">
        <v>41.19</v>
      </c>
      <c r="H157" s="31">
        <v>0</v>
      </c>
      <c r="I157" s="31">
        <v>0</v>
      </c>
      <c r="J157" s="32">
        <v>0</v>
      </c>
      <c r="K157" s="31">
        <v>0</v>
      </c>
      <c r="L157" s="32">
        <v>0</v>
      </c>
      <c r="M157" s="31">
        <v>0</v>
      </c>
      <c r="N157" s="31">
        <f t="shared" si="14"/>
        <v>41.19</v>
      </c>
      <c r="O157" s="35"/>
    </row>
    <row r="158" spans="1:15">
      <c r="A158" s="26">
        <v>44053</v>
      </c>
      <c r="B158" s="27" t="s">
        <v>15</v>
      </c>
      <c r="C158" s="28" t="s">
        <v>52</v>
      </c>
      <c r="D158" s="31" t="s">
        <v>20</v>
      </c>
      <c r="E158" s="30">
        <f t="shared" si="15"/>
        <v>2</v>
      </c>
      <c r="F158" s="31">
        <v>0</v>
      </c>
      <c r="G158" s="31">
        <f>12+13+30+2+11.5+7+7+7.5+5.5+7</f>
        <v>102.5</v>
      </c>
      <c r="H158" s="31">
        <v>0</v>
      </c>
      <c r="I158" s="31">
        <v>0</v>
      </c>
      <c r="J158" s="32">
        <v>0</v>
      </c>
      <c r="K158" s="31">
        <v>0</v>
      </c>
      <c r="L158" s="32">
        <v>0</v>
      </c>
      <c r="M158" s="31">
        <v>0</v>
      </c>
      <c r="N158" s="31">
        <f t="shared" si="14"/>
        <v>102.5</v>
      </c>
      <c r="O158" s="35"/>
    </row>
    <row r="159" spans="1:15">
      <c r="A159" s="26">
        <v>44054</v>
      </c>
      <c r="B159" s="27" t="s">
        <v>15</v>
      </c>
      <c r="C159" s="28" t="s">
        <v>52</v>
      </c>
      <c r="D159" s="31" t="s">
        <v>21</v>
      </c>
      <c r="E159" s="30">
        <f t="shared" si="15"/>
        <v>3</v>
      </c>
      <c r="F159" s="31">
        <v>0</v>
      </c>
      <c r="G159" s="31">
        <f>12+3.5</f>
        <v>15.5</v>
      </c>
      <c r="H159" s="31">
        <v>0</v>
      </c>
      <c r="I159" s="31">
        <v>0</v>
      </c>
      <c r="J159" s="32">
        <v>0</v>
      </c>
      <c r="K159" s="31">
        <v>0</v>
      </c>
      <c r="L159" s="32">
        <v>0</v>
      </c>
      <c r="M159" s="31">
        <v>0</v>
      </c>
      <c r="N159" s="31">
        <f t="shared" si="14"/>
        <v>15.5</v>
      </c>
      <c r="O159" s="35"/>
    </row>
    <row r="160" spans="1:15">
      <c r="A160" s="26">
        <v>44055</v>
      </c>
      <c r="B160" s="27" t="s">
        <v>15</v>
      </c>
      <c r="C160" s="28" t="s">
        <v>52</v>
      </c>
      <c r="D160" s="31" t="s">
        <v>22</v>
      </c>
      <c r="E160" s="30">
        <f t="shared" si="15"/>
        <v>4</v>
      </c>
      <c r="F160" s="31">
        <v>0</v>
      </c>
      <c r="G160" s="31">
        <f>29+12.7</f>
        <v>41.7</v>
      </c>
      <c r="H160" s="31">
        <v>0</v>
      </c>
      <c r="I160" s="31">
        <v>0</v>
      </c>
      <c r="J160" s="32">
        <v>0</v>
      </c>
      <c r="K160" s="31">
        <v>0</v>
      </c>
      <c r="L160" s="32">
        <v>0</v>
      </c>
      <c r="M160" s="31">
        <v>0</v>
      </c>
      <c r="N160" s="31">
        <f t="shared" si="14"/>
        <v>41.7</v>
      </c>
      <c r="O160" s="35"/>
    </row>
    <row r="161" spans="1:15">
      <c r="A161" s="26">
        <v>44056</v>
      </c>
      <c r="B161" s="27" t="s">
        <v>15</v>
      </c>
      <c r="C161" s="28" t="s">
        <v>52</v>
      </c>
      <c r="D161" s="31" t="s">
        <v>23</v>
      </c>
      <c r="E161" s="30">
        <f t="shared" si="15"/>
        <v>5</v>
      </c>
      <c r="F161" s="31">
        <v>0</v>
      </c>
      <c r="G161" s="31">
        <f>13.4+22</f>
        <v>35.4</v>
      </c>
      <c r="H161" s="31">
        <v>0</v>
      </c>
      <c r="I161" s="31">
        <v>0</v>
      </c>
      <c r="J161" s="32">
        <v>0</v>
      </c>
      <c r="K161" s="31">
        <v>0</v>
      </c>
      <c r="L161" s="32">
        <v>0</v>
      </c>
      <c r="M161" s="31">
        <v>0</v>
      </c>
      <c r="N161" s="31">
        <f t="shared" si="14"/>
        <v>35.4</v>
      </c>
      <c r="O161" s="35"/>
    </row>
    <row r="162" spans="1:15">
      <c r="A162" s="26">
        <v>44057</v>
      </c>
      <c r="B162" s="27" t="s">
        <v>15</v>
      </c>
      <c r="C162" s="28" t="s">
        <v>52</v>
      </c>
      <c r="D162" s="31" t="s">
        <v>24</v>
      </c>
      <c r="E162" s="30">
        <f t="shared" si="15"/>
        <v>6</v>
      </c>
      <c r="F162" s="31">
        <v>0</v>
      </c>
      <c r="G162" s="31">
        <f>21.7+22.5</f>
        <v>44.2</v>
      </c>
      <c r="H162" s="31">
        <v>69</v>
      </c>
      <c r="I162" s="31">
        <v>0</v>
      </c>
      <c r="J162" s="32">
        <f>4.17*3</f>
        <v>12.51</v>
      </c>
      <c r="K162" s="31">
        <v>0</v>
      </c>
      <c r="L162" s="32">
        <v>0</v>
      </c>
      <c r="M162" s="31">
        <v>0</v>
      </c>
      <c r="N162" s="31">
        <f t="shared" si="14"/>
        <v>125.71</v>
      </c>
      <c r="O162" s="35">
        <v>4040</v>
      </c>
    </row>
    <row r="163" spans="1:15">
      <c r="A163" s="26">
        <v>44058</v>
      </c>
      <c r="B163" s="27" t="s">
        <v>15</v>
      </c>
      <c r="C163" s="28" t="s">
        <v>52</v>
      </c>
      <c r="D163" s="31" t="s">
        <v>25</v>
      </c>
      <c r="E163" s="30">
        <f t="shared" si="15"/>
        <v>7</v>
      </c>
      <c r="F163" s="31">
        <v>30</v>
      </c>
      <c r="G163" s="31">
        <f>40+17.5+6.3+50+7+43.6</f>
        <v>164.4</v>
      </c>
      <c r="H163" s="31">
        <f>100</f>
        <v>100</v>
      </c>
      <c r="I163" s="31">
        <v>0</v>
      </c>
      <c r="J163" s="32">
        <v>0</v>
      </c>
      <c r="K163" s="31">
        <v>0</v>
      </c>
      <c r="L163" s="32">
        <v>0</v>
      </c>
      <c r="M163" s="31">
        <v>0</v>
      </c>
      <c r="N163" s="31">
        <f t="shared" si="14"/>
        <v>294.4</v>
      </c>
      <c r="O163" s="35"/>
    </row>
    <row r="164" spans="1:15">
      <c r="A164" s="26">
        <v>44059</v>
      </c>
      <c r="B164" s="27" t="s">
        <v>15</v>
      </c>
      <c r="C164" s="28" t="s">
        <v>52</v>
      </c>
      <c r="D164" s="31" t="s">
        <v>26</v>
      </c>
      <c r="E164" s="30">
        <f t="shared" si="15"/>
        <v>1</v>
      </c>
      <c r="F164" s="31"/>
      <c r="G164" s="31">
        <f>20+36</f>
        <v>56</v>
      </c>
      <c r="H164" s="35">
        <f>35+25.72+35.88</f>
        <v>96.6</v>
      </c>
      <c r="I164" s="35"/>
      <c r="J164" s="41"/>
      <c r="K164" s="35"/>
      <c r="L164" s="41"/>
      <c r="M164" s="35"/>
      <c r="N164" s="31">
        <f t="shared" ref="N164:N202" si="16">SUM(F164:M164)</f>
        <v>152.6</v>
      </c>
      <c r="O164" s="35"/>
    </row>
    <row r="165" spans="1:15">
      <c r="A165" s="26">
        <v>44060</v>
      </c>
      <c r="B165" s="27" t="s">
        <v>15</v>
      </c>
      <c r="C165" s="28" t="s">
        <v>52</v>
      </c>
      <c r="D165" s="31" t="s">
        <v>27</v>
      </c>
      <c r="E165" s="30">
        <f t="shared" si="15"/>
        <v>2</v>
      </c>
      <c r="F165" s="31"/>
      <c r="G165" s="31">
        <f>19</f>
        <v>19</v>
      </c>
      <c r="H165" s="35"/>
      <c r="I165" s="35"/>
      <c r="J165" s="41"/>
      <c r="K165" s="35"/>
      <c r="L165" s="41"/>
      <c r="M165" s="35"/>
      <c r="N165" s="31">
        <f t="shared" si="16"/>
        <v>19</v>
      </c>
      <c r="O165" s="35"/>
    </row>
    <row r="166" spans="1:18">
      <c r="A166" s="26">
        <v>44061</v>
      </c>
      <c r="B166" s="27" t="s">
        <v>15</v>
      </c>
      <c r="C166" s="28" t="s">
        <v>52</v>
      </c>
      <c r="D166" s="31" t="s">
        <v>28</v>
      </c>
      <c r="E166" s="30">
        <f t="shared" si="15"/>
        <v>3</v>
      </c>
      <c r="F166" s="31"/>
      <c r="G166" s="31">
        <f>20+36+61.77+21-0.53+3.5</f>
        <v>141.74</v>
      </c>
      <c r="H166" s="35"/>
      <c r="I166" s="35"/>
      <c r="J166" s="41"/>
      <c r="K166" s="35"/>
      <c r="L166" s="41"/>
      <c r="M166" s="35"/>
      <c r="N166" s="31">
        <f t="shared" si="16"/>
        <v>141.74</v>
      </c>
      <c r="O166" s="35"/>
      <c r="R166" s="18">
        <v>0</v>
      </c>
    </row>
    <row r="167" spans="1:15">
      <c r="A167" s="26">
        <v>44062</v>
      </c>
      <c r="B167" s="27" t="s">
        <v>15</v>
      </c>
      <c r="C167" s="28" t="s">
        <v>52</v>
      </c>
      <c r="D167" s="31" t="s">
        <v>29</v>
      </c>
      <c r="E167" s="30">
        <f t="shared" si="15"/>
        <v>4</v>
      </c>
      <c r="F167" s="31"/>
      <c r="G167" s="31">
        <f>22.5+18.8</f>
        <v>41.3</v>
      </c>
      <c r="H167" s="35"/>
      <c r="I167" s="35"/>
      <c r="J167" s="41"/>
      <c r="K167" s="35"/>
      <c r="L167" s="41"/>
      <c r="M167" s="35"/>
      <c r="N167" s="31">
        <f t="shared" si="16"/>
        <v>41.3</v>
      </c>
      <c r="O167" s="35"/>
    </row>
    <row r="168" spans="1:15">
      <c r="A168" s="26">
        <v>44063</v>
      </c>
      <c r="B168" s="27" t="s">
        <v>15</v>
      </c>
      <c r="C168" s="28" t="s">
        <v>52</v>
      </c>
      <c r="D168" s="31" t="s">
        <v>30</v>
      </c>
      <c r="E168" s="30">
        <f t="shared" si="15"/>
        <v>5</v>
      </c>
      <c r="F168" s="31"/>
      <c r="G168" s="31">
        <f>18+11+27.38</f>
        <v>56.38</v>
      </c>
      <c r="H168" s="35"/>
      <c r="I168" s="35"/>
      <c r="J168" s="41">
        <v>82</v>
      </c>
      <c r="K168" s="35"/>
      <c r="L168" s="41"/>
      <c r="M168" s="35"/>
      <c r="N168" s="31">
        <f t="shared" si="16"/>
        <v>138.38</v>
      </c>
      <c r="O168" s="35"/>
    </row>
    <row r="169" spans="1:15">
      <c r="A169" s="26">
        <v>44064</v>
      </c>
      <c r="B169" s="27" t="s">
        <v>15</v>
      </c>
      <c r="C169" s="28" t="s">
        <v>52</v>
      </c>
      <c r="D169" s="31" t="s">
        <v>31</v>
      </c>
      <c r="E169" s="30">
        <f t="shared" si="15"/>
        <v>6</v>
      </c>
      <c r="F169" s="31">
        <f>9+1.5</f>
        <v>10.5</v>
      </c>
      <c r="G169" s="31">
        <f>9+17.8</f>
        <v>26.8</v>
      </c>
      <c r="H169" s="35">
        <f>7+13+4+27+4.5</f>
        <v>55.5</v>
      </c>
      <c r="I169" s="35"/>
      <c r="J169" s="41">
        <v>31</v>
      </c>
      <c r="K169" s="35"/>
      <c r="L169" s="41"/>
      <c r="M169" s="35"/>
      <c r="N169" s="31">
        <f t="shared" si="16"/>
        <v>123.8</v>
      </c>
      <c r="O169" s="35"/>
    </row>
    <row r="170" spans="1:15">
      <c r="A170" s="26">
        <v>44065</v>
      </c>
      <c r="B170" s="27" t="s">
        <v>15</v>
      </c>
      <c r="C170" s="28" t="s">
        <v>52</v>
      </c>
      <c r="D170" s="31" t="s">
        <v>32</v>
      </c>
      <c r="E170" s="30">
        <f t="shared" si="15"/>
        <v>7</v>
      </c>
      <c r="F170" s="31"/>
      <c r="G170" s="31"/>
      <c r="H170" s="35"/>
      <c r="I170" s="35"/>
      <c r="J170" s="41"/>
      <c r="K170" s="35"/>
      <c r="L170" s="41"/>
      <c r="M170" s="35"/>
      <c r="N170" s="31">
        <f t="shared" si="16"/>
        <v>0</v>
      </c>
      <c r="O170" s="35"/>
    </row>
    <row r="171" spans="1:15">
      <c r="A171" s="26">
        <v>44066</v>
      </c>
      <c r="B171" s="27" t="s">
        <v>15</v>
      </c>
      <c r="C171" s="28" t="s">
        <v>52</v>
      </c>
      <c r="D171" s="31" t="s">
        <v>33</v>
      </c>
      <c r="E171" s="30">
        <f t="shared" ref="E171:E188" si="17">WEEKDAY(A171,1)</f>
        <v>1</v>
      </c>
      <c r="F171" s="31"/>
      <c r="G171" s="31"/>
      <c r="H171" s="35"/>
      <c r="I171" s="35"/>
      <c r="J171" s="41"/>
      <c r="K171" s="35"/>
      <c r="L171" s="41">
        <f>429</f>
        <v>429</v>
      </c>
      <c r="M171" s="35"/>
      <c r="N171" s="31">
        <f t="shared" si="16"/>
        <v>429</v>
      </c>
      <c r="O171" s="35"/>
    </row>
    <row r="172" spans="1:15">
      <c r="A172" s="26">
        <v>44067</v>
      </c>
      <c r="B172" s="27" t="s">
        <v>15</v>
      </c>
      <c r="C172" s="28" t="s">
        <v>52</v>
      </c>
      <c r="D172" s="31" t="s">
        <v>34</v>
      </c>
      <c r="E172" s="30">
        <f t="shared" si="17"/>
        <v>2</v>
      </c>
      <c r="F172" s="31"/>
      <c r="G172" s="31">
        <f>18+19</f>
        <v>37</v>
      </c>
      <c r="H172" s="35"/>
      <c r="I172" s="35"/>
      <c r="J172" s="41"/>
      <c r="K172" s="35"/>
      <c r="L172" s="41"/>
      <c r="M172" s="35"/>
      <c r="N172" s="31">
        <f t="shared" si="16"/>
        <v>37</v>
      </c>
      <c r="O172" s="35"/>
    </row>
    <row r="173" spans="1:15">
      <c r="A173" s="26">
        <v>44068</v>
      </c>
      <c r="B173" s="27" t="s">
        <v>15</v>
      </c>
      <c r="C173" s="28" t="s">
        <v>52</v>
      </c>
      <c r="D173" s="31" t="s">
        <v>35</v>
      </c>
      <c r="E173" s="30">
        <f t="shared" si="17"/>
        <v>3</v>
      </c>
      <c r="F173" s="31"/>
      <c r="G173" s="31">
        <f>21+140+17.3+8.5+9.5</f>
        <v>196.3</v>
      </c>
      <c r="H173" s="35"/>
      <c r="I173" s="35"/>
      <c r="J173" s="41"/>
      <c r="K173" s="35"/>
      <c r="L173" s="41"/>
      <c r="M173" s="35"/>
      <c r="N173" s="31">
        <f t="shared" si="16"/>
        <v>196.3</v>
      </c>
      <c r="O173" s="35"/>
    </row>
    <row r="174" spans="1:15">
      <c r="A174" s="26">
        <v>44069</v>
      </c>
      <c r="B174" s="27" t="s">
        <v>15</v>
      </c>
      <c r="C174" s="28" t="s">
        <v>52</v>
      </c>
      <c r="D174" s="31" t="s">
        <v>36</v>
      </c>
      <c r="E174" s="30">
        <f t="shared" si="17"/>
        <v>4</v>
      </c>
      <c r="F174" s="31"/>
      <c r="G174" s="31">
        <f>29+22.8+7+4.5</f>
        <v>63.3</v>
      </c>
      <c r="H174" s="35">
        <f>25</f>
        <v>25</v>
      </c>
      <c r="I174" s="35"/>
      <c r="J174" s="41"/>
      <c r="K174" s="35"/>
      <c r="L174" s="41"/>
      <c r="M174" s="35"/>
      <c r="N174" s="31">
        <f t="shared" si="16"/>
        <v>88.3</v>
      </c>
      <c r="O174" s="35"/>
    </row>
    <row r="175" spans="1:15">
      <c r="A175" s="26">
        <v>44070</v>
      </c>
      <c r="B175" s="27" t="s">
        <v>15</v>
      </c>
      <c r="C175" s="28" t="s">
        <v>52</v>
      </c>
      <c r="D175" s="31" t="s">
        <v>37</v>
      </c>
      <c r="E175" s="30">
        <f t="shared" si="17"/>
        <v>5</v>
      </c>
      <c r="F175" s="31"/>
      <c r="G175" s="31">
        <f>20.9+7+22.54+7</f>
        <v>57.44</v>
      </c>
      <c r="H175" s="35"/>
      <c r="I175" s="35"/>
      <c r="J175" s="41">
        <f>4.11</f>
        <v>4.11</v>
      </c>
      <c r="K175" s="35"/>
      <c r="L175" s="41"/>
      <c r="M175" s="35"/>
      <c r="N175" s="31">
        <f t="shared" si="16"/>
        <v>61.55</v>
      </c>
      <c r="O175" s="35"/>
    </row>
    <row r="176" spans="1:15">
      <c r="A176" s="26">
        <v>44071</v>
      </c>
      <c r="B176" s="27" t="s">
        <v>15</v>
      </c>
      <c r="C176" s="28" t="s">
        <v>52</v>
      </c>
      <c r="D176" s="31" t="s">
        <v>38</v>
      </c>
      <c r="E176" s="30">
        <f t="shared" si="17"/>
        <v>6</v>
      </c>
      <c r="F176" s="31">
        <f>49.95+20+1.5</f>
        <v>71.45</v>
      </c>
      <c r="G176" s="31">
        <f>22.5+12.79</f>
        <v>35.29</v>
      </c>
      <c r="H176" s="35"/>
      <c r="I176" s="35"/>
      <c r="J176" s="41">
        <f>8.22</f>
        <v>8.22</v>
      </c>
      <c r="K176" s="35"/>
      <c r="L176" s="41"/>
      <c r="M176" s="35"/>
      <c r="N176" s="31">
        <f t="shared" si="16"/>
        <v>114.96</v>
      </c>
      <c r="O176" s="35">
        <v>7910</v>
      </c>
    </row>
    <row r="177" spans="1:15">
      <c r="A177" s="26">
        <v>44072</v>
      </c>
      <c r="B177" s="27" t="s">
        <v>15</v>
      </c>
      <c r="C177" s="28" t="s">
        <v>52</v>
      </c>
      <c r="D177" s="31" t="s">
        <v>39</v>
      </c>
      <c r="E177" s="30">
        <f t="shared" si="17"/>
        <v>7</v>
      </c>
      <c r="F177" s="31">
        <f>20</f>
        <v>20</v>
      </c>
      <c r="G177" s="31">
        <f>35+34+53+49+20+6+2.8+6+21.6+10.3</f>
        <v>237.7</v>
      </c>
      <c r="H177" s="35">
        <f>1830</f>
        <v>1830</v>
      </c>
      <c r="I177" s="35"/>
      <c r="J177" s="41"/>
      <c r="K177" s="35"/>
      <c r="L177" s="41"/>
      <c r="M177" s="35"/>
      <c r="N177" s="31">
        <f t="shared" si="16"/>
        <v>2087.7</v>
      </c>
      <c r="O177" s="35"/>
    </row>
    <row r="178" spans="1:15">
      <c r="A178" s="26">
        <v>44073</v>
      </c>
      <c r="B178" s="27" t="s">
        <v>15</v>
      </c>
      <c r="C178" s="28" t="s">
        <v>52</v>
      </c>
      <c r="D178" s="31" t="s">
        <v>40</v>
      </c>
      <c r="E178" s="30">
        <f t="shared" si="17"/>
        <v>1</v>
      </c>
      <c r="F178" s="31"/>
      <c r="G178" s="31"/>
      <c r="H178" s="35"/>
      <c r="I178" s="35"/>
      <c r="J178" s="41"/>
      <c r="K178" s="35"/>
      <c r="L178" s="41"/>
      <c r="M178" s="35"/>
      <c r="N178" s="31">
        <f t="shared" si="16"/>
        <v>0</v>
      </c>
      <c r="O178" s="35"/>
    </row>
    <row r="179" spans="1:15">
      <c r="A179" s="26">
        <v>44074</v>
      </c>
      <c r="B179" s="27" t="s">
        <v>15</v>
      </c>
      <c r="C179" s="28" t="s">
        <v>52</v>
      </c>
      <c r="D179" s="31" t="s">
        <v>41</v>
      </c>
      <c r="E179" s="30">
        <f t="shared" si="17"/>
        <v>2</v>
      </c>
      <c r="F179" s="31">
        <v>6</v>
      </c>
      <c r="G179" s="31">
        <f>15.9+7</f>
        <v>22.9</v>
      </c>
      <c r="H179" s="35"/>
      <c r="I179" s="35"/>
      <c r="J179" s="41"/>
      <c r="K179" s="35"/>
      <c r="L179" s="41"/>
      <c r="M179" s="35"/>
      <c r="N179" s="31">
        <f t="shared" si="16"/>
        <v>28.9</v>
      </c>
      <c r="O179" s="35"/>
    </row>
    <row r="180" spans="1:15">
      <c r="A180" s="26">
        <v>44075</v>
      </c>
      <c r="B180" s="27" t="s">
        <v>15</v>
      </c>
      <c r="C180" s="28" t="s">
        <v>53</v>
      </c>
      <c r="D180" s="31" t="s">
        <v>43</v>
      </c>
      <c r="E180" s="30">
        <f t="shared" si="17"/>
        <v>3</v>
      </c>
      <c r="F180" s="31">
        <f>100+903</f>
        <v>1003</v>
      </c>
      <c r="G180" s="31">
        <f>29+2+20.8+2</f>
        <v>53.8</v>
      </c>
      <c r="H180" s="35">
        <v>31</v>
      </c>
      <c r="I180" s="35"/>
      <c r="J180" s="41"/>
      <c r="K180" s="35"/>
      <c r="L180" s="41"/>
      <c r="M180" s="35"/>
      <c r="N180" s="31">
        <f t="shared" si="16"/>
        <v>1087.8</v>
      </c>
      <c r="O180" s="35"/>
    </row>
    <row r="181" spans="1:15">
      <c r="A181" s="26">
        <v>44076</v>
      </c>
      <c r="B181" s="27" t="s">
        <v>15</v>
      </c>
      <c r="C181" s="28" t="s">
        <v>53</v>
      </c>
      <c r="D181" s="31" t="s">
        <v>44</v>
      </c>
      <c r="E181" s="30">
        <f t="shared" si="17"/>
        <v>4</v>
      </c>
      <c r="F181" s="31">
        <f>300</f>
        <v>300</v>
      </c>
      <c r="G181" s="31">
        <f>21.8+4+3.5</f>
        <v>29.3</v>
      </c>
      <c r="H181" s="35">
        <f>87</f>
        <v>87</v>
      </c>
      <c r="I181" s="35"/>
      <c r="J181" s="41"/>
      <c r="K181" s="35"/>
      <c r="L181" s="41"/>
      <c r="M181" s="35"/>
      <c r="N181" s="31">
        <f t="shared" si="16"/>
        <v>416.3</v>
      </c>
      <c r="O181" s="35"/>
    </row>
    <row r="182" spans="1:15">
      <c r="A182" s="26">
        <v>44077</v>
      </c>
      <c r="B182" s="27" t="s">
        <v>15</v>
      </c>
      <c r="C182" s="28" t="s">
        <v>53</v>
      </c>
      <c r="D182" s="31" t="s">
        <v>45</v>
      </c>
      <c r="E182" s="30">
        <f t="shared" si="17"/>
        <v>5</v>
      </c>
      <c r="F182" s="31"/>
      <c r="G182" s="31">
        <f>22+20+23.8+2</f>
        <v>67.8</v>
      </c>
      <c r="H182" s="35">
        <f>10+7</f>
        <v>17</v>
      </c>
      <c r="I182" s="35">
        <f>129</f>
        <v>129</v>
      </c>
      <c r="J182" s="41"/>
      <c r="K182" s="35"/>
      <c r="L182" s="41"/>
      <c r="M182" s="35"/>
      <c r="N182" s="31">
        <f t="shared" si="16"/>
        <v>213.8</v>
      </c>
      <c r="O182" s="35"/>
    </row>
    <row r="183" spans="1:15">
      <c r="A183" s="26">
        <v>44078</v>
      </c>
      <c r="B183" s="27" t="s">
        <v>15</v>
      </c>
      <c r="C183" s="28" t="s">
        <v>53</v>
      </c>
      <c r="D183" s="31" t="s">
        <v>46</v>
      </c>
      <c r="E183" s="30">
        <f t="shared" si="17"/>
        <v>6</v>
      </c>
      <c r="F183" s="31">
        <v>49.98</v>
      </c>
      <c r="G183" s="31">
        <f>16.79+7</f>
        <v>23.79</v>
      </c>
      <c r="H183" s="35">
        <f>100</f>
        <v>100</v>
      </c>
      <c r="I183" s="35"/>
      <c r="J183" s="41"/>
      <c r="K183" s="35"/>
      <c r="L183" s="41"/>
      <c r="M183" s="35"/>
      <c r="N183" s="31">
        <f t="shared" si="16"/>
        <v>173.77</v>
      </c>
      <c r="O183" s="35"/>
    </row>
    <row r="184" spans="1:15">
      <c r="A184" s="26">
        <v>44079</v>
      </c>
      <c r="B184" s="27" t="s">
        <v>15</v>
      </c>
      <c r="C184" s="28" t="s">
        <v>53</v>
      </c>
      <c r="D184" s="31" t="s">
        <v>47</v>
      </c>
      <c r="E184" s="30">
        <f t="shared" si="17"/>
        <v>7</v>
      </c>
      <c r="F184" s="31"/>
      <c r="G184" s="31">
        <f>12+65+66+65+198+5+69.6+7.4+4+33+12+49+8</f>
        <v>594</v>
      </c>
      <c r="H184" s="35">
        <f>24.25</f>
        <v>24.25</v>
      </c>
      <c r="I184" s="35"/>
      <c r="J184" s="41"/>
      <c r="K184" s="35"/>
      <c r="L184" s="41"/>
      <c r="M184" s="35">
        <v>200</v>
      </c>
      <c r="N184" s="31">
        <f t="shared" si="16"/>
        <v>818.25</v>
      </c>
      <c r="O184" s="35"/>
    </row>
    <row r="185" spans="1:15">
      <c r="A185" s="26">
        <v>44080</v>
      </c>
      <c r="B185" s="27" t="s">
        <v>15</v>
      </c>
      <c r="C185" s="28" t="s">
        <v>53</v>
      </c>
      <c r="D185" s="31" t="s">
        <v>48</v>
      </c>
      <c r="E185" s="30">
        <f t="shared" si="17"/>
        <v>1</v>
      </c>
      <c r="F185" s="31"/>
      <c r="G185" s="31"/>
      <c r="H185" s="35"/>
      <c r="I185" s="35"/>
      <c r="J185" s="41"/>
      <c r="K185" s="35"/>
      <c r="L185" s="41"/>
      <c r="M185" s="35"/>
      <c r="N185" s="31">
        <f t="shared" si="16"/>
        <v>0</v>
      </c>
      <c r="O185" s="35"/>
    </row>
    <row r="186" spans="1:15">
      <c r="A186" s="26">
        <v>44081</v>
      </c>
      <c r="B186" s="27" t="s">
        <v>15</v>
      </c>
      <c r="C186" s="28" t="s">
        <v>53</v>
      </c>
      <c r="D186" s="31" t="s">
        <v>17</v>
      </c>
      <c r="E186" s="30">
        <f t="shared" si="17"/>
        <v>2</v>
      </c>
      <c r="F186" s="31"/>
      <c r="G186" s="31">
        <f>18+3+18.3+7</f>
        <v>46.3</v>
      </c>
      <c r="H186" s="35"/>
      <c r="I186" s="35"/>
      <c r="J186" s="41"/>
      <c r="K186" s="35"/>
      <c r="L186" s="41"/>
      <c r="M186" s="35"/>
      <c r="N186" s="31">
        <f t="shared" si="16"/>
        <v>46.3</v>
      </c>
      <c r="O186" s="35"/>
    </row>
    <row r="187" spans="1:15">
      <c r="A187" s="26">
        <v>44082</v>
      </c>
      <c r="B187" s="27" t="s">
        <v>15</v>
      </c>
      <c r="C187" s="28" t="s">
        <v>53</v>
      </c>
      <c r="D187" s="31" t="s">
        <v>18</v>
      </c>
      <c r="E187" s="30">
        <f t="shared" si="17"/>
        <v>3</v>
      </c>
      <c r="F187" s="31"/>
      <c r="G187" s="31">
        <f>18.8+19+2</f>
        <v>39.8</v>
      </c>
      <c r="H187" s="35"/>
      <c r="I187" s="35"/>
      <c r="J187" s="41"/>
      <c r="K187" s="35"/>
      <c r="L187" s="41"/>
      <c r="M187" s="35"/>
      <c r="N187" s="31">
        <f t="shared" si="16"/>
        <v>39.8</v>
      </c>
      <c r="O187" s="35"/>
    </row>
    <row r="188" spans="1:15">
      <c r="A188" s="26">
        <v>44083</v>
      </c>
      <c r="B188" s="27" t="s">
        <v>15</v>
      </c>
      <c r="C188" s="28" t="s">
        <v>53</v>
      </c>
      <c r="D188" s="31" t="s">
        <v>19</v>
      </c>
      <c r="E188" s="30">
        <f t="shared" si="17"/>
        <v>4</v>
      </c>
      <c r="F188" s="31">
        <f>1026</f>
        <v>1026</v>
      </c>
      <c r="G188" s="31">
        <f>25+21.7+I1884+3.5</f>
        <v>50.2</v>
      </c>
      <c r="H188" s="35"/>
      <c r="I188" s="35"/>
      <c r="J188" s="41">
        <v>249</v>
      </c>
      <c r="K188" s="35"/>
      <c r="L188" s="41"/>
      <c r="M188" s="35"/>
      <c r="N188" s="31">
        <f t="shared" si="16"/>
        <v>1325.2</v>
      </c>
      <c r="O188" s="35"/>
    </row>
    <row r="189" spans="1:15">
      <c r="A189" s="26">
        <v>44084</v>
      </c>
      <c r="B189" s="27" t="s">
        <v>54</v>
      </c>
      <c r="C189" s="28" t="s">
        <v>55</v>
      </c>
      <c r="D189" s="31" t="s">
        <v>20</v>
      </c>
      <c r="E189" s="30">
        <f t="shared" ref="E189:E202" si="18">WEEKDAY(A189,1)</f>
        <v>5</v>
      </c>
      <c r="F189" s="31"/>
      <c r="G189" s="31">
        <f>22.5+36+15.8+7+12+18.52</f>
        <v>111.82</v>
      </c>
      <c r="H189" s="31"/>
      <c r="I189" s="31"/>
      <c r="J189" s="31"/>
      <c r="K189" s="31"/>
      <c r="L189" s="31"/>
      <c r="M189" s="35"/>
      <c r="N189" s="31">
        <f t="shared" si="16"/>
        <v>111.82</v>
      </c>
      <c r="O189" s="35"/>
    </row>
    <row r="190" spans="1:15">
      <c r="A190" s="26">
        <v>44085</v>
      </c>
      <c r="B190" s="27" t="s">
        <v>56</v>
      </c>
      <c r="C190" s="28" t="s">
        <v>57</v>
      </c>
      <c r="D190" s="31" t="s">
        <v>21</v>
      </c>
      <c r="E190" s="30">
        <f t="shared" si="18"/>
        <v>6</v>
      </c>
      <c r="F190" s="31"/>
      <c r="G190" s="31">
        <f>18</f>
        <v>18</v>
      </c>
      <c r="H190" s="31">
        <f>4+7+7</f>
        <v>18</v>
      </c>
      <c r="I190" s="31"/>
      <c r="J190" s="31">
        <f>66+8+12</f>
        <v>86</v>
      </c>
      <c r="K190" s="31"/>
      <c r="L190" s="31"/>
      <c r="M190" s="35"/>
      <c r="N190" s="31">
        <f t="shared" si="16"/>
        <v>122</v>
      </c>
      <c r="O190" s="35"/>
    </row>
    <row r="191" spans="1:15">
      <c r="A191" s="26">
        <v>44086</v>
      </c>
      <c r="B191" s="27" t="s">
        <v>58</v>
      </c>
      <c r="C191" s="28" t="s">
        <v>59</v>
      </c>
      <c r="D191" s="31" t="s">
        <v>22</v>
      </c>
      <c r="E191" s="30">
        <f t="shared" si="18"/>
        <v>7</v>
      </c>
      <c r="F191" s="31"/>
      <c r="G191" s="31">
        <f>10+14.7+3+17+4+10</f>
        <v>58.7</v>
      </c>
      <c r="H191" s="31"/>
      <c r="I191" s="31"/>
      <c r="J191" s="31"/>
      <c r="K191" s="31"/>
      <c r="L191" s="31"/>
      <c r="M191" s="35"/>
      <c r="N191" s="31">
        <f t="shared" si="16"/>
        <v>58.7</v>
      </c>
      <c r="O191" s="35"/>
    </row>
    <row r="192" spans="1:15">
      <c r="A192" s="26">
        <v>44087</v>
      </c>
      <c r="B192" s="27" t="s">
        <v>60</v>
      </c>
      <c r="C192" s="28" t="s">
        <v>61</v>
      </c>
      <c r="D192" s="31" t="s">
        <v>23</v>
      </c>
      <c r="E192" s="30">
        <f t="shared" si="18"/>
        <v>1</v>
      </c>
      <c r="F192" s="31">
        <f>4</f>
        <v>4</v>
      </c>
      <c r="G192" s="31">
        <v>40</v>
      </c>
      <c r="H192" s="31"/>
      <c r="I192" s="31">
        <f>271+284+18+10+965+59.7</f>
        <v>1607.7</v>
      </c>
      <c r="J192" s="31"/>
      <c r="K192" s="31"/>
      <c r="L192" s="31"/>
      <c r="M192" s="35"/>
      <c r="N192" s="31">
        <f t="shared" si="16"/>
        <v>1651.7</v>
      </c>
      <c r="O192" s="35"/>
    </row>
    <row r="193" spans="1:15">
      <c r="A193" s="26">
        <v>44088</v>
      </c>
      <c r="B193" s="27" t="s">
        <v>62</v>
      </c>
      <c r="C193" s="28" t="s">
        <v>63</v>
      </c>
      <c r="D193" s="31" t="s">
        <v>24</v>
      </c>
      <c r="E193" s="30">
        <f t="shared" si="18"/>
        <v>2</v>
      </c>
      <c r="F193" s="31"/>
      <c r="G193" s="31"/>
      <c r="H193" s="31"/>
      <c r="I193" s="31"/>
      <c r="J193" s="31"/>
      <c r="K193" s="31"/>
      <c r="L193" s="31"/>
      <c r="M193" s="35"/>
      <c r="N193" s="31"/>
      <c r="O193" s="35"/>
    </row>
    <row r="194" spans="1:15">
      <c r="A194" s="26">
        <v>44089</v>
      </c>
      <c r="B194" s="27" t="s">
        <v>64</v>
      </c>
      <c r="C194" s="28" t="s">
        <v>65</v>
      </c>
      <c r="D194" s="31" t="s">
        <v>25</v>
      </c>
      <c r="E194" s="30">
        <f t="shared" si="18"/>
        <v>3</v>
      </c>
      <c r="F194" s="31"/>
      <c r="G194" s="31"/>
      <c r="H194" s="31"/>
      <c r="I194" s="31"/>
      <c r="J194" s="31"/>
      <c r="K194" s="31"/>
      <c r="L194" s="31"/>
      <c r="M194" s="35"/>
      <c r="N194" s="31"/>
      <c r="O194" s="35"/>
    </row>
    <row r="195" spans="1:15">
      <c r="A195" s="26">
        <v>44090</v>
      </c>
      <c r="B195" s="27" t="s">
        <v>66</v>
      </c>
      <c r="C195" s="28" t="s">
        <v>67</v>
      </c>
      <c r="D195" s="31" t="s">
        <v>26</v>
      </c>
      <c r="E195" s="30">
        <f t="shared" si="18"/>
        <v>4</v>
      </c>
      <c r="F195" s="31"/>
      <c r="G195" s="31"/>
      <c r="H195" s="31"/>
      <c r="I195" s="31"/>
      <c r="J195" s="31"/>
      <c r="K195" s="31"/>
      <c r="L195" s="31"/>
      <c r="M195" s="35"/>
      <c r="N195" s="31"/>
      <c r="O195" s="35"/>
    </row>
    <row r="196" spans="1:15">
      <c r="A196" s="26">
        <v>44091</v>
      </c>
      <c r="B196" s="27" t="s">
        <v>68</v>
      </c>
      <c r="C196" s="28" t="s">
        <v>69</v>
      </c>
      <c r="D196" s="31" t="s">
        <v>27</v>
      </c>
      <c r="E196" s="30">
        <f t="shared" si="18"/>
        <v>5</v>
      </c>
      <c r="F196" s="31"/>
      <c r="G196" s="31"/>
      <c r="H196" s="31"/>
      <c r="I196" s="31"/>
      <c r="J196" s="31"/>
      <c r="K196" s="31"/>
      <c r="L196" s="31"/>
      <c r="M196" s="35"/>
      <c r="N196" s="31"/>
      <c r="O196" s="35"/>
    </row>
    <row r="197" spans="1:15">
      <c r="A197" s="26">
        <v>44092</v>
      </c>
      <c r="B197" s="27" t="s">
        <v>70</v>
      </c>
      <c r="C197" s="28" t="s">
        <v>71</v>
      </c>
      <c r="D197" s="31" t="s">
        <v>28</v>
      </c>
      <c r="E197" s="30">
        <f t="shared" si="18"/>
        <v>6</v>
      </c>
      <c r="F197" s="31"/>
      <c r="G197" s="31"/>
      <c r="H197" s="31"/>
      <c r="I197" s="31"/>
      <c r="J197" s="31"/>
      <c r="K197" s="31"/>
      <c r="L197" s="31"/>
      <c r="M197" s="35"/>
      <c r="N197" s="31"/>
      <c r="O197" s="35"/>
    </row>
    <row r="198" spans="1:15">
      <c r="A198" s="26">
        <v>44093</v>
      </c>
      <c r="B198" s="27" t="s">
        <v>72</v>
      </c>
      <c r="C198" s="28" t="s">
        <v>73</v>
      </c>
      <c r="D198" s="31" t="s">
        <v>29</v>
      </c>
      <c r="E198" s="30">
        <f t="shared" si="18"/>
        <v>7</v>
      </c>
      <c r="F198" s="31"/>
      <c r="G198" s="31"/>
      <c r="H198" s="31"/>
      <c r="I198" s="31"/>
      <c r="J198" s="31"/>
      <c r="K198" s="31"/>
      <c r="L198" s="31"/>
      <c r="M198" s="35"/>
      <c r="N198" s="31"/>
      <c r="O198" s="35"/>
    </row>
    <row r="199" spans="1:15">
      <c r="A199" s="26">
        <v>44094</v>
      </c>
      <c r="B199" s="27" t="s">
        <v>74</v>
      </c>
      <c r="C199" s="28" t="s">
        <v>75</v>
      </c>
      <c r="D199" s="31" t="s">
        <v>30</v>
      </c>
      <c r="E199" s="30">
        <f t="shared" si="18"/>
        <v>1</v>
      </c>
      <c r="F199" s="31"/>
      <c r="G199" s="31"/>
      <c r="H199" s="31"/>
      <c r="I199" s="31"/>
      <c r="J199" s="31"/>
      <c r="K199" s="31"/>
      <c r="L199" s="31"/>
      <c r="M199" s="35"/>
      <c r="N199" s="31"/>
      <c r="O199" s="35"/>
    </row>
    <row r="200" spans="1:15">
      <c r="A200" s="26">
        <v>44095</v>
      </c>
      <c r="B200" s="27" t="s">
        <v>76</v>
      </c>
      <c r="C200" s="28" t="s">
        <v>77</v>
      </c>
      <c r="D200" s="31" t="s">
        <v>31</v>
      </c>
      <c r="E200" s="30">
        <f t="shared" si="18"/>
        <v>2</v>
      </c>
      <c r="F200" s="31"/>
      <c r="G200" s="31"/>
      <c r="H200" s="31"/>
      <c r="I200" s="31"/>
      <c r="J200" s="31"/>
      <c r="K200" s="31"/>
      <c r="L200" s="31"/>
      <c r="M200" s="35"/>
      <c r="N200" s="31"/>
      <c r="O200" s="35"/>
    </row>
    <row r="201" spans="1:15">
      <c r="A201" s="26">
        <v>44096</v>
      </c>
      <c r="B201" s="27" t="s">
        <v>78</v>
      </c>
      <c r="C201" s="28" t="s">
        <v>79</v>
      </c>
      <c r="D201" s="31" t="s">
        <v>32</v>
      </c>
      <c r="E201" s="30">
        <f t="shared" si="18"/>
        <v>3</v>
      </c>
      <c r="F201" s="31"/>
      <c r="G201" s="31"/>
      <c r="H201" s="31"/>
      <c r="I201" s="31"/>
      <c r="J201" s="31"/>
      <c r="K201" s="31"/>
      <c r="L201" s="31"/>
      <c r="M201" s="35"/>
      <c r="N201" s="31"/>
      <c r="O201" s="35"/>
    </row>
    <row r="202" spans="1:15">
      <c r="A202" s="26">
        <v>44097</v>
      </c>
      <c r="B202" s="27" t="s">
        <v>80</v>
      </c>
      <c r="C202" s="28" t="s">
        <v>81</v>
      </c>
      <c r="D202" s="31" t="s">
        <v>33</v>
      </c>
      <c r="E202" s="30">
        <f t="shared" si="18"/>
        <v>4</v>
      </c>
      <c r="F202" s="31"/>
      <c r="G202" s="31"/>
      <c r="H202" s="31"/>
      <c r="I202" s="31"/>
      <c r="J202" s="31"/>
      <c r="K202" s="31"/>
      <c r="L202" s="31"/>
      <c r="M202" s="35"/>
      <c r="N202" s="31"/>
      <c r="O202" s="35"/>
    </row>
    <row r="203" spans="12:12">
      <c r="L203" s="31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22"/>
  <sheetViews>
    <sheetView zoomScale="109" zoomScaleNormal="109" workbookViewId="0">
      <pane ySplit="1" topLeftCell="A2" activePane="bottomLeft" state="frozen"/>
      <selection/>
      <selection pane="bottomLeft" activeCell="Q7" sqref="Q7"/>
    </sheetView>
  </sheetViews>
  <sheetFormatPr defaultColWidth="10" defaultRowHeight="12.8"/>
  <cols>
    <col min="1" max="1" width="12.1153846153846" style="11" customWidth="1"/>
    <col min="2" max="8" width="10" style="11"/>
    <col min="9" max="9" width="17.4423076923077" style="11" customWidth="1"/>
    <col min="10" max="10" width="10" style="11"/>
    <col min="11" max="11" width="15" style="11" customWidth="1"/>
    <col min="12" max="12" width="10" style="11"/>
    <col min="13" max="13" width="14" style="11" customWidth="1"/>
    <col min="14" max="14" width="15.3365384615385" style="11" customWidth="1"/>
    <col min="15" max="16384" width="10" style="11"/>
  </cols>
  <sheetData>
    <row r="1" s="10" customFormat="1" ht="46" customHeight="1" spans="1:14">
      <c r="A1" s="12" t="s">
        <v>3</v>
      </c>
      <c r="B1" s="12" t="s">
        <v>82</v>
      </c>
      <c r="C1" s="12" t="s">
        <v>83</v>
      </c>
      <c r="D1" s="12" t="s">
        <v>84</v>
      </c>
      <c r="E1" s="12" t="s">
        <v>6</v>
      </c>
      <c r="F1" s="12" t="s">
        <v>85</v>
      </c>
      <c r="G1" s="12" t="s">
        <v>8</v>
      </c>
      <c r="H1" s="12" t="s">
        <v>86</v>
      </c>
      <c r="I1" s="12" t="s">
        <v>87</v>
      </c>
      <c r="J1" s="12" t="s">
        <v>88</v>
      </c>
      <c r="K1" s="12" t="s">
        <v>89</v>
      </c>
      <c r="L1" s="12" t="s">
        <v>9</v>
      </c>
      <c r="M1" s="12" t="s">
        <v>90</v>
      </c>
      <c r="N1" s="15" t="s">
        <v>14</v>
      </c>
    </row>
    <row r="2" s="11" customFormat="1" spans="1:14">
      <c r="A2" s="13">
        <v>44197</v>
      </c>
      <c r="B2" s="14">
        <f>1.6*2+10+2</f>
        <v>15.2</v>
      </c>
      <c r="C2" s="14"/>
      <c r="D2" s="14"/>
      <c r="E2" s="14">
        <f>14+5+89+8</f>
        <v>116</v>
      </c>
      <c r="F2" s="14"/>
      <c r="G2" s="14">
        <f>99+120+61</f>
        <v>280</v>
      </c>
      <c r="H2" s="14">
        <f>48</f>
        <v>48</v>
      </c>
      <c r="I2" s="14"/>
      <c r="J2" s="14"/>
      <c r="K2" s="14">
        <f>77+12</f>
        <v>89</v>
      </c>
      <c r="L2" s="14"/>
      <c r="M2" s="14">
        <f>SUM(B2:L2)</f>
        <v>548.2</v>
      </c>
      <c r="N2" s="16">
        <v>16900</v>
      </c>
    </row>
    <row r="3" s="11" customFormat="1" spans="1:14">
      <c r="A3" s="13">
        <v>44198</v>
      </c>
      <c r="B3" s="14">
        <f>120+885</f>
        <v>1005</v>
      </c>
      <c r="C3" s="14"/>
      <c r="D3" s="14"/>
      <c r="E3" s="14">
        <f>28+6+11.2+6.5</f>
        <v>51.7</v>
      </c>
      <c r="F3" s="14"/>
      <c r="G3" s="14"/>
      <c r="H3" s="14">
        <f>68</f>
        <v>68</v>
      </c>
      <c r="I3" s="14"/>
      <c r="J3" s="14"/>
      <c r="K3" s="14"/>
      <c r="L3" s="14"/>
      <c r="M3" s="14">
        <f t="shared" ref="M3:M66" si="0">SUM(B3:L3)</f>
        <v>1124.7</v>
      </c>
      <c r="N3" s="16"/>
    </row>
    <row r="4" s="11" customFormat="1" spans="1:14">
      <c r="A4" s="13">
        <v>44199</v>
      </c>
      <c r="B4" s="14"/>
      <c r="C4" s="14"/>
      <c r="D4" s="14"/>
      <c r="E4" s="14"/>
      <c r="F4" s="14"/>
      <c r="G4" s="14"/>
      <c r="H4" s="14">
        <v>122</v>
      </c>
      <c r="I4" s="14"/>
      <c r="J4" s="14"/>
      <c r="K4" s="14"/>
      <c r="L4" s="14"/>
      <c r="M4" s="14">
        <f t="shared" si="0"/>
        <v>122</v>
      </c>
      <c r="N4" s="16"/>
    </row>
    <row r="5" s="11" customFormat="1" spans="1:14">
      <c r="A5" s="13">
        <v>44200</v>
      </c>
      <c r="B5" s="14">
        <f>10*2</f>
        <v>20</v>
      </c>
      <c r="C5" s="14"/>
      <c r="D5" s="14"/>
      <c r="E5" s="14">
        <f>16.25+16</f>
        <v>32.25</v>
      </c>
      <c r="F5" s="14"/>
      <c r="G5" s="14"/>
      <c r="H5" s="14"/>
      <c r="I5" s="14"/>
      <c r="J5" s="14"/>
      <c r="K5" s="14"/>
      <c r="L5" s="14"/>
      <c r="M5" s="14">
        <f t="shared" si="0"/>
        <v>52.25</v>
      </c>
      <c r="N5" s="16"/>
    </row>
    <row r="6" s="11" customFormat="1" spans="1:14">
      <c r="A6" s="13">
        <v>44201</v>
      </c>
      <c r="B6" s="14">
        <f>5+4+5</f>
        <v>14</v>
      </c>
      <c r="C6" s="14"/>
      <c r="D6" s="14"/>
      <c r="E6" s="14">
        <f>29+7+4+5.5+11+5.5</f>
        <v>62</v>
      </c>
      <c r="F6" s="14">
        <v>20</v>
      </c>
      <c r="G6" s="14">
        <v>19</v>
      </c>
      <c r="H6" s="14"/>
      <c r="I6" s="14"/>
      <c r="J6" s="14"/>
      <c r="K6" s="14"/>
      <c r="L6" s="14">
        <f>44.8+4</f>
        <v>48.8</v>
      </c>
      <c r="M6" s="14">
        <f t="shared" si="0"/>
        <v>163.8</v>
      </c>
      <c r="N6" s="16"/>
    </row>
    <row r="7" s="11" customFormat="1" spans="1:14">
      <c r="A7" s="13">
        <v>44202</v>
      </c>
      <c r="B7" s="14">
        <f>8+5+5</f>
        <v>18</v>
      </c>
      <c r="C7" s="14"/>
      <c r="D7" s="14"/>
      <c r="E7" s="14">
        <f>22+5.5+21.74</f>
        <v>49.24</v>
      </c>
      <c r="F7" s="14"/>
      <c r="G7" s="14">
        <f>37+23+35</f>
        <v>95</v>
      </c>
      <c r="H7" s="14"/>
      <c r="I7" s="14"/>
      <c r="J7" s="14"/>
      <c r="K7" s="14"/>
      <c r="L7" s="14"/>
      <c r="M7" s="14">
        <f t="shared" si="0"/>
        <v>162.24</v>
      </c>
      <c r="N7" s="16"/>
    </row>
    <row r="8" s="11" customFormat="1" spans="1:14">
      <c r="A8" s="13">
        <v>44203</v>
      </c>
      <c r="B8" s="14">
        <f>8+10</f>
        <v>18</v>
      </c>
      <c r="C8" s="14"/>
      <c r="D8" s="14"/>
      <c r="E8" s="14">
        <f>18+14+5.5+13.7</f>
        <v>51.2</v>
      </c>
      <c r="F8" s="14"/>
      <c r="G8" s="14"/>
      <c r="H8" s="14"/>
      <c r="I8" s="14">
        <f>121.75</f>
        <v>121.75</v>
      </c>
      <c r="J8" s="14"/>
      <c r="K8" s="14"/>
      <c r="L8" s="14"/>
      <c r="M8" s="14">
        <f t="shared" si="0"/>
        <v>190.95</v>
      </c>
      <c r="N8" s="16"/>
    </row>
    <row r="9" s="11" customFormat="1" spans="1:14">
      <c r="A9" s="13">
        <v>44204</v>
      </c>
      <c r="B9" s="14">
        <f>8+5</f>
        <v>13</v>
      </c>
      <c r="C9" s="14"/>
      <c r="D9" s="14"/>
      <c r="E9" s="14">
        <f>21.5+22.72</f>
        <v>44.22</v>
      </c>
      <c r="F9" s="14"/>
      <c r="G9" s="14">
        <v>20</v>
      </c>
      <c r="H9" s="14"/>
      <c r="I9" s="14"/>
      <c r="J9" s="14"/>
      <c r="K9" s="14"/>
      <c r="L9" s="14"/>
      <c r="M9" s="14">
        <f t="shared" si="0"/>
        <v>77.22</v>
      </c>
      <c r="N9" s="16"/>
    </row>
    <row r="10" s="11" customFormat="1" spans="1:14">
      <c r="A10" s="13">
        <v>44205</v>
      </c>
      <c r="B10" s="14"/>
      <c r="C10" s="14"/>
      <c r="D10" s="14"/>
      <c r="E10" s="14">
        <f>13.18+52.2+19.9+39+15</f>
        <v>139.28</v>
      </c>
      <c r="F10" s="14">
        <v>35</v>
      </c>
      <c r="G10" s="14"/>
      <c r="H10" s="14">
        <f>28.41</f>
        <v>28.41</v>
      </c>
      <c r="I10" s="14">
        <f>109.71</f>
        <v>109.71</v>
      </c>
      <c r="J10" s="14"/>
      <c r="K10" s="14"/>
      <c r="M10" s="14">
        <f t="shared" si="0"/>
        <v>312.4</v>
      </c>
      <c r="N10" s="16"/>
    </row>
    <row r="11" s="11" customFormat="1" spans="1:14">
      <c r="A11" s="13">
        <v>44206</v>
      </c>
      <c r="B11" s="14"/>
      <c r="C11" s="14"/>
      <c r="D11" s="14"/>
      <c r="E11" s="14">
        <v>35.45</v>
      </c>
      <c r="F11" s="14"/>
      <c r="G11" s="14"/>
      <c r="H11" s="14">
        <f>113.41+56.33</f>
        <v>169.74</v>
      </c>
      <c r="I11" s="14">
        <v>9.46</v>
      </c>
      <c r="J11" s="14"/>
      <c r="K11" s="14"/>
      <c r="L11" s="14">
        <f>48.11+257.19-148.65</f>
        <v>156.65</v>
      </c>
      <c r="M11" s="14">
        <f t="shared" si="0"/>
        <v>371.3</v>
      </c>
      <c r="N11" s="16"/>
    </row>
    <row r="12" s="11" customFormat="1" spans="1:14">
      <c r="A12" s="13">
        <v>44207</v>
      </c>
      <c r="B12" s="14">
        <f>8+10</f>
        <v>18</v>
      </c>
      <c r="C12" s="14"/>
      <c r="D12" s="14"/>
      <c r="E12" s="14">
        <f>22+21.7</f>
        <v>43.7</v>
      </c>
      <c r="F12" s="14"/>
      <c r="G12" s="14"/>
      <c r="H12" s="14"/>
      <c r="I12" s="14">
        <f>5.5</f>
        <v>5.5</v>
      </c>
      <c r="J12" s="14"/>
      <c r="K12" s="14"/>
      <c r="L12" s="14"/>
      <c r="M12" s="14">
        <f t="shared" si="0"/>
        <v>67.2</v>
      </c>
      <c r="N12" s="16"/>
    </row>
    <row r="13" s="11" customFormat="1" spans="1:14">
      <c r="A13" s="13">
        <v>44208</v>
      </c>
      <c r="B13" s="14">
        <f>8+10</f>
        <v>18</v>
      </c>
      <c r="C13" s="14"/>
      <c r="D13" s="14"/>
      <c r="E13" s="14">
        <f>18+5.5+11.7+19.5</f>
        <v>54.7</v>
      </c>
      <c r="F13" s="14"/>
      <c r="G13" s="14"/>
      <c r="H13" s="14"/>
      <c r="I13" s="14"/>
      <c r="J13" s="14"/>
      <c r="K13" s="14"/>
      <c r="L13" s="14"/>
      <c r="M13" s="14">
        <f t="shared" si="0"/>
        <v>72.7</v>
      </c>
      <c r="N13" s="16"/>
    </row>
    <row r="14" s="11" customFormat="1" spans="1:14">
      <c r="A14" s="13">
        <v>44209</v>
      </c>
      <c r="B14" s="14">
        <f>8+12.2</f>
        <v>20.2</v>
      </c>
      <c r="C14" s="14"/>
      <c r="D14" s="14"/>
      <c r="E14" s="14">
        <f>29+19+36+13</f>
        <v>97</v>
      </c>
      <c r="F14" s="14"/>
      <c r="G14" s="14"/>
      <c r="H14" s="14"/>
      <c r="I14" s="14"/>
      <c r="J14" s="14"/>
      <c r="K14" s="14"/>
      <c r="L14" s="14"/>
      <c r="M14" s="14">
        <f t="shared" si="0"/>
        <v>117.2</v>
      </c>
      <c r="N14" s="16"/>
    </row>
    <row r="15" s="11" customFormat="1" spans="1:14">
      <c r="A15" s="13">
        <v>44210</v>
      </c>
      <c r="B15" s="14">
        <f>4+2.4+10</f>
        <v>16.4</v>
      </c>
      <c r="C15" s="14"/>
      <c r="D15" s="14"/>
      <c r="E15" s="14">
        <f>22+5.5+12</f>
        <v>39.5</v>
      </c>
      <c r="F15" s="14"/>
      <c r="G15" s="14"/>
      <c r="H15" s="14">
        <f>118</f>
        <v>118</v>
      </c>
      <c r="I15" s="14">
        <f>114</f>
        <v>114</v>
      </c>
      <c r="J15" s="14"/>
      <c r="K15" s="14"/>
      <c r="L15" s="14"/>
      <c r="M15" s="14">
        <f t="shared" si="0"/>
        <v>287.9</v>
      </c>
      <c r="N15" s="16"/>
    </row>
    <row r="16" s="11" customFormat="1" spans="1:14">
      <c r="A16" s="13">
        <v>44211</v>
      </c>
      <c r="B16" s="14">
        <f>8+10</f>
        <v>18</v>
      </c>
      <c r="C16" s="14"/>
      <c r="D16" s="14">
        <f>30</f>
        <v>30</v>
      </c>
      <c r="E16" s="14">
        <f>17+14+4</f>
        <v>35</v>
      </c>
      <c r="F16" s="14"/>
      <c r="G16" s="14"/>
      <c r="H16" s="14">
        <f>140</f>
        <v>140</v>
      </c>
      <c r="I16" s="14"/>
      <c r="J16" s="14"/>
      <c r="K16" s="14"/>
      <c r="L16" s="14"/>
      <c r="M16" s="14">
        <f t="shared" si="0"/>
        <v>223</v>
      </c>
      <c r="N16" s="16">
        <v>4700</v>
      </c>
    </row>
    <row r="17" s="11" customFormat="1" spans="1:14">
      <c r="A17" s="13">
        <v>44212</v>
      </c>
      <c r="B17" s="14">
        <f>8+8</f>
        <v>16</v>
      </c>
      <c r="C17" s="14"/>
      <c r="D17" s="14"/>
      <c r="E17" s="14">
        <f>24+35+4</f>
        <v>63</v>
      </c>
      <c r="F17" s="14">
        <v>27</v>
      </c>
      <c r="G17" s="14">
        <f>19</f>
        <v>19</v>
      </c>
      <c r="H17" s="14">
        <f>397.75+75+1+49.9</f>
        <v>523.65</v>
      </c>
      <c r="I17" s="14">
        <f>200</f>
        <v>200</v>
      </c>
      <c r="J17" s="14"/>
      <c r="K17" s="14"/>
      <c r="L17" s="14"/>
      <c r="M17" s="14">
        <f t="shared" si="0"/>
        <v>848.65</v>
      </c>
      <c r="N17" s="16"/>
    </row>
    <row r="18" s="11" customFormat="1" spans="1:14">
      <c r="A18" s="13">
        <v>44213</v>
      </c>
      <c r="B18" s="14"/>
      <c r="C18" s="14">
        <f>100</f>
        <v>100</v>
      </c>
      <c r="D18" s="14"/>
      <c r="E18" s="14">
        <f>14.91</f>
        <v>14.91</v>
      </c>
      <c r="F18" s="14"/>
      <c r="G18" s="14"/>
      <c r="H18" s="14"/>
      <c r="I18" s="14">
        <v>30</v>
      </c>
      <c r="J18" s="14"/>
      <c r="K18" s="14"/>
      <c r="L18" s="14"/>
      <c r="M18" s="14">
        <f t="shared" si="0"/>
        <v>144.91</v>
      </c>
      <c r="N18" s="16"/>
    </row>
    <row r="19" s="11" customFormat="1" spans="1:14">
      <c r="A19" s="13">
        <v>44214</v>
      </c>
      <c r="B19" s="14">
        <f>8+10</f>
        <v>18</v>
      </c>
      <c r="C19" s="14"/>
      <c r="D19" s="14"/>
      <c r="E19" s="14">
        <f>18+18</f>
        <v>36</v>
      </c>
      <c r="F19" s="14"/>
      <c r="G19" s="14"/>
      <c r="H19" s="14"/>
      <c r="I19" s="14">
        <v>8</v>
      </c>
      <c r="J19" s="14"/>
      <c r="K19" s="14"/>
      <c r="L19" s="14">
        <v>1</v>
      </c>
      <c r="M19" s="14">
        <f t="shared" si="0"/>
        <v>63</v>
      </c>
      <c r="N19" s="16"/>
    </row>
    <row r="20" s="11" customFormat="1" spans="1:14">
      <c r="A20" s="13">
        <v>44215</v>
      </c>
      <c r="B20" s="14">
        <f>8+10</f>
        <v>18</v>
      </c>
      <c r="C20" s="14"/>
      <c r="D20" s="14"/>
      <c r="E20" s="14">
        <f>17+17</f>
        <v>34</v>
      </c>
      <c r="F20" s="14"/>
      <c r="G20" s="14"/>
      <c r="H20" s="14"/>
      <c r="I20" s="14"/>
      <c r="J20" s="14"/>
      <c r="K20" s="14"/>
      <c r="L20" s="14"/>
      <c r="M20" s="14">
        <f t="shared" si="0"/>
        <v>52</v>
      </c>
      <c r="N20" s="16"/>
    </row>
    <row r="21" s="11" customFormat="1" spans="1:14">
      <c r="A21" s="13">
        <v>44216</v>
      </c>
      <c r="B21" s="14">
        <f>10+8</f>
        <v>18</v>
      </c>
      <c r="C21" s="14"/>
      <c r="D21" s="14"/>
      <c r="E21" s="14">
        <f>23+22+7</f>
        <v>52</v>
      </c>
      <c r="F21" s="14"/>
      <c r="G21" s="14"/>
      <c r="H21" s="14"/>
      <c r="I21" s="14">
        <f>412+733.75+209.34+232</f>
        <v>1587.09</v>
      </c>
      <c r="J21" s="14"/>
      <c r="K21" s="14"/>
      <c r="L21" s="14"/>
      <c r="M21" s="14">
        <f t="shared" si="0"/>
        <v>1657.09</v>
      </c>
      <c r="N21" s="16"/>
    </row>
    <row r="22" s="11" customFormat="1" spans="1:14">
      <c r="A22" s="13">
        <v>44217</v>
      </c>
      <c r="B22" s="14">
        <f>18-1.6</f>
        <v>16.4</v>
      </c>
      <c r="C22" s="14"/>
      <c r="D22" s="14"/>
      <c r="E22" s="14">
        <f>25+29+28</f>
        <v>82</v>
      </c>
      <c r="F22" s="14"/>
      <c r="G22" s="14"/>
      <c r="H22" s="14"/>
      <c r="I22" s="14"/>
      <c r="J22" s="14"/>
      <c r="K22" s="14"/>
      <c r="L22" s="14"/>
      <c r="M22" s="14">
        <f t="shared" si="0"/>
        <v>98.4</v>
      </c>
      <c r="N22" s="16"/>
    </row>
    <row r="23" s="11" customFormat="1" spans="1:14">
      <c r="A23" s="13">
        <v>44218</v>
      </c>
      <c r="B23" s="14">
        <f>6.4+10</f>
        <v>16.4</v>
      </c>
      <c r="C23" s="14"/>
      <c r="D23" s="14"/>
      <c r="E23" s="14">
        <f>20+7+25.5</f>
        <v>52.5</v>
      </c>
      <c r="F23" s="14">
        <f>70</f>
        <v>70</v>
      </c>
      <c r="G23" s="14"/>
      <c r="H23" s="14">
        <v>100</v>
      </c>
      <c r="I23" s="14"/>
      <c r="J23" s="14"/>
      <c r="K23" s="14"/>
      <c r="L23" s="14"/>
      <c r="M23" s="14">
        <f t="shared" si="0"/>
        <v>238.9</v>
      </c>
      <c r="N23" s="16"/>
    </row>
    <row r="24" s="11" customFormat="1" spans="1:14">
      <c r="A24" s="13">
        <v>44219</v>
      </c>
      <c r="B24" s="14">
        <f>-442.5-442.5</f>
        <v>-885</v>
      </c>
      <c r="C24" s="14"/>
      <c r="D24" s="14"/>
      <c r="E24" s="14">
        <f>62.86</f>
        <v>62.86</v>
      </c>
      <c r="F24" s="14"/>
      <c r="G24" s="14"/>
      <c r="H24" s="14"/>
      <c r="I24" s="14"/>
      <c r="J24" s="14"/>
      <c r="K24" s="14"/>
      <c r="L24" s="14"/>
      <c r="M24" s="14">
        <f>SUM(B24:L24)</f>
        <v>-822.14</v>
      </c>
      <c r="N24" s="16"/>
    </row>
    <row r="25" s="11" customFormat="1" spans="1:14">
      <c r="A25" s="13">
        <v>44220</v>
      </c>
      <c r="B25" s="14"/>
      <c r="C25" s="14"/>
      <c r="D25" s="14"/>
      <c r="E25" s="14">
        <f>21.5</f>
        <v>21.5</v>
      </c>
      <c r="F25" s="14">
        <v>15</v>
      </c>
      <c r="G25" s="14"/>
      <c r="H25" s="14"/>
      <c r="I25" s="14">
        <f>237</f>
        <v>237</v>
      </c>
      <c r="J25" s="14"/>
      <c r="K25" s="14"/>
      <c r="L25" s="14"/>
      <c r="M25" s="14">
        <f t="shared" si="0"/>
        <v>273.5</v>
      </c>
      <c r="N25" s="16"/>
    </row>
    <row r="26" s="11" customFormat="1" spans="1:14">
      <c r="A26" s="13">
        <v>44221</v>
      </c>
      <c r="B26" s="14">
        <f>6.4+10</f>
        <v>16.4</v>
      </c>
      <c r="C26" s="14"/>
      <c r="D26" s="14"/>
      <c r="E26" s="14">
        <f>18+7+16</f>
        <v>41</v>
      </c>
      <c r="F26" s="14"/>
      <c r="G26" s="14"/>
      <c r="H26" s="14"/>
      <c r="I26" s="14">
        <f>12</f>
        <v>12</v>
      </c>
      <c r="J26" s="14"/>
      <c r="K26" s="14"/>
      <c r="L26" s="14"/>
      <c r="M26" s="14">
        <f t="shared" si="0"/>
        <v>69.4</v>
      </c>
      <c r="N26" s="16"/>
    </row>
    <row r="27" s="11" customFormat="1" spans="1:14">
      <c r="A27" s="13">
        <v>44222</v>
      </c>
      <c r="B27" s="14">
        <f>6.4+10</f>
        <v>16.4</v>
      </c>
      <c r="C27" s="14"/>
      <c r="D27" s="14"/>
      <c r="E27" s="14">
        <f>20+23.5</f>
        <v>43.5</v>
      </c>
      <c r="F27" s="14"/>
      <c r="G27" s="14"/>
      <c r="H27" s="14"/>
      <c r="I27" s="14"/>
      <c r="J27" s="14"/>
      <c r="K27" s="14"/>
      <c r="L27" s="14"/>
      <c r="M27" s="14">
        <f t="shared" si="0"/>
        <v>59.9</v>
      </c>
      <c r="N27" s="16"/>
    </row>
    <row r="28" s="11" customFormat="1" spans="1:14">
      <c r="A28" s="13">
        <v>44223</v>
      </c>
      <c r="B28" s="14">
        <f>6.4+10</f>
        <v>16.4</v>
      </c>
      <c r="C28" s="14"/>
      <c r="D28" s="14"/>
      <c r="E28" s="14">
        <f>22+23</f>
        <v>45</v>
      </c>
      <c r="F28" s="14"/>
      <c r="G28" s="14"/>
      <c r="H28" s="14"/>
      <c r="I28" s="14"/>
      <c r="J28" s="14"/>
      <c r="K28" s="14"/>
      <c r="L28" s="14"/>
      <c r="M28" s="14">
        <f t="shared" si="0"/>
        <v>61.4</v>
      </c>
      <c r="N28" s="16"/>
    </row>
    <row r="29" s="11" customFormat="1" spans="1:14">
      <c r="A29" s="13">
        <v>44224</v>
      </c>
      <c r="B29" s="14">
        <f>10+8</f>
        <v>18</v>
      </c>
      <c r="C29" s="14">
        <v>1830</v>
      </c>
      <c r="D29" s="14">
        <f>20+50</f>
        <v>70</v>
      </c>
      <c r="E29" s="14">
        <f>29+20</f>
        <v>49</v>
      </c>
      <c r="F29" s="14"/>
      <c r="G29" s="14"/>
      <c r="H29" s="14">
        <f>149</f>
        <v>149</v>
      </c>
      <c r="I29" s="14"/>
      <c r="J29" s="14"/>
      <c r="K29" s="14"/>
      <c r="L29" s="14"/>
      <c r="M29" s="14">
        <f t="shared" si="0"/>
        <v>2116</v>
      </c>
      <c r="N29" s="16"/>
    </row>
    <row r="30" s="11" customFormat="1" spans="1:14">
      <c r="A30" s="13">
        <v>44225</v>
      </c>
      <c r="B30" s="14">
        <f>5+8</f>
        <v>13</v>
      </c>
      <c r="C30" s="14"/>
      <c r="D30" s="14"/>
      <c r="E30" s="14">
        <f>22+17</f>
        <v>39</v>
      </c>
      <c r="F30" s="14"/>
      <c r="G30" s="14"/>
      <c r="H30" s="14"/>
      <c r="I30" s="14"/>
      <c r="J30" s="14"/>
      <c r="K30" s="14"/>
      <c r="L30" s="14">
        <f>19+8.8</f>
        <v>27.8</v>
      </c>
      <c r="M30" s="14">
        <f t="shared" si="0"/>
        <v>79.8</v>
      </c>
      <c r="N30" s="16">
        <v>15591.92</v>
      </c>
    </row>
    <row r="31" s="11" customFormat="1" spans="1:14">
      <c r="A31" s="13">
        <v>44226</v>
      </c>
      <c r="B31" s="14"/>
      <c r="C31" s="14"/>
      <c r="D31" s="14"/>
      <c r="E31" s="14">
        <f>4.5+43+8.5+35+3.2+7</f>
        <v>101.2</v>
      </c>
      <c r="F31" s="14">
        <f>31.7-10</f>
        <v>21.7</v>
      </c>
      <c r="G31" s="14"/>
      <c r="H31" s="14"/>
      <c r="I31" s="14"/>
      <c r="J31" s="14"/>
      <c r="K31" s="14"/>
      <c r="L31" s="14"/>
      <c r="M31" s="14">
        <f t="shared" si="0"/>
        <v>122.9</v>
      </c>
      <c r="N31" s="16"/>
    </row>
    <row r="32" s="11" customFormat="1" spans="1:14">
      <c r="A32" s="13">
        <v>44227</v>
      </c>
      <c r="B32" s="14"/>
      <c r="C32" s="14"/>
      <c r="D32" s="14"/>
      <c r="E32" s="14">
        <v>3.5</v>
      </c>
      <c r="F32" s="14"/>
      <c r="G32" s="14"/>
      <c r="H32" s="14"/>
      <c r="I32" s="14"/>
      <c r="J32" s="14"/>
      <c r="K32" s="14"/>
      <c r="L32" s="14">
        <v>16168</v>
      </c>
      <c r="M32" s="14">
        <f t="shared" si="0"/>
        <v>16171.5</v>
      </c>
      <c r="N32" s="16"/>
    </row>
    <row r="33" s="11" customFormat="1" spans="1:14">
      <c r="A33" s="13">
        <v>44228</v>
      </c>
      <c r="B33" s="14">
        <f>8+5</f>
        <v>13</v>
      </c>
      <c r="C33" s="14"/>
      <c r="D33" s="14"/>
      <c r="E33" s="14">
        <f>24+22</f>
        <v>46</v>
      </c>
      <c r="F33" s="14"/>
      <c r="G33" s="14"/>
      <c r="H33" s="14"/>
      <c r="I33" s="14"/>
      <c r="J33" s="14"/>
      <c r="K33" s="14"/>
      <c r="L33" s="14"/>
      <c r="M33" s="14">
        <f t="shared" si="0"/>
        <v>59</v>
      </c>
      <c r="N33" s="16">
        <v>1000</v>
      </c>
    </row>
    <row r="34" s="11" customFormat="1" spans="1:14">
      <c r="A34" s="13">
        <v>44229</v>
      </c>
      <c r="B34" s="14">
        <f>5+8</f>
        <v>13</v>
      </c>
      <c r="C34" s="14"/>
      <c r="D34" s="14">
        <f>100</f>
        <v>100</v>
      </c>
      <c r="E34" s="14">
        <f>17.5+18</f>
        <v>35.5</v>
      </c>
      <c r="F34" s="14"/>
      <c r="G34" s="14"/>
      <c r="H34" s="14"/>
      <c r="I34" s="14"/>
      <c r="J34" s="14"/>
      <c r="K34" s="14"/>
      <c r="L34" s="14">
        <f>68+15.52+42.6+341</f>
        <v>467.12</v>
      </c>
      <c r="M34" s="14">
        <f t="shared" si="0"/>
        <v>615.62</v>
      </c>
      <c r="N34" s="16">
        <v>810</v>
      </c>
    </row>
    <row r="35" s="11" customFormat="1" spans="1:14">
      <c r="A35" s="13">
        <v>44230</v>
      </c>
      <c r="B35" s="14">
        <f>10+8</f>
        <v>18</v>
      </c>
      <c r="C35" s="14"/>
      <c r="D35" s="14"/>
      <c r="E35" s="14">
        <f>22.5+17</f>
        <v>39.5</v>
      </c>
      <c r="F35" s="14"/>
      <c r="G35" s="14"/>
      <c r="H35" s="14"/>
      <c r="I35" s="14"/>
      <c r="J35" s="14"/>
      <c r="K35" s="14"/>
      <c r="L35" s="14"/>
      <c r="M35" s="14">
        <f t="shared" si="0"/>
        <v>57.5</v>
      </c>
      <c r="N35" s="16"/>
    </row>
    <row r="36" s="11" customFormat="1" spans="1:14">
      <c r="A36" s="13">
        <v>44231</v>
      </c>
      <c r="B36" s="14">
        <f>10+12</f>
        <v>22</v>
      </c>
      <c r="C36" s="14"/>
      <c r="D36" s="14"/>
      <c r="E36" s="14">
        <f>29+20+7</f>
        <v>56</v>
      </c>
      <c r="F36" s="14"/>
      <c r="G36" s="14"/>
      <c r="H36" s="14"/>
      <c r="I36" s="14"/>
      <c r="J36" s="14"/>
      <c r="K36" s="14"/>
      <c r="L36" s="14"/>
      <c r="M36" s="14">
        <f t="shared" si="0"/>
        <v>78</v>
      </c>
      <c r="N36" s="16"/>
    </row>
    <row r="37" s="11" customFormat="1" spans="1:14">
      <c r="A37" s="13">
        <v>44232</v>
      </c>
      <c r="B37" s="14">
        <f>10+18+5</f>
        <v>33</v>
      </c>
      <c r="C37" s="14"/>
      <c r="D37" s="14"/>
      <c r="E37" s="14">
        <f>25+17.5</f>
        <v>42.5</v>
      </c>
      <c r="F37" s="14"/>
      <c r="G37" s="14"/>
      <c r="H37" s="14">
        <f>241</f>
        <v>241</v>
      </c>
      <c r="I37" s="14"/>
      <c r="J37" s="14"/>
      <c r="K37" s="14"/>
      <c r="L37" s="14">
        <v>13</v>
      </c>
      <c r="M37" s="14">
        <f t="shared" si="0"/>
        <v>329.5</v>
      </c>
      <c r="N37" s="16">
        <f>58+79+63+6+6+73+12+6+2+40+20</f>
        <v>365</v>
      </c>
    </row>
    <row r="38" s="11" customFormat="1" spans="1:14">
      <c r="A38" s="13">
        <v>44233</v>
      </c>
      <c r="B38" s="14"/>
      <c r="C38" s="14"/>
      <c r="D38" s="14"/>
      <c r="E38" s="14">
        <f>9+39+38</f>
        <v>86</v>
      </c>
      <c r="F38" s="14"/>
      <c r="G38" s="14"/>
      <c r="H38" s="14"/>
      <c r="I38" s="14"/>
      <c r="J38" s="14">
        <v>300</v>
      </c>
      <c r="K38" s="14">
        <f>90</f>
        <v>90</v>
      </c>
      <c r="L38" s="14"/>
      <c r="M38" s="14">
        <f t="shared" si="0"/>
        <v>476</v>
      </c>
      <c r="N38" s="16"/>
    </row>
    <row r="39" s="11" customFormat="1" spans="1:14">
      <c r="A39" s="13">
        <v>44234</v>
      </c>
      <c r="B39" s="14">
        <f>10+8</f>
        <v>18</v>
      </c>
      <c r="C39" s="14">
        <v>100</v>
      </c>
      <c r="D39" s="14"/>
      <c r="E39" s="14">
        <f>14+29</f>
        <v>43</v>
      </c>
      <c r="F39" s="14"/>
      <c r="G39" s="14"/>
      <c r="H39" s="14"/>
      <c r="I39" s="14"/>
      <c r="J39" s="14"/>
      <c r="K39" s="14"/>
      <c r="L39" s="14"/>
      <c r="M39" s="14">
        <f t="shared" si="0"/>
        <v>161</v>
      </c>
      <c r="N39" s="16">
        <v>1000</v>
      </c>
    </row>
    <row r="40" s="11" customFormat="1" spans="1:14">
      <c r="A40" s="13">
        <v>44235</v>
      </c>
      <c r="B40" s="14">
        <v>6.4</v>
      </c>
      <c r="C40" s="14"/>
      <c r="D40" s="14"/>
      <c r="E40" s="14">
        <f>17+24</f>
        <v>41</v>
      </c>
      <c r="F40" s="14"/>
      <c r="G40" s="14"/>
      <c r="H40" s="14"/>
      <c r="I40" s="14"/>
      <c r="J40" s="14"/>
      <c r="K40" s="14">
        <v>85.8</v>
      </c>
      <c r="L40" s="14"/>
      <c r="M40" s="14">
        <f t="shared" si="0"/>
        <v>133.2</v>
      </c>
      <c r="N40" s="16"/>
    </row>
    <row r="41" s="11" customFormat="1" spans="1:14">
      <c r="A41" s="13">
        <v>44236</v>
      </c>
      <c r="B41" s="14">
        <v>5.6</v>
      </c>
      <c r="C41" s="14"/>
      <c r="D41" s="14"/>
      <c r="E41" s="14">
        <f>22.5+22+14</f>
        <v>58.5</v>
      </c>
      <c r="F41" s="14"/>
      <c r="G41" s="14"/>
      <c r="H41" s="14">
        <f>35+194</f>
        <v>229</v>
      </c>
      <c r="I41" s="14"/>
      <c r="J41" s="14"/>
      <c r="K41" s="14"/>
      <c r="L41" s="14"/>
      <c r="M41" s="14">
        <f t="shared" si="0"/>
        <v>293.1</v>
      </c>
      <c r="N41" s="16">
        <f>1870+4950</f>
        <v>6820</v>
      </c>
    </row>
    <row r="42" s="11" customFormat="1" spans="1:14">
      <c r="A42" s="13">
        <v>44237</v>
      </c>
      <c r="B42" s="14">
        <v>13</v>
      </c>
      <c r="C42" s="14"/>
      <c r="D42" s="14"/>
      <c r="E42" s="14">
        <f>63+42+23+43+53+36+5+10+7+82+12+8.4+69+4+3+97+40+2.5+12+395</f>
        <v>1006.9</v>
      </c>
      <c r="F42" s="14"/>
      <c r="G42" s="14"/>
      <c r="H42" s="14"/>
      <c r="I42" s="14"/>
      <c r="J42" s="14"/>
      <c r="K42" s="14"/>
      <c r="L42" s="14"/>
      <c r="M42" s="14">
        <f t="shared" si="0"/>
        <v>1019.9</v>
      </c>
      <c r="N42" s="16"/>
    </row>
    <row r="43" s="11" customFormat="1" spans="1:14">
      <c r="A43" s="13">
        <v>44238</v>
      </c>
      <c r="B43" s="14"/>
      <c r="C43" s="14"/>
      <c r="D43" s="14"/>
      <c r="E43" s="14"/>
      <c r="F43" s="14"/>
      <c r="G43" s="14"/>
      <c r="H43" s="14"/>
      <c r="I43" s="14"/>
      <c r="J43" s="14"/>
      <c r="K43" s="14">
        <f>38+38</f>
        <v>76</v>
      </c>
      <c r="L43" s="14"/>
      <c r="M43" s="14">
        <f t="shared" si="0"/>
        <v>76</v>
      </c>
      <c r="N43" s="16">
        <f>-59</f>
        <v>-59</v>
      </c>
    </row>
    <row r="44" s="11" customFormat="1" spans="1:14">
      <c r="A44" s="13">
        <v>44239</v>
      </c>
      <c r="B44" s="14">
        <f>5.5</f>
        <v>5.5</v>
      </c>
      <c r="C44" s="14"/>
      <c r="D44" s="14"/>
      <c r="E44" s="14">
        <f>11</f>
        <v>11</v>
      </c>
      <c r="F44" s="14"/>
      <c r="G44" s="14"/>
      <c r="H44" s="14"/>
      <c r="I44" s="14">
        <f>33</f>
        <v>33</v>
      </c>
      <c r="J44" s="14"/>
      <c r="K44" s="14"/>
      <c r="L44" s="14"/>
      <c r="M44" s="14">
        <f t="shared" si="0"/>
        <v>49.5</v>
      </c>
      <c r="N44" s="16">
        <f>E42</f>
        <v>1006.9</v>
      </c>
    </row>
    <row r="45" s="11" customFormat="1" spans="1:14">
      <c r="A45" s="13">
        <v>44240</v>
      </c>
      <c r="B45" s="14">
        <f>2</f>
        <v>2</v>
      </c>
      <c r="C45" s="14"/>
      <c r="D45" s="14"/>
      <c r="E45" s="14">
        <f>185</f>
        <v>185</v>
      </c>
      <c r="F45" s="14"/>
      <c r="G45" s="14"/>
      <c r="H45" s="14"/>
      <c r="I45" s="14">
        <f>13</f>
        <v>13</v>
      </c>
      <c r="J45" s="14"/>
      <c r="K45" s="14">
        <f>3.2+22+24.54+2.4+2</f>
        <v>54.14</v>
      </c>
      <c r="L45" s="14"/>
      <c r="M45" s="14">
        <f t="shared" si="0"/>
        <v>254.14</v>
      </c>
      <c r="N45" s="16">
        <f>200+200+44+4+200+5+50-63+52</f>
        <v>692</v>
      </c>
    </row>
    <row r="46" s="11" customFormat="1" spans="1:14">
      <c r="A46" s="13">
        <v>44241</v>
      </c>
      <c r="B46" s="14"/>
      <c r="C46" s="14"/>
      <c r="D46" s="14"/>
      <c r="E46" s="14"/>
      <c r="F46" s="14"/>
      <c r="G46" s="14"/>
      <c r="H46" s="14">
        <f>40</f>
        <v>40</v>
      </c>
      <c r="I46" s="14"/>
      <c r="J46" s="14"/>
      <c r="K46" s="14">
        <f>76.8</f>
        <v>76.8</v>
      </c>
      <c r="L46" s="14"/>
      <c r="M46" s="14">
        <f t="shared" si="0"/>
        <v>116.8</v>
      </c>
      <c r="N46" s="16"/>
    </row>
    <row r="47" s="11" customFormat="1" spans="1:14">
      <c r="A47" s="13">
        <v>44242</v>
      </c>
      <c r="B47" s="14">
        <f>3.2+1.6+1.6</f>
        <v>6.4</v>
      </c>
      <c r="C47" s="14"/>
      <c r="D47" s="14">
        <f>30</f>
        <v>30</v>
      </c>
      <c r="E47" s="14">
        <f>10+4</f>
        <v>14</v>
      </c>
      <c r="F47" s="14"/>
      <c r="G47" s="14"/>
      <c r="H47" s="14"/>
      <c r="I47" s="14"/>
      <c r="J47" s="14"/>
      <c r="K47" s="14"/>
      <c r="L47" s="14"/>
      <c r="M47" s="14">
        <f t="shared" si="0"/>
        <v>50.4</v>
      </c>
      <c r="N47" s="16"/>
    </row>
    <row r="48" s="11" customFormat="1" spans="1:14">
      <c r="A48" s="13">
        <v>44243</v>
      </c>
      <c r="B48" s="14">
        <f>1.6+27+1.6</f>
        <v>30.2</v>
      </c>
      <c r="C48" s="14"/>
      <c r="D48" s="14"/>
      <c r="E48" s="14">
        <f>30+200</f>
        <v>230</v>
      </c>
      <c r="F48" s="14"/>
      <c r="G48" s="14"/>
      <c r="H48" s="14"/>
      <c r="I48" s="14"/>
      <c r="J48" s="14"/>
      <c r="K48" s="14">
        <f>70+70</f>
        <v>140</v>
      </c>
      <c r="L48" s="14"/>
      <c r="M48" s="14">
        <f t="shared" si="0"/>
        <v>400.2</v>
      </c>
      <c r="N48" s="16"/>
    </row>
    <row r="49" s="11" customFormat="1" spans="1:14">
      <c r="A49" s="13">
        <v>44244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f>1112</f>
        <v>1112</v>
      </c>
      <c r="M49" s="14">
        <f t="shared" si="0"/>
        <v>1112</v>
      </c>
      <c r="N49" s="16"/>
    </row>
    <row r="50" s="11" customFormat="1" spans="1:14">
      <c r="A50" s="13">
        <v>44245</v>
      </c>
      <c r="B50" s="14">
        <f>8+10</f>
        <v>18</v>
      </c>
      <c r="C50" s="14"/>
      <c r="D50" s="14"/>
      <c r="E50" s="14">
        <f>27+16.5</f>
        <v>43.5</v>
      </c>
      <c r="F50" s="14"/>
      <c r="G50" s="14"/>
      <c r="H50" s="14">
        <f>20</f>
        <v>20</v>
      </c>
      <c r="I50" s="14"/>
      <c r="J50" s="14"/>
      <c r="K50" s="14"/>
      <c r="L50" s="14"/>
      <c r="M50" s="14">
        <f t="shared" si="0"/>
        <v>81.5</v>
      </c>
      <c r="N50" s="16"/>
    </row>
    <row r="51" s="11" customFormat="1" spans="1:14">
      <c r="A51" s="13">
        <v>44246</v>
      </c>
      <c r="B51" s="14">
        <f>8+10</f>
        <v>18</v>
      </c>
      <c r="C51" s="14"/>
      <c r="D51" s="14"/>
      <c r="E51" s="14">
        <f>15+20+7+25</f>
        <v>67</v>
      </c>
      <c r="F51" s="14"/>
      <c r="G51" s="14"/>
      <c r="H51" s="14"/>
      <c r="I51" s="14"/>
      <c r="J51" s="14"/>
      <c r="K51" s="14"/>
      <c r="L51" s="14">
        <f>14.16</f>
        <v>14.16</v>
      </c>
      <c r="M51" s="14">
        <f t="shared" si="0"/>
        <v>99.16</v>
      </c>
      <c r="N51" s="16"/>
    </row>
    <row r="52" s="11" customFormat="1" spans="1:14">
      <c r="A52" s="13">
        <v>44247</v>
      </c>
      <c r="B52" s="14">
        <f>8+10</f>
        <v>18</v>
      </c>
      <c r="C52" s="14"/>
      <c r="D52" s="14"/>
      <c r="E52" s="14">
        <f>29+18.3</f>
        <v>47.3</v>
      </c>
      <c r="F52" s="14"/>
      <c r="G52" s="14"/>
      <c r="H52" s="14"/>
      <c r="I52" s="14"/>
      <c r="J52" s="14"/>
      <c r="K52" s="14"/>
      <c r="L52" s="14">
        <f>39.9</f>
        <v>39.9</v>
      </c>
      <c r="M52" s="14">
        <f t="shared" si="0"/>
        <v>105.2</v>
      </c>
      <c r="N52" s="16"/>
    </row>
    <row r="53" s="11" customFormat="1" spans="1:14">
      <c r="A53" s="13">
        <v>44248</v>
      </c>
      <c r="B53" s="14"/>
      <c r="C53" s="14"/>
      <c r="D53" s="14"/>
      <c r="E53" s="14">
        <f>44+40+10</f>
        <v>94</v>
      </c>
      <c r="F53" s="14"/>
      <c r="G53" s="14"/>
      <c r="H53" s="14"/>
      <c r="I53" s="14"/>
      <c r="J53" s="14"/>
      <c r="K53" s="14"/>
      <c r="L53" s="14"/>
      <c r="M53" s="14">
        <f t="shared" si="0"/>
        <v>94</v>
      </c>
      <c r="N53" s="16"/>
    </row>
    <row r="54" s="11" customFormat="1" spans="1:14">
      <c r="A54" s="13">
        <v>44249</v>
      </c>
      <c r="B54" s="14">
        <f>8</f>
        <v>8</v>
      </c>
      <c r="C54" s="14"/>
      <c r="D54" s="14"/>
      <c r="E54" s="14">
        <f>13.72+7</f>
        <v>20.72</v>
      </c>
      <c r="F54" s="14"/>
      <c r="G54" s="14"/>
      <c r="H54" s="14"/>
      <c r="I54" s="14"/>
      <c r="J54" s="14"/>
      <c r="K54" s="14"/>
      <c r="L54" s="14"/>
      <c r="M54" s="14">
        <f t="shared" si="0"/>
        <v>28.72</v>
      </c>
      <c r="N54" s="16"/>
    </row>
    <row r="55" s="11" customFormat="1" spans="1:14">
      <c r="A55" s="13">
        <v>44250</v>
      </c>
      <c r="B55" s="14">
        <f>8+10</f>
        <v>18</v>
      </c>
      <c r="C55" s="14"/>
      <c r="D55" s="14"/>
      <c r="E55" s="14">
        <f>18+13</f>
        <v>31</v>
      </c>
      <c r="F55" s="14"/>
      <c r="G55" s="14"/>
      <c r="H55" s="14"/>
      <c r="I55" s="14">
        <f>5</f>
        <v>5</v>
      </c>
      <c r="J55" s="14"/>
      <c r="K55" s="14"/>
      <c r="L55" s="14"/>
      <c r="M55" s="14">
        <f t="shared" si="0"/>
        <v>54</v>
      </c>
      <c r="N55" s="16"/>
    </row>
    <row r="56" s="11" customFormat="1" spans="1:14">
      <c r="A56" s="13">
        <v>44251</v>
      </c>
      <c r="B56" s="14">
        <f>8+10</f>
        <v>18</v>
      </c>
      <c r="C56" s="14"/>
      <c r="D56" s="14"/>
      <c r="E56" s="14">
        <f>22+12+10</f>
        <v>44</v>
      </c>
      <c r="F56" s="14"/>
      <c r="G56" s="14"/>
      <c r="H56" s="14"/>
      <c r="I56" s="14">
        <f>12</f>
        <v>12</v>
      </c>
      <c r="J56" s="14"/>
      <c r="K56" s="14"/>
      <c r="L56" s="14"/>
      <c r="M56" s="14">
        <f t="shared" si="0"/>
        <v>74</v>
      </c>
      <c r="N56" s="16"/>
    </row>
    <row r="57" s="11" customFormat="1" spans="1:14">
      <c r="A57" s="13">
        <v>44252</v>
      </c>
      <c r="B57" s="14">
        <f>2.4+3.9+10</f>
        <v>16.3</v>
      </c>
      <c r="C57" s="14"/>
      <c r="D57" s="14"/>
      <c r="E57" s="14">
        <f>5+29+13</f>
        <v>47</v>
      </c>
      <c r="F57" s="14"/>
      <c r="G57" s="14"/>
      <c r="H57" s="14"/>
      <c r="I57" s="14"/>
      <c r="J57" s="14"/>
      <c r="K57" s="14"/>
      <c r="L57" s="14"/>
      <c r="M57" s="14">
        <f t="shared" si="0"/>
        <v>63.3</v>
      </c>
      <c r="N57" s="16"/>
    </row>
    <row r="58" s="11" customFormat="1" spans="1:14">
      <c r="A58" s="13">
        <v>44253</v>
      </c>
      <c r="B58" s="14">
        <f>8+10</f>
        <v>18</v>
      </c>
      <c r="C58" s="14">
        <v>1830</v>
      </c>
      <c r="D58" s="14"/>
      <c r="E58" s="14">
        <f>3+27+21</f>
        <v>51</v>
      </c>
      <c r="F58" s="14"/>
      <c r="G58" s="14"/>
      <c r="H58" s="14"/>
      <c r="I58" s="14"/>
      <c r="J58" s="14">
        <v>1000</v>
      </c>
      <c r="K58" s="14">
        <f>98</f>
        <v>98</v>
      </c>
      <c r="L58" s="14"/>
      <c r="M58" s="14">
        <f t="shared" si="0"/>
        <v>2997</v>
      </c>
      <c r="N58" s="16">
        <f>8801</f>
        <v>8801</v>
      </c>
    </row>
    <row r="59" s="11" customFormat="1" spans="1:14">
      <c r="A59" s="13">
        <v>44254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>
        <f t="shared" si="0"/>
        <v>0</v>
      </c>
      <c r="N59" s="16"/>
    </row>
    <row r="60" s="11" customFormat="1" spans="1:14">
      <c r="A60" s="13">
        <v>44255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>
        <f t="shared" si="0"/>
        <v>0</v>
      </c>
      <c r="N60" s="16"/>
    </row>
    <row r="61" s="11" customFormat="1" spans="1:14">
      <c r="A61" s="13">
        <v>44256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f t="shared" si="0"/>
        <v>0</v>
      </c>
      <c r="N61" s="16"/>
    </row>
    <row r="62" s="11" customFormat="1" spans="1:14">
      <c r="A62" s="13">
        <v>44257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>
        <f t="shared" si="0"/>
        <v>0</v>
      </c>
      <c r="N62" s="16"/>
    </row>
    <row r="63" s="11" customFormat="1" spans="1:14">
      <c r="A63" s="13">
        <v>44258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>
        <f t="shared" si="0"/>
        <v>0</v>
      </c>
      <c r="N63" s="16"/>
    </row>
    <row r="64" s="11" customFormat="1" spans="1:14">
      <c r="A64" s="13">
        <v>44259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>
        <f t="shared" si="0"/>
        <v>0</v>
      </c>
      <c r="N64" s="16"/>
    </row>
    <row r="65" s="11" customFormat="1" spans="1:14">
      <c r="A65" s="13">
        <v>44260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>
        <f t="shared" si="0"/>
        <v>0</v>
      </c>
      <c r="N65" s="16"/>
    </row>
    <row r="66" s="11" customFormat="1" spans="1:14">
      <c r="A66" s="13">
        <v>44261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>
        <f t="shared" si="0"/>
        <v>0</v>
      </c>
      <c r="N66" s="16"/>
    </row>
    <row r="67" s="11" customFormat="1" spans="1:14">
      <c r="A67" s="13">
        <v>44262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>
        <f t="shared" ref="M67:M130" si="1">SUM(B67:L67)</f>
        <v>0</v>
      </c>
      <c r="N67" s="16"/>
    </row>
    <row r="68" s="11" customFormat="1" spans="1:14">
      <c r="A68" s="13">
        <v>44263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>
        <f t="shared" si="1"/>
        <v>0</v>
      </c>
      <c r="N68" s="16"/>
    </row>
    <row r="69" s="11" customFormat="1" spans="1:14">
      <c r="A69" s="13">
        <v>44264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>
        <f t="shared" si="1"/>
        <v>0</v>
      </c>
      <c r="N69" s="16"/>
    </row>
    <row r="70" s="11" customFormat="1" spans="1:14">
      <c r="A70" s="13">
        <v>44265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>
        <f t="shared" si="1"/>
        <v>0</v>
      </c>
      <c r="N70" s="16"/>
    </row>
    <row r="71" s="11" customFormat="1" spans="1:14">
      <c r="A71" s="13">
        <v>44266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>
        <f t="shared" si="1"/>
        <v>0</v>
      </c>
      <c r="N71" s="16"/>
    </row>
    <row r="72" s="11" customFormat="1" spans="1:14">
      <c r="A72" s="13">
        <v>44267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>
        <f t="shared" si="1"/>
        <v>0</v>
      </c>
      <c r="N72" s="16"/>
    </row>
    <row r="73" s="11" customFormat="1" spans="1:14">
      <c r="A73" s="13">
        <v>44268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>
        <f t="shared" si="1"/>
        <v>0</v>
      </c>
      <c r="N73" s="16"/>
    </row>
    <row r="74" s="11" customFormat="1" spans="1:14">
      <c r="A74" s="13">
        <v>44269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>
        <f t="shared" si="1"/>
        <v>0</v>
      </c>
      <c r="N74" s="16"/>
    </row>
    <row r="75" s="11" customFormat="1" spans="1:14">
      <c r="A75" s="13">
        <v>44270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>
        <f t="shared" si="1"/>
        <v>0</v>
      </c>
      <c r="N75" s="16"/>
    </row>
    <row r="76" s="11" customFormat="1" spans="1:14">
      <c r="A76" s="13">
        <v>44271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>
        <f t="shared" si="1"/>
        <v>0</v>
      </c>
      <c r="N76" s="16"/>
    </row>
    <row r="77" s="11" customFormat="1" spans="1:14">
      <c r="A77" s="13">
        <v>44272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>
        <f t="shared" si="1"/>
        <v>0</v>
      </c>
      <c r="N77" s="16"/>
    </row>
    <row r="78" s="11" customFormat="1" spans="1:14">
      <c r="A78" s="13">
        <v>44273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>
        <f t="shared" si="1"/>
        <v>0</v>
      </c>
      <c r="N78" s="16"/>
    </row>
    <row r="79" s="11" customFormat="1" spans="1:14">
      <c r="A79" s="13">
        <v>44274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>
        <f t="shared" si="1"/>
        <v>0</v>
      </c>
      <c r="N79" s="16"/>
    </row>
    <row r="80" s="11" customFormat="1" spans="1:14">
      <c r="A80" s="13">
        <v>44275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>
        <f t="shared" si="1"/>
        <v>0</v>
      </c>
      <c r="N80" s="16"/>
    </row>
    <row r="81" s="11" customFormat="1" spans="1:14">
      <c r="A81" s="13">
        <v>44276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>
        <f t="shared" si="1"/>
        <v>0</v>
      </c>
      <c r="N81" s="16"/>
    </row>
    <row r="82" s="11" customFormat="1" spans="1:14">
      <c r="A82" s="13">
        <v>44277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f t="shared" si="1"/>
        <v>0</v>
      </c>
      <c r="N82" s="16"/>
    </row>
    <row r="83" s="11" customFormat="1" spans="1:14">
      <c r="A83" s="13">
        <v>44278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>
        <f t="shared" si="1"/>
        <v>0</v>
      </c>
      <c r="N83" s="16"/>
    </row>
    <row r="84" s="11" customFormat="1" spans="1:14">
      <c r="A84" s="13">
        <v>44279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>
        <f t="shared" si="1"/>
        <v>0</v>
      </c>
      <c r="N84" s="16"/>
    </row>
    <row r="85" s="11" customFormat="1" spans="1:14">
      <c r="A85" s="13">
        <v>44280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>
        <f t="shared" si="1"/>
        <v>0</v>
      </c>
      <c r="N85" s="16"/>
    </row>
    <row r="86" s="11" customFormat="1" spans="1:14">
      <c r="A86" s="13">
        <v>44281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>
        <f t="shared" si="1"/>
        <v>0</v>
      </c>
      <c r="N86" s="16"/>
    </row>
    <row r="87" s="11" customFormat="1" spans="1:14">
      <c r="A87" s="13">
        <v>44282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>
        <f t="shared" si="1"/>
        <v>0</v>
      </c>
      <c r="N87" s="16"/>
    </row>
    <row r="88" s="11" customFormat="1" spans="1:14">
      <c r="A88" s="13">
        <v>44283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>
        <f t="shared" si="1"/>
        <v>0</v>
      </c>
      <c r="N88" s="16"/>
    </row>
    <row r="89" s="11" customFormat="1" spans="1:14">
      <c r="A89" s="13">
        <v>44284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f t="shared" si="1"/>
        <v>0</v>
      </c>
      <c r="N89" s="16"/>
    </row>
    <row r="90" s="11" customFormat="1" spans="1:14">
      <c r="A90" s="13">
        <v>44285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>
        <f t="shared" si="1"/>
        <v>0</v>
      </c>
      <c r="N90" s="16"/>
    </row>
    <row r="91" s="11" customFormat="1" spans="1:14">
      <c r="A91" s="13">
        <v>44286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f t="shared" si="1"/>
        <v>0</v>
      </c>
      <c r="N91" s="16"/>
    </row>
    <row r="92" s="11" customFormat="1" spans="1:14">
      <c r="A92" s="13">
        <v>44287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>
        <f t="shared" si="1"/>
        <v>0</v>
      </c>
      <c r="N92" s="16"/>
    </row>
    <row r="93" s="11" customFormat="1" spans="1:14">
      <c r="A93" s="13">
        <v>44288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>
        <f t="shared" si="1"/>
        <v>0</v>
      </c>
      <c r="N93" s="16"/>
    </row>
    <row r="94" s="11" customFormat="1" spans="1:14">
      <c r="A94" s="13">
        <v>44289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>
        <f t="shared" si="1"/>
        <v>0</v>
      </c>
      <c r="N94" s="16"/>
    </row>
    <row r="95" s="11" customFormat="1" spans="1:14">
      <c r="A95" s="13">
        <v>44290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>
        <f t="shared" si="1"/>
        <v>0</v>
      </c>
      <c r="N95" s="16"/>
    </row>
    <row r="96" s="11" customFormat="1" spans="1:14">
      <c r="A96" s="13">
        <v>44291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>
        <f t="shared" si="1"/>
        <v>0</v>
      </c>
      <c r="N96" s="16"/>
    </row>
    <row r="97" s="11" customFormat="1" spans="1:14">
      <c r="A97" s="13">
        <v>44292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>
        <f t="shared" si="1"/>
        <v>0</v>
      </c>
      <c r="N97" s="16"/>
    </row>
    <row r="98" s="11" customFormat="1" spans="1:14">
      <c r="A98" s="13">
        <v>44293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>
        <f t="shared" si="1"/>
        <v>0</v>
      </c>
      <c r="N98" s="16"/>
    </row>
    <row r="99" s="11" customFormat="1" spans="1:14">
      <c r="A99" s="13">
        <v>44294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>
        <f t="shared" si="1"/>
        <v>0</v>
      </c>
      <c r="N99" s="16"/>
    </row>
    <row r="100" s="11" customFormat="1" spans="1:14">
      <c r="A100" s="13">
        <v>44295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>
        <f t="shared" si="1"/>
        <v>0</v>
      </c>
      <c r="N100" s="16"/>
    </row>
    <row r="101" s="11" customFormat="1" spans="1:14">
      <c r="A101" s="13">
        <v>44296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>
        <f t="shared" si="1"/>
        <v>0</v>
      </c>
      <c r="N101" s="16"/>
    </row>
    <row r="102" s="11" customFormat="1" spans="1:14">
      <c r="A102" s="13">
        <v>44297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>
        <f t="shared" si="1"/>
        <v>0</v>
      </c>
      <c r="N102" s="16"/>
    </row>
    <row r="103" s="11" customFormat="1" spans="1:14">
      <c r="A103" s="13">
        <v>44298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>
        <f t="shared" si="1"/>
        <v>0</v>
      </c>
      <c r="N103" s="16"/>
    </row>
    <row r="104" s="11" customFormat="1" spans="1:14">
      <c r="A104" s="13">
        <v>44299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>
        <f t="shared" si="1"/>
        <v>0</v>
      </c>
      <c r="N104" s="16"/>
    </row>
    <row r="105" s="11" customFormat="1" spans="1:14">
      <c r="A105" s="13">
        <v>44300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>
        <f t="shared" si="1"/>
        <v>0</v>
      </c>
      <c r="N105" s="16"/>
    </row>
    <row r="106" s="11" customFormat="1" spans="1:14">
      <c r="A106" s="13">
        <v>44301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>
        <f t="shared" si="1"/>
        <v>0</v>
      </c>
      <c r="N106" s="16"/>
    </row>
    <row r="107" s="11" customFormat="1" spans="1:14">
      <c r="A107" s="13">
        <v>44302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>
        <f t="shared" si="1"/>
        <v>0</v>
      </c>
      <c r="N107" s="16"/>
    </row>
    <row r="108" s="11" customFormat="1" spans="1:14">
      <c r="A108" s="13">
        <v>44303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>
        <f t="shared" si="1"/>
        <v>0</v>
      </c>
      <c r="N108" s="16"/>
    </row>
    <row r="109" s="11" customFormat="1" spans="1:14">
      <c r="A109" s="13">
        <v>44304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>
        <f t="shared" si="1"/>
        <v>0</v>
      </c>
      <c r="N109" s="16"/>
    </row>
    <row r="110" s="11" customFormat="1" spans="1:14">
      <c r="A110" s="13">
        <v>44305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>
        <f t="shared" si="1"/>
        <v>0</v>
      </c>
      <c r="N110" s="16"/>
    </row>
    <row r="111" s="11" customFormat="1" spans="1:14">
      <c r="A111" s="13">
        <v>44306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>
        <f t="shared" si="1"/>
        <v>0</v>
      </c>
      <c r="N111" s="16"/>
    </row>
    <row r="112" s="11" customFormat="1" spans="1:14">
      <c r="A112" s="13">
        <v>44307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>
        <f t="shared" si="1"/>
        <v>0</v>
      </c>
      <c r="N112" s="16"/>
    </row>
    <row r="113" s="11" customFormat="1" spans="1:14">
      <c r="A113" s="13">
        <v>44308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>
        <f t="shared" si="1"/>
        <v>0</v>
      </c>
      <c r="N113" s="16"/>
    </row>
    <row r="114" s="11" customFormat="1" spans="1:14">
      <c r="A114" s="13">
        <v>44309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>
        <f t="shared" si="1"/>
        <v>0</v>
      </c>
      <c r="N114" s="16"/>
    </row>
    <row r="115" s="11" customFormat="1" spans="1:14">
      <c r="A115" s="13">
        <v>44310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>
        <f t="shared" si="1"/>
        <v>0</v>
      </c>
      <c r="N115" s="16"/>
    </row>
    <row r="116" s="11" customFormat="1" spans="1:14">
      <c r="A116" s="13">
        <v>44311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>
        <f t="shared" si="1"/>
        <v>0</v>
      </c>
      <c r="N116" s="16"/>
    </row>
    <row r="117" s="11" customFormat="1" spans="1:14">
      <c r="A117" s="13">
        <v>44312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>
        <f t="shared" si="1"/>
        <v>0</v>
      </c>
      <c r="N117" s="16"/>
    </row>
    <row r="118" s="11" customFormat="1" spans="1:14">
      <c r="A118" s="13">
        <v>44313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>
        <f t="shared" si="1"/>
        <v>0</v>
      </c>
      <c r="N118" s="16"/>
    </row>
    <row r="119" s="11" customFormat="1" spans="1:14">
      <c r="A119" s="13">
        <v>44314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>
        <f t="shared" si="1"/>
        <v>0</v>
      </c>
      <c r="N119" s="16"/>
    </row>
    <row r="120" s="11" customFormat="1" spans="1:14">
      <c r="A120" s="13">
        <v>44315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>
        <f t="shared" si="1"/>
        <v>0</v>
      </c>
      <c r="N120" s="16"/>
    </row>
    <row r="121" s="11" customFormat="1" spans="1:14">
      <c r="A121" s="13">
        <v>44316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>
        <f t="shared" si="1"/>
        <v>0</v>
      </c>
      <c r="N121" s="16"/>
    </row>
    <row r="122" s="11" customFormat="1" spans="1:14">
      <c r="A122" s="13">
        <v>44317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>
        <f t="shared" si="1"/>
        <v>0</v>
      </c>
      <c r="N122" s="16"/>
    </row>
    <row r="123" s="11" customFormat="1" spans="1:14">
      <c r="A123" s="13">
        <v>44318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>
        <f t="shared" si="1"/>
        <v>0</v>
      </c>
      <c r="N123" s="16"/>
    </row>
    <row r="124" s="11" customFormat="1" spans="1:14">
      <c r="A124" s="13">
        <v>44319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>
        <f t="shared" si="1"/>
        <v>0</v>
      </c>
      <c r="N124" s="16"/>
    </row>
    <row r="125" s="11" customFormat="1" spans="1:14">
      <c r="A125" s="13">
        <v>44320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>
        <f t="shared" si="1"/>
        <v>0</v>
      </c>
      <c r="N125" s="16"/>
    </row>
    <row r="126" s="11" customFormat="1" spans="1:14">
      <c r="A126" s="13">
        <v>44321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>
        <f t="shared" si="1"/>
        <v>0</v>
      </c>
      <c r="N126" s="16"/>
    </row>
    <row r="127" s="11" customFormat="1" spans="1:14">
      <c r="A127" s="13">
        <v>44322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>
        <f t="shared" si="1"/>
        <v>0</v>
      </c>
      <c r="N127" s="16"/>
    </row>
    <row r="128" s="11" customFormat="1" spans="1:14">
      <c r="A128" s="13">
        <v>44323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>
        <f t="shared" si="1"/>
        <v>0</v>
      </c>
      <c r="N128" s="16"/>
    </row>
    <row r="129" s="11" customFormat="1" spans="1:14">
      <c r="A129" s="13">
        <v>44324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>
        <f t="shared" si="1"/>
        <v>0</v>
      </c>
      <c r="N129" s="16"/>
    </row>
    <row r="130" s="11" customFormat="1" spans="1:14">
      <c r="A130" s="13">
        <v>44325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>
        <f t="shared" si="1"/>
        <v>0</v>
      </c>
      <c r="N130" s="16"/>
    </row>
    <row r="131" s="11" customFormat="1" spans="1:14">
      <c r="A131" s="13">
        <v>44326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>
        <f t="shared" ref="M131:M194" si="2">SUM(B131:L131)</f>
        <v>0</v>
      </c>
      <c r="N131" s="16"/>
    </row>
    <row r="132" s="11" customFormat="1" spans="1:14">
      <c r="A132" s="13">
        <v>44327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>
        <f t="shared" si="2"/>
        <v>0</v>
      </c>
      <c r="N132" s="16"/>
    </row>
    <row r="133" s="11" customFormat="1" spans="1:14">
      <c r="A133" s="13">
        <v>44328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>
        <f t="shared" si="2"/>
        <v>0</v>
      </c>
      <c r="N133" s="16"/>
    </row>
    <row r="134" s="11" customFormat="1" spans="1:14">
      <c r="A134" s="13">
        <v>44329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>
        <f t="shared" si="2"/>
        <v>0</v>
      </c>
      <c r="N134" s="16"/>
    </row>
    <row r="135" s="11" customFormat="1" spans="1:14">
      <c r="A135" s="13">
        <v>44330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>
        <f t="shared" si="2"/>
        <v>0</v>
      </c>
      <c r="N135" s="16"/>
    </row>
    <row r="136" s="11" customFormat="1" spans="1:14">
      <c r="A136" s="13">
        <v>44331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>
        <f t="shared" si="2"/>
        <v>0</v>
      </c>
      <c r="N136" s="16"/>
    </row>
    <row r="137" s="11" customFormat="1" spans="1:14">
      <c r="A137" s="13">
        <v>44332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>
        <f t="shared" si="2"/>
        <v>0</v>
      </c>
      <c r="N137" s="16"/>
    </row>
    <row r="138" s="11" customFormat="1" spans="1:14">
      <c r="A138" s="13">
        <v>44333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>
        <f t="shared" si="2"/>
        <v>0</v>
      </c>
      <c r="N138" s="16"/>
    </row>
    <row r="139" s="11" customFormat="1" spans="1:14">
      <c r="A139" s="13">
        <v>44334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>
        <f t="shared" si="2"/>
        <v>0</v>
      </c>
      <c r="N139" s="16"/>
    </row>
    <row r="140" s="11" customFormat="1" spans="1:14">
      <c r="A140" s="13">
        <v>44335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>
        <f t="shared" si="2"/>
        <v>0</v>
      </c>
      <c r="N140" s="16"/>
    </row>
    <row r="141" s="11" customFormat="1" spans="1:14">
      <c r="A141" s="13">
        <v>44336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>
        <f t="shared" si="2"/>
        <v>0</v>
      </c>
      <c r="N141" s="16"/>
    </row>
    <row r="142" s="11" customFormat="1" spans="1:14">
      <c r="A142" s="13">
        <v>44337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>
        <f t="shared" si="2"/>
        <v>0</v>
      </c>
      <c r="N142" s="16"/>
    </row>
    <row r="143" s="11" customFormat="1" spans="1:14">
      <c r="A143" s="13">
        <v>44338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>
        <f t="shared" si="2"/>
        <v>0</v>
      </c>
      <c r="N143" s="16"/>
    </row>
    <row r="144" s="11" customFormat="1" spans="1:14">
      <c r="A144" s="13">
        <v>44339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>
        <f t="shared" si="2"/>
        <v>0</v>
      </c>
      <c r="N144" s="16"/>
    </row>
    <row r="145" s="11" customFormat="1" spans="1:14">
      <c r="A145" s="13">
        <v>44340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>
        <f t="shared" si="2"/>
        <v>0</v>
      </c>
      <c r="N145" s="16"/>
    </row>
    <row r="146" s="11" customFormat="1" spans="1:14">
      <c r="A146" s="13">
        <v>44341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>
        <f t="shared" si="2"/>
        <v>0</v>
      </c>
      <c r="N146" s="16"/>
    </row>
    <row r="147" s="11" customFormat="1" spans="1:14">
      <c r="A147" s="13">
        <v>44342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>
        <f t="shared" si="2"/>
        <v>0</v>
      </c>
      <c r="N147" s="16"/>
    </row>
    <row r="148" s="11" customFormat="1" spans="1:14">
      <c r="A148" s="13">
        <v>44343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>
        <f t="shared" si="2"/>
        <v>0</v>
      </c>
      <c r="N148" s="16"/>
    </row>
    <row r="149" s="11" customFormat="1" spans="1:14">
      <c r="A149" s="13">
        <v>44344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>
        <f t="shared" si="2"/>
        <v>0</v>
      </c>
      <c r="N149" s="16"/>
    </row>
    <row r="150" s="11" customFormat="1" spans="1:14">
      <c r="A150" s="13">
        <v>44345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>
        <f t="shared" si="2"/>
        <v>0</v>
      </c>
      <c r="N150" s="16"/>
    </row>
    <row r="151" s="11" customFormat="1" spans="1:14">
      <c r="A151" s="13">
        <v>44346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>
        <f t="shared" si="2"/>
        <v>0</v>
      </c>
      <c r="N151" s="16"/>
    </row>
    <row r="152" s="11" customFormat="1" spans="1:14">
      <c r="A152" s="13">
        <v>44347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>
        <f t="shared" si="2"/>
        <v>0</v>
      </c>
      <c r="N152" s="16"/>
    </row>
    <row r="153" s="11" customFormat="1" spans="1:14">
      <c r="A153" s="13">
        <v>44348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>
        <f t="shared" si="2"/>
        <v>0</v>
      </c>
      <c r="N153" s="16"/>
    </row>
    <row r="154" s="11" customFormat="1" spans="1:14">
      <c r="A154" s="13">
        <v>44349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>
        <f t="shared" si="2"/>
        <v>0</v>
      </c>
      <c r="N154" s="16"/>
    </row>
    <row r="155" s="11" customFormat="1" spans="1:14">
      <c r="A155" s="13">
        <v>44350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>
        <f t="shared" si="2"/>
        <v>0</v>
      </c>
      <c r="N155" s="16"/>
    </row>
    <row r="156" s="11" customFormat="1" spans="1:14">
      <c r="A156" s="13">
        <v>44351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>
        <f t="shared" si="2"/>
        <v>0</v>
      </c>
      <c r="N156" s="16"/>
    </row>
    <row r="157" s="11" customFormat="1" spans="1:14">
      <c r="A157" s="13">
        <v>44352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>
        <f t="shared" si="2"/>
        <v>0</v>
      </c>
      <c r="N157" s="16"/>
    </row>
    <row r="158" s="11" customFormat="1" spans="1:14">
      <c r="A158" s="13">
        <v>44353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>
        <f t="shared" si="2"/>
        <v>0</v>
      </c>
      <c r="N158" s="16"/>
    </row>
    <row r="159" s="11" customFormat="1" spans="1:14">
      <c r="A159" s="13">
        <v>44354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>
        <f t="shared" si="2"/>
        <v>0</v>
      </c>
      <c r="N159" s="16"/>
    </row>
    <row r="160" s="11" customFormat="1" spans="1:14">
      <c r="A160" s="13">
        <v>44355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>
        <f t="shared" si="2"/>
        <v>0</v>
      </c>
      <c r="N160" s="16"/>
    </row>
    <row r="161" s="11" customFormat="1" spans="1:14">
      <c r="A161" s="13">
        <v>44356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>
        <f t="shared" si="2"/>
        <v>0</v>
      </c>
      <c r="N161" s="16"/>
    </row>
    <row r="162" s="11" customFormat="1" spans="1:14">
      <c r="A162" s="13">
        <v>44357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>
        <f t="shared" si="2"/>
        <v>0</v>
      </c>
      <c r="N162" s="16"/>
    </row>
    <row r="163" s="11" customFormat="1" spans="1:14">
      <c r="A163" s="13">
        <v>44358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>
        <f t="shared" si="2"/>
        <v>0</v>
      </c>
      <c r="N163" s="16"/>
    </row>
    <row r="164" s="11" customFormat="1" spans="1:14">
      <c r="A164" s="13">
        <v>44359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>
        <f t="shared" si="2"/>
        <v>0</v>
      </c>
      <c r="N164" s="16"/>
    </row>
    <row r="165" s="11" customFormat="1" spans="1:14">
      <c r="A165" s="13">
        <v>44360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>
        <f t="shared" si="2"/>
        <v>0</v>
      </c>
      <c r="N165" s="16"/>
    </row>
    <row r="166" s="11" customFormat="1" spans="1:14">
      <c r="A166" s="13">
        <v>44361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>
        <f t="shared" si="2"/>
        <v>0</v>
      </c>
      <c r="N166" s="16"/>
    </row>
    <row r="167" s="11" customFormat="1" spans="1:14">
      <c r="A167" s="13">
        <v>44362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>
        <f t="shared" si="2"/>
        <v>0</v>
      </c>
      <c r="N167" s="16"/>
    </row>
    <row r="168" s="11" customFormat="1" spans="1:14">
      <c r="A168" s="13">
        <v>44363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>
        <f t="shared" si="2"/>
        <v>0</v>
      </c>
      <c r="N168" s="16"/>
    </row>
    <row r="169" s="11" customFormat="1" spans="1:14">
      <c r="A169" s="13">
        <v>44364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>
        <f t="shared" si="2"/>
        <v>0</v>
      </c>
      <c r="N169" s="16"/>
    </row>
    <row r="170" s="11" customFormat="1" spans="1:14">
      <c r="A170" s="13">
        <v>44365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>
        <f t="shared" si="2"/>
        <v>0</v>
      </c>
      <c r="N170" s="16"/>
    </row>
    <row r="171" s="11" customFormat="1" spans="1:14">
      <c r="A171" s="13">
        <v>44366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>
        <f t="shared" si="2"/>
        <v>0</v>
      </c>
      <c r="N171" s="16"/>
    </row>
    <row r="172" s="11" customFormat="1" spans="1:14">
      <c r="A172" s="13">
        <v>44367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>
        <f t="shared" si="2"/>
        <v>0</v>
      </c>
      <c r="N172" s="16"/>
    </row>
    <row r="173" s="11" customFormat="1" spans="1:14">
      <c r="A173" s="13">
        <v>44368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>
        <f t="shared" si="2"/>
        <v>0</v>
      </c>
      <c r="N173" s="16"/>
    </row>
    <row r="174" s="11" customFormat="1" spans="1:14">
      <c r="A174" s="13">
        <v>44369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>
        <f t="shared" si="2"/>
        <v>0</v>
      </c>
      <c r="N174" s="16"/>
    </row>
    <row r="175" s="11" customFormat="1" spans="1:14">
      <c r="A175" s="13">
        <v>44370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>
        <f t="shared" si="2"/>
        <v>0</v>
      </c>
      <c r="N175" s="16"/>
    </row>
    <row r="176" s="11" customFormat="1" spans="1:14">
      <c r="A176" s="13">
        <v>44371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>
        <f t="shared" si="2"/>
        <v>0</v>
      </c>
      <c r="N176" s="16"/>
    </row>
    <row r="177" s="11" customFormat="1" spans="1:14">
      <c r="A177" s="13">
        <v>44372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>
        <f t="shared" si="2"/>
        <v>0</v>
      </c>
      <c r="N177" s="16"/>
    </row>
    <row r="178" s="11" customFormat="1" spans="1:14">
      <c r="A178" s="13">
        <v>44373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>
        <f t="shared" si="2"/>
        <v>0</v>
      </c>
      <c r="N178" s="16"/>
    </row>
    <row r="179" s="11" customFormat="1" spans="1:14">
      <c r="A179" s="13">
        <v>44374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>
        <f t="shared" si="2"/>
        <v>0</v>
      </c>
      <c r="N179" s="16"/>
    </row>
    <row r="180" s="11" customFormat="1" spans="1:14">
      <c r="A180" s="13">
        <v>44375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>
        <f t="shared" si="2"/>
        <v>0</v>
      </c>
      <c r="N180" s="16"/>
    </row>
    <row r="181" s="11" customFormat="1" spans="1:14">
      <c r="A181" s="13">
        <v>44376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>
        <f t="shared" si="2"/>
        <v>0</v>
      </c>
      <c r="N181" s="16"/>
    </row>
    <row r="182" s="11" customFormat="1" spans="1:14">
      <c r="A182" s="13">
        <v>44377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>
        <f t="shared" si="2"/>
        <v>0</v>
      </c>
      <c r="N182" s="16"/>
    </row>
    <row r="183" s="11" customFormat="1" spans="1:14">
      <c r="A183" s="13">
        <v>44378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>
        <f t="shared" si="2"/>
        <v>0</v>
      </c>
      <c r="N183" s="16"/>
    </row>
    <row r="184" s="11" customFormat="1" spans="1:14">
      <c r="A184" s="13">
        <v>44379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>
        <f t="shared" si="2"/>
        <v>0</v>
      </c>
      <c r="N184" s="16"/>
    </row>
    <row r="185" s="11" customFormat="1" spans="1:14">
      <c r="A185" s="13">
        <v>44380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>
        <f t="shared" si="2"/>
        <v>0</v>
      </c>
      <c r="N185" s="16"/>
    </row>
    <row r="186" s="11" customFormat="1" spans="1:14">
      <c r="A186" s="13">
        <v>44381</v>
      </c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>
        <f t="shared" si="2"/>
        <v>0</v>
      </c>
      <c r="N186" s="16"/>
    </row>
    <row r="187" s="11" customFormat="1" spans="1:14">
      <c r="A187" s="13">
        <v>44382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>
        <f t="shared" si="2"/>
        <v>0</v>
      </c>
      <c r="N187" s="16"/>
    </row>
    <row r="188" s="11" customFormat="1" spans="1:14">
      <c r="A188" s="13">
        <v>44383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>
        <f t="shared" si="2"/>
        <v>0</v>
      </c>
      <c r="N188" s="16"/>
    </row>
    <row r="189" s="11" customFormat="1" spans="1:14">
      <c r="A189" s="13">
        <v>44384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>
        <f t="shared" si="2"/>
        <v>0</v>
      </c>
      <c r="N189" s="16"/>
    </row>
    <row r="190" s="11" customFormat="1" spans="1:14">
      <c r="A190" s="13">
        <v>44385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>
        <f t="shared" si="2"/>
        <v>0</v>
      </c>
      <c r="N190" s="16"/>
    </row>
    <row r="191" s="11" customFormat="1" spans="1:14">
      <c r="A191" s="13">
        <v>44386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>
        <f t="shared" si="2"/>
        <v>0</v>
      </c>
      <c r="N191" s="16"/>
    </row>
    <row r="192" s="11" customFormat="1" spans="1:14">
      <c r="A192" s="13">
        <v>44387</v>
      </c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>
        <f t="shared" si="2"/>
        <v>0</v>
      </c>
      <c r="N192" s="16"/>
    </row>
    <row r="193" s="11" customFormat="1" spans="1:14">
      <c r="A193" s="13">
        <v>44388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>
        <f t="shared" si="2"/>
        <v>0</v>
      </c>
      <c r="N193" s="16"/>
    </row>
    <row r="194" s="11" customFormat="1" spans="1:14">
      <c r="A194" s="13">
        <v>44389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>
        <f t="shared" si="2"/>
        <v>0</v>
      </c>
      <c r="N194" s="16"/>
    </row>
    <row r="195" s="11" customFormat="1" spans="1:14">
      <c r="A195" s="13">
        <v>44390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>
        <f t="shared" ref="M195:M258" si="3">SUM(B195:L195)</f>
        <v>0</v>
      </c>
      <c r="N195" s="16"/>
    </row>
    <row r="196" s="11" customFormat="1" spans="1:14">
      <c r="A196" s="13">
        <v>44391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>
        <f t="shared" si="3"/>
        <v>0</v>
      </c>
      <c r="N196" s="16"/>
    </row>
    <row r="197" s="11" customFormat="1" spans="1:14">
      <c r="A197" s="13">
        <v>44392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>
        <f t="shared" si="3"/>
        <v>0</v>
      </c>
      <c r="N197" s="16"/>
    </row>
    <row r="198" s="11" customFormat="1" spans="1:14">
      <c r="A198" s="13">
        <v>44393</v>
      </c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>
        <f t="shared" si="3"/>
        <v>0</v>
      </c>
      <c r="N198" s="16"/>
    </row>
    <row r="199" s="11" customFormat="1" spans="1:14">
      <c r="A199" s="13">
        <v>44394</v>
      </c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>
        <f t="shared" si="3"/>
        <v>0</v>
      </c>
      <c r="N199" s="16"/>
    </row>
    <row r="200" s="11" customFormat="1" spans="1:14">
      <c r="A200" s="13">
        <v>44395</v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>
        <f t="shared" si="3"/>
        <v>0</v>
      </c>
      <c r="N200" s="16"/>
    </row>
    <row r="201" s="11" customFormat="1" spans="1:14">
      <c r="A201" s="13">
        <v>44396</v>
      </c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>
        <f t="shared" si="3"/>
        <v>0</v>
      </c>
      <c r="N201" s="16"/>
    </row>
    <row r="202" s="11" customFormat="1" spans="1:14">
      <c r="A202" s="13">
        <v>44397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>
        <f t="shared" si="3"/>
        <v>0</v>
      </c>
      <c r="N202" s="16"/>
    </row>
    <row r="203" s="11" customFormat="1" spans="1:14">
      <c r="A203" s="13">
        <v>44398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>
        <f t="shared" si="3"/>
        <v>0</v>
      </c>
      <c r="N203" s="16"/>
    </row>
    <row r="204" s="11" customFormat="1" spans="1:14">
      <c r="A204" s="13">
        <v>44399</v>
      </c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>
        <f t="shared" si="3"/>
        <v>0</v>
      </c>
      <c r="N204" s="16"/>
    </row>
    <row r="205" s="11" customFormat="1" spans="1:14">
      <c r="A205" s="13">
        <v>44400</v>
      </c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>
        <f t="shared" si="3"/>
        <v>0</v>
      </c>
      <c r="N205" s="16"/>
    </row>
    <row r="206" s="11" customFormat="1" spans="1:14">
      <c r="A206" s="13">
        <v>44401</v>
      </c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>
        <f t="shared" si="3"/>
        <v>0</v>
      </c>
      <c r="N206" s="16"/>
    </row>
    <row r="207" s="11" customFormat="1" spans="1:14">
      <c r="A207" s="13">
        <v>44402</v>
      </c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>
        <f t="shared" si="3"/>
        <v>0</v>
      </c>
      <c r="N207" s="16"/>
    </row>
    <row r="208" s="11" customFormat="1" spans="1:14">
      <c r="A208" s="13">
        <v>44403</v>
      </c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>
        <f t="shared" si="3"/>
        <v>0</v>
      </c>
      <c r="N208" s="16"/>
    </row>
    <row r="209" s="11" customFormat="1" spans="1:14">
      <c r="A209" s="13">
        <v>44404</v>
      </c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>
        <f t="shared" si="3"/>
        <v>0</v>
      </c>
      <c r="N209" s="16"/>
    </row>
    <row r="210" s="11" customFormat="1" spans="1:14">
      <c r="A210" s="13">
        <v>44405</v>
      </c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>
        <f t="shared" si="3"/>
        <v>0</v>
      </c>
      <c r="N210" s="16"/>
    </row>
    <row r="211" s="11" customFormat="1" spans="1:14">
      <c r="A211" s="13">
        <v>44406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>
        <f t="shared" si="3"/>
        <v>0</v>
      </c>
      <c r="N211" s="16"/>
    </row>
    <row r="212" s="11" customFormat="1" spans="1:14">
      <c r="A212" s="13">
        <v>44407</v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>
        <f t="shared" si="3"/>
        <v>0</v>
      </c>
      <c r="N212" s="16"/>
    </row>
    <row r="213" s="11" customFormat="1" spans="1:14">
      <c r="A213" s="13">
        <v>44408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>
        <f t="shared" si="3"/>
        <v>0</v>
      </c>
      <c r="N213" s="16"/>
    </row>
    <row r="214" s="11" customFormat="1" spans="1:14">
      <c r="A214" s="13">
        <v>44409</v>
      </c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>
        <f t="shared" si="3"/>
        <v>0</v>
      </c>
      <c r="N214" s="16"/>
    </row>
    <row r="215" s="11" customFormat="1" spans="1:14">
      <c r="A215" s="13">
        <v>44410</v>
      </c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>
        <f t="shared" si="3"/>
        <v>0</v>
      </c>
      <c r="N215" s="16"/>
    </row>
    <row r="216" s="11" customFormat="1" spans="1:14">
      <c r="A216" s="13">
        <v>44411</v>
      </c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>
        <f t="shared" si="3"/>
        <v>0</v>
      </c>
      <c r="N216" s="16"/>
    </row>
    <row r="217" s="11" customFormat="1" spans="1:14">
      <c r="A217" s="13">
        <v>44412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>
        <f t="shared" si="3"/>
        <v>0</v>
      </c>
      <c r="N217" s="16"/>
    </row>
    <row r="218" s="11" customFormat="1" spans="1:14">
      <c r="A218" s="13">
        <v>44413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>
        <f t="shared" si="3"/>
        <v>0</v>
      </c>
      <c r="N218" s="16"/>
    </row>
    <row r="219" s="11" customFormat="1" spans="1:14">
      <c r="A219" s="13">
        <v>44414</v>
      </c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>
        <f t="shared" si="3"/>
        <v>0</v>
      </c>
      <c r="N219" s="16"/>
    </row>
    <row r="220" s="11" customFormat="1" spans="1:14">
      <c r="A220" s="13">
        <v>44415</v>
      </c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>
        <f t="shared" si="3"/>
        <v>0</v>
      </c>
      <c r="N220" s="16"/>
    </row>
    <row r="221" s="11" customFormat="1" spans="1:14">
      <c r="A221" s="13">
        <v>44416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>
        <f t="shared" si="3"/>
        <v>0</v>
      </c>
      <c r="N221" s="16"/>
    </row>
    <row r="222" s="11" customFormat="1" spans="1:14">
      <c r="A222" s="13">
        <v>44417</v>
      </c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>
        <f t="shared" si="3"/>
        <v>0</v>
      </c>
      <c r="N222" s="16"/>
    </row>
    <row r="223" s="11" customFormat="1" spans="1:14">
      <c r="A223" s="13">
        <v>44418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>
        <f t="shared" si="3"/>
        <v>0</v>
      </c>
      <c r="N223" s="16"/>
    </row>
    <row r="224" s="11" customFormat="1" spans="1:14">
      <c r="A224" s="13">
        <v>44419</v>
      </c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>
        <f t="shared" si="3"/>
        <v>0</v>
      </c>
      <c r="N224" s="16"/>
    </row>
    <row r="225" s="11" customFormat="1" spans="1:14">
      <c r="A225" s="13">
        <v>44420</v>
      </c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>
        <f t="shared" si="3"/>
        <v>0</v>
      </c>
      <c r="N225" s="16"/>
    </row>
    <row r="226" s="11" customFormat="1" spans="1:14">
      <c r="A226" s="13">
        <v>44421</v>
      </c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>
        <f t="shared" si="3"/>
        <v>0</v>
      </c>
      <c r="N226" s="16"/>
    </row>
    <row r="227" s="11" customFormat="1" spans="1:14">
      <c r="A227" s="13">
        <v>44422</v>
      </c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>
        <f t="shared" si="3"/>
        <v>0</v>
      </c>
      <c r="N227" s="16"/>
    </row>
    <row r="228" s="11" customFormat="1" spans="1:14">
      <c r="A228" s="13">
        <v>44423</v>
      </c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>
        <f t="shared" si="3"/>
        <v>0</v>
      </c>
      <c r="N228" s="16"/>
    </row>
    <row r="229" s="11" customFormat="1" spans="1:14">
      <c r="A229" s="13">
        <v>44424</v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>
        <f t="shared" si="3"/>
        <v>0</v>
      </c>
      <c r="N229" s="16"/>
    </row>
    <row r="230" s="11" customFormat="1" spans="1:14">
      <c r="A230" s="13">
        <v>44425</v>
      </c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>
        <f t="shared" si="3"/>
        <v>0</v>
      </c>
      <c r="N230" s="16"/>
    </row>
    <row r="231" s="11" customFormat="1" spans="1:14">
      <c r="A231" s="13">
        <v>44426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>
        <f t="shared" si="3"/>
        <v>0</v>
      </c>
      <c r="N231" s="16"/>
    </row>
    <row r="232" s="11" customFormat="1" spans="1:14">
      <c r="A232" s="13">
        <v>44427</v>
      </c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>
        <f t="shared" si="3"/>
        <v>0</v>
      </c>
      <c r="N232" s="16"/>
    </row>
    <row r="233" s="11" customFormat="1" spans="1:14">
      <c r="A233" s="13">
        <v>44428</v>
      </c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>
        <f t="shared" si="3"/>
        <v>0</v>
      </c>
      <c r="N233" s="16"/>
    </row>
    <row r="234" s="11" customFormat="1" spans="1:14">
      <c r="A234" s="13">
        <v>44429</v>
      </c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>
        <f t="shared" si="3"/>
        <v>0</v>
      </c>
      <c r="N234" s="16"/>
    </row>
    <row r="235" s="11" customFormat="1" spans="1:14">
      <c r="A235" s="13">
        <v>44430</v>
      </c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>
        <f t="shared" si="3"/>
        <v>0</v>
      </c>
      <c r="N235" s="16"/>
    </row>
    <row r="236" s="11" customFormat="1" spans="1:14">
      <c r="A236" s="13">
        <v>44431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>
        <f t="shared" si="3"/>
        <v>0</v>
      </c>
      <c r="N236" s="16"/>
    </row>
    <row r="237" s="11" customFormat="1" spans="1:14">
      <c r="A237" s="13">
        <v>44432</v>
      </c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>
        <f t="shared" si="3"/>
        <v>0</v>
      </c>
      <c r="N237" s="16"/>
    </row>
    <row r="238" s="11" customFormat="1" spans="1:14">
      <c r="A238" s="13">
        <v>44433</v>
      </c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>
        <f t="shared" si="3"/>
        <v>0</v>
      </c>
      <c r="N238" s="16"/>
    </row>
    <row r="239" s="11" customFormat="1" spans="1:14">
      <c r="A239" s="13">
        <v>44434</v>
      </c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>
        <f t="shared" si="3"/>
        <v>0</v>
      </c>
      <c r="N239" s="16"/>
    </row>
    <row r="240" s="11" customFormat="1" spans="1:14">
      <c r="A240" s="13">
        <v>44435</v>
      </c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>
        <f t="shared" si="3"/>
        <v>0</v>
      </c>
      <c r="N240" s="16"/>
    </row>
    <row r="241" s="11" customFormat="1" spans="1:14">
      <c r="A241" s="13">
        <v>44436</v>
      </c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>
        <f t="shared" si="3"/>
        <v>0</v>
      </c>
      <c r="N241" s="16"/>
    </row>
    <row r="242" s="11" customFormat="1" spans="1:14">
      <c r="A242" s="13">
        <v>44437</v>
      </c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>
        <f t="shared" si="3"/>
        <v>0</v>
      </c>
      <c r="N242" s="16"/>
    </row>
    <row r="243" s="11" customFormat="1" spans="1:14">
      <c r="A243" s="13">
        <v>44438</v>
      </c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>
        <f t="shared" si="3"/>
        <v>0</v>
      </c>
      <c r="N243" s="16"/>
    </row>
    <row r="244" s="11" customFormat="1" spans="1:14">
      <c r="A244" s="13">
        <v>44439</v>
      </c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>
        <f t="shared" si="3"/>
        <v>0</v>
      </c>
      <c r="N244" s="16"/>
    </row>
    <row r="245" s="11" customFormat="1" spans="1:14">
      <c r="A245" s="13">
        <v>44440</v>
      </c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>
        <f t="shared" si="3"/>
        <v>0</v>
      </c>
      <c r="N245" s="16"/>
    </row>
    <row r="246" s="11" customFormat="1" spans="1:14">
      <c r="A246" s="13">
        <v>44441</v>
      </c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>
        <f t="shared" si="3"/>
        <v>0</v>
      </c>
      <c r="N246" s="16"/>
    </row>
    <row r="247" s="11" customFormat="1" spans="1:14">
      <c r="A247" s="13">
        <v>44442</v>
      </c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>
        <f t="shared" si="3"/>
        <v>0</v>
      </c>
      <c r="N247" s="16"/>
    </row>
    <row r="248" s="11" customFormat="1" spans="1:14">
      <c r="A248" s="13">
        <v>44443</v>
      </c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>
        <f t="shared" si="3"/>
        <v>0</v>
      </c>
      <c r="N248" s="16"/>
    </row>
    <row r="249" s="11" customFormat="1" spans="1:14">
      <c r="A249" s="13">
        <v>44444</v>
      </c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>
        <f t="shared" si="3"/>
        <v>0</v>
      </c>
      <c r="N249" s="16"/>
    </row>
    <row r="250" s="11" customFormat="1" spans="1:14">
      <c r="A250" s="13">
        <v>44445</v>
      </c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>
        <f t="shared" si="3"/>
        <v>0</v>
      </c>
      <c r="N250" s="16"/>
    </row>
    <row r="251" s="11" customFormat="1" spans="1:14">
      <c r="A251" s="13">
        <v>44446</v>
      </c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>
        <f t="shared" si="3"/>
        <v>0</v>
      </c>
      <c r="N251" s="16"/>
    </row>
    <row r="252" s="11" customFormat="1" spans="1:14">
      <c r="A252" s="13">
        <v>44447</v>
      </c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>
        <f t="shared" si="3"/>
        <v>0</v>
      </c>
      <c r="N252" s="16"/>
    </row>
    <row r="253" s="11" customFormat="1" spans="1:14">
      <c r="A253" s="13">
        <v>44448</v>
      </c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>
        <f t="shared" si="3"/>
        <v>0</v>
      </c>
      <c r="N253" s="16"/>
    </row>
    <row r="254" s="11" customFormat="1" spans="1:14">
      <c r="A254" s="13">
        <v>44449</v>
      </c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>
        <f t="shared" si="3"/>
        <v>0</v>
      </c>
      <c r="N254" s="16"/>
    </row>
    <row r="255" s="11" customFormat="1" spans="1:14">
      <c r="A255" s="13">
        <v>44450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>
        <f t="shared" si="3"/>
        <v>0</v>
      </c>
      <c r="N255" s="16"/>
    </row>
    <row r="256" s="11" customFormat="1" spans="1:14">
      <c r="A256" s="13">
        <v>44451</v>
      </c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>
        <f t="shared" si="3"/>
        <v>0</v>
      </c>
      <c r="N256" s="16"/>
    </row>
    <row r="257" s="11" customFormat="1" spans="1:14">
      <c r="A257" s="13">
        <v>44452</v>
      </c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>
        <f t="shared" si="3"/>
        <v>0</v>
      </c>
      <c r="N257" s="16"/>
    </row>
    <row r="258" s="11" customFormat="1" spans="1:14">
      <c r="A258" s="13">
        <v>44453</v>
      </c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>
        <f t="shared" si="3"/>
        <v>0</v>
      </c>
      <c r="N258" s="16"/>
    </row>
    <row r="259" s="11" customFormat="1" spans="1:14">
      <c r="A259" s="13">
        <v>44454</v>
      </c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>
        <f t="shared" ref="M259:M322" si="4">SUM(B259:L259)</f>
        <v>0</v>
      </c>
      <c r="N259" s="16"/>
    </row>
    <row r="260" s="11" customFormat="1" spans="1:14">
      <c r="A260" s="13">
        <v>44455</v>
      </c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>
        <f t="shared" si="4"/>
        <v>0</v>
      </c>
      <c r="N260" s="16"/>
    </row>
    <row r="261" s="11" customFormat="1" spans="1:14">
      <c r="A261" s="13">
        <v>44456</v>
      </c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>
        <f t="shared" si="4"/>
        <v>0</v>
      </c>
      <c r="N261" s="16"/>
    </row>
    <row r="262" s="11" customFormat="1" spans="1:14">
      <c r="A262" s="13">
        <v>44457</v>
      </c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>
        <f t="shared" si="4"/>
        <v>0</v>
      </c>
      <c r="N262" s="16"/>
    </row>
    <row r="263" s="11" customFormat="1" spans="1:14">
      <c r="A263" s="13">
        <v>44458</v>
      </c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>
        <f t="shared" si="4"/>
        <v>0</v>
      </c>
      <c r="N263" s="16"/>
    </row>
    <row r="264" s="11" customFormat="1" spans="1:14">
      <c r="A264" s="13">
        <v>44459</v>
      </c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>
        <f t="shared" si="4"/>
        <v>0</v>
      </c>
      <c r="N264" s="16"/>
    </row>
    <row r="265" s="11" customFormat="1" spans="1:14">
      <c r="A265" s="13">
        <v>44460</v>
      </c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>
        <f t="shared" si="4"/>
        <v>0</v>
      </c>
      <c r="N265" s="16"/>
    </row>
    <row r="266" s="11" customFormat="1" spans="1:14">
      <c r="A266" s="13">
        <v>44461</v>
      </c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>
        <f t="shared" si="4"/>
        <v>0</v>
      </c>
      <c r="N266" s="16"/>
    </row>
    <row r="267" s="11" customFormat="1" spans="1:14">
      <c r="A267" s="13">
        <v>44462</v>
      </c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>
        <f t="shared" si="4"/>
        <v>0</v>
      </c>
      <c r="N267" s="16"/>
    </row>
    <row r="268" s="11" customFormat="1" spans="1:14">
      <c r="A268" s="13">
        <v>44463</v>
      </c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>
        <f t="shared" si="4"/>
        <v>0</v>
      </c>
      <c r="N268" s="16"/>
    </row>
    <row r="269" s="11" customFormat="1" spans="1:14">
      <c r="A269" s="13">
        <v>44464</v>
      </c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>
        <f t="shared" si="4"/>
        <v>0</v>
      </c>
      <c r="N269" s="16"/>
    </row>
    <row r="270" s="11" customFormat="1" spans="1:14">
      <c r="A270" s="13">
        <v>44465</v>
      </c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>
        <f t="shared" si="4"/>
        <v>0</v>
      </c>
      <c r="N270" s="16"/>
    </row>
    <row r="271" s="11" customFormat="1" spans="1:14">
      <c r="A271" s="13">
        <v>44466</v>
      </c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>
        <f t="shared" si="4"/>
        <v>0</v>
      </c>
      <c r="N271" s="16"/>
    </row>
    <row r="272" s="11" customFormat="1" spans="1:14">
      <c r="A272" s="13">
        <v>44467</v>
      </c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>
        <f t="shared" si="4"/>
        <v>0</v>
      </c>
      <c r="N272" s="16"/>
    </row>
    <row r="273" s="11" customFormat="1" spans="1:14">
      <c r="A273" s="13">
        <v>44468</v>
      </c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>
        <f t="shared" si="4"/>
        <v>0</v>
      </c>
      <c r="N273" s="16"/>
    </row>
    <row r="274" s="11" customFormat="1" spans="1:14">
      <c r="A274" s="13">
        <v>44469</v>
      </c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>
        <f t="shared" si="4"/>
        <v>0</v>
      </c>
      <c r="N274" s="16"/>
    </row>
    <row r="275" s="11" customFormat="1" spans="1:14">
      <c r="A275" s="13">
        <v>44470</v>
      </c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>
        <f t="shared" si="4"/>
        <v>0</v>
      </c>
      <c r="N275" s="16"/>
    </row>
    <row r="276" s="11" customFormat="1" spans="1:14">
      <c r="A276" s="13">
        <v>44471</v>
      </c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>
        <f t="shared" si="4"/>
        <v>0</v>
      </c>
      <c r="N276" s="16"/>
    </row>
    <row r="277" s="11" customFormat="1" spans="1:14">
      <c r="A277" s="13">
        <v>44472</v>
      </c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>
        <f t="shared" si="4"/>
        <v>0</v>
      </c>
      <c r="N277" s="16"/>
    </row>
    <row r="278" s="11" customFormat="1" spans="1:14">
      <c r="A278" s="13">
        <v>44473</v>
      </c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>
        <f t="shared" si="4"/>
        <v>0</v>
      </c>
      <c r="N278" s="16"/>
    </row>
    <row r="279" s="11" customFormat="1" spans="1:14">
      <c r="A279" s="13">
        <v>44474</v>
      </c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>
        <f t="shared" si="4"/>
        <v>0</v>
      </c>
      <c r="N279" s="16"/>
    </row>
    <row r="280" s="11" customFormat="1" spans="1:14">
      <c r="A280" s="13">
        <v>44475</v>
      </c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>
        <f t="shared" si="4"/>
        <v>0</v>
      </c>
      <c r="N280" s="16"/>
    </row>
    <row r="281" s="11" customFormat="1" spans="1:14">
      <c r="A281" s="13">
        <v>44476</v>
      </c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>
        <f t="shared" si="4"/>
        <v>0</v>
      </c>
      <c r="N281" s="16"/>
    </row>
    <row r="282" s="11" customFormat="1" spans="1:14">
      <c r="A282" s="13">
        <v>44477</v>
      </c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>
        <f t="shared" si="4"/>
        <v>0</v>
      </c>
      <c r="N282" s="16"/>
    </row>
    <row r="283" s="11" customFormat="1" spans="1:14">
      <c r="A283" s="13">
        <v>44478</v>
      </c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>
        <f t="shared" si="4"/>
        <v>0</v>
      </c>
      <c r="N283" s="16"/>
    </row>
    <row r="284" s="11" customFormat="1" spans="1:14">
      <c r="A284" s="13">
        <v>44479</v>
      </c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>
        <f t="shared" si="4"/>
        <v>0</v>
      </c>
      <c r="N284" s="16"/>
    </row>
    <row r="285" s="11" customFormat="1" spans="1:14">
      <c r="A285" s="13">
        <v>44480</v>
      </c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>
        <f t="shared" si="4"/>
        <v>0</v>
      </c>
      <c r="N285" s="16"/>
    </row>
    <row r="286" s="11" customFormat="1" spans="1:14">
      <c r="A286" s="13">
        <v>44481</v>
      </c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>
        <f t="shared" si="4"/>
        <v>0</v>
      </c>
      <c r="N286" s="16"/>
    </row>
    <row r="287" s="11" customFormat="1" spans="1:14">
      <c r="A287" s="13">
        <v>44482</v>
      </c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>
        <f t="shared" si="4"/>
        <v>0</v>
      </c>
      <c r="N287" s="16"/>
    </row>
    <row r="288" s="11" customFormat="1" spans="1:14">
      <c r="A288" s="13">
        <v>44483</v>
      </c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>
        <f t="shared" si="4"/>
        <v>0</v>
      </c>
      <c r="N288" s="16"/>
    </row>
    <row r="289" s="11" customFormat="1" spans="1:14">
      <c r="A289" s="13">
        <v>44484</v>
      </c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>
        <f t="shared" si="4"/>
        <v>0</v>
      </c>
      <c r="N289" s="16"/>
    </row>
    <row r="290" s="11" customFormat="1" spans="1:14">
      <c r="A290" s="13">
        <v>44485</v>
      </c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>
        <f t="shared" si="4"/>
        <v>0</v>
      </c>
      <c r="N290" s="16"/>
    </row>
    <row r="291" s="11" customFormat="1" spans="1:14">
      <c r="A291" s="13">
        <v>44486</v>
      </c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>
        <f t="shared" si="4"/>
        <v>0</v>
      </c>
      <c r="N291" s="16"/>
    </row>
    <row r="292" s="11" customFormat="1" spans="1:14">
      <c r="A292" s="13">
        <v>44487</v>
      </c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>
        <f t="shared" si="4"/>
        <v>0</v>
      </c>
      <c r="N292" s="16"/>
    </row>
    <row r="293" s="11" customFormat="1" spans="1:14">
      <c r="A293" s="13">
        <v>44488</v>
      </c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>
        <f t="shared" si="4"/>
        <v>0</v>
      </c>
      <c r="N293" s="16"/>
    </row>
    <row r="294" s="11" customFormat="1" spans="1:14">
      <c r="A294" s="13">
        <v>44489</v>
      </c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>
        <f t="shared" si="4"/>
        <v>0</v>
      </c>
      <c r="N294" s="16"/>
    </row>
    <row r="295" s="11" customFormat="1" spans="1:14">
      <c r="A295" s="13">
        <v>44490</v>
      </c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>
        <f t="shared" si="4"/>
        <v>0</v>
      </c>
      <c r="N295" s="16"/>
    </row>
    <row r="296" s="11" customFormat="1" spans="1:14">
      <c r="A296" s="13">
        <v>44491</v>
      </c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>
        <f t="shared" si="4"/>
        <v>0</v>
      </c>
      <c r="N296" s="16"/>
    </row>
    <row r="297" s="11" customFormat="1" spans="1:14">
      <c r="A297" s="13">
        <v>44492</v>
      </c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>
        <f t="shared" si="4"/>
        <v>0</v>
      </c>
      <c r="N297" s="16"/>
    </row>
    <row r="298" s="11" customFormat="1" spans="1:14">
      <c r="A298" s="13">
        <v>44493</v>
      </c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>
        <f t="shared" si="4"/>
        <v>0</v>
      </c>
      <c r="N298" s="16"/>
    </row>
    <row r="299" s="11" customFormat="1" spans="1:14">
      <c r="A299" s="13">
        <v>44494</v>
      </c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>
        <f t="shared" si="4"/>
        <v>0</v>
      </c>
      <c r="N299" s="16"/>
    </row>
    <row r="300" s="11" customFormat="1" spans="1:14">
      <c r="A300" s="13">
        <v>44495</v>
      </c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>
        <f t="shared" si="4"/>
        <v>0</v>
      </c>
      <c r="N300" s="16"/>
    </row>
    <row r="301" s="11" customFormat="1" spans="1:14">
      <c r="A301" s="13">
        <v>44496</v>
      </c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>
        <f t="shared" si="4"/>
        <v>0</v>
      </c>
      <c r="N301" s="16"/>
    </row>
    <row r="302" s="11" customFormat="1" spans="1:14">
      <c r="A302" s="13">
        <v>44497</v>
      </c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>
        <f t="shared" si="4"/>
        <v>0</v>
      </c>
      <c r="N302" s="16"/>
    </row>
    <row r="303" s="11" customFormat="1" spans="1:14">
      <c r="A303" s="13">
        <v>44498</v>
      </c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>
        <f t="shared" si="4"/>
        <v>0</v>
      </c>
      <c r="N303" s="16"/>
    </row>
    <row r="304" s="11" customFormat="1" spans="1:14">
      <c r="A304" s="13">
        <v>44499</v>
      </c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>
        <f t="shared" si="4"/>
        <v>0</v>
      </c>
      <c r="N304" s="16"/>
    </row>
    <row r="305" s="11" customFormat="1" spans="1:14">
      <c r="A305" s="13">
        <v>44500</v>
      </c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>
        <f t="shared" si="4"/>
        <v>0</v>
      </c>
      <c r="N305" s="16"/>
    </row>
    <row r="306" s="11" customFormat="1" spans="1:14">
      <c r="A306" s="13">
        <v>44501</v>
      </c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>
        <f t="shared" si="4"/>
        <v>0</v>
      </c>
      <c r="N306" s="16"/>
    </row>
    <row r="307" s="11" customFormat="1" spans="1:14">
      <c r="A307" s="13">
        <v>44502</v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>
        <f t="shared" si="4"/>
        <v>0</v>
      </c>
      <c r="N307" s="16"/>
    </row>
    <row r="308" s="11" customFormat="1" spans="1:14">
      <c r="A308" s="13">
        <v>44503</v>
      </c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>
        <f t="shared" si="4"/>
        <v>0</v>
      </c>
      <c r="N308" s="16"/>
    </row>
    <row r="309" s="11" customFormat="1" spans="1:14">
      <c r="A309" s="13">
        <v>44504</v>
      </c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>
        <f t="shared" si="4"/>
        <v>0</v>
      </c>
      <c r="N309" s="16"/>
    </row>
    <row r="310" s="11" customFormat="1" spans="1:14">
      <c r="A310" s="13">
        <v>44505</v>
      </c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>
        <f t="shared" si="4"/>
        <v>0</v>
      </c>
      <c r="N310" s="16"/>
    </row>
    <row r="311" s="11" customFormat="1" spans="1:14">
      <c r="A311" s="13">
        <v>44506</v>
      </c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>
        <f t="shared" si="4"/>
        <v>0</v>
      </c>
      <c r="N311" s="16"/>
    </row>
    <row r="312" s="11" customFormat="1" spans="1:14">
      <c r="A312" s="13">
        <v>44507</v>
      </c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>
        <f t="shared" si="4"/>
        <v>0</v>
      </c>
      <c r="N312" s="16"/>
    </row>
    <row r="313" s="11" customFormat="1" spans="1:14">
      <c r="A313" s="13">
        <v>44508</v>
      </c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>
        <f t="shared" si="4"/>
        <v>0</v>
      </c>
      <c r="N313" s="16"/>
    </row>
    <row r="314" s="11" customFormat="1" spans="1:14">
      <c r="A314" s="13">
        <v>44509</v>
      </c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>
        <f t="shared" si="4"/>
        <v>0</v>
      </c>
      <c r="N314" s="16"/>
    </row>
    <row r="315" s="11" customFormat="1" spans="1:14">
      <c r="A315" s="13">
        <v>44510</v>
      </c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>
        <f t="shared" si="4"/>
        <v>0</v>
      </c>
      <c r="N315" s="16"/>
    </row>
    <row r="316" s="11" customFormat="1" spans="1:14">
      <c r="A316" s="13">
        <v>44511</v>
      </c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>
        <f t="shared" si="4"/>
        <v>0</v>
      </c>
      <c r="N316" s="16"/>
    </row>
    <row r="317" s="11" customFormat="1" spans="1:14">
      <c r="A317" s="13">
        <v>44512</v>
      </c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>
        <f t="shared" si="4"/>
        <v>0</v>
      </c>
      <c r="N317" s="16"/>
    </row>
    <row r="318" s="11" customFormat="1" spans="1:14">
      <c r="A318" s="13">
        <v>44513</v>
      </c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>
        <f t="shared" si="4"/>
        <v>0</v>
      </c>
      <c r="N318" s="16"/>
    </row>
    <row r="319" s="11" customFormat="1" spans="1:14">
      <c r="A319" s="13">
        <v>44514</v>
      </c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>
        <f t="shared" si="4"/>
        <v>0</v>
      </c>
      <c r="N319" s="16"/>
    </row>
    <row r="320" s="11" customFormat="1" spans="1:14">
      <c r="A320" s="13">
        <v>44515</v>
      </c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>
        <f t="shared" si="4"/>
        <v>0</v>
      </c>
      <c r="N320" s="16"/>
    </row>
    <row r="321" s="11" customFormat="1" spans="1:14">
      <c r="A321" s="13">
        <v>44516</v>
      </c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>
        <f t="shared" si="4"/>
        <v>0</v>
      </c>
      <c r="N321" s="16"/>
    </row>
    <row r="322" s="11" customFormat="1" spans="1:14">
      <c r="A322" s="13">
        <v>44517</v>
      </c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>
        <f t="shared" si="4"/>
        <v>0</v>
      </c>
      <c r="N322" s="16"/>
    </row>
    <row r="323" s="11" customFormat="1" spans="1:14">
      <c r="A323" s="13">
        <v>44518</v>
      </c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>
        <f t="shared" ref="M323:M366" si="5">SUM(B323:L323)</f>
        <v>0</v>
      </c>
      <c r="N323" s="16"/>
    </row>
    <row r="324" s="11" customFormat="1" spans="1:14">
      <c r="A324" s="13">
        <v>44519</v>
      </c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>
        <f t="shared" si="5"/>
        <v>0</v>
      </c>
      <c r="N324" s="16"/>
    </row>
    <row r="325" s="11" customFormat="1" spans="1:14">
      <c r="A325" s="13">
        <v>44520</v>
      </c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>
        <f t="shared" si="5"/>
        <v>0</v>
      </c>
      <c r="N325" s="16"/>
    </row>
    <row r="326" s="11" customFormat="1" spans="1:14">
      <c r="A326" s="13">
        <v>44521</v>
      </c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>
        <f t="shared" si="5"/>
        <v>0</v>
      </c>
      <c r="N326" s="16"/>
    </row>
    <row r="327" s="11" customFormat="1" spans="1:14">
      <c r="A327" s="13">
        <v>44522</v>
      </c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>
        <f t="shared" si="5"/>
        <v>0</v>
      </c>
      <c r="N327" s="16"/>
    </row>
    <row r="328" s="11" customFormat="1" spans="1:14">
      <c r="A328" s="13">
        <v>44523</v>
      </c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>
        <f t="shared" si="5"/>
        <v>0</v>
      </c>
      <c r="N328" s="16"/>
    </row>
    <row r="329" s="11" customFormat="1" spans="1:14">
      <c r="A329" s="13">
        <v>44524</v>
      </c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>
        <f t="shared" si="5"/>
        <v>0</v>
      </c>
      <c r="N329" s="16"/>
    </row>
    <row r="330" s="11" customFormat="1" spans="1:14">
      <c r="A330" s="13">
        <v>44525</v>
      </c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>
        <f t="shared" si="5"/>
        <v>0</v>
      </c>
      <c r="N330" s="16"/>
    </row>
    <row r="331" s="11" customFormat="1" spans="1:14">
      <c r="A331" s="13">
        <v>44526</v>
      </c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>
        <f t="shared" si="5"/>
        <v>0</v>
      </c>
      <c r="N331" s="16"/>
    </row>
    <row r="332" s="11" customFormat="1" spans="1:14">
      <c r="A332" s="13">
        <v>44527</v>
      </c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>
        <f t="shared" si="5"/>
        <v>0</v>
      </c>
      <c r="N332" s="16"/>
    </row>
    <row r="333" s="11" customFormat="1" spans="1:14">
      <c r="A333" s="13">
        <v>44528</v>
      </c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>
        <f t="shared" si="5"/>
        <v>0</v>
      </c>
      <c r="N333" s="16"/>
    </row>
    <row r="334" s="11" customFormat="1" spans="1:14">
      <c r="A334" s="13">
        <v>44529</v>
      </c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>
        <f t="shared" si="5"/>
        <v>0</v>
      </c>
      <c r="N334" s="16"/>
    </row>
    <row r="335" s="11" customFormat="1" spans="1:14">
      <c r="A335" s="13">
        <v>44530</v>
      </c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>
        <f t="shared" si="5"/>
        <v>0</v>
      </c>
      <c r="N335" s="16"/>
    </row>
    <row r="336" s="11" customFormat="1" spans="1:14">
      <c r="A336" s="13">
        <v>44531</v>
      </c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>
        <f t="shared" si="5"/>
        <v>0</v>
      </c>
      <c r="N336" s="16"/>
    </row>
    <row r="337" s="11" customFormat="1" spans="1:14">
      <c r="A337" s="13">
        <v>44532</v>
      </c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>
        <f t="shared" si="5"/>
        <v>0</v>
      </c>
      <c r="N337" s="16"/>
    </row>
    <row r="338" s="11" customFormat="1" spans="1:14">
      <c r="A338" s="13">
        <v>44533</v>
      </c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>
        <f t="shared" si="5"/>
        <v>0</v>
      </c>
      <c r="N338" s="16"/>
    </row>
    <row r="339" s="11" customFormat="1" spans="1:14">
      <c r="A339" s="13">
        <v>44534</v>
      </c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>
        <f t="shared" si="5"/>
        <v>0</v>
      </c>
      <c r="N339" s="16"/>
    </row>
    <row r="340" s="11" customFormat="1" spans="1:14">
      <c r="A340" s="13">
        <v>44535</v>
      </c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>
        <f t="shared" si="5"/>
        <v>0</v>
      </c>
      <c r="N340" s="16"/>
    </row>
    <row r="341" s="11" customFormat="1" spans="1:14">
      <c r="A341" s="13">
        <v>44536</v>
      </c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>
        <f t="shared" si="5"/>
        <v>0</v>
      </c>
      <c r="N341" s="16"/>
    </row>
    <row r="342" s="11" customFormat="1" spans="1:14">
      <c r="A342" s="13">
        <v>44537</v>
      </c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>
        <f t="shared" si="5"/>
        <v>0</v>
      </c>
      <c r="N342" s="16"/>
    </row>
    <row r="343" s="11" customFormat="1" spans="1:14">
      <c r="A343" s="13">
        <v>44538</v>
      </c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>
        <f t="shared" si="5"/>
        <v>0</v>
      </c>
      <c r="N343" s="16"/>
    </row>
    <row r="344" s="11" customFormat="1" spans="1:14">
      <c r="A344" s="13">
        <v>44539</v>
      </c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>
        <f t="shared" si="5"/>
        <v>0</v>
      </c>
      <c r="N344" s="16"/>
    </row>
    <row r="345" s="11" customFormat="1" spans="1:14">
      <c r="A345" s="13">
        <v>44540</v>
      </c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>
        <f t="shared" si="5"/>
        <v>0</v>
      </c>
      <c r="N345" s="16"/>
    </row>
    <row r="346" s="11" customFormat="1" spans="1:14">
      <c r="A346" s="13">
        <v>44541</v>
      </c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>
        <f t="shared" si="5"/>
        <v>0</v>
      </c>
      <c r="N346" s="16"/>
    </row>
    <row r="347" s="11" customFormat="1" spans="1:14">
      <c r="A347" s="13">
        <v>44542</v>
      </c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>
        <f t="shared" si="5"/>
        <v>0</v>
      </c>
      <c r="N347" s="16"/>
    </row>
    <row r="348" s="11" customFormat="1" spans="1:14">
      <c r="A348" s="13">
        <v>44543</v>
      </c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>
        <f t="shared" si="5"/>
        <v>0</v>
      </c>
      <c r="N348" s="16"/>
    </row>
    <row r="349" s="11" customFormat="1" spans="1:14">
      <c r="A349" s="13">
        <v>44544</v>
      </c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>
        <f t="shared" si="5"/>
        <v>0</v>
      </c>
      <c r="N349" s="16"/>
    </row>
    <row r="350" s="11" customFormat="1" spans="1:14">
      <c r="A350" s="13">
        <v>44545</v>
      </c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>
        <f t="shared" si="5"/>
        <v>0</v>
      </c>
      <c r="N350" s="16"/>
    </row>
    <row r="351" s="11" customFormat="1" spans="1:14">
      <c r="A351" s="13">
        <v>44546</v>
      </c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>
        <f t="shared" si="5"/>
        <v>0</v>
      </c>
      <c r="N351" s="16"/>
    </row>
    <row r="352" s="11" customFormat="1" spans="1:14">
      <c r="A352" s="13">
        <v>44547</v>
      </c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>
        <f t="shared" si="5"/>
        <v>0</v>
      </c>
      <c r="N352" s="16"/>
    </row>
    <row r="353" s="11" customFormat="1" spans="1:14">
      <c r="A353" s="13">
        <v>44548</v>
      </c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>
        <f t="shared" si="5"/>
        <v>0</v>
      </c>
      <c r="N353" s="16"/>
    </row>
    <row r="354" s="11" customFormat="1" spans="1:14">
      <c r="A354" s="13">
        <v>44549</v>
      </c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>
        <f t="shared" si="5"/>
        <v>0</v>
      </c>
      <c r="N354" s="16"/>
    </row>
    <row r="355" s="11" customFormat="1" spans="1:14">
      <c r="A355" s="13">
        <v>44550</v>
      </c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>
        <f t="shared" si="5"/>
        <v>0</v>
      </c>
      <c r="N355" s="16"/>
    </row>
    <row r="356" s="11" customFormat="1" spans="1:14">
      <c r="A356" s="13">
        <v>44551</v>
      </c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>
        <f t="shared" si="5"/>
        <v>0</v>
      </c>
      <c r="N356" s="16"/>
    </row>
    <row r="357" s="11" customFormat="1" spans="1:14">
      <c r="A357" s="13">
        <v>44552</v>
      </c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>
        <f t="shared" si="5"/>
        <v>0</v>
      </c>
      <c r="N357" s="16"/>
    </row>
    <row r="358" s="11" customFormat="1" spans="1:14">
      <c r="A358" s="13">
        <v>44553</v>
      </c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>
        <f t="shared" si="5"/>
        <v>0</v>
      </c>
      <c r="N358" s="16"/>
    </row>
    <row r="359" s="11" customFormat="1" spans="1:14">
      <c r="A359" s="13">
        <v>44554</v>
      </c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>
        <f t="shared" si="5"/>
        <v>0</v>
      </c>
      <c r="N359" s="16"/>
    </row>
    <row r="360" s="11" customFormat="1" spans="1:14">
      <c r="A360" s="13">
        <v>44555</v>
      </c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>
        <f t="shared" si="5"/>
        <v>0</v>
      </c>
      <c r="N360" s="16"/>
    </row>
    <row r="361" s="11" customFormat="1" spans="1:14">
      <c r="A361" s="13">
        <v>44556</v>
      </c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>
        <f t="shared" si="5"/>
        <v>0</v>
      </c>
      <c r="N361" s="16"/>
    </row>
    <row r="362" s="11" customFormat="1" spans="1:14">
      <c r="A362" s="13">
        <v>44557</v>
      </c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>
        <f t="shared" si="5"/>
        <v>0</v>
      </c>
      <c r="N362" s="16"/>
    </row>
    <row r="363" s="11" customFormat="1" spans="1:14">
      <c r="A363" s="13">
        <v>44558</v>
      </c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>
        <f t="shared" si="5"/>
        <v>0</v>
      </c>
      <c r="N363" s="16"/>
    </row>
    <row r="364" s="11" customFormat="1" spans="1:14">
      <c r="A364" s="13">
        <v>44559</v>
      </c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>
        <f t="shared" si="5"/>
        <v>0</v>
      </c>
      <c r="N364" s="16"/>
    </row>
    <row r="365" s="11" customFormat="1" spans="1:14">
      <c r="A365" s="13">
        <v>44560</v>
      </c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>
        <f t="shared" si="5"/>
        <v>0</v>
      </c>
      <c r="N365" s="16"/>
    </row>
    <row r="366" s="11" customFormat="1" spans="1:14">
      <c r="A366" s="13">
        <v>44561</v>
      </c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>
        <f t="shared" si="5"/>
        <v>0</v>
      </c>
      <c r="N366" s="16"/>
    </row>
    <row r="367" s="11" customFormat="1" spans="1:1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 s="11" customFormat="1" spans="1:1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 s="11" customFormat="1" spans="1:1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 s="11" customFormat="1" spans="1:1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 s="11" customFormat="1" spans="1:1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 s="11" customFormat="1" spans="1:1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 s="11" customFormat="1" spans="1:1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 s="11" customFormat="1" spans="1:1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 s="11" customFormat="1" spans="1:1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 s="11" customFormat="1" spans="1:1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 s="11" customFormat="1" spans="1:1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 s="11" customFormat="1" spans="1:1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 s="11" customFormat="1" spans="1:1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 s="11" customFormat="1" spans="1:1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 s="11" customFormat="1" spans="1:1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 s="11" customFormat="1" spans="1:1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 s="11" customFormat="1" spans="1:1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 s="11" customFormat="1" spans="1:1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 s="11" customFormat="1" spans="1:1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 s="11" customFormat="1" spans="1:1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 s="11" customFormat="1" spans="1:1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 s="11" customFormat="1" spans="1:1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 s="11" customFormat="1" spans="1:1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 s="11" customFormat="1" spans="1:1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  <row r="391" s="11" customFormat="1" spans="1:1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</row>
    <row r="392" s="11" customFormat="1" spans="1:1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</row>
    <row r="393" s="11" customFormat="1" spans="1:1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</row>
    <row r="394" s="11" customFormat="1" spans="1:1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</row>
    <row r="395" s="11" customFormat="1" spans="1:1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</row>
    <row r="396" s="11" customFormat="1" spans="1:1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</row>
    <row r="397" s="11" customFormat="1" spans="1:1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</row>
    <row r="398" s="11" customFormat="1" spans="1:1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</row>
    <row r="399" s="11" customFormat="1" spans="1:1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</row>
    <row r="400" s="11" customFormat="1" spans="1:1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</row>
    <row r="401" s="11" customFormat="1" spans="1:1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</row>
    <row r="402" s="11" customFormat="1" spans="1:1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</row>
    <row r="403" s="11" customFormat="1" spans="1:1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</row>
    <row r="404" s="11" customFormat="1" spans="1:1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</row>
    <row r="405" s="11" customFormat="1" spans="1:1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</row>
    <row r="406" s="11" customFormat="1" spans="1:1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</row>
    <row r="407" s="11" customFormat="1" spans="1:1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</row>
    <row r="408" s="11" customFormat="1" spans="1:1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</row>
    <row r="409" s="11" customFormat="1" spans="1:1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</row>
    <row r="410" s="11" customFormat="1" spans="1:1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</row>
    <row r="411" s="11" customFormat="1" spans="1:1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</row>
    <row r="412" s="11" customFormat="1" spans="1:1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</row>
    <row r="413" s="11" customFormat="1" spans="1:1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</row>
    <row r="414" s="11" customFormat="1" spans="1: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</row>
    <row r="415" s="11" customFormat="1" spans="1:1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</row>
    <row r="416" s="11" customFormat="1" spans="1:1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 s="11" customFormat="1" spans="1:1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 s="11" customFormat="1" spans="1:1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 s="11" customFormat="1" spans="1:1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</row>
    <row r="420" s="11" customFormat="1" spans="1:1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</row>
    <row r="421" s="11" customFormat="1" spans="1:1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</row>
    <row r="422" s="11" customFormat="1" spans="1:1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"/>
  <sheetViews>
    <sheetView tabSelected="1" workbookViewId="0">
      <selection activeCell="N4" sqref="N4"/>
    </sheetView>
  </sheetViews>
  <sheetFormatPr defaultColWidth="9.23076923076923" defaultRowHeight="16.8" outlineLevelRow="2"/>
  <cols>
    <col min="2" max="2" width="12.9230769230769"/>
    <col min="3" max="3" width="9.46153846153846"/>
    <col min="4" max="4" width="9.61538461538461"/>
    <col min="5" max="5" width="10.4615384615385"/>
    <col min="6" max="8" width="9.46153846153846"/>
    <col min="9" max="9" width="10.4615384615385"/>
    <col min="10" max="10" width="9.46153846153846"/>
    <col min="11" max="11" width="16.9807692307692" customWidth="1"/>
    <col min="12" max="12" width="14.9038461538462" customWidth="1"/>
    <col min="13" max="13" width="24.6730769230769" customWidth="1"/>
    <col min="14" max="14" width="17.7788461538462" customWidth="1"/>
    <col min="15" max="15" width="13.7788461538462" customWidth="1"/>
    <col min="16" max="16" width="20.6730769230769" customWidth="1"/>
  </cols>
  <sheetData>
    <row r="1" ht="37" customHeight="1" spans="1:17">
      <c r="A1" s="3" t="s">
        <v>1</v>
      </c>
      <c r="B1" s="3" t="s">
        <v>82</v>
      </c>
      <c r="C1" s="4" t="s">
        <v>83</v>
      </c>
      <c r="D1" s="4" t="s">
        <v>84</v>
      </c>
      <c r="E1" s="4" t="s">
        <v>6</v>
      </c>
      <c r="F1" s="4" t="s">
        <v>85</v>
      </c>
      <c r="G1" s="4" t="s">
        <v>8</v>
      </c>
      <c r="H1" s="4" t="s">
        <v>86</v>
      </c>
      <c r="I1" s="4" t="s">
        <v>87</v>
      </c>
      <c r="J1" s="4" t="s">
        <v>88</v>
      </c>
      <c r="K1" s="4" t="s">
        <v>89</v>
      </c>
      <c r="L1" s="4" t="s">
        <v>9</v>
      </c>
      <c r="M1" s="4" t="s">
        <v>91</v>
      </c>
      <c r="N1" s="4" t="s">
        <v>92</v>
      </c>
      <c r="O1" s="4" t="s">
        <v>93</v>
      </c>
      <c r="P1" s="4" t="s">
        <v>94</v>
      </c>
      <c r="Q1" s="9"/>
    </row>
    <row r="2" s="1" customFormat="1" ht="34" customHeight="1" spans="1:16">
      <c r="A2" s="1">
        <v>2021</v>
      </c>
      <c r="B2" s="1">
        <f>SUM('2021'!B:B)</f>
        <v>810.2</v>
      </c>
      <c r="C2" s="1">
        <f>SUM('2021'!C:C)</f>
        <v>3860</v>
      </c>
      <c r="D2" s="1">
        <f>SUM('2021'!D:D)</f>
        <v>230</v>
      </c>
      <c r="E2" s="1">
        <f>SUM('2021'!E:E)</f>
        <v>3932.63</v>
      </c>
      <c r="F2" s="1">
        <f>SUM('2021'!F:F)</f>
        <v>188.7</v>
      </c>
      <c r="G2" s="1">
        <f>SUM('2021'!G:G)</f>
        <v>433</v>
      </c>
      <c r="H2" s="1">
        <f>SUM('2021'!H:H)</f>
        <v>1996.8</v>
      </c>
      <c r="I2" s="1">
        <f>SUM('2021'!I:I)</f>
        <v>2497.51</v>
      </c>
      <c r="J2" s="1">
        <f>SUM('2021'!J:J)</f>
        <v>1300</v>
      </c>
      <c r="K2" s="1">
        <f>SUM('2021'!K:K)</f>
        <v>709.74</v>
      </c>
      <c r="L2" s="1">
        <f>SUM('2021'!L:L)</f>
        <v>18048.43</v>
      </c>
      <c r="M2" s="6">
        <f>SUM('2021'!M:M)</f>
        <v>34007.01</v>
      </c>
      <c r="N2" s="1">
        <f>SUM('2021'!N:N)-'2021'!N2</f>
        <v>40727.82</v>
      </c>
      <c r="O2" s="7">
        <f>SUM('2021'!N:N)-SUM('2021'!M:M)</f>
        <v>23620.81</v>
      </c>
      <c r="P2" s="6">
        <f>N2-M2</f>
        <v>6720.81</v>
      </c>
    </row>
    <row r="3" s="2" customFormat="1" ht="23.2" spans="1:13">
      <c r="A3" s="2">
        <v>2021</v>
      </c>
      <c r="B3" s="5">
        <f>B2/SUM('2021'!M:M)</f>
        <v>0.0238244997134414</v>
      </c>
      <c r="C3" s="5">
        <f>C2/SUM('2021'!N:N)</f>
        <v>0.0669815377364613</v>
      </c>
      <c r="D3" s="5">
        <f>D2/SUM('2021'!N:N)</f>
        <v>0.00399112789621402</v>
      </c>
      <c r="E3" s="5">
        <f>E2/SUM('2021'!N:N)</f>
        <v>0.0682418665151658</v>
      </c>
      <c r="F3" s="5">
        <f>F2/SUM('2021'!N:N)</f>
        <v>0.00327446014789385</v>
      </c>
      <c r="G3" s="5">
        <f>G2/SUM('2021'!N:N)</f>
        <v>0.00751373208287247</v>
      </c>
      <c r="H3" s="5">
        <f>H2/SUM('2021'!N:N)</f>
        <v>0.0346499312311311</v>
      </c>
      <c r="I3" s="5">
        <f>I2/SUM('2021'!N:N)</f>
        <v>0.043338616661189</v>
      </c>
      <c r="J3" s="5">
        <f>J2/SUM('2021'!N:N)</f>
        <v>0.022558548978601</v>
      </c>
      <c r="K3" s="5">
        <f>K2/SUM('2021'!N:N)</f>
        <v>0.0123159265785171</v>
      </c>
      <c r="L3" s="5">
        <f>L2/M2</f>
        <v>0.530726753101787</v>
      </c>
      <c r="M3" s="8">
        <f>M2/N2</f>
        <v>0.834982329032096</v>
      </c>
    </row>
  </sheetData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</vt:lpstr>
      <vt:lpstr>2021</vt:lpstr>
      <vt:lpstr>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俗子</cp:lastModifiedBy>
  <dcterms:created xsi:type="dcterms:W3CDTF">2020-05-11T22:34:00Z</dcterms:created>
  <dcterms:modified xsi:type="dcterms:W3CDTF">2021-02-27T19:08:31Z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KSOReadingLayout">
    <vt:bool>true</vt:bool>
  </property>
</Properties>
</file>