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\Dropbox\SA BEST\2021 Game\Demo Daze\Model\"/>
    </mc:Choice>
  </mc:AlternateContent>
  <xr:revisionPtr revIDLastSave="0" documentId="13_ncr:1_{0D030C26-2C8F-4E1D-B045-42F0F43A429F}" xr6:coauthVersionLast="47" xr6:coauthVersionMax="47" xr10:uidLastSave="{00000000-0000-0000-0000-000000000000}"/>
  <bookViews>
    <workbookView xWindow="6890" yWindow="1800" windowWidth="28800" windowHeight="18160" activeTab="1" xr2:uid="{00000000-000D-0000-FFFF-FFFF00000000}"/>
  </bookViews>
  <sheets>
    <sheet name="BOM" sheetId="1" r:id="rId1"/>
    <sheet name="Field Kit List" sheetId="4" r:id="rId2"/>
    <sheet name="weights" sheetId="3" r:id="rId3"/>
    <sheet name="Part Estimate" sheetId="2" r:id="rId4"/>
  </sheets>
  <definedNames>
    <definedName name="_xlnm.Print_Area" localSheetId="0">BOM!$A$1:$K$44</definedName>
    <definedName name="_xlnm.Print_Area" localSheetId="1">'Field Kit List'!$A$1:$B$43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4" l="1"/>
  <c r="B28" i="4"/>
  <c r="B33" i="4"/>
  <c r="B31" i="4"/>
  <c r="B30" i="4"/>
  <c r="B24" i="4"/>
  <c r="B23" i="4"/>
  <c r="B22" i="4"/>
  <c r="B21" i="4"/>
  <c r="A36" i="4"/>
  <c r="A37" i="4"/>
  <c r="A33" i="4"/>
  <c r="A35" i="4"/>
  <c r="A24" i="4"/>
  <c r="A31" i="4"/>
  <c r="A30" i="4"/>
  <c r="A23" i="4"/>
  <c r="A22" i="4"/>
  <c r="A21" i="4"/>
  <c r="A16" i="4"/>
  <c r="A10" i="4"/>
  <c r="A9" i="4"/>
  <c r="A5" i="4"/>
  <c r="A4" i="4"/>
  <c r="A2" i="4"/>
  <c r="A7" i="4"/>
  <c r="A13" i="4"/>
  <c r="A19" i="4"/>
  <c r="A26" i="4"/>
  <c r="E3" i="3"/>
  <c r="F3" i="3" s="1"/>
  <c r="R17" i="3"/>
  <c r="B4" i="3"/>
  <c r="Q17" i="3"/>
  <c r="O15" i="3"/>
  <c r="R15" i="3" s="1"/>
  <c r="F4" i="3"/>
  <c r="F19" i="3" s="1"/>
  <c r="G19" i="3" s="1"/>
  <c r="U19" i="3"/>
  <c r="V19" i="3" s="1"/>
  <c r="T19" i="3"/>
  <c r="W9" i="3"/>
  <c r="V9" i="3"/>
  <c r="P16" i="3"/>
  <c r="P11" i="3"/>
  <c r="Q15" i="3"/>
  <c r="Q10" i="3"/>
  <c r="R10" i="3" s="1"/>
  <c r="S10" i="3" s="1"/>
  <c r="S9" i="3"/>
  <c r="R9" i="3"/>
  <c r="Q9" i="3"/>
  <c r="D32" i="1"/>
  <c r="J32" i="1" s="1"/>
  <c r="J5" i="1"/>
  <c r="K5" i="1" s="1"/>
  <c r="L5" i="1" s="1"/>
  <c r="J36" i="1"/>
  <c r="K36" i="1" s="1"/>
  <c r="L36" i="1" s="1"/>
  <c r="E36" i="1"/>
  <c r="H36" i="1" s="1"/>
  <c r="I36" i="1" s="1"/>
  <c r="G21" i="3"/>
  <c r="F21" i="3"/>
  <c r="G20" i="3"/>
  <c r="F20" i="3"/>
  <c r="F18" i="3"/>
  <c r="G18" i="3" s="1"/>
  <c r="F17" i="3"/>
  <c r="G17" i="3" s="1"/>
  <c r="G6" i="3"/>
  <c r="E6" i="3"/>
  <c r="F6" i="3"/>
  <c r="G5" i="3"/>
  <c r="E5" i="3"/>
  <c r="F5" i="3" s="1"/>
  <c r="I5" i="1"/>
  <c r="A35" i="2"/>
  <c r="J33" i="1"/>
  <c r="K33" i="1" s="1"/>
  <c r="L33" i="1" s="1"/>
  <c r="E33" i="1"/>
  <c r="H33" i="1" s="1"/>
  <c r="I33" i="1" s="1"/>
  <c r="J22" i="1"/>
  <c r="K22" i="1" s="1"/>
  <c r="L22" i="1" s="1"/>
  <c r="E22" i="1"/>
  <c r="H22" i="1" s="1"/>
  <c r="I22" i="1" s="1"/>
  <c r="E25" i="2"/>
  <c r="H21" i="2" s="1"/>
  <c r="E19" i="2"/>
  <c r="E14" i="2"/>
  <c r="E13" i="2"/>
  <c r="H13" i="2" s="1"/>
  <c r="E24" i="2"/>
  <c r="E28" i="2"/>
  <c r="E27" i="2"/>
  <c r="A32" i="4" l="1"/>
  <c r="H32" i="1"/>
  <c r="H27" i="2"/>
  <c r="J28" i="1" l="1"/>
  <c r="K28" i="1" s="1"/>
  <c r="L28" i="1" s="1"/>
  <c r="E28" i="1"/>
  <c r="H28" i="1" s="1"/>
  <c r="I28" i="1" s="1"/>
  <c r="J24" i="1"/>
  <c r="K24" i="1" s="1"/>
  <c r="L24" i="1" s="1"/>
  <c r="E24" i="1"/>
  <c r="H24" i="1" s="1"/>
  <c r="I24" i="1" s="1"/>
  <c r="J23" i="1"/>
  <c r="K23" i="1" s="1"/>
  <c r="L23" i="1" s="1"/>
  <c r="E23" i="1"/>
  <c r="H23" i="1" s="1"/>
  <c r="I23" i="1" s="1"/>
  <c r="K32" i="1"/>
  <c r="L32" i="1" s="1"/>
  <c r="E32" i="1"/>
  <c r="I32" i="1" s="1"/>
  <c r="J10" i="1"/>
  <c r="K10" i="1" s="1"/>
  <c r="L10" i="1" s="1"/>
  <c r="E10" i="1"/>
  <c r="H10" i="1" s="1"/>
  <c r="I10" i="1" s="1"/>
  <c r="Q5" i="3"/>
  <c r="W5" i="3"/>
  <c r="Y5" i="3" s="1"/>
  <c r="S5" i="3"/>
  <c r="S4" i="3"/>
  <c r="E4" i="3"/>
  <c r="F2" i="3"/>
  <c r="N15" i="2"/>
  <c r="E18" i="2"/>
  <c r="J35" i="1"/>
  <c r="K35" i="1" s="1"/>
  <c r="L35" i="1" s="1"/>
  <c r="E35" i="1"/>
  <c r="H35" i="1" s="1"/>
  <c r="I35" i="1" s="1"/>
  <c r="J34" i="1"/>
  <c r="K34" i="1" s="1"/>
  <c r="L34" i="1" s="1"/>
  <c r="E34" i="1"/>
  <c r="H34" i="1" s="1"/>
  <c r="I34" i="1" s="1"/>
  <c r="J31" i="1"/>
  <c r="K31" i="1" s="1"/>
  <c r="L31" i="1" s="1"/>
  <c r="E31" i="1"/>
  <c r="H31" i="1" s="1"/>
  <c r="I31" i="1" s="1"/>
  <c r="J17" i="1"/>
  <c r="K17" i="1" s="1"/>
  <c r="L17" i="1" s="1"/>
  <c r="E17" i="1"/>
  <c r="H17" i="1" s="1"/>
  <c r="I17" i="1" s="1"/>
  <c r="E23" i="2"/>
  <c r="E22" i="2"/>
  <c r="E21" i="2"/>
  <c r="E17" i="2"/>
  <c r="E16" i="2"/>
  <c r="E11" i="2"/>
  <c r="J21" i="1"/>
  <c r="K21" i="1" s="1"/>
  <c r="L21" i="1" s="1"/>
  <c r="H16" i="2" l="1"/>
  <c r="I16" i="2"/>
  <c r="H11" i="2"/>
  <c r="E21" i="1"/>
  <c r="H21" i="1" s="1"/>
  <c r="I21" i="1" s="1"/>
  <c r="J37" i="1"/>
  <c r="K37" i="1" s="1"/>
  <c r="L37" i="1" s="1"/>
  <c r="J30" i="1"/>
  <c r="K30" i="1" s="1"/>
  <c r="L30" i="1" s="1"/>
  <c r="J29" i="1"/>
  <c r="K29" i="1" s="1"/>
  <c r="L29" i="1" s="1"/>
  <c r="J11" i="1"/>
  <c r="K11" i="1" s="1"/>
  <c r="L11" i="1" s="1"/>
  <c r="J16" i="1"/>
  <c r="K16" i="1" s="1"/>
  <c r="L16" i="1" s="1"/>
  <c r="J15" i="1"/>
  <c r="K15" i="1" s="1"/>
  <c r="L15" i="1" s="1"/>
  <c r="J9" i="1"/>
  <c r="K9" i="1" s="1"/>
  <c r="L9" i="1" s="1"/>
  <c r="J4" i="1"/>
  <c r="K4" i="1" s="1"/>
  <c r="H4" i="1"/>
  <c r="E9" i="1"/>
  <c r="H9" i="1" s="1"/>
  <c r="E11" i="1"/>
  <c r="H11" i="1" s="1"/>
  <c r="E15" i="1"/>
  <c r="H15" i="1" s="1"/>
  <c r="E16" i="1"/>
  <c r="H16" i="1" s="1"/>
  <c r="E29" i="1"/>
  <c r="H29" i="1" s="1"/>
  <c r="H37" i="1"/>
  <c r="E30" i="1"/>
  <c r="H30" i="1" s="1"/>
  <c r="L4" i="1" l="1"/>
  <c r="K39" i="1"/>
  <c r="K40" i="1" s="1"/>
  <c r="I16" i="1" l="1"/>
  <c r="I15" i="1"/>
  <c r="I29" i="1" l="1"/>
  <c r="I30" i="1" l="1"/>
  <c r="I37" i="1" l="1"/>
  <c r="I11" i="1" l="1"/>
  <c r="I9" i="1" l="1"/>
  <c r="I4" i="1"/>
  <c r="I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 Grimley</author>
  </authors>
  <commentList>
    <comment ref="X5" authorId="0" shapeId="0" xr:uid="{898B125F-5C3A-4EB8-BAEC-234AB45093EE}">
      <text>
        <r>
          <rPr>
            <b/>
            <sz val="9"/>
            <color indexed="81"/>
            <rFont val="Tahoma"/>
            <family val="2"/>
          </rPr>
          <t>Terry Grimley:</t>
        </r>
        <r>
          <rPr>
            <sz val="9"/>
            <color indexed="81"/>
            <rFont val="Tahoma"/>
            <family val="2"/>
          </rPr>
          <t xml:space="preserve">
22-56 lb/ft3 is the range for pine</t>
        </r>
      </text>
    </comment>
  </commentList>
</comments>
</file>

<file path=xl/sharedStrings.xml><?xml version="1.0" encoding="utf-8"?>
<sst xmlns="http://schemas.openxmlformats.org/spreadsheetml/2006/main" count="263" uniqueCount="155">
  <si>
    <t>Part No</t>
  </si>
  <si>
    <t>Description</t>
  </si>
  <si>
    <t>Source</t>
  </si>
  <si>
    <t># per SKU</t>
  </si>
  <si>
    <t>Cost</t>
  </si>
  <si>
    <t>Order Qty</t>
  </si>
  <si>
    <t>Total Cost</t>
  </si>
  <si>
    <t>Lowes</t>
  </si>
  <si>
    <t>McMaster Carr</t>
  </si>
  <si>
    <t>Sheet Material</t>
  </si>
  <si>
    <t>Lumber</t>
  </si>
  <si>
    <t>Hardware</t>
  </si>
  <si>
    <t>Miscellaneous</t>
  </si>
  <si>
    <t>Total</t>
  </si>
  <si>
    <t>Walmart</t>
  </si>
  <si>
    <t>PVC</t>
  </si>
  <si>
    <t>1/4 Field Qty</t>
  </si>
  <si>
    <t>1/2-inch PVC Elbow, 90 Degree, slip x slip</t>
  </si>
  <si>
    <t>Amazon</t>
  </si>
  <si>
    <t>Field Qty</t>
  </si>
  <si>
    <t>Per Team</t>
  </si>
  <si>
    <t>www.tapedepot.com</t>
  </si>
  <si>
    <t>masonite</t>
  </si>
  <si>
    <t>6x12</t>
  </si>
  <si>
    <t>9x9</t>
  </si>
  <si>
    <t>6x15</t>
  </si>
  <si>
    <t>trailer</t>
  </si>
  <si>
    <t>Light</t>
  </si>
  <si>
    <t>building</t>
  </si>
  <si>
    <t>1x2</t>
  </si>
  <si>
    <t>2x4</t>
  </si>
  <si>
    <t>light</t>
  </si>
  <si>
    <t>1/2 pvc</t>
  </si>
  <si>
    <t>bundle</t>
  </si>
  <si>
    <t>tile</t>
  </si>
  <si>
    <t>3/8 nuts</t>
  </si>
  <si>
    <t>total</t>
  </si>
  <si>
    <t>Tree</t>
  </si>
  <si>
    <t>3/8-16 Hex nuts, Steel, Zn Plate</t>
  </si>
  <si>
    <t>90473A031</t>
  </si>
  <si>
    <t>16 oz Plastic Cup</t>
  </si>
  <si>
    <t>B072MFJ3KP</t>
  </si>
  <si>
    <t>Tape Depot</t>
  </si>
  <si>
    <t xml:space="preserve">14/2 Solid Non-Metallic Wire, Romex , 100-ft </t>
  </si>
  <si>
    <t>Game</t>
  </si>
  <si>
    <t>2x4 x 8 ft (4 ft per quarter)</t>
  </si>
  <si>
    <t>No</t>
  </si>
  <si>
    <t>Desciption</t>
  </si>
  <si>
    <t>Total Wt (oz)</t>
  </si>
  <si>
    <t>3/8 hex nuts</t>
  </si>
  <si>
    <t>16 lb/100 ft</t>
  </si>
  <si>
    <t>0.029 lb/ea</t>
  </si>
  <si>
    <t>1/2 S40 PVC Pipe (inch)</t>
  </si>
  <si>
    <t>measured</t>
  </si>
  <si>
    <t>in</t>
  </si>
  <si>
    <t>Units</t>
  </si>
  <si>
    <t>ea</t>
  </si>
  <si>
    <t xml:space="preserve">1z2 </t>
  </si>
  <si>
    <t>ft3/inch</t>
  </si>
  <si>
    <t>lb/ft3</t>
  </si>
  <si>
    <t>oz/in</t>
  </si>
  <si>
    <t>2056T214</t>
  </si>
  <si>
    <t>2021 Game - Demo Daze - Bill of Materials</t>
  </si>
  <si>
    <t>1x2 x 8 ft (1 ft per quarter)</t>
  </si>
  <si>
    <t>1x4 x 8 ft (1 ft per quarter)</t>
  </si>
  <si>
    <t>11-in x 12-in Matte Porcelain Hexagon Mosaic Wall Tile (1/2 sheet per quarter)</t>
  </si>
  <si>
    <t>B07R85SCZC</t>
  </si>
  <si>
    <t>per quad</t>
  </si>
  <si>
    <t>90092A116</t>
  </si>
  <si>
    <t>#6 x 1-5/8 Wood Screw</t>
  </si>
  <si>
    <t>90092A120</t>
  </si>
  <si>
    <t>#6 x 2-1/4 Wood Screw</t>
  </si>
  <si>
    <t>3/16 Cable Tie, 11" Long</t>
  </si>
  <si>
    <t>7130K15</t>
  </si>
  <si>
    <t>1-1/2 pvc</t>
  </si>
  <si>
    <t>comp</t>
  </si>
  <si>
    <t>1x4</t>
  </si>
  <si>
    <t>Comp</t>
  </si>
  <si>
    <t>1-7/16x9</t>
  </si>
  <si>
    <t>1-7/16x6-3/8</t>
  </si>
  <si>
    <t>3x5.75</t>
  </si>
  <si>
    <t>game</t>
  </si>
  <si>
    <t>Tot</t>
  </si>
  <si>
    <t>Length</t>
  </si>
  <si>
    <t>Number</t>
  </si>
  <si>
    <t>90031A148</t>
  </si>
  <si>
    <t>#6 x 1/2 Wood Screw</t>
  </si>
  <si>
    <t>22x22x21-1/2 X-Large Moving Box</t>
  </si>
  <si>
    <t>1/8" Masonite, 4x8 sheet (1/3 sheet per quarter)</t>
  </si>
  <si>
    <t>1/8" Masonite, 4x8 sheet (4.5 x11.75 per quarter)*</t>
  </si>
  <si>
    <t>* for full four quadrant field, two full pieces of masonite total are required (small pieces can be cut from scrap)</t>
  </si>
  <si>
    <t>Tile Assy</t>
  </si>
  <si>
    <t>Tube Bundle Assembly</t>
  </si>
  <si>
    <t>Scrap PVC (per piece)</t>
  </si>
  <si>
    <t>hex tile (4 pieces)</t>
  </si>
  <si>
    <t>Steel Nuts</t>
  </si>
  <si>
    <t>Romex</t>
  </si>
  <si>
    <t xml:space="preserve">in </t>
  </si>
  <si>
    <t>14-2 Romex</t>
  </si>
  <si>
    <t>Wt (oz) per unit</t>
  </si>
  <si>
    <t>assy</t>
  </si>
  <si>
    <t>15 lb/250 ft</t>
  </si>
  <si>
    <t>Tile Assembly</t>
  </si>
  <si>
    <t>Romex (14-2 x 6")</t>
  </si>
  <si>
    <t>Scrap PVC (1/2" x 4")</t>
  </si>
  <si>
    <t>Steel Nuts (3/8")</t>
  </si>
  <si>
    <t>Part</t>
  </si>
  <si>
    <t>total Wt 
(oz)</t>
  </si>
  <si>
    <t>Wt ea
(oz)</t>
  </si>
  <si>
    <t>&lt;- quantity reflects 8 matches with replacements for each match.</t>
  </si>
  <si>
    <t>1-1/2inch PVC Pipe, 10 ft,  S40 (1 ea 20 in per qtr)</t>
  </si>
  <si>
    <t>Classroom Qty</t>
  </si>
  <si>
    <t>Full Field Qty</t>
  </si>
  <si>
    <t>Team Count</t>
  </si>
  <si>
    <t>1/2 inch PVC Pipe, 10ft, S40 (3 ea, 5 ft per qtr)</t>
  </si>
  <si>
    <t>Masonite</t>
  </si>
  <si>
    <t>oz</t>
  </si>
  <si>
    <t>in3</t>
  </si>
  <si>
    <t>lb/in3</t>
  </si>
  <si>
    <t>Corrugated</t>
  </si>
  <si>
    <t>vol/inch</t>
  </si>
  <si>
    <t>oz/in3</t>
  </si>
  <si>
    <t>per 4"</t>
  </si>
  <si>
    <t>density</t>
  </si>
  <si>
    <t>11-5/8 measured</t>
  </si>
  <si>
    <t>Quantity</t>
  </si>
  <si>
    <t>2021 Game - Demo Daze - Field Kit List</t>
  </si>
  <si>
    <t>1/2 inch PVC Pipe, S40, 5 ft length</t>
  </si>
  <si>
    <t>Cotton Balls, 1-inch nominal</t>
  </si>
  <si>
    <t>14/2 Solid Non-Metallic Wire, Romex, 3 ft length</t>
  </si>
  <si>
    <t>Carpenters Wood Glue</t>
  </si>
  <si>
    <t>Gaffers Tape, 1" x 60Yd, White</t>
  </si>
  <si>
    <t>11-in x 12-in Matte Porcelain Hexagon Mosaic Wall Tile, 1/2 sheet (6x3)</t>
  </si>
  <si>
    <t>1/8" Masonite, 48 x 31-1/2 inches</t>
  </si>
  <si>
    <t>1/8" Masonite, 4-1/2 x 11-3/4 inch</t>
  </si>
  <si>
    <t>6 x 6 x 4 Corrugated Box</t>
  </si>
  <si>
    <t>verified 3 ft 2-3/4 oz</t>
  </si>
  <si>
    <t>Notes:</t>
  </si>
  <si>
    <t>Lumber/PVC cut lengths allow for  1/8" saw kerf</t>
  </si>
  <si>
    <t>Cotton balls include replacements for 8 matches</t>
  </si>
  <si>
    <t>Extra cups can be provided to replace cups damaged during game</t>
  </si>
  <si>
    <t>1x2 x 11-7/8 inch length (12-inch nominal length)</t>
  </si>
  <si>
    <t>1x4 x 11-7/8 inch length (12-inch nominal length)</t>
  </si>
  <si>
    <t>2x4 x 47-7/8 inch length (48-inch nominal length)</t>
  </si>
  <si>
    <t>1-1/2inch PVC Pipe, S40, 19-7/8 inch length (20-inch nominal length)</t>
  </si>
  <si>
    <t xml:space="preserve">1" wide red, blue, green, and yellow tape is also needed, if desired, for full field </t>
  </si>
  <si>
    <t>Cut the longest pieces of 1/2" PVC first (3@18", 1@16", 1@12", 6@8", 6@6")</t>
  </si>
  <si>
    <t>** not at all Walmart stores - alternate source Home Depot: Internet #308820126, Model #16426A60, UPC Code #073149642684, Store SKU #1004187113</t>
  </si>
  <si>
    <t>*** cotton balls assume 8 matches and replacement for each match</t>
  </si>
  <si>
    <t>**** for full field, purchase 16 oz bottle of glue</t>
  </si>
  <si>
    <t>***** Tape Depot Web site</t>
  </si>
  <si>
    <t>Gaffers Tape, 1" x 60Yd, White *****</t>
  </si>
  <si>
    <t>Carpenters Wood Glue ****</t>
  </si>
  <si>
    <t>Cotton Balls, Pack of 3, 200 ea ***</t>
  </si>
  <si>
    <t>Sterilite, 6 Qt Storage Box, White, Model 18518036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</si>
</sst>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44" fontId="2" fillId="0" borderId="0" xfId="1" applyFont="1"/>
    <xf numFmtId="0" fontId="2" fillId="0" borderId="11" xfId="0" applyFont="1" applyBorder="1" applyAlignment="1">
      <alignment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44" fontId="2" fillId="0" borderId="12" xfId="0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6" xfId="0" applyBorder="1"/>
    <xf numFmtId="44" fontId="0" fillId="0" borderId="7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wrapText="1"/>
    </xf>
    <xf numFmtId="0" fontId="2" fillId="0" borderId="9" xfId="0" applyFont="1" applyBorder="1"/>
    <xf numFmtId="0" fontId="2" fillId="0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2" fillId="0" borderId="2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44" fontId="0" fillId="0" borderId="23" xfId="1" applyFont="1" applyBorder="1" applyAlignment="1">
      <alignment horizontal="center"/>
    </xf>
    <xf numFmtId="0" fontId="5" fillId="0" borderId="0" xfId="2"/>
    <xf numFmtId="44" fontId="0" fillId="0" borderId="0" xfId="1" applyFont="1" applyFill="1" applyAlignment="1">
      <alignment horizontal="center"/>
    </xf>
    <xf numFmtId="44" fontId="0" fillId="0" borderId="0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15" xfId="0" applyBorder="1"/>
    <xf numFmtId="0" fontId="0" fillId="0" borderId="26" xfId="0" applyBorder="1"/>
    <xf numFmtId="44" fontId="0" fillId="0" borderId="7" xfId="0" applyNumberFormat="1" applyBorder="1" applyAlignment="1">
      <alignment horizontal="center"/>
    </xf>
    <xf numFmtId="0" fontId="0" fillId="0" borderId="6" xfId="0" applyFill="1" applyBorder="1"/>
    <xf numFmtId="164" fontId="0" fillId="0" borderId="0" xfId="0" applyNumberFormat="1"/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44" fontId="2" fillId="0" borderId="17" xfId="0" applyNumberFormat="1" applyFont="1" applyFill="1" applyBorder="1" applyAlignment="1">
      <alignment horizontal="center"/>
    </xf>
    <xf numFmtId="44" fontId="0" fillId="0" borderId="15" xfId="0" applyNumberFormat="1" applyFill="1" applyBorder="1" applyAlignment="1">
      <alignment horizontal="center"/>
    </xf>
    <xf numFmtId="44" fontId="0" fillId="0" borderId="16" xfId="0" applyNumberFormat="1" applyFill="1" applyBorder="1" applyAlignment="1">
      <alignment horizontal="center"/>
    </xf>
    <xf numFmtId="44" fontId="2" fillId="0" borderId="20" xfId="0" applyNumberFormat="1" applyFont="1" applyFill="1" applyBorder="1" applyAlignment="1">
      <alignment horizontal="center"/>
    </xf>
    <xf numFmtId="44" fontId="0" fillId="0" borderId="15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4" fontId="0" fillId="0" borderId="21" xfId="0" applyNumberFormat="1" applyFill="1" applyBorder="1" applyAlignment="1">
      <alignment horizontal="center"/>
    </xf>
    <xf numFmtId="44" fontId="0" fillId="0" borderId="16" xfId="1" applyFont="1" applyFill="1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44" fontId="0" fillId="0" borderId="15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32" xfId="0" applyBorder="1" applyAlignment="1">
      <alignment horizontal="center"/>
    </xf>
    <xf numFmtId="44" fontId="0" fillId="0" borderId="33" xfId="1" applyFont="1" applyBorder="1" applyAlignment="1">
      <alignment horizontal="center"/>
    </xf>
    <xf numFmtId="0" fontId="0" fillId="0" borderId="36" xfId="0" applyBorder="1"/>
    <xf numFmtId="0" fontId="0" fillId="0" borderId="14" xfId="0" applyBorder="1"/>
    <xf numFmtId="0" fontId="2" fillId="0" borderId="32" xfId="0" applyFont="1" applyBorder="1" applyAlignment="1">
      <alignment horizontal="center"/>
    </xf>
    <xf numFmtId="0" fontId="2" fillId="0" borderId="33" xfId="0" applyFont="1" applyBorder="1"/>
    <xf numFmtId="0" fontId="0" fillId="0" borderId="4" xfId="0" applyBorder="1"/>
    <xf numFmtId="0" fontId="0" fillId="0" borderId="7" xfId="0" applyBorder="1"/>
    <xf numFmtId="0" fontId="0" fillId="0" borderId="37" xfId="0" applyFont="1" applyBorder="1" applyAlignment="1">
      <alignment horizontal="center"/>
    </xf>
    <xf numFmtId="0" fontId="0" fillId="0" borderId="6" xfId="0" applyFont="1" applyBorder="1"/>
    <xf numFmtId="0" fontId="0" fillId="0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44" fontId="0" fillId="0" borderId="16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apedepo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view="pageBreakPreview" topLeftCell="A10" zoomScale="120" zoomScaleNormal="100" zoomScaleSheetLayoutView="120" workbookViewId="0">
      <selection activeCell="D54" sqref="D54"/>
    </sheetView>
  </sheetViews>
  <sheetFormatPr defaultRowHeight="14.5" x14ac:dyDescent="0.35"/>
  <cols>
    <col min="1" max="1" width="13" customWidth="1"/>
    <col min="2" max="2" width="45.54296875" style="5" customWidth="1"/>
    <col min="3" max="3" width="17.453125" customWidth="1"/>
    <col min="4" max="4" width="12" style="27" customWidth="1"/>
    <col min="5" max="5" width="11.54296875" style="27" customWidth="1"/>
    <col min="6" max="6" width="9.453125" style="2" bestFit="1" customWidth="1"/>
    <col min="7" max="7" width="11.26953125" style="27" bestFit="1" customWidth="1"/>
    <col min="8" max="9" width="10.7265625" style="2" customWidth="1"/>
    <col min="10" max="10" width="10.7265625" customWidth="1"/>
    <col min="11" max="11" width="11.7265625" customWidth="1"/>
  </cols>
  <sheetData>
    <row r="1" spans="1:12" ht="29.5" thickBot="1" x14ac:dyDescent="0.65">
      <c r="A1" s="93" t="s">
        <v>62</v>
      </c>
      <c r="B1" s="94"/>
      <c r="C1" s="94"/>
      <c r="D1" s="94"/>
      <c r="E1" s="94"/>
      <c r="F1" s="94"/>
      <c r="G1" s="94"/>
      <c r="H1" s="94"/>
      <c r="I1" s="95"/>
      <c r="J1" s="76" t="s">
        <v>113</v>
      </c>
      <c r="K1" s="77">
        <v>32</v>
      </c>
      <c r="L1" t="s">
        <v>67</v>
      </c>
    </row>
    <row r="2" spans="1:12" ht="19" thickBot="1" x14ac:dyDescent="0.5">
      <c r="A2" s="96" t="s">
        <v>9</v>
      </c>
      <c r="B2" s="97"/>
      <c r="C2" s="97"/>
      <c r="D2" s="97"/>
      <c r="E2" s="97"/>
      <c r="F2" s="97"/>
      <c r="G2" s="98"/>
      <c r="H2" s="99" t="s">
        <v>112</v>
      </c>
      <c r="I2" s="100"/>
      <c r="J2" s="101" t="s">
        <v>111</v>
      </c>
      <c r="K2" s="102"/>
    </row>
    <row r="3" spans="1:12" s="3" customFormat="1" ht="15" thickBot="1" x14ac:dyDescent="0.4">
      <c r="A3" s="22" t="s">
        <v>0</v>
      </c>
      <c r="B3" s="17" t="s">
        <v>1</v>
      </c>
      <c r="C3" s="18" t="s">
        <v>2</v>
      </c>
      <c r="D3" s="21" t="s">
        <v>16</v>
      </c>
      <c r="E3" s="21" t="s">
        <v>19</v>
      </c>
      <c r="F3" s="19" t="s">
        <v>3</v>
      </c>
      <c r="G3" s="68" t="s">
        <v>4</v>
      </c>
      <c r="H3" s="22" t="s">
        <v>5</v>
      </c>
      <c r="I3" s="20" t="s">
        <v>6</v>
      </c>
      <c r="J3" s="39" t="s">
        <v>5</v>
      </c>
      <c r="K3" s="44" t="s">
        <v>6</v>
      </c>
    </row>
    <row r="4" spans="1:12" ht="15.75" customHeight="1" x14ac:dyDescent="0.35">
      <c r="A4" s="14">
        <v>15483</v>
      </c>
      <c r="B4" s="7" t="s">
        <v>88</v>
      </c>
      <c r="C4" s="6" t="s">
        <v>7</v>
      </c>
      <c r="D4" s="9">
        <v>1</v>
      </c>
      <c r="E4" s="9">
        <v>4</v>
      </c>
      <c r="F4" s="8">
        <v>3</v>
      </c>
      <c r="G4" s="69">
        <v>10.98</v>
      </c>
      <c r="H4" s="14">
        <f>ROUNDUP(E4/F4,0)</f>
        <v>2</v>
      </c>
      <c r="I4" s="78">
        <f t="shared" ref="I4" si="0">H4*G4</f>
        <v>21.96</v>
      </c>
      <c r="J4" s="80">
        <f>ROUNDUP($K$1*D4/F4,0)</f>
        <v>11</v>
      </c>
      <c r="K4" s="81">
        <f>J4*G4</f>
        <v>120.78</v>
      </c>
      <c r="L4" s="1">
        <f>K4/$K$1</f>
        <v>3.774375</v>
      </c>
    </row>
    <row r="5" spans="1:12" ht="15.75" customHeight="1" thickBot="1" x14ac:dyDescent="0.4">
      <c r="A5" s="15">
        <v>15483</v>
      </c>
      <c r="B5" s="11" t="s">
        <v>89</v>
      </c>
      <c r="C5" s="36" t="s">
        <v>7</v>
      </c>
      <c r="D5" s="26">
        <v>1</v>
      </c>
      <c r="E5" s="26">
        <v>4</v>
      </c>
      <c r="F5" s="12">
        <v>80</v>
      </c>
      <c r="G5" s="70">
        <v>10.98</v>
      </c>
      <c r="H5" s="15">
        <v>0</v>
      </c>
      <c r="I5" s="79">
        <f t="shared" ref="I5" si="1">H5*G5</f>
        <v>0</v>
      </c>
      <c r="J5" s="15">
        <f>ROUNDUP($K$1*D5/F5,0)</f>
        <v>1</v>
      </c>
      <c r="K5" s="37">
        <f>J5*G5</f>
        <v>10.98</v>
      </c>
      <c r="L5" s="1">
        <f>K5/$K$1</f>
        <v>0.34312500000000001</v>
      </c>
    </row>
    <row r="6" spans="1:12" ht="15" thickBot="1" x14ac:dyDescent="0.4">
      <c r="A6" s="32"/>
      <c r="B6" s="23"/>
      <c r="C6" s="25"/>
      <c r="D6" s="34"/>
      <c r="E6" s="34"/>
      <c r="F6" s="24"/>
      <c r="G6" s="54"/>
      <c r="H6" s="24"/>
      <c r="I6" s="38"/>
      <c r="J6" s="30"/>
    </row>
    <row r="7" spans="1:12" ht="19" thickBot="1" x14ac:dyDescent="0.5">
      <c r="A7" s="96" t="s">
        <v>10</v>
      </c>
      <c r="B7" s="97"/>
      <c r="C7" s="97"/>
      <c r="D7" s="97"/>
      <c r="E7" s="97"/>
      <c r="F7" s="97"/>
      <c r="G7" s="98"/>
      <c r="H7" s="99" t="s">
        <v>112</v>
      </c>
      <c r="I7" s="100"/>
      <c r="J7" s="101" t="s">
        <v>111</v>
      </c>
      <c r="K7" s="102"/>
    </row>
    <row r="8" spans="1:12" s="3" customFormat="1" ht="15" thickBot="1" x14ac:dyDescent="0.4">
      <c r="A8" s="22" t="s">
        <v>0</v>
      </c>
      <c r="B8" s="17" t="s">
        <v>1</v>
      </c>
      <c r="C8" s="18" t="s">
        <v>2</v>
      </c>
      <c r="D8" s="21" t="s">
        <v>16</v>
      </c>
      <c r="E8" s="21" t="s">
        <v>19</v>
      </c>
      <c r="F8" s="19" t="s">
        <v>3</v>
      </c>
      <c r="G8" s="68" t="s">
        <v>4</v>
      </c>
      <c r="H8" s="22" t="s">
        <v>5</v>
      </c>
      <c r="I8" s="20" t="s">
        <v>6</v>
      </c>
      <c r="J8" s="22" t="s">
        <v>5</v>
      </c>
      <c r="K8" s="20" t="s">
        <v>6</v>
      </c>
    </row>
    <row r="9" spans="1:12" x14ac:dyDescent="0.35">
      <c r="A9" s="14">
        <v>1408</v>
      </c>
      <c r="B9" s="7" t="s">
        <v>63</v>
      </c>
      <c r="C9" s="6" t="s">
        <v>7</v>
      </c>
      <c r="D9" s="9">
        <v>1</v>
      </c>
      <c r="E9" s="9">
        <f>D9*4</f>
        <v>4</v>
      </c>
      <c r="F9" s="8">
        <v>8</v>
      </c>
      <c r="G9" s="69">
        <v>3.87</v>
      </c>
      <c r="H9" s="14">
        <f>ROUNDUP(E9/F9,0)</f>
        <v>1</v>
      </c>
      <c r="I9" s="13">
        <f t="shared" ref="I9" si="2">H9*G9</f>
        <v>3.87</v>
      </c>
      <c r="J9" s="14">
        <f>ROUNDUP($K$1*D9/F9,0)</f>
        <v>4</v>
      </c>
      <c r="K9" s="10">
        <f>J9*G9</f>
        <v>15.48</v>
      </c>
      <c r="L9" s="1">
        <f>K9/$K$1</f>
        <v>0.48375000000000001</v>
      </c>
    </row>
    <row r="10" spans="1:12" x14ac:dyDescent="0.35">
      <c r="A10" s="14">
        <v>940</v>
      </c>
      <c r="B10" s="7" t="s">
        <v>64</v>
      </c>
      <c r="C10" s="6" t="s">
        <v>7</v>
      </c>
      <c r="D10" s="9">
        <v>1</v>
      </c>
      <c r="E10" s="9">
        <f>D10*4</f>
        <v>4</v>
      </c>
      <c r="F10" s="8">
        <v>8</v>
      </c>
      <c r="G10" s="69">
        <v>5.73</v>
      </c>
      <c r="H10" s="14">
        <f>ROUNDUP(E10/F10,0)</f>
        <v>1</v>
      </c>
      <c r="I10" s="13">
        <f t="shared" ref="I10" si="3">H10*G10</f>
        <v>5.73</v>
      </c>
      <c r="J10" s="14">
        <f>ROUNDUP($K$1*D10/F10,0)</f>
        <v>4</v>
      </c>
      <c r="K10" s="10">
        <f>J10*G10</f>
        <v>22.92</v>
      </c>
      <c r="L10" s="1">
        <f>K10/$K$1</f>
        <v>0.71625000000000005</v>
      </c>
    </row>
    <row r="11" spans="1:12" ht="15" thickBot="1" x14ac:dyDescent="0.4">
      <c r="A11" s="15">
        <v>6005</v>
      </c>
      <c r="B11" s="11" t="s">
        <v>45</v>
      </c>
      <c r="C11" s="36" t="s">
        <v>7</v>
      </c>
      <c r="D11" s="26">
        <v>4</v>
      </c>
      <c r="E11" s="26">
        <f>D11*4</f>
        <v>16</v>
      </c>
      <c r="F11" s="12">
        <v>8</v>
      </c>
      <c r="G11" s="70">
        <v>7.21</v>
      </c>
      <c r="H11" s="15">
        <f>ROUNDUP(E11/F11,0)</f>
        <v>2</v>
      </c>
      <c r="I11" s="63">
        <f t="shared" ref="I11" si="4">H11*G11</f>
        <v>14.42</v>
      </c>
      <c r="J11" s="15">
        <f>ROUNDUP($K$1*D11/F11,0)</f>
        <v>16</v>
      </c>
      <c r="K11" s="37">
        <f>J11*G11</f>
        <v>115.36</v>
      </c>
      <c r="L11" s="1">
        <f>K11/$K$1</f>
        <v>3.605</v>
      </c>
    </row>
    <row r="12" spans="1:12" ht="15" thickBot="1" x14ac:dyDescent="0.4">
      <c r="A12" s="30"/>
      <c r="B12" s="29"/>
      <c r="C12" s="30"/>
      <c r="D12" s="31"/>
      <c r="E12" s="31"/>
      <c r="F12" s="28"/>
      <c r="G12" s="31"/>
      <c r="H12" s="28"/>
      <c r="I12" s="28"/>
      <c r="J12" s="25"/>
    </row>
    <row r="13" spans="1:12" ht="19" thickBot="1" x14ac:dyDescent="0.5">
      <c r="A13" s="96" t="s">
        <v>15</v>
      </c>
      <c r="B13" s="97"/>
      <c r="C13" s="97"/>
      <c r="D13" s="97"/>
      <c r="E13" s="97"/>
      <c r="F13" s="97"/>
      <c r="G13" s="98"/>
      <c r="H13" s="99" t="s">
        <v>112</v>
      </c>
      <c r="I13" s="100"/>
      <c r="J13" s="101" t="s">
        <v>111</v>
      </c>
      <c r="K13" s="102"/>
    </row>
    <row r="14" spans="1:12" s="3" customFormat="1" x14ac:dyDescent="0.35">
      <c r="A14" s="39" t="s">
        <v>0</v>
      </c>
      <c r="B14" s="40" t="s">
        <v>1</v>
      </c>
      <c r="C14" s="41" t="s">
        <v>2</v>
      </c>
      <c r="D14" s="42" t="s">
        <v>16</v>
      </c>
      <c r="E14" s="42" t="s">
        <v>19</v>
      </c>
      <c r="F14" s="43" t="s">
        <v>3</v>
      </c>
      <c r="G14" s="71" t="s">
        <v>4</v>
      </c>
      <c r="H14" s="39" t="s">
        <v>5</v>
      </c>
      <c r="I14" s="44" t="s">
        <v>6</v>
      </c>
      <c r="J14" s="39" t="s">
        <v>5</v>
      </c>
      <c r="K14" s="44" t="s">
        <v>6</v>
      </c>
    </row>
    <row r="15" spans="1:12" x14ac:dyDescent="0.35">
      <c r="A15" s="14">
        <v>23966</v>
      </c>
      <c r="B15" s="7" t="s">
        <v>114</v>
      </c>
      <c r="C15" s="6" t="s">
        <v>7</v>
      </c>
      <c r="D15" s="9">
        <v>180</v>
      </c>
      <c r="E15" s="9">
        <f>D15*4</f>
        <v>720</v>
      </c>
      <c r="F15" s="8">
        <v>120</v>
      </c>
      <c r="G15" s="69">
        <v>2.97</v>
      </c>
      <c r="H15" s="14">
        <f>ROUNDUP(E15/F15,0)</f>
        <v>6</v>
      </c>
      <c r="I15" s="13">
        <f t="shared" ref="I15:I17" si="5">H15*G15</f>
        <v>17.82</v>
      </c>
      <c r="J15" s="14">
        <f>ROUNDUP($K$1*D15/F15,0)</f>
        <v>48</v>
      </c>
      <c r="K15" s="10">
        <f>J15*G15</f>
        <v>142.56</v>
      </c>
      <c r="L15" s="1">
        <f>K15/$K$1</f>
        <v>4.4550000000000001</v>
      </c>
    </row>
    <row r="16" spans="1:12" x14ac:dyDescent="0.35">
      <c r="A16" s="14">
        <v>1144120</v>
      </c>
      <c r="B16" s="7" t="s">
        <v>17</v>
      </c>
      <c r="C16" s="6" t="s">
        <v>7</v>
      </c>
      <c r="D16" s="9">
        <v>3</v>
      </c>
      <c r="E16" s="9">
        <f>D16*4</f>
        <v>12</v>
      </c>
      <c r="F16" s="8">
        <v>60</v>
      </c>
      <c r="G16" s="69">
        <v>13.57</v>
      </c>
      <c r="H16" s="14">
        <f>ROUNDUP(E16/F16,0)</f>
        <v>1</v>
      </c>
      <c r="I16" s="13">
        <f t="shared" si="5"/>
        <v>13.57</v>
      </c>
      <c r="J16" s="14">
        <f>ROUNDUP($K$1*D16/F16,0)</f>
        <v>2</v>
      </c>
      <c r="K16" s="10">
        <f>J16*G16</f>
        <v>27.14</v>
      </c>
      <c r="L16" s="1">
        <f>K16/$K$1</f>
        <v>0.84812500000000002</v>
      </c>
    </row>
    <row r="17" spans="1:14" ht="14.5" customHeight="1" thickBot="1" x14ac:dyDescent="0.4">
      <c r="A17" s="15">
        <v>23830</v>
      </c>
      <c r="B17" s="11" t="s">
        <v>110</v>
      </c>
      <c r="C17" s="64" t="s">
        <v>7</v>
      </c>
      <c r="D17" s="26">
        <v>20</v>
      </c>
      <c r="E17" s="26">
        <f>D17*4</f>
        <v>80</v>
      </c>
      <c r="F17" s="12">
        <v>120</v>
      </c>
      <c r="G17" s="70">
        <v>7.54</v>
      </c>
      <c r="H17" s="15">
        <f>ROUNDUP(E17/F17,0)</f>
        <v>1</v>
      </c>
      <c r="I17" s="63">
        <f t="shared" si="5"/>
        <v>7.54</v>
      </c>
      <c r="J17" s="15">
        <f>ROUNDUP($K$1*D17/F17,0)</f>
        <v>6</v>
      </c>
      <c r="K17" s="37">
        <f>J17*G17</f>
        <v>45.24</v>
      </c>
      <c r="L17" s="1">
        <f>K17/$K$1</f>
        <v>1.4137500000000001</v>
      </c>
    </row>
    <row r="18" spans="1:14" ht="15" thickBot="1" x14ac:dyDescent="0.4">
      <c r="A18" s="30"/>
      <c r="B18" s="35"/>
      <c r="C18" s="30"/>
      <c r="D18" s="31"/>
      <c r="E18" s="31"/>
      <c r="F18" s="28"/>
      <c r="G18" s="31"/>
      <c r="H18" s="28"/>
      <c r="I18" s="28"/>
      <c r="J18" s="25"/>
    </row>
    <row r="19" spans="1:14" ht="19" thickBot="1" x14ac:dyDescent="0.5">
      <c r="A19" s="96" t="s">
        <v>11</v>
      </c>
      <c r="B19" s="97"/>
      <c r="C19" s="97"/>
      <c r="D19" s="97"/>
      <c r="E19" s="97"/>
      <c r="F19" s="97"/>
      <c r="G19" s="98"/>
      <c r="H19" s="99" t="s">
        <v>112</v>
      </c>
      <c r="I19" s="100"/>
      <c r="J19" s="101" t="s">
        <v>111</v>
      </c>
      <c r="K19" s="102"/>
    </row>
    <row r="20" spans="1:14" s="3" customFormat="1" x14ac:dyDescent="0.35">
      <c r="A20" s="39" t="s">
        <v>0</v>
      </c>
      <c r="B20" s="40" t="s">
        <v>1</v>
      </c>
      <c r="C20" s="41" t="s">
        <v>2</v>
      </c>
      <c r="D20" s="42" t="s">
        <v>16</v>
      </c>
      <c r="E20" s="42" t="s">
        <v>19</v>
      </c>
      <c r="F20" s="43" t="s">
        <v>3</v>
      </c>
      <c r="G20" s="71" t="s">
        <v>4</v>
      </c>
      <c r="H20" s="73" t="s">
        <v>5</v>
      </c>
      <c r="I20" s="44" t="s">
        <v>6</v>
      </c>
      <c r="J20" s="39" t="s">
        <v>5</v>
      </c>
      <c r="K20" s="44" t="s">
        <v>6</v>
      </c>
    </row>
    <row r="21" spans="1:14" s="3" customFormat="1" x14ac:dyDescent="0.35">
      <c r="A21" s="45" t="s">
        <v>39</v>
      </c>
      <c r="B21" s="46" t="s">
        <v>38</v>
      </c>
      <c r="C21" s="47" t="s">
        <v>8</v>
      </c>
      <c r="D21" s="48">
        <v>25</v>
      </c>
      <c r="E21" s="48">
        <f>D21*4</f>
        <v>100</v>
      </c>
      <c r="F21" s="49">
        <v>100</v>
      </c>
      <c r="G21" s="72">
        <v>6.62</v>
      </c>
      <c r="H21" s="14">
        <f>ROUNDUP(E21/F21,0)</f>
        <v>1</v>
      </c>
      <c r="I21" s="13">
        <f t="shared" ref="I21" si="6">H21*G21</f>
        <v>6.62</v>
      </c>
      <c r="J21" s="14">
        <f t="shared" ref="J21:J24" si="7">ROUNDUP($K$1*D21/F21,0)</f>
        <v>8</v>
      </c>
      <c r="K21" s="10">
        <f>J21*G21</f>
        <v>52.96</v>
      </c>
      <c r="L21" s="1">
        <f t="shared" ref="L21:L24" si="8">K21/$K$1</f>
        <v>1.655</v>
      </c>
    </row>
    <row r="22" spans="1:14" s="3" customFormat="1" x14ac:dyDescent="0.35">
      <c r="A22" s="14" t="s">
        <v>85</v>
      </c>
      <c r="B22" s="7" t="s">
        <v>86</v>
      </c>
      <c r="C22" s="6" t="s">
        <v>8</v>
      </c>
      <c r="D22" s="48">
        <v>8</v>
      </c>
      <c r="E22" s="48">
        <f t="shared" ref="E22" si="9">D22*4</f>
        <v>32</v>
      </c>
      <c r="F22" s="49">
        <v>100</v>
      </c>
      <c r="G22" s="72">
        <v>3.18</v>
      </c>
      <c r="H22" s="14">
        <f t="shared" ref="H22:H24" si="10">ROUNDUP(E22/F22,0)</f>
        <v>1</v>
      </c>
      <c r="I22" s="13">
        <f t="shared" ref="I22:I24" si="11">H22*G22</f>
        <v>3.18</v>
      </c>
      <c r="J22" s="14">
        <f t="shared" si="7"/>
        <v>3</v>
      </c>
      <c r="K22" s="10">
        <f t="shared" ref="K22" si="12">J22*G22</f>
        <v>9.5400000000000009</v>
      </c>
      <c r="L22" s="1">
        <f t="shared" si="8"/>
        <v>0.29812500000000003</v>
      </c>
    </row>
    <row r="23" spans="1:14" s="3" customFormat="1" x14ac:dyDescent="0.35">
      <c r="A23" s="14" t="s">
        <v>68</v>
      </c>
      <c r="B23" s="7" t="s">
        <v>69</v>
      </c>
      <c r="C23" s="6" t="s">
        <v>8</v>
      </c>
      <c r="D23" s="48">
        <v>2</v>
      </c>
      <c r="E23" s="48">
        <f t="shared" ref="E23:E24" si="13">D23*4</f>
        <v>8</v>
      </c>
      <c r="F23" s="49">
        <v>250</v>
      </c>
      <c r="G23" s="72">
        <v>6.12</v>
      </c>
      <c r="H23" s="14">
        <f t="shared" si="10"/>
        <v>1</v>
      </c>
      <c r="I23" s="13">
        <f t="shared" si="11"/>
        <v>6.12</v>
      </c>
      <c r="J23" s="14">
        <f t="shared" si="7"/>
        <v>1</v>
      </c>
      <c r="K23" s="10">
        <f t="shared" ref="K23:K24" si="14">J23*G23</f>
        <v>6.12</v>
      </c>
      <c r="L23" s="1">
        <f t="shared" si="8"/>
        <v>0.19125</v>
      </c>
    </row>
    <row r="24" spans="1:14" s="3" customFormat="1" ht="15" thickBot="1" x14ac:dyDescent="0.4">
      <c r="A24" s="15" t="s">
        <v>70</v>
      </c>
      <c r="B24" s="11" t="s">
        <v>71</v>
      </c>
      <c r="C24" s="89" t="s">
        <v>8</v>
      </c>
      <c r="D24" s="90">
        <v>4</v>
      </c>
      <c r="E24" s="90">
        <f t="shared" si="13"/>
        <v>16</v>
      </c>
      <c r="F24" s="91">
        <v>100</v>
      </c>
      <c r="G24" s="92">
        <v>3.35</v>
      </c>
      <c r="H24" s="15">
        <f t="shared" si="10"/>
        <v>1</v>
      </c>
      <c r="I24" s="63">
        <f t="shared" si="11"/>
        <v>3.35</v>
      </c>
      <c r="J24" s="15">
        <f t="shared" si="7"/>
        <v>2</v>
      </c>
      <c r="K24" s="37">
        <f t="shared" si="14"/>
        <v>6.7</v>
      </c>
      <c r="L24" s="1">
        <f t="shared" si="8"/>
        <v>0.20937500000000001</v>
      </c>
    </row>
    <row r="25" spans="1:14" ht="15" thickBot="1" x14ac:dyDescent="0.4">
      <c r="A25" s="25"/>
      <c r="B25" s="23"/>
      <c r="C25" s="25"/>
      <c r="D25" s="34"/>
      <c r="E25" s="34"/>
      <c r="F25" s="24"/>
      <c r="G25" s="34"/>
      <c r="H25" s="24"/>
      <c r="I25" s="24"/>
    </row>
    <row r="26" spans="1:14" s="3" customFormat="1" ht="19" thickBot="1" x14ac:dyDescent="0.5">
      <c r="A26" s="96" t="s">
        <v>12</v>
      </c>
      <c r="B26" s="97"/>
      <c r="C26" s="97"/>
      <c r="D26" s="97"/>
      <c r="E26" s="97"/>
      <c r="F26" s="97"/>
      <c r="G26" s="98"/>
      <c r="H26" s="99" t="s">
        <v>112</v>
      </c>
      <c r="I26" s="100"/>
      <c r="J26" s="101" t="s">
        <v>111</v>
      </c>
      <c r="K26" s="102"/>
    </row>
    <row r="27" spans="1:14" s="3" customFormat="1" ht="15" thickBot="1" x14ac:dyDescent="0.4">
      <c r="A27" s="22" t="s">
        <v>0</v>
      </c>
      <c r="B27" s="17" t="s">
        <v>1</v>
      </c>
      <c r="C27" s="18" t="s">
        <v>2</v>
      </c>
      <c r="D27" s="21" t="s">
        <v>16</v>
      </c>
      <c r="E27" s="21" t="s">
        <v>19</v>
      </c>
      <c r="F27" s="19" t="s">
        <v>3</v>
      </c>
      <c r="G27" s="68" t="s">
        <v>4</v>
      </c>
      <c r="H27" s="22" t="s">
        <v>5</v>
      </c>
      <c r="I27" s="20" t="s">
        <v>6</v>
      </c>
      <c r="J27" s="22" t="s">
        <v>5</v>
      </c>
      <c r="K27" s="20" t="s">
        <v>6</v>
      </c>
    </row>
    <row r="28" spans="1:14" s="3" customFormat="1" x14ac:dyDescent="0.35">
      <c r="A28" s="14" t="s">
        <v>73</v>
      </c>
      <c r="B28" s="7" t="s">
        <v>72</v>
      </c>
      <c r="C28" s="47" t="s">
        <v>8</v>
      </c>
      <c r="D28" s="48">
        <v>2</v>
      </c>
      <c r="E28" s="48">
        <f>D28*4</f>
        <v>8</v>
      </c>
      <c r="F28" s="49">
        <v>100</v>
      </c>
      <c r="G28" s="72">
        <v>8.99</v>
      </c>
      <c r="H28" s="14">
        <f>ROUNDUP(E28/F28,0)</f>
        <v>1</v>
      </c>
      <c r="I28" s="13">
        <f>H28*G28</f>
        <v>8.99</v>
      </c>
      <c r="J28" s="14">
        <f>ROUNDUP($K$1*D28/F28,0)</f>
        <v>1</v>
      </c>
      <c r="K28" s="10">
        <f>J28*G28</f>
        <v>8.99</v>
      </c>
      <c r="L28" s="1">
        <f>K28/$K$1</f>
        <v>0.28093750000000001</v>
      </c>
    </row>
    <row r="29" spans="1:14" s="3" customFormat="1" ht="15" thickBot="1" x14ac:dyDescent="0.4">
      <c r="A29" s="15" t="s">
        <v>61</v>
      </c>
      <c r="B29" s="11" t="s">
        <v>135</v>
      </c>
      <c r="C29" s="36" t="s">
        <v>8</v>
      </c>
      <c r="D29" s="26">
        <v>2</v>
      </c>
      <c r="E29" s="26">
        <f>D29*4</f>
        <v>8</v>
      </c>
      <c r="F29" s="12">
        <v>10</v>
      </c>
      <c r="G29" s="70">
        <v>9.56</v>
      </c>
      <c r="H29" s="15">
        <f>ROUNDUP(E29/F29,0)</f>
        <v>1</v>
      </c>
      <c r="I29" s="63">
        <f t="shared" ref="I29" si="15">H29*G29</f>
        <v>9.56</v>
      </c>
      <c r="J29" s="50">
        <f>ROUNDUP($K$1*D29/F29,0)</f>
        <v>7</v>
      </c>
      <c r="K29" s="51">
        <f>J29*G29</f>
        <v>66.92</v>
      </c>
      <c r="L29" s="1">
        <f>K29/$K$1</f>
        <v>2.0912500000000001</v>
      </c>
    </row>
    <row r="30" spans="1:14" x14ac:dyDescent="0.35">
      <c r="A30" s="14">
        <v>1419528</v>
      </c>
      <c r="B30" s="7" t="s">
        <v>154</v>
      </c>
      <c r="C30" s="6" t="s">
        <v>14</v>
      </c>
      <c r="D30" s="9">
        <v>2</v>
      </c>
      <c r="E30" s="9">
        <f t="shared" ref="E30:E35" si="16">D30*4</f>
        <v>8</v>
      </c>
      <c r="F30" s="8">
        <v>1</v>
      </c>
      <c r="G30" s="69">
        <v>1</v>
      </c>
      <c r="H30" s="14">
        <f t="shared" ref="H30:H37" si="17">ROUNDUP(E30/F30,0)</f>
        <v>8</v>
      </c>
      <c r="I30" s="13">
        <f t="shared" ref="I30" si="18">G30*H30</f>
        <v>8</v>
      </c>
      <c r="J30" s="14">
        <f t="shared" ref="J30:J37" si="19">ROUNDUP($K$1*D30/F30,0)</f>
        <v>64</v>
      </c>
      <c r="K30" s="10">
        <f t="shared" ref="K30:K37" si="20">J30*G30</f>
        <v>64</v>
      </c>
      <c r="L30" s="1">
        <f t="shared" ref="L30:L37" si="21">K30/$K$1</f>
        <v>2</v>
      </c>
    </row>
    <row r="31" spans="1:14" x14ac:dyDescent="0.35">
      <c r="A31" s="14" t="s">
        <v>41</v>
      </c>
      <c r="B31" s="7" t="s">
        <v>40</v>
      </c>
      <c r="C31" s="6" t="s">
        <v>18</v>
      </c>
      <c r="D31" s="9">
        <v>2</v>
      </c>
      <c r="E31" s="9">
        <f t="shared" si="16"/>
        <v>8</v>
      </c>
      <c r="F31" s="8">
        <v>240</v>
      </c>
      <c r="G31" s="69">
        <v>19.989999999999998</v>
      </c>
      <c r="H31" s="14">
        <f t="shared" si="17"/>
        <v>1</v>
      </c>
      <c r="I31" s="13">
        <f t="shared" ref="I31" si="22">G31*H31</f>
        <v>19.989999999999998</v>
      </c>
      <c r="J31" s="14">
        <f t="shared" si="19"/>
        <v>1</v>
      </c>
      <c r="K31" s="10">
        <f t="shared" si="20"/>
        <v>19.989999999999998</v>
      </c>
      <c r="L31" s="1">
        <f t="shared" si="21"/>
        <v>0.62468749999999995</v>
      </c>
    </row>
    <row r="32" spans="1:14" x14ac:dyDescent="0.35">
      <c r="A32" s="14" t="s">
        <v>66</v>
      </c>
      <c r="B32" s="7" t="s">
        <v>153</v>
      </c>
      <c r="C32" s="6" t="s">
        <v>18</v>
      </c>
      <c r="D32" s="9">
        <f>6*8</f>
        <v>48</v>
      </c>
      <c r="E32" s="9">
        <f t="shared" si="16"/>
        <v>192</v>
      </c>
      <c r="F32" s="8">
        <v>600</v>
      </c>
      <c r="G32" s="69">
        <v>8.99</v>
      </c>
      <c r="H32" s="14">
        <f>ROUNDUP($K$1*D32/F32,0)</f>
        <v>3</v>
      </c>
      <c r="I32" s="13">
        <f t="shared" ref="I32:I33" si="23">G32*H32</f>
        <v>26.97</v>
      </c>
      <c r="J32" s="14">
        <f t="shared" si="19"/>
        <v>3</v>
      </c>
      <c r="K32" s="10">
        <f t="shared" ref="K32:K33" si="24">J32*G32</f>
        <v>26.97</v>
      </c>
      <c r="L32" s="1">
        <f t="shared" si="21"/>
        <v>0.84281249999999996</v>
      </c>
      <c r="N32" t="s">
        <v>109</v>
      </c>
    </row>
    <row r="33" spans="1:12" x14ac:dyDescent="0.35">
      <c r="A33" s="14">
        <v>657453</v>
      </c>
      <c r="B33" s="7" t="s">
        <v>87</v>
      </c>
      <c r="C33" s="6" t="s">
        <v>7</v>
      </c>
      <c r="D33" s="9">
        <v>1</v>
      </c>
      <c r="E33" s="9">
        <f t="shared" ref="E33" si="25">D33*4</f>
        <v>4</v>
      </c>
      <c r="F33" s="8">
        <v>1</v>
      </c>
      <c r="G33" s="69">
        <v>2.48</v>
      </c>
      <c r="H33" s="14">
        <f t="shared" ref="H33" si="26">ROUNDUP(E33/F33,0)</f>
        <v>4</v>
      </c>
      <c r="I33" s="13">
        <f t="shared" si="23"/>
        <v>9.92</v>
      </c>
      <c r="J33" s="14">
        <f t="shared" si="19"/>
        <v>32</v>
      </c>
      <c r="K33" s="10">
        <f t="shared" si="24"/>
        <v>79.36</v>
      </c>
      <c r="L33" s="1">
        <f t="shared" si="21"/>
        <v>2.48</v>
      </c>
    </row>
    <row r="34" spans="1:12" x14ac:dyDescent="0.35">
      <c r="A34" s="55">
        <v>70008</v>
      </c>
      <c r="B34" s="56" t="s">
        <v>43</v>
      </c>
      <c r="C34" s="57" t="s">
        <v>7</v>
      </c>
      <c r="D34" s="58">
        <v>3</v>
      </c>
      <c r="E34" s="9">
        <f t="shared" si="16"/>
        <v>12</v>
      </c>
      <c r="F34" s="59">
        <v>100</v>
      </c>
      <c r="G34" s="74">
        <v>47.48</v>
      </c>
      <c r="H34" s="14">
        <f t="shared" si="17"/>
        <v>1</v>
      </c>
      <c r="I34" s="13">
        <f t="shared" ref="I34" si="27">G34*H34</f>
        <v>47.48</v>
      </c>
      <c r="J34" s="14">
        <f t="shared" si="19"/>
        <v>1</v>
      </c>
      <c r="K34" s="10">
        <f t="shared" si="20"/>
        <v>47.48</v>
      </c>
      <c r="L34" s="1">
        <f t="shared" si="21"/>
        <v>1.4837499999999999</v>
      </c>
    </row>
    <row r="35" spans="1:12" ht="29" x14ac:dyDescent="0.35">
      <c r="A35" s="55">
        <v>1359846</v>
      </c>
      <c r="B35" s="56" t="s">
        <v>65</v>
      </c>
      <c r="C35" s="57" t="s">
        <v>7</v>
      </c>
      <c r="D35" s="58">
        <v>1</v>
      </c>
      <c r="E35" s="9">
        <f t="shared" si="16"/>
        <v>4</v>
      </c>
      <c r="F35" s="59">
        <v>2</v>
      </c>
      <c r="G35" s="74">
        <v>2.79</v>
      </c>
      <c r="H35" s="14">
        <f t="shared" si="17"/>
        <v>2</v>
      </c>
      <c r="I35" s="13">
        <f t="shared" ref="I35" si="28">G35*H35</f>
        <v>5.58</v>
      </c>
      <c r="J35" s="14">
        <f t="shared" si="19"/>
        <v>16</v>
      </c>
      <c r="K35" s="10">
        <f t="shared" si="20"/>
        <v>44.64</v>
      </c>
      <c r="L35" s="1">
        <f t="shared" si="21"/>
        <v>1.395</v>
      </c>
    </row>
    <row r="36" spans="1:12" x14ac:dyDescent="0.35">
      <c r="A36" s="55">
        <v>41148</v>
      </c>
      <c r="B36" s="56" t="s">
        <v>152</v>
      </c>
      <c r="C36" s="57" t="s">
        <v>7</v>
      </c>
      <c r="D36" s="58">
        <v>1</v>
      </c>
      <c r="E36" s="9">
        <f t="shared" ref="E36" si="29">D36*4</f>
        <v>4</v>
      </c>
      <c r="F36" s="59">
        <v>1</v>
      </c>
      <c r="G36" s="74">
        <v>2.48</v>
      </c>
      <c r="H36" s="14">
        <f t="shared" ref="H36" si="30">ROUNDUP(E36/F36,0)</f>
        <v>4</v>
      </c>
      <c r="I36" s="13">
        <f t="shared" ref="I36" si="31">G36*H36</f>
        <v>9.92</v>
      </c>
      <c r="J36" s="14">
        <f t="shared" si="19"/>
        <v>32</v>
      </c>
      <c r="K36" s="10">
        <f t="shared" ref="K36" si="32">J36*G36</f>
        <v>79.36</v>
      </c>
      <c r="L36" s="1">
        <f t="shared" si="21"/>
        <v>2.48</v>
      </c>
    </row>
    <row r="37" spans="1:12" ht="15" thickBot="1" x14ac:dyDescent="0.4">
      <c r="A37" s="15">
        <v>67680</v>
      </c>
      <c r="B37" s="11" t="s">
        <v>151</v>
      </c>
      <c r="C37" s="33" t="s">
        <v>42</v>
      </c>
      <c r="D37" s="26">
        <v>1</v>
      </c>
      <c r="E37" s="26">
        <v>2</v>
      </c>
      <c r="F37" s="12">
        <v>1</v>
      </c>
      <c r="G37" s="75">
        <v>6.93</v>
      </c>
      <c r="H37" s="15">
        <f t="shared" si="17"/>
        <v>2</v>
      </c>
      <c r="I37" s="63">
        <f>G37*H37</f>
        <v>13.86</v>
      </c>
      <c r="J37" s="15">
        <f t="shared" si="19"/>
        <v>32</v>
      </c>
      <c r="K37" s="37">
        <f t="shared" si="20"/>
        <v>221.76</v>
      </c>
      <c r="L37" s="1">
        <f t="shared" si="21"/>
        <v>6.93</v>
      </c>
    </row>
    <row r="39" spans="1:12" ht="14.5" customHeight="1" x14ac:dyDescent="0.35">
      <c r="A39" s="5"/>
      <c r="B39" s="107" t="s">
        <v>90</v>
      </c>
      <c r="C39" s="107"/>
      <c r="D39" s="107"/>
      <c r="E39" s="107"/>
      <c r="F39" s="107"/>
      <c r="H39" s="4" t="s">
        <v>13</v>
      </c>
      <c r="I39" s="16">
        <f>SUM(I4:I37)</f>
        <v>264.45</v>
      </c>
      <c r="K39" s="16">
        <f>SUM(K4:K37)</f>
        <v>1235.25</v>
      </c>
    </row>
    <row r="40" spans="1:12" ht="28" customHeight="1" x14ac:dyDescent="0.35">
      <c r="B40" s="103" t="s">
        <v>147</v>
      </c>
      <c r="C40" s="103"/>
      <c r="D40" s="103"/>
      <c r="E40" s="103"/>
      <c r="F40" s="103"/>
      <c r="J40" t="s">
        <v>20</v>
      </c>
      <c r="K40" s="1">
        <f>K39/K1</f>
        <v>38.6015625</v>
      </c>
      <c r="L40" s="1"/>
    </row>
    <row r="41" spans="1:12" ht="18" customHeight="1" x14ac:dyDescent="0.35">
      <c r="B41" s="103" t="s">
        <v>148</v>
      </c>
      <c r="C41" s="103"/>
      <c r="K41" s="1"/>
      <c r="L41" s="1"/>
    </row>
    <row r="42" spans="1:12" ht="18.649999999999999" customHeight="1" x14ac:dyDescent="0.35">
      <c r="B42" s="5" t="s">
        <v>149</v>
      </c>
      <c r="K42" s="1"/>
      <c r="L42" s="1"/>
    </row>
    <row r="43" spans="1:12" x14ac:dyDescent="0.35">
      <c r="A43" s="3"/>
      <c r="B43" s="23" t="s">
        <v>150</v>
      </c>
      <c r="C43" s="52" t="s">
        <v>21</v>
      </c>
    </row>
    <row r="44" spans="1:12" x14ac:dyDescent="0.35">
      <c r="A44" s="2"/>
      <c r="B44" s="106" t="s">
        <v>145</v>
      </c>
      <c r="G44" s="53"/>
      <c r="J44" s="2"/>
    </row>
  </sheetData>
  <mergeCells count="19">
    <mergeCell ref="J19:K19"/>
    <mergeCell ref="H26:I26"/>
    <mergeCell ref="J26:K26"/>
    <mergeCell ref="B41:C41"/>
    <mergeCell ref="A26:G26"/>
    <mergeCell ref="B39:F39"/>
    <mergeCell ref="B40:F40"/>
    <mergeCell ref="J2:K2"/>
    <mergeCell ref="H7:I7"/>
    <mergeCell ref="J7:K7"/>
    <mergeCell ref="H13:I13"/>
    <mergeCell ref="J13:K13"/>
    <mergeCell ref="A1:I1"/>
    <mergeCell ref="A2:G2"/>
    <mergeCell ref="A7:G7"/>
    <mergeCell ref="A13:G13"/>
    <mergeCell ref="A19:G19"/>
    <mergeCell ref="H2:I2"/>
    <mergeCell ref="H19:I19"/>
  </mergeCells>
  <phoneticPr fontId="9" type="noConversion"/>
  <hyperlinks>
    <hyperlink ref="C43" r:id="rId1" xr:uid="{CFF5CEA8-FF2D-4EE6-8CC9-88130B925CC4}"/>
  </hyperlinks>
  <printOptions horizontalCentered="1"/>
  <pageMargins left="0.25" right="0.25" top="0.75" bottom="0.75" header="0.3" footer="0.3"/>
  <pageSetup scale="69" orientation="landscape" r:id="rId2"/>
  <ignoredErrors>
    <ignoredError sqref="H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A62B-259B-4315-8E89-60EDDA00C8F3}">
  <dimension ref="A1:B43"/>
  <sheetViews>
    <sheetView tabSelected="1" workbookViewId="0">
      <selection activeCell="F35" sqref="F35"/>
    </sheetView>
  </sheetViews>
  <sheetFormatPr defaultRowHeight="14.5" x14ac:dyDescent="0.35"/>
  <cols>
    <col min="2" max="2" width="63.6328125" customWidth="1"/>
  </cols>
  <sheetData>
    <row r="1" spans="1:2" ht="26.5" thickBot="1" x14ac:dyDescent="0.65">
      <c r="A1" s="104" t="s">
        <v>126</v>
      </c>
      <c r="B1" s="105"/>
    </row>
    <row r="2" spans="1:2" ht="19" thickBot="1" x14ac:dyDescent="0.5">
      <c r="A2" s="96" t="str">
        <f>BOM!A2</f>
        <v>Sheet Material</v>
      </c>
      <c r="B2" s="98"/>
    </row>
    <row r="3" spans="1:2" x14ac:dyDescent="0.35">
      <c r="A3" s="84" t="s">
        <v>125</v>
      </c>
      <c r="B3" s="85" t="s">
        <v>1</v>
      </c>
    </row>
    <row r="4" spans="1:2" x14ac:dyDescent="0.35">
      <c r="A4" s="14">
        <f>BOM!D4</f>
        <v>1</v>
      </c>
      <c r="B4" s="86" t="s">
        <v>133</v>
      </c>
    </row>
    <row r="5" spans="1:2" ht="15" thickBot="1" x14ac:dyDescent="0.4">
      <c r="A5" s="15">
        <f>BOM!D5</f>
        <v>1</v>
      </c>
      <c r="B5" s="87" t="s">
        <v>134</v>
      </c>
    </row>
    <row r="6" spans="1:2" ht="15" thickBot="1" x14ac:dyDescent="0.4">
      <c r="A6" s="83"/>
      <c r="B6" s="82"/>
    </row>
    <row r="7" spans="1:2" ht="19" thickBot="1" x14ac:dyDescent="0.5">
      <c r="A7" s="96" t="str">
        <f>BOM!A7</f>
        <v>Lumber</v>
      </c>
      <c r="B7" s="98"/>
    </row>
    <row r="8" spans="1:2" x14ac:dyDescent="0.35">
      <c r="A8" s="84" t="s">
        <v>125</v>
      </c>
      <c r="B8" s="85" t="s">
        <v>1</v>
      </c>
    </row>
    <row r="9" spans="1:2" x14ac:dyDescent="0.35">
      <c r="A9" s="14">
        <f>BOM!D9</f>
        <v>1</v>
      </c>
      <c r="B9" s="86" t="s">
        <v>141</v>
      </c>
    </row>
    <row r="10" spans="1:2" x14ac:dyDescent="0.35">
      <c r="A10" s="14">
        <f>BOM!D10</f>
        <v>1</v>
      </c>
      <c r="B10" s="86" t="s">
        <v>142</v>
      </c>
    </row>
    <row r="11" spans="1:2" ht="15" thickBot="1" x14ac:dyDescent="0.4">
      <c r="A11" s="15">
        <v>1</v>
      </c>
      <c r="B11" s="87" t="s">
        <v>143</v>
      </c>
    </row>
    <row r="12" spans="1:2" ht="15" thickBot="1" x14ac:dyDescent="0.4">
      <c r="A12" s="83"/>
      <c r="B12" s="82"/>
    </row>
    <row r="13" spans="1:2" ht="19" thickBot="1" x14ac:dyDescent="0.5">
      <c r="A13" s="96" t="str">
        <f>BOM!A13</f>
        <v>PVC</v>
      </c>
      <c r="B13" s="98"/>
    </row>
    <row r="14" spans="1:2" x14ac:dyDescent="0.35">
      <c r="A14" s="84" t="s">
        <v>125</v>
      </c>
      <c r="B14" s="85" t="s">
        <v>1</v>
      </c>
    </row>
    <row r="15" spans="1:2" x14ac:dyDescent="0.35">
      <c r="A15" s="14">
        <v>3</v>
      </c>
      <c r="B15" s="86" t="s">
        <v>127</v>
      </c>
    </row>
    <row r="16" spans="1:2" x14ac:dyDescent="0.35">
      <c r="A16" s="14">
        <f>BOM!D16</f>
        <v>3</v>
      </c>
      <c r="B16" s="86" t="s">
        <v>17</v>
      </c>
    </row>
    <row r="17" spans="1:2" ht="15" thickBot="1" x14ac:dyDescent="0.4">
      <c r="A17" s="15">
        <v>1</v>
      </c>
      <c r="B17" s="87" t="s">
        <v>144</v>
      </c>
    </row>
    <row r="18" spans="1:2" ht="15" thickBot="1" x14ac:dyDescent="0.4">
      <c r="A18" s="83"/>
      <c r="B18" s="82"/>
    </row>
    <row r="19" spans="1:2" ht="19" thickBot="1" x14ac:dyDescent="0.5">
      <c r="A19" s="96" t="str">
        <f>BOM!A19</f>
        <v>Hardware</v>
      </c>
      <c r="B19" s="98"/>
    </row>
    <row r="20" spans="1:2" x14ac:dyDescent="0.35">
      <c r="A20" s="84" t="s">
        <v>125</v>
      </c>
      <c r="B20" s="85" t="s">
        <v>1</v>
      </c>
    </row>
    <row r="21" spans="1:2" x14ac:dyDescent="0.35">
      <c r="A21" s="14">
        <f>BOM!D21</f>
        <v>25</v>
      </c>
      <c r="B21" s="86" t="str">
        <f>BOM!B21</f>
        <v>3/8-16 Hex nuts, Steel, Zn Plate</v>
      </c>
    </row>
    <row r="22" spans="1:2" x14ac:dyDescent="0.35">
      <c r="A22" s="14">
        <f>BOM!D22</f>
        <v>8</v>
      </c>
      <c r="B22" s="86" t="str">
        <f>BOM!B22</f>
        <v>#6 x 1/2 Wood Screw</v>
      </c>
    </row>
    <row r="23" spans="1:2" x14ac:dyDescent="0.35">
      <c r="A23" s="14">
        <f>BOM!D23</f>
        <v>2</v>
      </c>
      <c r="B23" s="86" t="str">
        <f>BOM!B23</f>
        <v>#6 x 1-5/8 Wood Screw</v>
      </c>
    </row>
    <row r="24" spans="1:2" ht="15" thickBot="1" x14ac:dyDescent="0.4">
      <c r="A24" s="15">
        <f>BOM!D24</f>
        <v>4</v>
      </c>
      <c r="B24" s="87" t="str">
        <f>BOM!B24</f>
        <v>#6 x 2-1/4 Wood Screw</v>
      </c>
    </row>
    <row r="25" spans="1:2" ht="15" thickBot="1" x14ac:dyDescent="0.4">
      <c r="A25" s="83"/>
      <c r="B25" s="82"/>
    </row>
    <row r="26" spans="1:2" ht="19" thickBot="1" x14ac:dyDescent="0.5">
      <c r="A26" s="96" t="str">
        <f>BOM!A26</f>
        <v>Miscellaneous</v>
      </c>
      <c r="B26" s="98"/>
    </row>
    <row r="27" spans="1:2" x14ac:dyDescent="0.35">
      <c r="A27" s="84" t="s">
        <v>125</v>
      </c>
      <c r="B27" s="85" t="s">
        <v>1</v>
      </c>
    </row>
    <row r="28" spans="1:2" x14ac:dyDescent="0.35">
      <c r="A28" s="88">
        <v>2</v>
      </c>
      <c r="B28" s="86" t="str">
        <f>BOM!B28</f>
        <v>3/16 Cable Tie, 11" Long</v>
      </c>
    </row>
    <row r="29" spans="1:2" x14ac:dyDescent="0.35">
      <c r="A29" s="88">
        <v>2</v>
      </c>
      <c r="B29" s="86" t="str">
        <f>BOM!B29</f>
        <v>6 x 6 x 4 Corrugated Box</v>
      </c>
    </row>
    <row r="30" spans="1:2" x14ac:dyDescent="0.35">
      <c r="A30" s="14">
        <f>BOM!D30</f>
        <v>2</v>
      </c>
      <c r="B30" s="86" t="str">
        <f>BOM!B30</f>
        <v>Sterilite, 6 Qt Storage Box, White, Model 18518036 **</v>
      </c>
    </row>
    <row r="31" spans="1:2" x14ac:dyDescent="0.35">
      <c r="A31" s="14">
        <f>BOM!D31</f>
        <v>2</v>
      </c>
      <c r="B31" s="86" t="str">
        <f>BOM!B31</f>
        <v>16 oz Plastic Cup</v>
      </c>
    </row>
    <row r="32" spans="1:2" x14ac:dyDescent="0.35">
      <c r="A32" s="14">
        <f>BOM!D32</f>
        <v>48</v>
      </c>
      <c r="B32" s="86" t="s">
        <v>128</v>
      </c>
    </row>
    <row r="33" spans="1:2" x14ac:dyDescent="0.35">
      <c r="A33" s="14">
        <f>BOM!D33</f>
        <v>1</v>
      </c>
      <c r="B33" s="86" t="str">
        <f>BOM!B33</f>
        <v>22x22x21-1/2 X-Large Moving Box</v>
      </c>
    </row>
    <row r="34" spans="1:2" x14ac:dyDescent="0.35">
      <c r="A34" s="14">
        <v>1</v>
      </c>
      <c r="B34" s="86" t="s">
        <v>129</v>
      </c>
    </row>
    <row r="35" spans="1:2" x14ac:dyDescent="0.35">
      <c r="A35" s="14">
        <f>BOM!D35</f>
        <v>1</v>
      </c>
      <c r="B35" s="86" t="s">
        <v>132</v>
      </c>
    </row>
    <row r="36" spans="1:2" x14ac:dyDescent="0.35">
      <c r="A36" s="14">
        <f>BOM!D36</f>
        <v>1</v>
      </c>
      <c r="B36" s="86" t="s">
        <v>130</v>
      </c>
    </row>
    <row r="37" spans="1:2" ht="15" thickBot="1" x14ac:dyDescent="0.4">
      <c r="A37" s="15">
        <f>BOM!D37</f>
        <v>1</v>
      </c>
      <c r="B37" s="87" t="s">
        <v>131</v>
      </c>
    </row>
    <row r="39" spans="1:2" x14ac:dyDescent="0.35">
      <c r="A39" t="s">
        <v>137</v>
      </c>
    </row>
    <row r="40" spans="1:2" x14ac:dyDescent="0.35">
      <c r="B40" t="s">
        <v>138</v>
      </c>
    </row>
    <row r="41" spans="1:2" x14ac:dyDescent="0.35">
      <c r="B41" t="s">
        <v>146</v>
      </c>
    </row>
    <row r="42" spans="1:2" x14ac:dyDescent="0.35">
      <c r="B42" t="s">
        <v>140</v>
      </c>
    </row>
    <row r="43" spans="1:2" x14ac:dyDescent="0.35">
      <c r="B43" t="s">
        <v>139</v>
      </c>
    </row>
  </sheetData>
  <mergeCells count="6">
    <mergeCell ref="A26:B26"/>
    <mergeCell ref="A1:B1"/>
    <mergeCell ref="A2:B2"/>
    <mergeCell ref="A7:B7"/>
    <mergeCell ref="A13:B13"/>
    <mergeCell ref="A19:B19"/>
  </mergeCells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9DB7-802E-44B9-86FA-643A0E04019B}">
  <dimension ref="A1:Y21"/>
  <sheetViews>
    <sheetView workbookViewId="0">
      <selection activeCell="L7" sqref="L7"/>
    </sheetView>
  </sheetViews>
  <sheetFormatPr defaultRowHeight="14.5" x14ac:dyDescent="0.35"/>
  <cols>
    <col min="1" max="1" width="21.1796875" customWidth="1"/>
    <col min="4" max="4" width="22.54296875" customWidth="1"/>
    <col min="6" max="6" width="12.81640625" customWidth="1"/>
  </cols>
  <sheetData>
    <row r="1" spans="1:25" ht="29" x14ac:dyDescent="0.35">
      <c r="B1" t="s">
        <v>46</v>
      </c>
      <c r="C1" t="s">
        <v>55</v>
      </c>
      <c r="D1" t="s">
        <v>47</v>
      </c>
      <c r="E1" s="5" t="s">
        <v>99</v>
      </c>
      <c r="F1" t="s">
        <v>48</v>
      </c>
    </row>
    <row r="2" spans="1:25" x14ac:dyDescent="0.35">
      <c r="A2" t="s">
        <v>91</v>
      </c>
      <c r="B2">
        <v>3</v>
      </c>
      <c r="C2" t="s">
        <v>100</v>
      </c>
      <c r="D2" t="s">
        <v>94</v>
      </c>
      <c r="E2" s="65">
        <v>4.125</v>
      </c>
      <c r="F2" s="60">
        <f>B2*E2</f>
        <v>12.375</v>
      </c>
    </row>
    <row r="3" spans="1:25" x14ac:dyDescent="0.35">
      <c r="A3" t="s">
        <v>95</v>
      </c>
      <c r="B3">
        <v>25</v>
      </c>
      <c r="C3" t="s">
        <v>56</v>
      </c>
      <c r="D3" t="s">
        <v>49</v>
      </c>
      <c r="E3" s="65">
        <f>6/25</f>
        <v>0.24</v>
      </c>
      <c r="F3" s="60">
        <f>B3*E3</f>
        <v>6</v>
      </c>
      <c r="J3" t="s">
        <v>51</v>
      </c>
    </row>
    <row r="4" spans="1:25" x14ac:dyDescent="0.35">
      <c r="A4" t="s">
        <v>92</v>
      </c>
      <c r="B4">
        <f>8*6</f>
        <v>48</v>
      </c>
      <c r="C4" t="s">
        <v>54</v>
      </c>
      <c r="D4" t="s">
        <v>52</v>
      </c>
      <c r="E4" s="65">
        <f>(16/100)*(16/12)</f>
        <v>0.21333333333333332</v>
      </c>
      <c r="F4" s="60">
        <f>B4*E4+1.16</f>
        <v>11.399999999999999</v>
      </c>
      <c r="H4" t="s">
        <v>124</v>
      </c>
      <c r="J4" t="s">
        <v>50</v>
      </c>
      <c r="S4" s="61">
        <f>5.25/23.75</f>
        <v>0.22105263157894736</v>
      </c>
      <c r="T4" s="62" t="s">
        <v>53</v>
      </c>
      <c r="W4" t="s">
        <v>58</v>
      </c>
      <c r="X4" t="s">
        <v>59</v>
      </c>
      <c r="Y4" t="s">
        <v>60</v>
      </c>
    </row>
    <row r="5" spans="1:25" x14ac:dyDescent="0.35">
      <c r="A5" t="s">
        <v>93</v>
      </c>
      <c r="B5">
        <v>4</v>
      </c>
      <c r="C5" t="s">
        <v>54</v>
      </c>
      <c r="D5" t="s">
        <v>52</v>
      </c>
      <c r="E5" s="65">
        <f>(16/100)*(16/12)</f>
        <v>0.21333333333333332</v>
      </c>
      <c r="F5" s="60">
        <f>B5*E5</f>
        <v>0.85333333333333328</v>
      </c>
      <c r="G5" s="60">
        <f>8*F5</f>
        <v>6.8266666666666662</v>
      </c>
      <c r="M5">
        <v>6</v>
      </c>
      <c r="N5" t="s">
        <v>54</v>
      </c>
      <c r="O5" t="s">
        <v>57</v>
      </c>
      <c r="P5" s="65">
        <v>0.31</v>
      </c>
      <c r="Q5" s="60">
        <f>M5*P5</f>
        <v>1.8599999999999999</v>
      </c>
      <c r="S5">
        <f>10/32.375</f>
        <v>0.30888030888030887</v>
      </c>
      <c r="T5" t="s">
        <v>53</v>
      </c>
      <c r="W5">
        <f>(0.75*1.5)/(12^3)</f>
        <v>6.5104166666666663E-4</v>
      </c>
      <c r="X5">
        <v>30</v>
      </c>
      <c r="Y5">
        <f>W5*X5*16</f>
        <v>0.3125</v>
      </c>
    </row>
    <row r="6" spans="1:25" x14ac:dyDescent="0.35">
      <c r="A6" t="s">
        <v>96</v>
      </c>
      <c r="B6">
        <v>6</v>
      </c>
      <c r="C6" t="s">
        <v>97</v>
      </c>
      <c r="D6" t="s">
        <v>98</v>
      </c>
      <c r="E6">
        <f>(15*16)/(250*12)</f>
        <v>0.08</v>
      </c>
      <c r="F6" s="60">
        <f>B6*E6</f>
        <v>0.48</v>
      </c>
      <c r="G6">
        <f>6*F6</f>
        <v>2.88</v>
      </c>
      <c r="J6" t="s">
        <v>101</v>
      </c>
      <c r="L6" t="s">
        <v>136</v>
      </c>
    </row>
    <row r="8" spans="1:25" x14ac:dyDescent="0.35">
      <c r="P8" t="s">
        <v>116</v>
      </c>
      <c r="Q8" t="s">
        <v>117</v>
      </c>
      <c r="R8" t="s">
        <v>118</v>
      </c>
      <c r="S8" t="s">
        <v>59</v>
      </c>
    </row>
    <row r="9" spans="1:25" x14ac:dyDescent="0.35">
      <c r="O9" t="s">
        <v>115</v>
      </c>
      <c r="P9">
        <v>5.125</v>
      </c>
      <c r="Q9">
        <f>0.125*6*11.75</f>
        <v>8.8125</v>
      </c>
      <c r="R9">
        <f>(P9/16)/Q9</f>
        <v>3.6347517730496451E-2</v>
      </c>
      <c r="S9">
        <f>R9*12^3</f>
        <v>62.808510638297868</v>
      </c>
      <c r="V9">
        <f>0.125*15*6</f>
        <v>11.25</v>
      </c>
      <c r="W9">
        <f>V9*R9</f>
        <v>0.40890957446808507</v>
      </c>
    </row>
    <row r="10" spans="1:25" x14ac:dyDescent="0.35">
      <c r="O10" t="s">
        <v>119</v>
      </c>
      <c r="P10">
        <v>2.5</v>
      </c>
      <c r="Q10">
        <f>4*(6*10.625+4*0.375)*0.125</f>
        <v>32.625</v>
      </c>
      <c r="R10">
        <f>(P10/16)/Q10</f>
        <v>4.7892720306513406E-3</v>
      </c>
      <c r="S10">
        <f>R10*12^3</f>
        <v>8.275862068965516</v>
      </c>
    </row>
    <row r="11" spans="1:25" x14ac:dyDescent="0.35">
      <c r="P11">
        <f>P10/16</f>
        <v>0.15625</v>
      </c>
    </row>
    <row r="13" spans="1:25" x14ac:dyDescent="0.35">
      <c r="O13" t="s">
        <v>32</v>
      </c>
      <c r="P13" t="s">
        <v>123</v>
      </c>
    </row>
    <row r="14" spans="1:25" x14ac:dyDescent="0.35">
      <c r="O14" t="s">
        <v>120</v>
      </c>
      <c r="P14" t="s">
        <v>59</v>
      </c>
      <c r="Q14" t="s">
        <v>121</v>
      </c>
      <c r="R14" t="s">
        <v>122</v>
      </c>
    </row>
    <row r="15" spans="1:25" x14ac:dyDescent="0.35">
      <c r="N15" t="s">
        <v>15</v>
      </c>
      <c r="O15">
        <f>PI()*(0.84^2-0.62^2)/4</f>
        <v>0.25226989008326028</v>
      </c>
      <c r="P15">
        <v>81.16</v>
      </c>
      <c r="Q15">
        <f>P15*16/(12^3)</f>
        <v>0.75148148148148142</v>
      </c>
      <c r="R15">
        <f>4*O15*Q15</f>
        <v>0.75830460293175561</v>
      </c>
    </row>
    <row r="16" spans="1:25" ht="29" x14ac:dyDescent="0.35">
      <c r="D16" s="6" t="s">
        <v>106</v>
      </c>
      <c r="E16" s="8" t="s">
        <v>84</v>
      </c>
      <c r="F16" s="66" t="s">
        <v>108</v>
      </c>
      <c r="G16" s="66" t="s">
        <v>107</v>
      </c>
      <c r="P16">
        <f>P15/(12^3)</f>
        <v>4.6967592592592589E-2</v>
      </c>
    </row>
    <row r="17" spans="4:22" x14ac:dyDescent="0.35">
      <c r="D17" s="6" t="s">
        <v>102</v>
      </c>
      <c r="E17" s="6">
        <v>3</v>
      </c>
      <c r="F17" s="67">
        <f>E2</f>
        <v>4.125</v>
      </c>
      <c r="G17" s="67">
        <f>E17*F17</f>
        <v>12.375</v>
      </c>
      <c r="Q17">
        <f>0.05*16</f>
        <v>0.8</v>
      </c>
      <c r="R17">
        <f>O15*Q17</f>
        <v>0.20181591206660823</v>
      </c>
    </row>
    <row r="18" spans="4:22" x14ac:dyDescent="0.35">
      <c r="D18" s="6" t="s">
        <v>105</v>
      </c>
      <c r="E18" s="6">
        <v>25</v>
      </c>
      <c r="F18" s="67">
        <f>E3</f>
        <v>0.24</v>
      </c>
      <c r="G18" s="67">
        <f t="shared" ref="G18:G21" si="0">E18*F18</f>
        <v>6</v>
      </c>
    </row>
    <row r="19" spans="4:22" x14ac:dyDescent="0.35">
      <c r="D19" s="6" t="s">
        <v>92</v>
      </c>
      <c r="E19" s="6">
        <v>1</v>
      </c>
      <c r="F19" s="67">
        <f>F4</f>
        <v>11.399999999999999</v>
      </c>
      <c r="G19" s="67">
        <f t="shared" si="0"/>
        <v>11.399999999999999</v>
      </c>
      <c r="T19">
        <f>2*4*0.125*2</f>
        <v>2</v>
      </c>
      <c r="U19">
        <f>T19*R9</f>
        <v>7.2695035460992902E-2</v>
      </c>
      <c r="V19">
        <f>U19*16</f>
        <v>1.1631205673758864</v>
      </c>
    </row>
    <row r="20" spans="4:22" x14ac:dyDescent="0.35">
      <c r="D20" s="6" t="s">
        <v>104</v>
      </c>
      <c r="E20" s="6">
        <v>8</v>
      </c>
      <c r="F20" s="67">
        <f>F5</f>
        <v>0.85333333333333328</v>
      </c>
      <c r="G20" s="67">
        <f t="shared" si="0"/>
        <v>6.8266666666666662</v>
      </c>
    </row>
    <row r="21" spans="4:22" x14ac:dyDescent="0.35">
      <c r="D21" s="6" t="s">
        <v>103</v>
      </c>
      <c r="E21" s="6">
        <v>6</v>
      </c>
      <c r="F21" s="67">
        <f>F6</f>
        <v>0.48</v>
      </c>
      <c r="G21" s="67">
        <f t="shared" si="0"/>
        <v>2.88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254A-010E-4AA8-86B6-2EE91A33D88E}">
  <dimension ref="A2:N35"/>
  <sheetViews>
    <sheetView workbookViewId="0">
      <selection activeCell="H21" sqref="H21"/>
    </sheetView>
  </sheetViews>
  <sheetFormatPr defaultRowHeight="14.5" x14ac:dyDescent="0.35"/>
  <sheetData>
    <row r="2" spans="1:14" x14ac:dyDescent="0.35">
      <c r="A2" t="s">
        <v>22</v>
      </c>
      <c r="B2" t="s">
        <v>28</v>
      </c>
      <c r="C2">
        <v>8</v>
      </c>
      <c r="D2" t="s">
        <v>23</v>
      </c>
    </row>
    <row r="3" spans="1:14" x14ac:dyDescent="0.35">
      <c r="B3" t="s">
        <v>28</v>
      </c>
      <c r="C3">
        <v>3</v>
      </c>
      <c r="D3" t="s">
        <v>24</v>
      </c>
    </row>
    <row r="4" spans="1:14" x14ac:dyDescent="0.35">
      <c r="B4" t="s">
        <v>27</v>
      </c>
      <c r="C4">
        <v>3</v>
      </c>
      <c r="D4" t="s">
        <v>24</v>
      </c>
    </row>
    <row r="5" spans="1:14" x14ac:dyDescent="0.35">
      <c r="B5" t="s">
        <v>26</v>
      </c>
      <c r="C5">
        <v>1</v>
      </c>
      <c r="D5" t="s">
        <v>25</v>
      </c>
    </row>
    <row r="6" spans="1:14" x14ac:dyDescent="0.35">
      <c r="B6" t="s">
        <v>28</v>
      </c>
      <c r="C6">
        <v>8</v>
      </c>
      <c r="D6" t="s">
        <v>78</v>
      </c>
    </row>
    <row r="7" spans="1:14" x14ac:dyDescent="0.35">
      <c r="B7" t="s">
        <v>28</v>
      </c>
      <c r="C7">
        <v>8</v>
      </c>
      <c r="D7" t="s">
        <v>79</v>
      </c>
    </row>
    <row r="8" spans="1:14" x14ac:dyDescent="0.35">
      <c r="B8" t="s">
        <v>28</v>
      </c>
      <c r="C8">
        <v>2</v>
      </c>
      <c r="D8" t="s">
        <v>80</v>
      </c>
    </row>
    <row r="9" spans="1:14" x14ac:dyDescent="0.35">
      <c r="B9" t="s">
        <v>33</v>
      </c>
      <c r="C9">
        <v>2</v>
      </c>
    </row>
    <row r="10" spans="1:14" x14ac:dyDescent="0.35">
      <c r="C10" t="s">
        <v>84</v>
      </c>
      <c r="D10" t="s">
        <v>83</v>
      </c>
      <c r="E10" t="s">
        <v>82</v>
      </c>
    </row>
    <row r="11" spans="1:14" x14ac:dyDescent="0.35">
      <c r="A11" t="s">
        <v>76</v>
      </c>
      <c r="B11" t="s">
        <v>28</v>
      </c>
      <c r="C11">
        <v>2</v>
      </c>
      <c r="D11">
        <v>5.75</v>
      </c>
      <c r="E11">
        <f>C11*D11</f>
        <v>11.5</v>
      </c>
      <c r="G11" t="s">
        <v>36</v>
      </c>
      <c r="H11">
        <f>SUM(E11:E12)</f>
        <v>11.5</v>
      </c>
    </row>
    <row r="13" spans="1:14" x14ac:dyDescent="0.35">
      <c r="A13" t="s">
        <v>29</v>
      </c>
      <c r="B13" t="s">
        <v>75</v>
      </c>
      <c r="C13">
        <v>1</v>
      </c>
      <c r="D13">
        <v>4</v>
      </c>
      <c r="E13">
        <f>C13*D13</f>
        <v>4</v>
      </c>
      <c r="G13" t="s">
        <v>36</v>
      </c>
      <c r="H13">
        <f>SUM(E13:E14)</f>
        <v>10</v>
      </c>
    </row>
    <row r="14" spans="1:14" x14ac:dyDescent="0.35">
      <c r="C14">
        <v>1</v>
      </c>
      <c r="D14">
        <v>6</v>
      </c>
      <c r="E14">
        <f>C14*D14</f>
        <v>6</v>
      </c>
    </row>
    <row r="15" spans="1:14" x14ac:dyDescent="0.35">
      <c r="N15">
        <f>96/3</f>
        <v>32</v>
      </c>
    </row>
    <row r="16" spans="1:14" x14ac:dyDescent="0.35">
      <c r="A16" t="s">
        <v>30</v>
      </c>
      <c r="B16" t="s">
        <v>31</v>
      </c>
      <c r="C16">
        <v>3</v>
      </c>
      <c r="D16">
        <v>3.5</v>
      </c>
      <c r="E16">
        <f>C16*D16</f>
        <v>10.5</v>
      </c>
      <c r="G16" t="s">
        <v>36</v>
      </c>
      <c r="H16">
        <f>SUM(E16:E19)</f>
        <v>46</v>
      </c>
      <c r="I16">
        <f>H16/96</f>
        <v>0.47916666666666669</v>
      </c>
    </row>
    <row r="17" spans="1:8" x14ac:dyDescent="0.35">
      <c r="B17" t="s">
        <v>37</v>
      </c>
      <c r="C17">
        <v>2</v>
      </c>
      <c r="D17">
        <v>3.5</v>
      </c>
      <c r="E17">
        <f>C17*D17</f>
        <v>7</v>
      </c>
    </row>
    <row r="18" spans="1:8" x14ac:dyDescent="0.35">
      <c r="B18" t="s">
        <v>44</v>
      </c>
      <c r="C18">
        <v>7</v>
      </c>
      <c r="D18">
        <v>3.5</v>
      </c>
      <c r="E18">
        <f>C18*D18</f>
        <v>24.5</v>
      </c>
    </row>
    <row r="19" spans="1:8" x14ac:dyDescent="0.35">
      <c r="B19" t="s">
        <v>77</v>
      </c>
      <c r="C19">
        <v>1</v>
      </c>
      <c r="D19">
        <v>4</v>
      </c>
      <c r="E19">
        <f>C19*D19</f>
        <v>4</v>
      </c>
    </row>
    <row r="21" spans="1:8" x14ac:dyDescent="0.35">
      <c r="A21" t="s">
        <v>32</v>
      </c>
      <c r="B21" t="s">
        <v>31</v>
      </c>
      <c r="C21">
        <v>3</v>
      </c>
      <c r="D21">
        <v>18</v>
      </c>
      <c r="E21">
        <f t="shared" ref="E21:E28" si="0">C21*D21</f>
        <v>54</v>
      </c>
      <c r="G21" t="s">
        <v>36</v>
      </c>
      <c r="H21">
        <f>SUM(E21:E25)</f>
        <v>154</v>
      </c>
    </row>
    <row r="22" spans="1:8" x14ac:dyDescent="0.35">
      <c r="B22" t="s">
        <v>33</v>
      </c>
      <c r="C22">
        <v>5</v>
      </c>
      <c r="D22">
        <v>8</v>
      </c>
      <c r="E22">
        <f t="shared" si="0"/>
        <v>40</v>
      </c>
    </row>
    <row r="23" spans="1:8" x14ac:dyDescent="0.35">
      <c r="B23" t="s">
        <v>37</v>
      </c>
      <c r="C23">
        <v>1</v>
      </c>
      <c r="D23">
        <v>12</v>
      </c>
      <c r="E23">
        <f t="shared" si="0"/>
        <v>12</v>
      </c>
    </row>
    <row r="24" spans="1:8" x14ac:dyDescent="0.35">
      <c r="B24" t="s">
        <v>37</v>
      </c>
      <c r="C24">
        <v>1</v>
      </c>
      <c r="D24">
        <v>16</v>
      </c>
      <c r="E24">
        <f t="shared" si="0"/>
        <v>16</v>
      </c>
    </row>
    <row r="25" spans="1:8" x14ac:dyDescent="0.35">
      <c r="B25" t="s">
        <v>81</v>
      </c>
      <c r="C25">
        <v>8</v>
      </c>
      <c r="D25">
        <v>4</v>
      </c>
      <c r="E25">
        <f t="shared" si="0"/>
        <v>32</v>
      </c>
    </row>
    <row r="27" spans="1:8" x14ac:dyDescent="0.35">
      <c r="A27" t="s">
        <v>74</v>
      </c>
      <c r="B27" t="s">
        <v>26</v>
      </c>
      <c r="C27">
        <v>2</v>
      </c>
      <c r="D27">
        <v>6</v>
      </c>
      <c r="E27">
        <f t="shared" si="0"/>
        <v>12</v>
      </c>
      <c r="G27" t="s">
        <v>36</v>
      </c>
      <c r="H27">
        <f>SUM(E27:E28)</f>
        <v>18</v>
      </c>
    </row>
    <row r="28" spans="1:8" x14ac:dyDescent="0.35">
      <c r="B28" t="s">
        <v>75</v>
      </c>
      <c r="C28">
        <v>1</v>
      </c>
      <c r="D28">
        <v>6</v>
      </c>
      <c r="E28">
        <f t="shared" si="0"/>
        <v>6</v>
      </c>
    </row>
    <row r="29" spans="1:8" x14ac:dyDescent="0.35">
      <c r="A29" t="s">
        <v>34</v>
      </c>
    </row>
    <row r="31" spans="1:8" x14ac:dyDescent="0.35">
      <c r="A31" t="s">
        <v>35</v>
      </c>
      <c r="B31" t="s">
        <v>81</v>
      </c>
      <c r="C31">
        <v>25</v>
      </c>
    </row>
    <row r="35" spans="1:1" x14ac:dyDescent="0.35">
      <c r="A35">
        <f>97.75/4.875</f>
        <v>20.051282051282051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BOM</vt:lpstr>
      <vt:lpstr>Field Kit List</vt:lpstr>
      <vt:lpstr>weights</vt:lpstr>
      <vt:lpstr>Part Estimate</vt:lpstr>
      <vt:lpstr>BOM!Print_Area</vt:lpstr>
      <vt:lpstr>'Field Kit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Grimley</dc:creator>
  <cp:lastModifiedBy>Terry Grimley</cp:lastModifiedBy>
  <cp:lastPrinted>2021-07-21T18:09:04Z</cp:lastPrinted>
  <dcterms:created xsi:type="dcterms:W3CDTF">2019-02-16T02:04:37Z</dcterms:created>
  <dcterms:modified xsi:type="dcterms:W3CDTF">2021-07-21T18:09:20Z</dcterms:modified>
</cp:coreProperties>
</file>