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ink/ink1.xml" ContentType="application/inkml+xml"/>
  <Override PartName="/xl/ink/ink2.xml" ContentType="application/inkml+xml"/>
  <Override PartName="/xl/drawings/drawing28.xml" ContentType="application/vnd.openxmlformats-officedocument.drawing+xml"/>
  <Override PartName="/xl/drawings/drawing29.xml" ContentType="application/vnd.openxmlformats-officedocument.drawing+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drawings/drawing30.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intel-my.sharepoint.com/personal/dheera_rajan_intel_com/Documents/Dheera/Projects/PDGs/NVL_UH/"/>
    </mc:Choice>
  </mc:AlternateContent>
  <xr:revisionPtr revIDLastSave="0" documentId="8_{3DC15C5F-8502-4A67-B199-0520EB69233C}" xr6:coauthVersionLast="47" xr6:coauthVersionMax="47" xr10:uidLastSave="{00000000-0000-0000-0000-000000000000}"/>
  <workbookProtection workbookAlgorithmName="SHA-512" workbookHashValue="EfaC7EZbJGK56JiIfCHNfzqHO2m1n/yF3LYuKm6Ke24NpTYHltO7wEfYmwJJnprM/APuE2zBHTat5GA8Aq23BA==" workbookSaltValue="qsPHqbccgo/o+feIKOqaZg==" workbookSpinCount="100000" lockStructure="1"/>
  <bookViews>
    <workbookView xWindow="-110" yWindow="-110" windowWidth="19420" windowHeight="11500" tabRatio="678" xr2:uid="{F7226584-0C3D-4FF6-9B2C-FDFDBB2489FE}"/>
  </bookViews>
  <sheets>
    <sheet name="Legal Disclaimer" sheetId="80" r:id="rId1"/>
    <sheet name="Revision History" sheetId="75" r:id="rId2"/>
    <sheet name="Instructions" sheetId="76" r:id="rId3"/>
    <sheet name="General Design Guidelines" sheetId="74" r:id="rId4"/>
    <sheet name="I2C Standard Mode" sheetId="111" state="hidden" r:id="rId5"/>
    <sheet name="Summary" sheetId="15" r:id="rId6"/>
    <sheet name="I2C Fast Mode" sheetId="121" state="hidden" r:id="rId7"/>
    <sheet name="DOE" sheetId="122" state="hidden" r:id="rId8"/>
    <sheet name="I2C Fast Mode Plus" sheetId="109" state="hidden" r:id="rId9"/>
    <sheet name="I2C STD (HS1.7 Data compatible)" sheetId="107" state="hidden" r:id="rId10"/>
    <sheet name="I2C FST (HS1.7 Data compatible)" sheetId="106" state="hidden" r:id="rId11"/>
    <sheet name="I2C High Speed 1.7MHz - DATA" sheetId="105" state="hidden" r:id="rId12"/>
    <sheet name="I2C STD (HS1.7 CLK compatible)" sheetId="104" state="hidden" r:id="rId13"/>
    <sheet name="I2C FST (HS1.7 CLK compatible)" sheetId="103" state="hidden" r:id="rId14"/>
    <sheet name="I2C High Speed 1.7MHz - CLK" sheetId="95" state="hidden" r:id="rId15"/>
    <sheet name="I2C STD (HS3.4 DATA compatible)" sheetId="97" state="hidden" r:id="rId16"/>
    <sheet name="I2C FST (HS3.4 DATA compatible)" sheetId="98" state="hidden" r:id="rId17"/>
    <sheet name="I2C High Speed 3.4MHz - DATA" sheetId="99" state="hidden" r:id="rId18"/>
    <sheet name="I2C STD (HS3.4 CLK compatible)" sheetId="100" state="hidden" r:id="rId19"/>
    <sheet name="I2C FST (HS3.4 CLK compatible)" sheetId="101" state="hidden" r:id="rId20"/>
    <sheet name="I2C High Speed 3.4MHz - CLK" sheetId="102" state="hidden" r:id="rId21"/>
    <sheet name="SMLink Standard Mode" sheetId="112" state="hidden" r:id="rId22"/>
    <sheet name="SMLink Fast Mode" sheetId="114" state="hidden" r:id="rId23"/>
    <sheet name="SMLink Fast Mode Plus" sheetId="115" state="hidden" r:id="rId24"/>
    <sheet name="DDR5 SPD Standard Mode" sheetId="116" state="hidden" r:id="rId25"/>
    <sheet name="DDR5 SPD Fast Mode" sheetId="117" state="hidden" r:id="rId26"/>
    <sheet name="DDR5 SPD Fast Mode Plus" sheetId="118" state="hidden" r:id="rId27"/>
    <sheet name="Display I2C" sheetId="119" state="hidden" r:id="rId28"/>
    <sheet name="Deriving 2dev formula" sheetId="6" state="hidden" r:id="rId29"/>
    <sheet name="Deriving 3dev formula" sheetId="9" state="hidden" r:id="rId30"/>
    <sheet name="Other info" sheetId="10" state="hidden" r:id="rId31"/>
    <sheet name="i2c_current_assist" sheetId="12" state="hidden" r:id="rId32"/>
    <sheet name="Log" sheetId="48" state="hidden" r:id="rId33"/>
  </sheets>
  <externalReferences>
    <externalReference r:id="rId34"/>
    <externalReference r:id="rId35"/>
  </externalReferences>
  <definedNames>
    <definedName name="a" localSheetId="25">#REF!</definedName>
    <definedName name="a" localSheetId="26">#REF!</definedName>
    <definedName name="a" localSheetId="24">#REF!</definedName>
    <definedName name="a" localSheetId="27">#REF!</definedName>
    <definedName name="a" localSheetId="6">#REF!</definedName>
    <definedName name="a" localSheetId="13">#REF!</definedName>
    <definedName name="a" localSheetId="10">#REF!</definedName>
    <definedName name="a" localSheetId="19">#REF!</definedName>
    <definedName name="a" localSheetId="11">#REF!</definedName>
    <definedName name="a" localSheetId="20">#REF!</definedName>
    <definedName name="a" localSheetId="4">#REF!</definedName>
    <definedName name="a" localSheetId="12">#REF!</definedName>
    <definedName name="a" localSheetId="9">#REF!</definedName>
    <definedName name="a" localSheetId="22">#REF!</definedName>
    <definedName name="a" localSheetId="23">#REF!</definedName>
    <definedName name="a" localSheetId="21">#REF!</definedName>
    <definedName name="a">#REF!</definedName>
    <definedName name="aa" localSheetId="25">#REF!</definedName>
    <definedName name="aa" localSheetId="26">#REF!</definedName>
    <definedName name="aa" localSheetId="24">#REF!</definedName>
    <definedName name="aa" localSheetId="27">#REF!</definedName>
    <definedName name="aa" localSheetId="6">#REF!</definedName>
    <definedName name="aa" localSheetId="13">#REF!</definedName>
    <definedName name="aa" localSheetId="10">#REF!</definedName>
    <definedName name="aa" localSheetId="19">#REF!</definedName>
    <definedName name="aa" localSheetId="11">#REF!</definedName>
    <definedName name="aa" localSheetId="20">#REF!</definedName>
    <definedName name="aa" localSheetId="4">#REF!</definedName>
    <definedName name="aa" localSheetId="12">#REF!</definedName>
    <definedName name="aa" localSheetId="9">#REF!</definedName>
    <definedName name="aa" localSheetId="22">#REF!</definedName>
    <definedName name="aa" localSheetId="23">#REF!</definedName>
    <definedName name="aa" localSheetId="21">#REF!</definedName>
    <definedName name="aa">#REF!</definedName>
    <definedName name="amr\atan33" publishToServer="1">'[1]LPT POR Schedule'!$A$4:$G$29</definedName>
    <definedName name="amr\celggren" publishToServer="1">'[1]LPT POR Schedule'!$A$4:$G$29</definedName>
    <definedName name="amr\cgoodnes" publishToServer="1">'[1]LPT POR Schedule'!$A$4:$G$29</definedName>
    <definedName name="amr\csharon" publishToServer="1">'[1]LPT POR Schedule'!$A$4:$G$29</definedName>
    <definedName name="amr\DSBRANNA" publishToServer="1">'[1]LPT POR Schedule'!$A$4:$G$29</definedName>
    <definedName name="amr\fsafi" publishToServer="1">'[1]LPT POR Schedule'!$A$4:$G$29</definedName>
    <definedName name="amr\glsylves" publishToServer="1">'[1]LPT POR Schedule'!$A$4:$G$29</definedName>
    <definedName name="amr\griffin" publishToServer="1">'[1]LPT POR Schedule'!$A$4:$G$29</definedName>
    <definedName name="amr\JASTARBU" publishToServer="1">'[1]LPT POR Schedule'!$A$4:$G$29</definedName>
    <definedName name="amr\jbenen" publishToServer="1">'[1]LPT POR Schedule'!$A$4:$G$29</definedName>
    <definedName name="amr\jpjohnso" publishToServer="1">'[1]LPT POR Schedule'!$A$4:$G$29</definedName>
    <definedName name="amr\jrthomp1" publishToServer="1">'[1]LPT POR Schedule'!$A$4:$G$29</definedName>
    <definedName name="amr\KDBRUNE" publishToServer="1">'[1]LPT POR Schedule'!$A$4:$G$29</definedName>
    <definedName name="amr\llbrown" publishToServer="1">'[1]LPT POR Schedule'!$A$4:$G$29</definedName>
    <definedName name="amr\mcamacho" publishToServer="1">'[1]LPT POR Schedule'!$A$4:$G$29</definedName>
    <definedName name="amr\mcho" publishToServer="1">'[1]LPT POR Schedule'!$A$4:$G$29</definedName>
    <definedName name="amr\menahemz" publishToServer="1">'[1]LPT POR Schedule'!$A$4:$G$29</definedName>
    <definedName name="amr\mfar" publishToServer="1">'[1]LPT POR Schedule'!$A$4:$G$29</definedName>
    <definedName name="amr\mlui" publishToServer="1">'[1]LPT POR Schedule'!$A$4:$G$29</definedName>
    <definedName name="amr\NGOLLAKO" publishToServer="1">'[1]LPT POR Schedule'!$A$4:$G$29</definedName>
    <definedName name="amr\pajolly" publishToServer="1">'[1]LPT POR Schedule'!$A$4:$G$29</definedName>
    <definedName name="amr\rtan2" publishToServer="1">'[1]LPT POR Schedule'!$A$4:$C$29</definedName>
    <definedName name="amr\ssmehta" publishToServer="1">'[1]LPT POR Schedule'!$A$4:$G$29</definedName>
    <definedName name="amr\wanderso" publishToServer="1">'[1]LPT POR Schedule'!$A$4:$G$29</definedName>
    <definedName name="amr\zlevy" publishToServer="1">'[1]LPT POR Schedule'!$A$4:$G$29</definedName>
    <definedName name="asas" localSheetId="25">#REF!</definedName>
    <definedName name="asas" localSheetId="26">#REF!</definedName>
    <definedName name="asas" localSheetId="24">#REF!</definedName>
    <definedName name="asas" localSheetId="27">#REF!</definedName>
    <definedName name="asas" localSheetId="6">#REF!</definedName>
    <definedName name="asas" localSheetId="13">#REF!</definedName>
    <definedName name="asas" localSheetId="10">#REF!</definedName>
    <definedName name="asas" localSheetId="19">#REF!</definedName>
    <definedName name="asas" localSheetId="11">#REF!</definedName>
    <definedName name="asas" localSheetId="20">#REF!</definedName>
    <definedName name="asas" localSheetId="4">#REF!</definedName>
    <definedName name="asas" localSheetId="12">#REF!</definedName>
    <definedName name="asas" localSheetId="9">#REF!</definedName>
    <definedName name="asas" localSheetId="22">#REF!</definedName>
    <definedName name="asas" localSheetId="23">#REF!</definedName>
    <definedName name="asas" localSheetId="21">#REF!</definedName>
    <definedName name="asas">#REF!</definedName>
    <definedName name="currentww" localSheetId="25">#REF!</definedName>
    <definedName name="currentww" localSheetId="26">#REF!</definedName>
    <definedName name="currentww" localSheetId="24">#REF!</definedName>
    <definedName name="currentww" localSheetId="27">#REF!</definedName>
    <definedName name="currentww" localSheetId="6">#REF!</definedName>
    <definedName name="currentww" localSheetId="13">#REF!</definedName>
    <definedName name="currentww" localSheetId="10">#REF!</definedName>
    <definedName name="currentww" localSheetId="19">#REF!</definedName>
    <definedName name="currentww" localSheetId="11">#REF!</definedName>
    <definedName name="currentww" localSheetId="20">#REF!</definedName>
    <definedName name="currentww" localSheetId="4">#REF!</definedName>
    <definedName name="currentww" localSheetId="12">#REF!</definedName>
    <definedName name="currentww" localSheetId="9">#REF!</definedName>
    <definedName name="currentww" localSheetId="22">#REF!</definedName>
    <definedName name="currentww" localSheetId="23">#REF!</definedName>
    <definedName name="currentww" localSheetId="21">#REF!</definedName>
    <definedName name="currentww">#REF!</definedName>
    <definedName name="d" localSheetId="25">#REF!</definedName>
    <definedName name="d" localSheetId="26">#REF!</definedName>
    <definedName name="d" localSheetId="24">#REF!</definedName>
    <definedName name="d" localSheetId="27">#REF!</definedName>
    <definedName name="d" localSheetId="6">#REF!</definedName>
    <definedName name="d" localSheetId="13">#REF!</definedName>
    <definedName name="d" localSheetId="10">#REF!</definedName>
    <definedName name="d" localSheetId="19">#REF!</definedName>
    <definedName name="d" localSheetId="11">#REF!</definedName>
    <definedName name="d" localSheetId="20">#REF!</definedName>
    <definedName name="d" localSheetId="4">#REF!</definedName>
    <definedName name="d" localSheetId="12">#REF!</definedName>
    <definedName name="d" localSheetId="9">#REF!</definedName>
    <definedName name="d" localSheetId="22">#REF!</definedName>
    <definedName name="d" localSheetId="23">#REF!</definedName>
    <definedName name="d" localSheetId="21">#REF!</definedName>
    <definedName name="d">#REF!</definedName>
    <definedName name="DIMM" localSheetId="25">#REF!</definedName>
    <definedName name="DIMM" localSheetId="26">#REF!</definedName>
    <definedName name="DIMM" localSheetId="24">#REF!</definedName>
    <definedName name="DIMM" localSheetId="27">#REF!</definedName>
    <definedName name="DIMM" localSheetId="6">#REF!</definedName>
    <definedName name="DIMM" localSheetId="13">#REF!</definedName>
    <definedName name="DIMM" localSheetId="10">#REF!</definedName>
    <definedName name="DIMM" localSheetId="19">#REF!</definedName>
    <definedName name="DIMM" localSheetId="11">#REF!</definedName>
    <definedName name="DIMM" localSheetId="20">#REF!</definedName>
    <definedName name="DIMM" localSheetId="4">#REF!</definedName>
    <definedName name="DIMM" localSheetId="12">#REF!</definedName>
    <definedName name="DIMM" localSheetId="9">#REF!</definedName>
    <definedName name="DIMM" localSheetId="22">#REF!</definedName>
    <definedName name="DIMM" localSheetId="23">#REF!</definedName>
    <definedName name="DIMM" localSheetId="21">#REF!</definedName>
    <definedName name="DIMM">#REF!</definedName>
    <definedName name="DIMM2" localSheetId="25">#REF!</definedName>
    <definedName name="DIMM2" localSheetId="26">#REF!</definedName>
    <definedName name="DIMM2" localSheetId="24">#REF!</definedName>
    <definedName name="DIMM2" localSheetId="27">#REF!</definedName>
    <definedName name="DIMM2" localSheetId="6">#REF!</definedName>
    <definedName name="DIMM2" localSheetId="13">#REF!</definedName>
    <definedName name="DIMM2" localSheetId="10">#REF!</definedName>
    <definedName name="DIMM2" localSheetId="19">#REF!</definedName>
    <definedName name="DIMM2" localSheetId="11">#REF!</definedName>
    <definedName name="DIMM2" localSheetId="20">#REF!</definedName>
    <definedName name="DIMM2" localSheetId="4">#REF!</definedName>
    <definedName name="DIMM2" localSheetId="12">#REF!</definedName>
    <definedName name="DIMM2" localSheetId="9">#REF!</definedName>
    <definedName name="DIMM2" localSheetId="22">#REF!</definedName>
    <definedName name="DIMM2" localSheetId="23">#REF!</definedName>
    <definedName name="DIMM2" localSheetId="21">#REF!</definedName>
    <definedName name="DIMM2">#REF!</definedName>
    <definedName name="DOE_PCB_sub" localSheetId="25">#REF!</definedName>
    <definedName name="DOE_PCB_sub" localSheetId="26">#REF!</definedName>
    <definedName name="DOE_PCB_sub" localSheetId="24">#REF!</definedName>
    <definedName name="DOE_PCB_sub" localSheetId="27">#REF!</definedName>
    <definedName name="DOE_PCB_sub" localSheetId="6">#REF!</definedName>
    <definedName name="DOE_PCB_sub" localSheetId="13">#REF!</definedName>
    <definedName name="DOE_PCB_sub" localSheetId="10">#REF!</definedName>
    <definedName name="DOE_PCB_sub" localSheetId="19">#REF!</definedName>
    <definedName name="DOE_PCB_sub" localSheetId="11">#REF!</definedName>
    <definedName name="DOE_PCB_sub" localSheetId="20">#REF!</definedName>
    <definedName name="DOE_PCB_sub" localSheetId="4">#REF!</definedName>
    <definedName name="DOE_PCB_sub" localSheetId="12">#REF!</definedName>
    <definedName name="DOE_PCB_sub" localSheetId="9">#REF!</definedName>
    <definedName name="DOE_PCB_sub" localSheetId="22">#REF!</definedName>
    <definedName name="DOE_PCB_sub" localSheetId="23">#REF!</definedName>
    <definedName name="DOE_PCB_sub" localSheetId="21">#REF!</definedName>
    <definedName name="DOE_PCB_sub">#REF!</definedName>
    <definedName name="evmc" localSheetId="25">#REF!</definedName>
    <definedName name="evmc" localSheetId="26">#REF!</definedName>
    <definedName name="evmc" localSheetId="24">#REF!</definedName>
    <definedName name="evmc" localSheetId="27">#REF!</definedName>
    <definedName name="evmc" localSheetId="6">#REF!</definedName>
    <definedName name="evmc" localSheetId="13">#REF!</definedName>
    <definedName name="evmc" localSheetId="10">#REF!</definedName>
    <definedName name="evmc" localSheetId="19">#REF!</definedName>
    <definedName name="evmc" localSheetId="11">#REF!</definedName>
    <definedName name="evmc" localSheetId="20">#REF!</definedName>
    <definedName name="evmc" localSheetId="4">#REF!</definedName>
    <definedName name="evmc" localSheetId="12">#REF!</definedName>
    <definedName name="evmc" localSheetId="9">#REF!</definedName>
    <definedName name="evmc" localSheetId="22">#REF!</definedName>
    <definedName name="evmc" localSheetId="23">#REF!</definedName>
    <definedName name="evmc" localSheetId="21">#REF!</definedName>
    <definedName name="evmc">#REF!</definedName>
    <definedName name="EVMC_CON_REFDES" localSheetId="25">#REF!</definedName>
    <definedName name="EVMC_CON_REFDES" localSheetId="26">#REF!</definedName>
    <definedName name="EVMC_CON_REFDES" localSheetId="24">#REF!</definedName>
    <definedName name="EVMC_CON_REFDES" localSheetId="27">#REF!</definedName>
    <definedName name="EVMC_CON_REFDES" localSheetId="6">#REF!</definedName>
    <definedName name="EVMC_CON_REFDES" localSheetId="13">#REF!</definedName>
    <definedName name="EVMC_CON_REFDES" localSheetId="10">#REF!</definedName>
    <definedName name="EVMC_CON_REFDES" localSheetId="19">#REF!</definedName>
    <definedName name="EVMC_CON_REFDES" localSheetId="11">#REF!</definedName>
    <definedName name="EVMC_CON_REFDES" localSheetId="20">#REF!</definedName>
    <definedName name="EVMC_CON_REFDES" localSheetId="4">#REF!</definedName>
    <definedName name="EVMC_CON_REFDES" localSheetId="12">#REF!</definedName>
    <definedName name="EVMC_CON_REFDES" localSheetId="9">#REF!</definedName>
    <definedName name="EVMC_CON_REFDES" localSheetId="22">#REF!</definedName>
    <definedName name="EVMC_CON_REFDES" localSheetId="23">#REF!</definedName>
    <definedName name="EVMC_CON_REFDES" localSheetId="21">#REF!</definedName>
    <definedName name="EVMC_CON_REFDES">#REF!</definedName>
    <definedName name="Figure_1" localSheetId="25">#REF!</definedName>
    <definedName name="Figure_1" localSheetId="26">#REF!</definedName>
    <definedName name="Figure_1" localSheetId="24">#REF!</definedName>
    <definedName name="Figure_1" localSheetId="27">#REF!</definedName>
    <definedName name="Figure_1" localSheetId="6">#REF!</definedName>
    <definedName name="Figure_1" localSheetId="13">#REF!</definedName>
    <definedName name="Figure_1" localSheetId="10">#REF!</definedName>
    <definedName name="Figure_1" localSheetId="19">#REF!</definedName>
    <definedName name="Figure_1" localSheetId="11">#REF!</definedName>
    <definedName name="Figure_1" localSheetId="20">#REF!</definedName>
    <definedName name="Figure_1" localSheetId="4">#REF!</definedName>
    <definedName name="Figure_1" localSheetId="12">#REF!</definedName>
    <definedName name="Figure_1" localSheetId="9">#REF!</definedName>
    <definedName name="Figure_1" localSheetId="22">#REF!</definedName>
    <definedName name="Figure_1" localSheetId="23">#REF!</definedName>
    <definedName name="Figure_1" localSheetId="21">#REF!</definedName>
    <definedName name="Figure_1">#REF!</definedName>
    <definedName name="Figure1" localSheetId="25">#REF!</definedName>
    <definedName name="Figure1" localSheetId="26">#REF!</definedName>
    <definedName name="Figure1" localSheetId="24">#REF!</definedName>
    <definedName name="Figure1" localSheetId="27">#REF!</definedName>
    <definedName name="Figure1" localSheetId="6">#REF!</definedName>
    <definedName name="Figure1" localSheetId="13">#REF!</definedName>
    <definedName name="Figure1" localSheetId="10">#REF!</definedName>
    <definedName name="Figure1" localSheetId="19">#REF!</definedName>
    <definedName name="Figure1" localSheetId="11">#REF!</definedName>
    <definedName name="Figure1" localSheetId="20">#REF!</definedName>
    <definedName name="Figure1" localSheetId="4">#REF!</definedName>
    <definedName name="Figure1" localSheetId="12">#REF!</definedName>
    <definedName name="Figure1" localSheetId="9">#REF!</definedName>
    <definedName name="Figure1" localSheetId="22">#REF!</definedName>
    <definedName name="Figure1" localSheetId="23">#REF!</definedName>
    <definedName name="Figure1" localSheetId="21">#REF!</definedName>
    <definedName name="Figure1">#REF!</definedName>
    <definedName name="HDAnew" localSheetId="25">#REF!</definedName>
    <definedName name="HDAnew" localSheetId="26">#REF!</definedName>
    <definedName name="HDAnew" localSheetId="24">#REF!</definedName>
    <definedName name="HDAnew" localSheetId="27">#REF!</definedName>
    <definedName name="HDAnew" localSheetId="6">#REF!</definedName>
    <definedName name="HDAnew" localSheetId="13">#REF!</definedName>
    <definedName name="HDAnew" localSheetId="10">#REF!</definedName>
    <definedName name="HDAnew" localSheetId="19">#REF!</definedName>
    <definedName name="HDAnew" localSheetId="11">#REF!</definedName>
    <definedName name="HDAnew" localSheetId="20">#REF!</definedName>
    <definedName name="HDAnew" localSheetId="4">#REF!</definedName>
    <definedName name="HDAnew" localSheetId="12">#REF!</definedName>
    <definedName name="HDAnew" localSheetId="9">#REF!</definedName>
    <definedName name="HDAnew" localSheetId="22">#REF!</definedName>
    <definedName name="HDAnew" localSheetId="23">#REF!</definedName>
    <definedName name="HDAnew" localSheetId="21">#REF!</definedName>
    <definedName name="HDAnew">#REF!</definedName>
    <definedName name="Index" localSheetId="25">[2]Index!#REF!</definedName>
    <definedName name="Index" localSheetId="26">[2]Index!#REF!</definedName>
    <definedName name="Index" localSheetId="24">[2]Index!#REF!</definedName>
    <definedName name="Index" localSheetId="27">[2]Index!#REF!</definedName>
    <definedName name="Index" localSheetId="13">[2]Index!#REF!</definedName>
    <definedName name="Index" localSheetId="10">[2]Index!#REF!</definedName>
    <definedName name="Index" localSheetId="19">[2]Index!#REF!</definedName>
    <definedName name="Index" localSheetId="11">[2]Index!#REF!</definedName>
    <definedName name="Index" localSheetId="20">[2]Index!#REF!</definedName>
    <definedName name="Index" localSheetId="12">[2]Index!#REF!</definedName>
    <definedName name="Index" localSheetId="9">[2]Index!#REF!</definedName>
    <definedName name="Index" localSheetId="22">[2]Index!#REF!</definedName>
    <definedName name="Index" localSheetId="23">[2]Index!#REF!</definedName>
    <definedName name="Index" localSheetId="21">[2]Index!#REF!</definedName>
    <definedName name="Index">[2]Index!#REF!</definedName>
    <definedName name="MIPI_CSI_DPHY" localSheetId="25">#REF!</definedName>
    <definedName name="MIPI_CSI_DPHY" localSheetId="26">#REF!</definedName>
    <definedName name="MIPI_CSI_DPHY" localSheetId="24">#REF!</definedName>
    <definedName name="MIPI_CSI_DPHY" localSheetId="27">#REF!</definedName>
    <definedName name="MIPI_CSI_DPHY" localSheetId="6">#REF!</definedName>
    <definedName name="MIPI_CSI_DPHY" localSheetId="13">#REF!</definedName>
    <definedName name="MIPI_CSI_DPHY" localSheetId="10">#REF!</definedName>
    <definedName name="MIPI_CSI_DPHY" localSheetId="19">#REF!</definedName>
    <definedName name="MIPI_CSI_DPHY" localSheetId="11">#REF!</definedName>
    <definedName name="MIPI_CSI_DPHY" localSheetId="20">#REF!</definedName>
    <definedName name="MIPI_CSI_DPHY" localSheetId="4">#REF!</definedName>
    <definedName name="MIPI_CSI_DPHY" localSheetId="12">#REF!</definedName>
    <definedName name="MIPI_CSI_DPHY" localSheetId="9">#REF!</definedName>
    <definedName name="MIPI_CSI_DPHY" localSheetId="22">#REF!</definedName>
    <definedName name="MIPI_CSI_DPHY" localSheetId="23">#REF!</definedName>
    <definedName name="MIPI_CSI_DPHY" localSheetId="21">#REF!</definedName>
    <definedName name="MIPI_CSI_DPHY">#REF!</definedName>
    <definedName name="PI_detail_features" localSheetId="25">#REF!</definedName>
    <definedName name="PI_detail_features" localSheetId="26">#REF!</definedName>
    <definedName name="PI_detail_features" localSheetId="24">#REF!</definedName>
    <definedName name="PI_detail_features" localSheetId="27">#REF!</definedName>
    <definedName name="PI_detail_features" localSheetId="6">#REF!</definedName>
    <definedName name="PI_detail_features" localSheetId="13">#REF!</definedName>
    <definedName name="PI_detail_features" localSheetId="10">#REF!</definedName>
    <definedName name="PI_detail_features" localSheetId="19">#REF!</definedName>
    <definedName name="PI_detail_features" localSheetId="11">#REF!</definedName>
    <definedName name="PI_detail_features" localSheetId="20">#REF!</definedName>
    <definedName name="PI_detail_features" localSheetId="4">#REF!</definedName>
    <definedName name="PI_detail_features" localSheetId="12">#REF!</definedName>
    <definedName name="PI_detail_features" localSheetId="9">#REF!</definedName>
    <definedName name="PI_detail_features" localSheetId="22">#REF!</definedName>
    <definedName name="PI_detail_features" localSheetId="23">#REF!</definedName>
    <definedName name="PI_detail_features" localSheetId="21">#REF!</definedName>
    <definedName name="PI_detail_features">#REF!</definedName>
    <definedName name="RDIMM" localSheetId="25">#REF!</definedName>
    <definedName name="RDIMM" localSheetId="26">#REF!</definedName>
    <definedName name="RDIMM" localSheetId="24">#REF!</definedName>
    <definedName name="RDIMM" localSheetId="27">#REF!</definedName>
    <definedName name="RDIMM" localSheetId="6">#REF!</definedName>
    <definedName name="RDIMM" localSheetId="13">#REF!</definedName>
    <definedName name="RDIMM" localSheetId="10">#REF!</definedName>
    <definedName name="RDIMM" localSheetId="19">#REF!</definedName>
    <definedName name="RDIMM" localSheetId="11">#REF!</definedName>
    <definedName name="RDIMM" localSheetId="20">#REF!</definedName>
    <definedName name="RDIMM" localSheetId="4">#REF!</definedName>
    <definedName name="RDIMM" localSheetId="12">#REF!</definedName>
    <definedName name="RDIMM" localSheetId="9">#REF!</definedName>
    <definedName name="RDIMM" localSheetId="22">#REF!</definedName>
    <definedName name="RDIMM" localSheetId="23">#REF!</definedName>
    <definedName name="RDIMM" localSheetId="21">#REF!</definedName>
    <definedName name="RDIMM">#REF!</definedName>
    <definedName name="s">"GSPI single load topology"</definedName>
    <definedName name="scpt">#REF!</definedName>
    <definedName name="SCPT_PI" localSheetId="25">#REF!</definedName>
    <definedName name="SCPT_PI" localSheetId="26">#REF!</definedName>
    <definedName name="SCPT_PI" localSheetId="24">#REF!</definedName>
    <definedName name="SCPT_PI" localSheetId="27">#REF!</definedName>
    <definedName name="SCPT_PI" localSheetId="6">#REF!</definedName>
    <definedName name="SCPT_PI" localSheetId="13">#REF!</definedName>
    <definedName name="SCPT_PI" localSheetId="10">#REF!</definedName>
    <definedName name="SCPT_PI" localSheetId="19">#REF!</definedName>
    <definedName name="SCPT_PI" localSheetId="11">#REF!</definedName>
    <definedName name="SCPT_PI" localSheetId="20">#REF!</definedName>
    <definedName name="SCPT_PI" localSheetId="4">#REF!</definedName>
    <definedName name="SCPT_PI" localSheetId="12">#REF!</definedName>
    <definedName name="SCPT_PI" localSheetId="9">#REF!</definedName>
    <definedName name="SCPT_PI" localSheetId="22">#REF!</definedName>
    <definedName name="SCPT_PI" localSheetId="23">#REF!</definedName>
    <definedName name="SCPT_PI" localSheetId="21">#REF!</definedName>
    <definedName name="SCPT_PI">#REF!</definedName>
    <definedName name="SD4_new" localSheetId="25">#REF!</definedName>
    <definedName name="SD4_new" localSheetId="26">#REF!</definedName>
    <definedName name="SD4_new" localSheetId="24">#REF!</definedName>
    <definedName name="SD4_new" localSheetId="27">#REF!</definedName>
    <definedName name="SD4_new" localSheetId="6">#REF!</definedName>
    <definedName name="SD4_new" localSheetId="13">#REF!</definedName>
    <definedName name="SD4_new" localSheetId="10">#REF!</definedName>
    <definedName name="SD4_new" localSheetId="19">#REF!</definedName>
    <definedName name="SD4_new" localSheetId="11">#REF!</definedName>
    <definedName name="SD4_new" localSheetId="20">#REF!</definedName>
    <definedName name="SD4_new" localSheetId="4">#REF!</definedName>
    <definedName name="SD4_new" localSheetId="12">#REF!</definedName>
    <definedName name="SD4_new" localSheetId="9">#REF!</definedName>
    <definedName name="SD4_new" localSheetId="22">#REF!</definedName>
    <definedName name="SD4_new" localSheetId="23">#REF!</definedName>
    <definedName name="SD4_new" localSheetId="21">#REF!</definedName>
    <definedName name="SD4_new">#REF!</definedName>
    <definedName name="SI_USB3_Architecture_Overview" localSheetId="25">#REF!</definedName>
    <definedName name="SI_USB3_Architecture_Overview" localSheetId="26">#REF!</definedName>
    <definedName name="SI_USB3_Architecture_Overview" localSheetId="24">#REF!</definedName>
    <definedName name="SI_USB3_Architecture_Overview" localSheetId="27">#REF!</definedName>
    <definedName name="SI_USB3_Architecture_Overview" localSheetId="6">#REF!</definedName>
    <definedName name="SI_USB3_Architecture_Overview" localSheetId="13">#REF!</definedName>
    <definedName name="SI_USB3_Architecture_Overview" localSheetId="10">#REF!</definedName>
    <definedName name="SI_USB3_Architecture_Overview" localSheetId="19">#REF!</definedName>
    <definedName name="SI_USB3_Architecture_Overview" localSheetId="11">#REF!</definedName>
    <definedName name="SI_USB3_Architecture_Overview" localSheetId="20">#REF!</definedName>
    <definedName name="SI_USB3_Architecture_Overview" localSheetId="4">#REF!</definedName>
    <definedName name="SI_USB3_Architecture_Overview" localSheetId="12">#REF!</definedName>
    <definedName name="SI_USB3_Architecture_Overview" localSheetId="9">#REF!</definedName>
    <definedName name="SI_USB3_Architecture_Overview" localSheetId="22">#REF!</definedName>
    <definedName name="SI_USB3_Architecture_Overview" localSheetId="23">#REF!</definedName>
    <definedName name="SI_USB3_Architecture_Overview" localSheetId="21">#REF!</definedName>
    <definedName name="SI_USB3_Architecture_Overview">#REF!</definedName>
    <definedName name="SI_USB3_Changes_from_KBL_Platform" localSheetId="25">#REF!</definedName>
    <definedName name="SI_USB3_Changes_from_KBL_Platform" localSheetId="26">#REF!</definedName>
    <definedName name="SI_USB3_Changes_from_KBL_Platform" localSheetId="24">#REF!</definedName>
    <definedName name="SI_USB3_Changes_from_KBL_Platform" localSheetId="27">#REF!</definedName>
    <definedName name="SI_USB3_Changes_from_KBL_Platform" localSheetId="6">#REF!</definedName>
    <definedName name="SI_USB3_Changes_from_KBL_Platform" localSheetId="13">#REF!</definedName>
    <definedName name="SI_USB3_Changes_from_KBL_Platform" localSheetId="10">#REF!</definedName>
    <definedName name="SI_USB3_Changes_from_KBL_Platform" localSheetId="19">#REF!</definedName>
    <definedName name="SI_USB3_Changes_from_KBL_Platform" localSheetId="11">#REF!</definedName>
    <definedName name="SI_USB3_Changes_from_KBL_Platform" localSheetId="20">#REF!</definedName>
    <definedName name="SI_USB3_Changes_from_KBL_Platform" localSheetId="4">#REF!</definedName>
    <definedName name="SI_USB3_Changes_from_KBL_Platform" localSheetId="12">#REF!</definedName>
    <definedName name="SI_USB3_Changes_from_KBL_Platform" localSheetId="9">#REF!</definedName>
    <definedName name="SI_USB3_Changes_from_KBL_Platform" localSheetId="22">#REF!</definedName>
    <definedName name="SI_USB3_Changes_from_KBL_Platform" localSheetId="23">#REF!</definedName>
    <definedName name="SI_USB3_Changes_from_KBL_Platform" localSheetId="21">#REF!</definedName>
    <definedName name="SI_USB3_Changes_from_KBL_Platform">#REF!</definedName>
    <definedName name="SI_USB3_Reference_Documents" localSheetId="25">#REF!</definedName>
    <definedName name="SI_USB3_Reference_Documents" localSheetId="26">#REF!</definedName>
    <definedName name="SI_USB3_Reference_Documents" localSheetId="24">#REF!</definedName>
    <definedName name="SI_USB3_Reference_Documents" localSheetId="27">#REF!</definedName>
    <definedName name="SI_USB3_Reference_Documents" localSheetId="6">#REF!</definedName>
    <definedName name="SI_USB3_Reference_Documents" localSheetId="13">#REF!</definedName>
    <definedName name="SI_USB3_Reference_Documents" localSheetId="10">#REF!</definedName>
    <definedName name="SI_USB3_Reference_Documents" localSheetId="19">#REF!</definedName>
    <definedName name="SI_USB3_Reference_Documents" localSheetId="11">#REF!</definedName>
    <definedName name="SI_USB3_Reference_Documents" localSheetId="20">#REF!</definedName>
    <definedName name="SI_USB3_Reference_Documents" localSheetId="4">#REF!</definedName>
    <definedName name="SI_USB3_Reference_Documents" localSheetId="12">#REF!</definedName>
    <definedName name="SI_USB3_Reference_Documents" localSheetId="9">#REF!</definedName>
    <definedName name="SI_USB3_Reference_Documents" localSheetId="22">#REF!</definedName>
    <definedName name="SI_USB3_Reference_Documents" localSheetId="23">#REF!</definedName>
    <definedName name="SI_USB3_Reference_Documents" localSheetId="21">#REF!</definedName>
    <definedName name="SI_USB3_Reference_Documents">#REF!</definedName>
    <definedName name="SI_USB3_Topology" localSheetId="25">#REF!</definedName>
    <definedName name="SI_USB3_Topology" localSheetId="26">#REF!</definedName>
    <definedName name="SI_USB3_Topology" localSheetId="24">#REF!</definedName>
    <definedName name="SI_USB3_Topology" localSheetId="27">#REF!</definedName>
    <definedName name="SI_USB3_Topology" localSheetId="6">#REF!</definedName>
    <definedName name="SI_USB3_Topology" localSheetId="13">#REF!</definedName>
    <definedName name="SI_USB3_Topology" localSheetId="10">#REF!</definedName>
    <definedName name="SI_USB3_Topology" localSheetId="19">#REF!</definedName>
    <definedName name="SI_USB3_Topology" localSheetId="11">#REF!</definedName>
    <definedName name="SI_USB3_Topology" localSheetId="20">#REF!</definedName>
    <definedName name="SI_USB3_Topology" localSheetId="4">#REF!</definedName>
    <definedName name="SI_USB3_Topology" localSheetId="12">#REF!</definedName>
    <definedName name="SI_USB3_Topology" localSheetId="9">#REF!</definedName>
    <definedName name="SI_USB3_Topology" localSheetId="22">#REF!</definedName>
    <definedName name="SI_USB3_Topology" localSheetId="23">#REF!</definedName>
    <definedName name="SI_USB3_Topology" localSheetId="21">#REF!</definedName>
    <definedName name="SI_USB3_Topology">#REF!</definedName>
    <definedName name="SI_USB3_Topology_Guidelines" localSheetId="25">#REF!</definedName>
    <definedName name="SI_USB3_Topology_Guidelines" localSheetId="26">#REF!</definedName>
    <definedName name="SI_USB3_Topology_Guidelines" localSheetId="24">#REF!</definedName>
    <definedName name="SI_USB3_Topology_Guidelines" localSheetId="27">#REF!</definedName>
    <definedName name="SI_USB3_Topology_Guidelines" localSheetId="6">#REF!</definedName>
    <definedName name="SI_USB3_Topology_Guidelines" localSheetId="13">#REF!</definedName>
    <definedName name="SI_USB3_Topology_Guidelines" localSheetId="10">#REF!</definedName>
    <definedName name="SI_USB3_Topology_Guidelines" localSheetId="19">#REF!</definedName>
    <definedName name="SI_USB3_Topology_Guidelines" localSheetId="11">#REF!</definedName>
    <definedName name="SI_USB3_Topology_Guidelines" localSheetId="20">#REF!</definedName>
    <definedName name="SI_USB3_Topology_Guidelines" localSheetId="4">#REF!</definedName>
    <definedName name="SI_USB3_Topology_Guidelines" localSheetId="12">#REF!</definedName>
    <definedName name="SI_USB3_Topology_Guidelines" localSheetId="9">#REF!</definedName>
    <definedName name="SI_USB3_Topology_Guidelines" localSheetId="22">#REF!</definedName>
    <definedName name="SI_USB3_Topology_Guidelines" localSheetId="23">#REF!</definedName>
    <definedName name="SI_USB3_Topology_Guidelines" localSheetId="21">#REF!</definedName>
    <definedName name="SI_USB3_Topology_Guidelines">#REF!</definedName>
    <definedName name="sm">"GSPI single load topology"</definedName>
    <definedName name="small">"GSPI single load topology"</definedName>
    <definedName name="speed">#REF!</definedName>
    <definedName name="Start10" localSheetId="25">#REF!</definedName>
    <definedName name="Start10" localSheetId="26">#REF!</definedName>
    <definedName name="Start10" localSheetId="24">#REF!</definedName>
    <definedName name="Start10" localSheetId="27">#REF!</definedName>
    <definedName name="Start10" localSheetId="6">#REF!</definedName>
    <definedName name="Start10" localSheetId="13">#REF!</definedName>
    <definedName name="Start10" localSheetId="10">#REF!</definedName>
    <definedName name="Start10" localSheetId="19">#REF!</definedName>
    <definedName name="Start10" localSheetId="11">#REF!</definedName>
    <definedName name="Start10" localSheetId="20">#REF!</definedName>
    <definedName name="Start10" localSheetId="4">#REF!</definedName>
    <definedName name="Start10" localSheetId="12">#REF!</definedName>
    <definedName name="Start10" localSheetId="9">#REF!</definedName>
    <definedName name="Start10" localSheetId="22">#REF!</definedName>
    <definedName name="Start10" localSheetId="23">#REF!</definedName>
    <definedName name="Start10" localSheetId="21">#REF!</definedName>
    <definedName name="Start10">#REF!</definedName>
    <definedName name="Start11" localSheetId="25">#REF!</definedName>
    <definedName name="Start11" localSheetId="26">#REF!</definedName>
    <definedName name="Start11" localSheetId="24">#REF!</definedName>
    <definedName name="Start11" localSheetId="27">#REF!</definedName>
    <definedName name="Start11" localSheetId="6">#REF!</definedName>
    <definedName name="Start11" localSheetId="13">#REF!</definedName>
    <definedName name="Start11" localSheetId="10">#REF!</definedName>
    <definedName name="Start11" localSheetId="19">#REF!</definedName>
    <definedName name="Start11" localSheetId="11">#REF!</definedName>
    <definedName name="Start11" localSheetId="20">#REF!</definedName>
    <definedName name="Start11" localSheetId="4">#REF!</definedName>
    <definedName name="Start11" localSheetId="12">#REF!</definedName>
    <definedName name="Start11" localSheetId="9">#REF!</definedName>
    <definedName name="Start11" localSheetId="22">#REF!</definedName>
    <definedName name="Start11" localSheetId="23">#REF!</definedName>
    <definedName name="Start11" localSheetId="21">#REF!</definedName>
    <definedName name="Start11">#REF!</definedName>
    <definedName name="Start12" localSheetId="25">#REF!</definedName>
    <definedName name="Start12" localSheetId="26">#REF!</definedName>
    <definedName name="Start12" localSheetId="24">#REF!</definedName>
    <definedName name="Start12" localSheetId="27">#REF!</definedName>
    <definedName name="Start12" localSheetId="6">#REF!</definedName>
    <definedName name="Start12" localSheetId="13">#REF!</definedName>
    <definedName name="Start12" localSheetId="10">#REF!</definedName>
    <definedName name="Start12" localSheetId="19">#REF!</definedName>
    <definedName name="Start12" localSheetId="11">#REF!</definedName>
    <definedName name="Start12" localSheetId="20">#REF!</definedName>
    <definedName name="Start12" localSheetId="4">#REF!</definedName>
    <definedName name="Start12" localSheetId="12">#REF!</definedName>
    <definedName name="Start12" localSheetId="9">#REF!</definedName>
    <definedName name="Start12" localSheetId="22">#REF!</definedName>
    <definedName name="Start12" localSheetId="23">#REF!</definedName>
    <definedName name="Start12" localSheetId="21">#REF!</definedName>
    <definedName name="Start12">#REF!</definedName>
    <definedName name="Start13" localSheetId="25">#REF!</definedName>
    <definedName name="Start13" localSheetId="26">#REF!</definedName>
    <definedName name="Start13" localSheetId="24">#REF!</definedName>
    <definedName name="Start13" localSheetId="27">#REF!</definedName>
    <definedName name="Start13" localSheetId="6">#REF!</definedName>
    <definedName name="Start13" localSheetId="13">#REF!</definedName>
    <definedName name="Start13" localSheetId="10">#REF!</definedName>
    <definedName name="Start13" localSheetId="19">#REF!</definedName>
    <definedName name="Start13" localSheetId="11">#REF!</definedName>
    <definedName name="Start13" localSheetId="20">#REF!</definedName>
    <definedName name="Start13" localSheetId="4">#REF!</definedName>
    <definedName name="Start13" localSheetId="12">#REF!</definedName>
    <definedName name="Start13" localSheetId="9">#REF!</definedName>
    <definedName name="Start13" localSheetId="22">#REF!</definedName>
    <definedName name="Start13" localSheetId="23">#REF!</definedName>
    <definedName name="Start13" localSheetId="21">#REF!</definedName>
    <definedName name="Start13">#REF!</definedName>
    <definedName name="Start14" localSheetId="25">#REF!</definedName>
    <definedName name="Start14" localSheetId="26">#REF!</definedName>
    <definedName name="Start14" localSheetId="24">#REF!</definedName>
    <definedName name="Start14" localSheetId="27">#REF!</definedName>
    <definedName name="Start14" localSheetId="6">#REF!</definedName>
    <definedName name="Start14" localSheetId="13">#REF!</definedName>
    <definedName name="Start14" localSheetId="10">#REF!</definedName>
    <definedName name="Start14" localSheetId="19">#REF!</definedName>
    <definedName name="Start14" localSheetId="11">#REF!</definedName>
    <definedName name="Start14" localSheetId="20">#REF!</definedName>
    <definedName name="Start14" localSheetId="4">#REF!</definedName>
    <definedName name="Start14" localSheetId="12">#REF!</definedName>
    <definedName name="Start14" localSheetId="9">#REF!</definedName>
    <definedName name="Start14" localSheetId="22">#REF!</definedName>
    <definedName name="Start14" localSheetId="23">#REF!</definedName>
    <definedName name="Start14" localSheetId="21">#REF!</definedName>
    <definedName name="Start14">#REF!</definedName>
    <definedName name="Start15" localSheetId="25">#REF!</definedName>
    <definedName name="Start15" localSheetId="26">#REF!</definedName>
    <definedName name="Start15" localSheetId="24">#REF!</definedName>
    <definedName name="Start15" localSheetId="27">#REF!</definedName>
    <definedName name="Start15" localSheetId="6">#REF!</definedName>
    <definedName name="Start15" localSheetId="13">#REF!</definedName>
    <definedName name="Start15" localSheetId="10">#REF!</definedName>
    <definedName name="Start15" localSheetId="19">#REF!</definedName>
    <definedName name="Start15" localSheetId="11">#REF!</definedName>
    <definedName name="Start15" localSheetId="20">#REF!</definedName>
    <definedName name="Start15" localSheetId="4">#REF!</definedName>
    <definedName name="Start15" localSheetId="12">#REF!</definedName>
    <definedName name="Start15" localSheetId="9">#REF!</definedName>
    <definedName name="Start15" localSheetId="22">#REF!</definedName>
    <definedName name="Start15" localSheetId="23">#REF!</definedName>
    <definedName name="Start15" localSheetId="21">#REF!</definedName>
    <definedName name="Start15">#REF!</definedName>
    <definedName name="Start16" localSheetId="25">#REF!</definedName>
    <definedName name="Start16" localSheetId="26">#REF!</definedName>
    <definedName name="Start16" localSheetId="24">#REF!</definedName>
    <definedName name="Start16" localSheetId="27">#REF!</definedName>
    <definedName name="Start16" localSheetId="6">#REF!</definedName>
    <definedName name="Start16" localSheetId="13">#REF!</definedName>
    <definedName name="Start16" localSheetId="10">#REF!</definedName>
    <definedName name="Start16" localSheetId="19">#REF!</definedName>
    <definedName name="Start16" localSheetId="11">#REF!</definedName>
    <definedName name="Start16" localSheetId="20">#REF!</definedName>
    <definedName name="Start16" localSheetId="4">#REF!</definedName>
    <definedName name="Start16" localSheetId="12">#REF!</definedName>
    <definedName name="Start16" localSheetId="9">#REF!</definedName>
    <definedName name="Start16" localSheetId="22">#REF!</definedName>
    <definedName name="Start16" localSheetId="23">#REF!</definedName>
    <definedName name="Start16" localSheetId="21">#REF!</definedName>
    <definedName name="Start16">#REF!</definedName>
    <definedName name="Start17" localSheetId="25">#REF!</definedName>
    <definedName name="Start17" localSheetId="26">#REF!</definedName>
    <definedName name="Start17" localSheetId="24">#REF!</definedName>
    <definedName name="Start17" localSheetId="27">#REF!</definedName>
    <definedName name="Start17" localSheetId="6">#REF!</definedName>
    <definedName name="Start17" localSheetId="13">#REF!</definedName>
    <definedName name="Start17" localSheetId="10">#REF!</definedName>
    <definedName name="Start17" localSheetId="19">#REF!</definedName>
    <definedName name="Start17" localSheetId="11">#REF!</definedName>
    <definedName name="Start17" localSheetId="20">#REF!</definedName>
    <definedName name="Start17" localSheetId="4">#REF!</definedName>
    <definedName name="Start17" localSheetId="12">#REF!</definedName>
    <definedName name="Start17" localSheetId="9">#REF!</definedName>
    <definedName name="Start17" localSheetId="22">#REF!</definedName>
    <definedName name="Start17" localSheetId="23">#REF!</definedName>
    <definedName name="Start17" localSheetId="21">#REF!</definedName>
    <definedName name="Start17">#REF!</definedName>
    <definedName name="Start18" localSheetId="25">#REF!</definedName>
    <definedName name="Start18" localSheetId="26">#REF!</definedName>
    <definedName name="Start18" localSheetId="24">#REF!</definedName>
    <definedName name="Start18" localSheetId="27">#REF!</definedName>
    <definedName name="Start18" localSheetId="6">#REF!</definedName>
    <definedName name="Start18" localSheetId="13">#REF!</definedName>
    <definedName name="Start18" localSheetId="10">#REF!</definedName>
    <definedName name="Start18" localSheetId="19">#REF!</definedName>
    <definedName name="Start18" localSheetId="11">#REF!</definedName>
    <definedName name="Start18" localSheetId="20">#REF!</definedName>
    <definedName name="Start18" localSheetId="4">#REF!</definedName>
    <definedName name="Start18" localSheetId="12">#REF!</definedName>
    <definedName name="Start18" localSheetId="9">#REF!</definedName>
    <definedName name="Start18" localSheetId="22">#REF!</definedName>
    <definedName name="Start18" localSheetId="23">#REF!</definedName>
    <definedName name="Start18" localSheetId="21">#REF!</definedName>
    <definedName name="Start18">#REF!</definedName>
    <definedName name="Start19" localSheetId="25">#REF!</definedName>
    <definedName name="Start19" localSheetId="26">#REF!</definedName>
    <definedName name="Start19" localSheetId="24">#REF!</definedName>
    <definedName name="Start19" localSheetId="27">#REF!</definedName>
    <definedName name="Start19" localSheetId="6">#REF!</definedName>
    <definedName name="Start19" localSheetId="13">#REF!</definedName>
    <definedName name="Start19" localSheetId="10">#REF!</definedName>
    <definedName name="Start19" localSheetId="19">#REF!</definedName>
    <definedName name="Start19" localSheetId="11">#REF!</definedName>
    <definedName name="Start19" localSheetId="20">#REF!</definedName>
    <definedName name="Start19" localSheetId="4">#REF!</definedName>
    <definedName name="Start19" localSheetId="12">#REF!</definedName>
    <definedName name="Start19" localSheetId="9">#REF!</definedName>
    <definedName name="Start19" localSheetId="22">#REF!</definedName>
    <definedName name="Start19" localSheetId="23">#REF!</definedName>
    <definedName name="Start19" localSheetId="21">#REF!</definedName>
    <definedName name="Start19">#REF!</definedName>
    <definedName name="Start20" localSheetId="25">#REF!</definedName>
    <definedName name="Start20" localSheetId="26">#REF!</definedName>
    <definedName name="Start20" localSheetId="24">#REF!</definedName>
    <definedName name="Start20" localSheetId="27">#REF!</definedName>
    <definedName name="Start20" localSheetId="6">#REF!</definedName>
    <definedName name="Start20" localSheetId="13">#REF!</definedName>
    <definedName name="Start20" localSheetId="10">#REF!</definedName>
    <definedName name="Start20" localSheetId="19">#REF!</definedName>
    <definedName name="Start20" localSheetId="11">#REF!</definedName>
    <definedName name="Start20" localSheetId="20">#REF!</definedName>
    <definedName name="Start20" localSheetId="4">#REF!</definedName>
    <definedName name="Start20" localSheetId="12">#REF!</definedName>
    <definedName name="Start20" localSheetId="9">#REF!</definedName>
    <definedName name="Start20" localSheetId="22">#REF!</definedName>
    <definedName name="Start20" localSheetId="23">#REF!</definedName>
    <definedName name="Start20" localSheetId="21">#REF!</definedName>
    <definedName name="Start20">#REF!</definedName>
    <definedName name="Start21" localSheetId="25">#REF!</definedName>
    <definedName name="Start21" localSheetId="26">#REF!</definedName>
    <definedName name="Start21" localSheetId="24">#REF!</definedName>
    <definedName name="Start21" localSheetId="27">#REF!</definedName>
    <definedName name="Start21" localSheetId="6">#REF!</definedName>
    <definedName name="Start21" localSheetId="13">#REF!</definedName>
    <definedName name="Start21" localSheetId="10">#REF!</definedName>
    <definedName name="Start21" localSheetId="19">#REF!</definedName>
    <definedName name="Start21" localSheetId="11">#REF!</definedName>
    <definedName name="Start21" localSheetId="20">#REF!</definedName>
    <definedName name="Start21" localSheetId="4">#REF!</definedName>
    <definedName name="Start21" localSheetId="12">#REF!</definedName>
    <definedName name="Start21" localSheetId="9">#REF!</definedName>
    <definedName name="Start21" localSheetId="22">#REF!</definedName>
    <definedName name="Start21" localSheetId="23">#REF!</definedName>
    <definedName name="Start21" localSheetId="21">#REF!</definedName>
    <definedName name="Start21">#REF!</definedName>
    <definedName name="Start22" localSheetId="25">#REF!</definedName>
    <definedName name="Start22" localSheetId="26">#REF!</definedName>
    <definedName name="Start22" localSheetId="24">#REF!</definedName>
    <definedName name="Start22" localSheetId="27">#REF!</definedName>
    <definedName name="Start22" localSheetId="6">#REF!</definedName>
    <definedName name="Start22" localSheetId="13">#REF!</definedName>
    <definedName name="Start22" localSheetId="10">#REF!</definedName>
    <definedName name="Start22" localSheetId="19">#REF!</definedName>
    <definedName name="Start22" localSheetId="11">#REF!</definedName>
    <definedName name="Start22" localSheetId="20">#REF!</definedName>
    <definedName name="Start22" localSheetId="4">#REF!</definedName>
    <definedName name="Start22" localSheetId="12">#REF!</definedName>
    <definedName name="Start22" localSheetId="9">#REF!</definedName>
    <definedName name="Start22" localSheetId="22">#REF!</definedName>
    <definedName name="Start22" localSheetId="23">#REF!</definedName>
    <definedName name="Start22" localSheetId="21">#REF!</definedName>
    <definedName name="Start22">#REF!</definedName>
    <definedName name="Start23" localSheetId="25">#REF!</definedName>
    <definedName name="Start23" localSheetId="26">#REF!</definedName>
    <definedName name="Start23" localSheetId="24">#REF!</definedName>
    <definedName name="Start23" localSheetId="27">#REF!</definedName>
    <definedName name="Start23" localSheetId="6">#REF!</definedName>
    <definedName name="Start23" localSheetId="13">#REF!</definedName>
    <definedName name="Start23" localSheetId="10">#REF!</definedName>
    <definedName name="Start23" localSheetId="19">#REF!</definedName>
    <definedName name="Start23" localSheetId="11">#REF!</definedName>
    <definedName name="Start23" localSheetId="20">#REF!</definedName>
    <definedName name="Start23" localSheetId="4">#REF!</definedName>
    <definedName name="Start23" localSheetId="12">#REF!</definedName>
    <definedName name="Start23" localSheetId="9">#REF!</definedName>
    <definedName name="Start23" localSheetId="22">#REF!</definedName>
    <definedName name="Start23" localSheetId="23">#REF!</definedName>
    <definedName name="Start23" localSheetId="21">#REF!</definedName>
    <definedName name="Start23">#REF!</definedName>
    <definedName name="Start24" localSheetId="25">#REF!</definedName>
    <definedName name="Start24" localSheetId="26">#REF!</definedName>
    <definedName name="Start24" localSheetId="24">#REF!</definedName>
    <definedName name="Start24" localSheetId="27">#REF!</definedName>
    <definedName name="Start24" localSheetId="6">#REF!</definedName>
    <definedName name="Start24" localSheetId="13">#REF!</definedName>
    <definedName name="Start24" localSheetId="10">#REF!</definedName>
    <definedName name="Start24" localSheetId="19">#REF!</definedName>
    <definedName name="Start24" localSheetId="11">#REF!</definedName>
    <definedName name="Start24" localSheetId="20">#REF!</definedName>
    <definedName name="Start24" localSheetId="4">#REF!</definedName>
    <definedName name="Start24" localSheetId="12">#REF!</definedName>
    <definedName name="Start24" localSheetId="9">#REF!</definedName>
    <definedName name="Start24" localSheetId="22">#REF!</definedName>
    <definedName name="Start24" localSheetId="23">#REF!</definedName>
    <definedName name="Start24" localSheetId="21">#REF!</definedName>
    <definedName name="Start24">#REF!</definedName>
    <definedName name="Start25" localSheetId="25">#REF!</definedName>
    <definedName name="Start25" localSheetId="26">#REF!</definedName>
    <definedName name="Start25" localSheetId="24">#REF!</definedName>
    <definedName name="Start25" localSheetId="27">#REF!</definedName>
    <definedName name="Start25" localSheetId="6">#REF!</definedName>
    <definedName name="Start25" localSheetId="13">#REF!</definedName>
    <definedName name="Start25" localSheetId="10">#REF!</definedName>
    <definedName name="Start25" localSheetId="19">#REF!</definedName>
    <definedName name="Start25" localSheetId="11">#REF!</definedName>
    <definedName name="Start25" localSheetId="20">#REF!</definedName>
    <definedName name="Start25" localSheetId="4">#REF!</definedName>
    <definedName name="Start25" localSheetId="12">#REF!</definedName>
    <definedName name="Start25" localSheetId="9">#REF!</definedName>
    <definedName name="Start25" localSheetId="22">#REF!</definedName>
    <definedName name="Start25" localSheetId="23">#REF!</definedName>
    <definedName name="Start25" localSheetId="21">#REF!</definedName>
    <definedName name="Start25">#REF!</definedName>
    <definedName name="Start26" localSheetId="25">#REF!</definedName>
    <definedName name="Start26" localSheetId="26">#REF!</definedName>
    <definedName name="Start26" localSheetId="24">#REF!</definedName>
    <definedName name="Start26" localSheetId="27">#REF!</definedName>
    <definedName name="Start26" localSheetId="6">#REF!</definedName>
    <definedName name="Start26" localSheetId="13">#REF!</definedName>
    <definedName name="Start26" localSheetId="10">#REF!</definedName>
    <definedName name="Start26" localSheetId="19">#REF!</definedName>
    <definedName name="Start26" localSheetId="11">#REF!</definedName>
    <definedName name="Start26" localSheetId="20">#REF!</definedName>
    <definedName name="Start26" localSheetId="4">#REF!</definedName>
    <definedName name="Start26" localSheetId="12">#REF!</definedName>
    <definedName name="Start26" localSheetId="9">#REF!</definedName>
    <definedName name="Start26" localSheetId="22">#REF!</definedName>
    <definedName name="Start26" localSheetId="23">#REF!</definedName>
    <definedName name="Start26" localSheetId="21">#REF!</definedName>
    <definedName name="Start26">#REF!</definedName>
    <definedName name="Start27" localSheetId="25">#REF!</definedName>
    <definedName name="Start27" localSheetId="26">#REF!</definedName>
    <definedName name="Start27" localSheetId="24">#REF!</definedName>
    <definedName name="Start27" localSheetId="27">#REF!</definedName>
    <definedName name="Start27" localSheetId="6">#REF!</definedName>
    <definedName name="Start27" localSheetId="13">#REF!</definedName>
    <definedName name="Start27" localSheetId="10">#REF!</definedName>
    <definedName name="Start27" localSheetId="19">#REF!</definedName>
    <definedName name="Start27" localSheetId="11">#REF!</definedName>
    <definedName name="Start27" localSheetId="20">#REF!</definedName>
    <definedName name="Start27" localSheetId="4">#REF!</definedName>
    <definedName name="Start27" localSheetId="12">#REF!</definedName>
    <definedName name="Start27" localSheetId="9">#REF!</definedName>
    <definedName name="Start27" localSheetId="22">#REF!</definedName>
    <definedName name="Start27" localSheetId="23">#REF!</definedName>
    <definedName name="Start27" localSheetId="21">#REF!</definedName>
    <definedName name="Start27">#REF!</definedName>
    <definedName name="Start28" localSheetId="25">#REF!</definedName>
    <definedName name="Start28" localSheetId="26">#REF!</definedName>
    <definedName name="Start28" localSheetId="24">#REF!</definedName>
    <definedName name="Start28" localSheetId="27">#REF!</definedName>
    <definedName name="Start28" localSheetId="6">#REF!</definedName>
    <definedName name="Start28" localSheetId="13">#REF!</definedName>
    <definedName name="Start28" localSheetId="10">#REF!</definedName>
    <definedName name="Start28" localSheetId="19">#REF!</definedName>
    <definedName name="Start28" localSheetId="11">#REF!</definedName>
    <definedName name="Start28" localSheetId="20">#REF!</definedName>
    <definedName name="Start28" localSheetId="4">#REF!</definedName>
    <definedName name="Start28" localSheetId="12">#REF!</definedName>
    <definedName name="Start28" localSheetId="9">#REF!</definedName>
    <definedName name="Start28" localSheetId="22">#REF!</definedName>
    <definedName name="Start28" localSheetId="23">#REF!</definedName>
    <definedName name="Start28" localSheetId="21">#REF!</definedName>
    <definedName name="Start28">#REF!</definedName>
    <definedName name="Start29" localSheetId="25">#REF!</definedName>
    <definedName name="Start29" localSheetId="26">#REF!</definedName>
    <definedName name="Start29" localSheetId="24">#REF!</definedName>
    <definedName name="Start29" localSheetId="27">#REF!</definedName>
    <definedName name="Start29" localSheetId="6">#REF!</definedName>
    <definedName name="Start29" localSheetId="13">#REF!</definedName>
    <definedName name="Start29" localSheetId="10">#REF!</definedName>
    <definedName name="Start29" localSheetId="19">#REF!</definedName>
    <definedName name="Start29" localSheetId="11">#REF!</definedName>
    <definedName name="Start29" localSheetId="20">#REF!</definedName>
    <definedName name="Start29" localSheetId="4">#REF!</definedName>
    <definedName name="Start29" localSheetId="12">#REF!</definedName>
    <definedName name="Start29" localSheetId="9">#REF!</definedName>
    <definedName name="Start29" localSheetId="22">#REF!</definedName>
    <definedName name="Start29" localSheetId="23">#REF!</definedName>
    <definedName name="Start29" localSheetId="21">#REF!</definedName>
    <definedName name="Start29">#REF!</definedName>
    <definedName name="Start3" localSheetId="25">#REF!</definedName>
    <definedName name="Start3" localSheetId="26">#REF!</definedName>
    <definedName name="Start3" localSheetId="24">#REF!</definedName>
    <definedName name="Start3" localSheetId="27">#REF!</definedName>
    <definedName name="Start3" localSheetId="6">#REF!</definedName>
    <definedName name="Start3" localSheetId="13">#REF!</definedName>
    <definedName name="Start3" localSheetId="10">#REF!</definedName>
    <definedName name="Start3" localSheetId="19">#REF!</definedName>
    <definedName name="Start3" localSheetId="11">#REF!</definedName>
    <definedName name="Start3" localSheetId="20">#REF!</definedName>
    <definedName name="Start3" localSheetId="4">#REF!</definedName>
    <definedName name="Start3" localSheetId="12">#REF!</definedName>
    <definedName name="Start3" localSheetId="9">#REF!</definedName>
    <definedName name="Start3" localSheetId="22">#REF!</definedName>
    <definedName name="Start3" localSheetId="23">#REF!</definedName>
    <definedName name="Start3" localSheetId="21">#REF!</definedName>
    <definedName name="Start3">#REF!</definedName>
    <definedName name="Start30" localSheetId="25">#REF!</definedName>
    <definedName name="Start30" localSheetId="26">#REF!</definedName>
    <definedName name="Start30" localSheetId="24">#REF!</definedName>
    <definedName name="Start30" localSheetId="27">#REF!</definedName>
    <definedName name="Start30" localSheetId="6">#REF!</definedName>
    <definedName name="Start30" localSheetId="13">#REF!</definedName>
    <definedName name="Start30" localSheetId="10">#REF!</definedName>
    <definedName name="Start30" localSheetId="19">#REF!</definedName>
    <definedName name="Start30" localSheetId="11">#REF!</definedName>
    <definedName name="Start30" localSheetId="20">#REF!</definedName>
    <definedName name="Start30" localSheetId="4">#REF!</definedName>
    <definedName name="Start30" localSheetId="12">#REF!</definedName>
    <definedName name="Start30" localSheetId="9">#REF!</definedName>
    <definedName name="Start30" localSheetId="22">#REF!</definedName>
    <definedName name="Start30" localSheetId="23">#REF!</definedName>
    <definedName name="Start30" localSheetId="21">#REF!</definedName>
    <definedName name="Start30">#REF!</definedName>
    <definedName name="Start31" localSheetId="25">#REF!</definedName>
    <definedName name="Start31" localSheetId="26">#REF!</definedName>
    <definedName name="Start31" localSheetId="24">#REF!</definedName>
    <definedName name="Start31" localSheetId="27">#REF!</definedName>
    <definedName name="Start31" localSheetId="6">#REF!</definedName>
    <definedName name="Start31" localSheetId="13">#REF!</definedName>
    <definedName name="Start31" localSheetId="10">#REF!</definedName>
    <definedName name="Start31" localSheetId="19">#REF!</definedName>
    <definedName name="Start31" localSheetId="11">#REF!</definedName>
    <definedName name="Start31" localSheetId="20">#REF!</definedName>
    <definedName name="Start31" localSheetId="4">#REF!</definedName>
    <definedName name="Start31" localSheetId="12">#REF!</definedName>
    <definedName name="Start31" localSheetId="9">#REF!</definedName>
    <definedName name="Start31" localSheetId="22">#REF!</definedName>
    <definedName name="Start31" localSheetId="23">#REF!</definedName>
    <definedName name="Start31" localSheetId="21">#REF!</definedName>
    <definedName name="Start31">#REF!</definedName>
    <definedName name="Start32" localSheetId="25">#REF!</definedName>
    <definedName name="Start32" localSheetId="26">#REF!</definedName>
    <definedName name="Start32" localSheetId="24">#REF!</definedName>
    <definedName name="Start32" localSheetId="27">#REF!</definedName>
    <definedName name="Start32" localSheetId="6">#REF!</definedName>
    <definedName name="Start32" localSheetId="13">#REF!</definedName>
    <definedName name="Start32" localSheetId="10">#REF!</definedName>
    <definedName name="Start32" localSheetId="19">#REF!</definedName>
    <definedName name="Start32" localSheetId="11">#REF!</definedName>
    <definedName name="Start32" localSheetId="20">#REF!</definedName>
    <definedName name="Start32" localSheetId="4">#REF!</definedName>
    <definedName name="Start32" localSheetId="12">#REF!</definedName>
    <definedName name="Start32" localSheetId="9">#REF!</definedName>
    <definedName name="Start32" localSheetId="22">#REF!</definedName>
    <definedName name="Start32" localSheetId="23">#REF!</definedName>
    <definedName name="Start32" localSheetId="21">#REF!</definedName>
    <definedName name="Start32">#REF!</definedName>
    <definedName name="Start33" localSheetId="25">#REF!</definedName>
    <definedName name="Start33" localSheetId="26">#REF!</definedName>
    <definedName name="Start33" localSheetId="24">#REF!</definedName>
    <definedName name="Start33" localSheetId="27">#REF!</definedName>
    <definedName name="Start33" localSheetId="6">#REF!</definedName>
    <definedName name="Start33" localSheetId="13">#REF!</definedName>
    <definedName name="Start33" localSheetId="10">#REF!</definedName>
    <definedName name="Start33" localSheetId="19">#REF!</definedName>
    <definedName name="Start33" localSheetId="11">#REF!</definedName>
    <definedName name="Start33" localSheetId="20">#REF!</definedName>
    <definedName name="Start33" localSheetId="4">#REF!</definedName>
    <definedName name="Start33" localSheetId="12">#REF!</definedName>
    <definedName name="Start33" localSheetId="9">#REF!</definedName>
    <definedName name="Start33" localSheetId="22">#REF!</definedName>
    <definedName name="Start33" localSheetId="23">#REF!</definedName>
    <definedName name="Start33" localSheetId="21">#REF!</definedName>
    <definedName name="Start33">#REF!</definedName>
    <definedName name="Start34" localSheetId="25">#REF!</definedName>
    <definedName name="Start34" localSheetId="26">#REF!</definedName>
    <definedName name="Start34" localSheetId="24">#REF!</definedName>
    <definedName name="Start34" localSheetId="27">#REF!</definedName>
    <definedName name="Start34" localSheetId="6">#REF!</definedName>
    <definedName name="Start34" localSheetId="13">#REF!</definedName>
    <definedName name="Start34" localSheetId="10">#REF!</definedName>
    <definedName name="Start34" localSheetId="19">#REF!</definedName>
    <definedName name="Start34" localSheetId="11">#REF!</definedName>
    <definedName name="Start34" localSheetId="20">#REF!</definedName>
    <definedName name="Start34" localSheetId="4">#REF!</definedName>
    <definedName name="Start34" localSheetId="12">#REF!</definedName>
    <definedName name="Start34" localSheetId="9">#REF!</definedName>
    <definedName name="Start34" localSheetId="22">#REF!</definedName>
    <definedName name="Start34" localSheetId="23">#REF!</definedName>
    <definedName name="Start34" localSheetId="21">#REF!</definedName>
    <definedName name="Start34">#REF!</definedName>
    <definedName name="Start35" localSheetId="25">#REF!</definedName>
    <definedName name="Start35" localSheetId="26">#REF!</definedName>
    <definedName name="Start35" localSheetId="24">#REF!</definedName>
    <definedName name="Start35" localSheetId="27">#REF!</definedName>
    <definedName name="Start35" localSheetId="6">#REF!</definedName>
    <definedName name="Start35" localSheetId="13">#REF!</definedName>
    <definedName name="Start35" localSheetId="10">#REF!</definedName>
    <definedName name="Start35" localSheetId="19">#REF!</definedName>
    <definedName name="Start35" localSheetId="11">#REF!</definedName>
    <definedName name="Start35" localSheetId="20">#REF!</definedName>
    <definedName name="Start35" localSheetId="4">#REF!</definedName>
    <definedName name="Start35" localSheetId="12">#REF!</definedName>
    <definedName name="Start35" localSheetId="9">#REF!</definedName>
    <definedName name="Start35" localSheetId="22">#REF!</definedName>
    <definedName name="Start35" localSheetId="23">#REF!</definedName>
    <definedName name="Start35" localSheetId="21">#REF!</definedName>
    <definedName name="Start35">#REF!</definedName>
    <definedName name="Start36" localSheetId="25">#REF!</definedName>
    <definedName name="Start36" localSheetId="26">#REF!</definedName>
    <definedName name="Start36" localSheetId="24">#REF!</definedName>
    <definedName name="Start36" localSheetId="27">#REF!</definedName>
    <definedName name="Start36" localSheetId="6">#REF!</definedName>
    <definedName name="Start36" localSheetId="13">#REF!</definedName>
    <definedName name="Start36" localSheetId="10">#REF!</definedName>
    <definedName name="Start36" localSheetId="19">#REF!</definedName>
    <definedName name="Start36" localSheetId="11">#REF!</definedName>
    <definedName name="Start36" localSheetId="20">#REF!</definedName>
    <definedName name="Start36" localSheetId="4">#REF!</definedName>
    <definedName name="Start36" localSheetId="12">#REF!</definedName>
    <definedName name="Start36" localSheetId="9">#REF!</definedName>
    <definedName name="Start36" localSheetId="22">#REF!</definedName>
    <definedName name="Start36" localSheetId="23">#REF!</definedName>
    <definedName name="Start36" localSheetId="21">#REF!</definedName>
    <definedName name="Start36">#REF!</definedName>
    <definedName name="Start37" localSheetId="25">#REF!</definedName>
    <definedName name="Start37" localSheetId="26">#REF!</definedName>
    <definedName name="Start37" localSheetId="24">#REF!</definedName>
    <definedName name="Start37" localSheetId="27">#REF!</definedName>
    <definedName name="Start37" localSheetId="6">#REF!</definedName>
    <definedName name="Start37" localSheetId="13">#REF!</definedName>
    <definedName name="Start37" localSheetId="10">#REF!</definedName>
    <definedName name="Start37" localSheetId="19">#REF!</definedName>
    <definedName name="Start37" localSheetId="11">#REF!</definedName>
    <definedName name="Start37" localSheetId="20">#REF!</definedName>
    <definedName name="Start37" localSheetId="4">#REF!</definedName>
    <definedName name="Start37" localSheetId="12">#REF!</definedName>
    <definedName name="Start37" localSheetId="9">#REF!</definedName>
    <definedName name="Start37" localSheetId="22">#REF!</definedName>
    <definedName name="Start37" localSheetId="23">#REF!</definedName>
    <definedName name="Start37" localSheetId="21">#REF!</definedName>
    <definedName name="Start37">#REF!</definedName>
    <definedName name="Start38" localSheetId="25">#REF!</definedName>
    <definedName name="Start38" localSheetId="26">#REF!</definedName>
    <definedName name="Start38" localSheetId="24">#REF!</definedName>
    <definedName name="Start38" localSheetId="27">#REF!</definedName>
    <definedName name="Start38" localSheetId="6">#REF!</definedName>
    <definedName name="Start38" localSheetId="13">#REF!</definedName>
    <definedName name="Start38" localSheetId="10">#REF!</definedName>
    <definedName name="Start38" localSheetId="19">#REF!</definedName>
    <definedName name="Start38" localSheetId="11">#REF!</definedName>
    <definedName name="Start38" localSheetId="20">#REF!</definedName>
    <definedName name="Start38" localSheetId="4">#REF!</definedName>
    <definedName name="Start38" localSheetId="12">#REF!</definedName>
    <definedName name="Start38" localSheetId="9">#REF!</definedName>
    <definedName name="Start38" localSheetId="22">#REF!</definedName>
    <definedName name="Start38" localSheetId="23">#REF!</definedName>
    <definedName name="Start38" localSheetId="21">#REF!</definedName>
    <definedName name="Start38">#REF!</definedName>
    <definedName name="Start39" localSheetId="25">#REF!</definedName>
    <definedName name="Start39" localSheetId="26">#REF!</definedName>
    <definedName name="Start39" localSheetId="24">#REF!</definedName>
    <definedName name="Start39" localSheetId="27">#REF!</definedName>
    <definedName name="Start39" localSheetId="6">#REF!</definedName>
    <definedName name="Start39" localSheetId="13">#REF!</definedName>
    <definedName name="Start39" localSheetId="10">#REF!</definedName>
    <definedName name="Start39" localSheetId="19">#REF!</definedName>
    <definedName name="Start39" localSheetId="11">#REF!</definedName>
    <definedName name="Start39" localSheetId="20">#REF!</definedName>
    <definedName name="Start39" localSheetId="4">#REF!</definedName>
    <definedName name="Start39" localSheetId="12">#REF!</definedName>
    <definedName name="Start39" localSheetId="9">#REF!</definedName>
    <definedName name="Start39" localSheetId="22">#REF!</definedName>
    <definedName name="Start39" localSheetId="23">#REF!</definedName>
    <definedName name="Start39" localSheetId="21">#REF!</definedName>
    <definedName name="Start39">#REF!</definedName>
    <definedName name="Start40" localSheetId="25">#REF!</definedName>
    <definedName name="Start40" localSheetId="26">#REF!</definedName>
    <definedName name="Start40" localSheetId="24">#REF!</definedName>
    <definedName name="Start40" localSheetId="27">#REF!</definedName>
    <definedName name="Start40" localSheetId="6">#REF!</definedName>
    <definedName name="Start40" localSheetId="13">#REF!</definedName>
    <definedName name="Start40" localSheetId="10">#REF!</definedName>
    <definedName name="Start40" localSheetId="19">#REF!</definedName>
    <definedName name="Start40" localSheetId="11">#REF!</definedName>
    <definedName name="Start40" localSheetId="20">#REF!</definedName>
    <definedName name="Start40" localSheetId="4">#REF!</definedName>
    <definedName name="Start40" localSheetId="12">#REF!</definedName>
    <definedName name="Start40" localSheetId="9">#REF!</definedName>
    <definedName name="Start40" localSheetId="22">#REF!</definedName>
    <definedName name="Start40" localSheetId="23">#REF!</definedName>
    <definedName name="Start40" localSheetId="21">#REF!</definedName>
    <definedName name="Start40">#REF!</definedName>
    <definedName name="Start41" localSheetId="25">#REF!</definedName>
    <definedName name="Start41" localSheetId="26">#REF!</definedName>
    <definedName name="Start41" localSheetId="24">#REF!</definedName>
    <definedName name="Start41" localSheetId="27">#REF!</definedName>
    <definedName name="Start41" localSheetId="6">#REF!</definedName>
    <definedName name="Start41" localSheetId="13">#REF!</definedName>
    <definedName name="Start41" localSheetId="10">#REF!</definedName>
    <definedName name="Start41" localSheetId="19">#REF!</definedName>
    <definedName name="Start41" localSheetId="11">#REF!</definedName>
    <definedName name="Start41" localSheetId="20">#REF!</definedName>
    <definedName name="Start41" localSheetId="4">#REF!</definedName>
    <definedName name="Start41" localSheetId="12">#REF!</definedName>
    <definedName name="Start41" localSheetId="9">#REF!</definedName>
    <definedName name="Start41" localSheetId="22">#REF!</definedName>
    <definedName name="Start41" localSheetId="23">#REF!</definedName>
    <definedName name="Start41" localSheetId="21">#REF!</definedName>
    <definedName name="Start41">#REF!</definedName>
    <definedName name="Start42" localSheetId="25">#REF!</definedName>
    <definedName name="Start42" localSheetId="26">#REF!</definedName>
    <definedName name="Start42" localSheetId="24">#REF!</definedName>
    <definedName name="Start42" localSheetId="27">#REF!</definedName>
    <definedName name="Start42" localSheetId="6">#REF!</definedName>
    <definedName name="Start42" localSheetId="13">#REF!</definedName>
    <definedName name="Start42" localSheetId="10">#REF!</definedName>
    <definedName name="Start42" localSheetId="19">#REF!</definedName>
    <definedName name="Start42" localSheetId="11">#REF!</definedName>
    <definedName name="Start42" localSheetId="20">#REF!</definedName>
    <definedName name="Start42" localSheetId="4">#REF!</definedName>
    <definedName name="Start42" localSheetId="12">#REF!</definedName>
    <definedName name="Start42" localSheetId="9">#REF!</definedName>
    <definedName name="Start42" localSheetId="22">#REF!</definedName>
    <definedName name="Start42" localSheetId="23">#REF!</definedName>
    <definedName name="Start42" localSheetId="21">#REF!</definedName>
    <definedName name="Start42">#REF!</definedName>
    <definedName name="Start43" localSheetId="25">#REF!</definedName>
    <definedName name="Start43" localSheetId="26">#REF!</definedName>
    <definedName name="Start43" localSheetId="24">#REF!</definedName>
    <definedName name="Start43" localSheetId="27">#REF!</definedName>
    <definedName name="Start43" localSheetId="6">#REF!</definedName>
    <definedName name="Start43" localSheetId="13">#REF!</definedName>
    <definedName name="Start43" localSheetId="10">#REF!</definedName>
    <definedName name="Start43" localSheetId="19">#REF!</definedName>
    <definedName name="Start43" localSheetId="11">#REF!</definedName>
    <definedName name="Start43" localSheetId="20">#REF!</definedName>
    <definedName name="Start43" localSheetId="4">#REF!</definedName>
    <definedName name="Start43" localSheetId="12">#REF!</definedName>
    <definedName name="Start43" localSheetId="9">#REF!</definedName>
    <definedName name="Start43" localSheetId="22">#REF!</definedName>
    <definedName name="Start43" localSheetId="23">#REF!</definedName>
    <definedName name="Start43" localSheetId="21">#REF!</definedName>
    <definedName name="Start43">#REF!</definedName>
    <definedName name="Start44" localSheetId="25">#REF!</definedName>
    <definedName name="Start44" localSheetId="26">#REF!</definedName>
    <definedName name="Start44" localSheetId="24">#REF!</definedName>
    <definedName name="Start44" localSheetId="27">#REF!</definedName>
    <definedName name="Start44" localSheetId="6">#REF!</definedName>
    <definedName name="Start44" localSheetId="13">#REF!</definedName>
    <definedName name="Start44" localSheetId="10">#REF!</definedName>
    <definedName name="Start44" localSheetId="19">#REF!</definedName>
    <definedName name="Start44" localSheetId="11">#REF!</definedName>
    <definedName name="Start44" localSheetId="20">#REF!</definedName>
    <definedName name="Start44" localSheetId="4">#REF!</definedName>
    <definedName name="Start44" localSheetId="12">#REF!</definedName>
    <definedName name="Start44" localSheetId="9">#REF!</definedName>
    <definedName name="Start44" localSheetId="22">#REF!</definedName>
    <definedName name="Start44" localSheetId="23">#REF!</definedName>
    <definedName name="Start44" localSheetId="21">#REF!</definedName>
    <definedName name="Start44">#REF!</definedName>
    <definedName name="Start45" localSheetId="25">#REF!</definedName>
    <definedName name="Start45" localSheetId="26">#REF!</definedName>
    <definedName name="Start45" localSheetId="24">#REF!</definedName>
    <definedName name="Start45" localSheetId="27">#REF!</definedName>
    <definedName name="Start45" localSheetId="6">#REF!</definedName>
    <definedName name="Start45" localSheetId="13">#REF!</definedName>
    <definedName name="Start45" localSheetId="10">#REF!</definedName>
    <definedName name="Start45" localSheetId="19">#REF!</definedName>
    <definedName name="Start45" localSheetId="11">#REF!</definedName>
    <definedName name="Start45" localSheetId="20">#REF!</definedName>
    <definedName name="Start45" localSheetId="4">#REF!</definedName>
    <definedName name="Start45" localSheetId="12">#REF!</definedName>
    <definedName name="Start45" localSheetId="9">#REF!</definedName>
    <definedName name="Start45" localSheetId="22">#REF!</definedName>
    <definedName name="Start45" localSheetId="23">#REF!</definedName>
    <definedName name="Start45" localSheetId="21">#REF!</definedName>
    <definedName name="Start45">#REF!</definedName>
    <definedName name="Start46" localSheetId="25">#REF!</definedName>
    <definedName name="Start46" localSheetId="26">#REF!</definedName>
    <definedName name="Start46" localSheetId="24">#REF!</definedName>
    <definedName name="Start46" localSheetId="27">#REF!</definedName>
    <definedName name="Start46" localSheetId="6">#REF!</definedName>
    <definedName name="Start46" localSheetId="13">#REF!</definedName>
    <definedName name="Start46" localSheetId="10">#REF!</definedName>
    <definedName name="Start46" localSheetId="19">#REF!</definedName>
    <definedName name="Start46" localSheetId="11">#REF!</definedName>
    <definedName name="Start46" localSheetId="20">#REF!</definedName>
    <definedName name="Start46" localSheetId="4">#REF!</definedName>
    <definedName name="Start46" localSheetId="12">#REF!</definedName>
    <definedName name="Start46" localSheetId="9">#REF!</definedName>
    <definedName name="Start46" localSheetId="22">#REF!</definedName>
    <definedName name="Start46" localSheetId="23">#REF!</definedName>
    <definedName name="Start46" localSheetId="21">#REF!</definedName>
    <definedName name="Start46">#REF!</definedName>
    <definedName name="Start47" localSheetId="25">#REF!</definedName>
    <definedName name="Start47" localSheetId="26">#REF!</definedName>
    <definedName name="Start47" localSheetId="24">#REF!</definedName>
    <definedName name="Start47" localSheetId="27">#REF!</definedName>
    <definedName name="Start47" localSheetId="6">#REF!</definedName>
    <definedName name="Start47" localSheetId="13">#REF!</definedName>
    <definedName name="Start47" localSheetId="10">#REF!</definedName>
    <definedName name="Start47" localSheetId="19">#REF!</definedName>
    <definedName name="Start47" localSheetId="11">#REF!</definedName>
    <definedName name="Start47" localSheetId="20">#REF!</definedName>
    <definedName name="Start47" localSheetId="4">#REF!</definedName>
    <definedName name="Start47" localSheetId="12">#REF!</definedName>
    <definedName name="Start47" localSheetId="9">#REF!</definedName>
    <definedName name="Start47" localSheetId="22">#REF!</definedName>
    <definedName name="Start47" localSheetId="23">#REF!</definedName>
    <definedName name="Start47" localSheetId="21">#REF!</definedName>
    <definedName name="Start47">#REF!</definedName>
    <definedName name="Start48" localSheetId="25">#REF!</definedName>
    <definedName name="Start48" localSheetId="26">#REF!</definedName>
    <definedName name="Start48" localSheetId="24">#REF!</definedName>
    <definedName name="Start48" localSheetId="27">#REF!</definedName>
    <definedName name="Start48" localSheetId="6">#REF!</definedName>
    <definedName name="Start48" localSheetId="13">#REF!</definedName>
    <definedName name="Start48" localSheetId="10">#REF!</definedName>
    <definedName name="Start48" localSheetId="19">#REF!</definedName>
    <definedName name="Start48" localSheetId="11">#REF!</definedName>
    <definedName name="Start48" localSheetId="20">#REF!</definedName>
    <definedName name="Start48" localSheetId="4">#REF!</definedName>
    <definedName name="Start48" localSheetId="12">#REF!</definedName>
    <definedName name="Start48" localSheetId="9">#REF!</definedName>
    <definedName name="Start48" localSheetId="22">#REF!</definedName>
    <definedName name="Start48" localSheetId="23">#REF!</definedName>
    <definedName name="Start48" localSheetId="21">#REF!</definedName>
    <definedName name="Start48">#REF!</definedName>
    <definedName name="Start49" localSheetId="25">#REF!</definedName>
    <definedName name="Start49" localSheetId="26">#REF!</definedName>
    <definedName name="Start49" localSheetId="24">#REF!</definedName>
    <definedName name="Start49" localSheetId="27">#REF!</definedName>
    <definedName name="Start49" localSheetId="6">#REF!</definedName>
    <definedName name="Start49" localSheetId="13">#REF!</definedName>
    <definedName name="Start49" localSheetId="10">#REF!</definedName>
    <definedName name="Start49" localSheetId="19">#REF!</definedName>
    <definedName name="Start49" localSheetId="11">#REF!</definedName>
    <definedName name="Start49" localSheetId="20">#REF!</definedName>
    <definedName name="Start49" localSheetId="4">#REF!</definedName>
    <definedName name="Start49" localSheetId="12">#REF!</definedName>
    <definedName name="Start49" localSheetId="9">#REF!</definedName>
    <definedName name="Start49" localSheetId="22">#REF!</definedName>
    <definedName name="Start49" localSheetId="23">#REF!</definedName>
    <definedName name="Start49" localSheetId="21">#REF!</definedName>
    <definedName name="Start49">#REF!</definedName>
    <definedName name="Start5" localSheetId="25">#REF!</definedName>
    <definedName name="Start5" localSheetId="26">#REF!</definedName>
    <definedName name="Start5" localSheetId="24">#REF!</definedName>
    <definedName name="Start5" localSheetId="27">#REF!</definedName>
    <definedName name="Start5" localSheetId="6">#REF!</definedName>
    <definedName name="Start5" localSheetId="13">#REF!</definedName>
    <definedName name="Start5" localSheetId="10">#REF!</definedName>
    <definedName name="Start5" localSheetId="19">#REF!</definedName>
    <definedName name="Start5" localSheetId="11">#REF!</definedName>
    <definedName name="Start5" localSheetId="20">#REF!</definedName>
    <definedName name="Start5" localSheetId="4">#REF!</definedName>
    <definedName name="Start5" localSheetId="12">#REF!</definedName>
    <definedName name="Start5" localSheetId="9">#REF!</definedName>
    <definedName name="Start5" localSheetId="22">#REF!</definedName>
    <definedName name="Start5" localSheetId="23">#REF!</definedName>
    <definedName name="Start5" localSheetId="21">#REF!</definedName>
    <definedName name="Start5">#REF!</definedName>
    <definedName name="Start50" localSheetId="25">#REF!</definedName>
    <definedName name="Start50" localSheetId="26">#REF!</definedName>
    <definedName name="Start50" localSheetId="24">#REF!</definedName>
    <definedName name="Start50" localSheetId="27">#REF!</definedName>
    <definedName name="Start50" localSheetId="6">#REF!</definedName>
    <definedName name="Start50" localSheetId="13">#REF!</definedName>
    <definedName name="Start50" localSheetId="10">#REF!</definedName>
    <definedName name="Start50" localSheetId="19">#REF!</definedName>
    <definedName name="Start50" localSheetId="11">#REF!</definedName>
    <definedName name="Start50" localSheetId="20">#REF!</definedName>
    <definedName name="Start50" localSheetId="4">#REF!</definedName>
    <definedName name="Start50" localSheetId="12">#REF!</definedName>
    <definedName name="Start50" localSheetId="9">#REF!</definedName>
    <definedName name="Start50" localSheetId="22">#REF!</definedName>
    <definedName name="Start50" localSheetId="23">#REF!</definedName>
    <definedName name="Start50" localSheetId="21">#REF!</definedName>
    <definedName name="Start50">#REF!</definedName>
    <definedName name="Start51" localSheetId="25">#REF!</definedName>
    <definedName name="Start51" localSheetId="26">#REF!</definedName>
    <definedName name="Start51" localSheetId="24">#REF!</definedName>
    <definedName name="Start51" localSheetId="27">#REF!</definedName>
    <definedName name="Start51" localSheetId="6">#REF!</definedName>
    <definedName name="Start51" localSheetId="13">#REF!</definedName>
    <definedName name="Start51" localSheetId="10">#REF!</definedName>
    <definedName name="Start51" localSheetId="19">#REF!</definedName>
    <definedName name="Start51" localSheetId="11">#REF!</definedName>
    <definedName name="Start51" localSheetId="20">#REF!</definedName>
    <definedName name="Start51" localSheetId="4">#REF!</definedName>
    <definedName name="Start51" localSheetId="12">#REF!</definedName>
    <definedName name="Start51" localSheetId="9">#REF!</definedName>
    <definedName name="Start51" localSheetId="22">#REF!</definedName>
    <definedName name="Start51" localSheetId="23">#REF!</definedName>
    <definedName name="Start51" localSheetId="21">#REF!</definedName>
    <definedName name="Start51">#REF!</definedName>
    <definedName name="Start52" localSheetId="25">#REF!</definedName>
    <definedName name="Start52" localSheetId="26">#REF!</definedName>
    <definedName name="Start52" localSheetId="24">#REF!</definedName>
    <definedName name="Start52" localSheetId="27">#REF!</definedName>
    <definedName name="Start52" localSheetId="6">#REF!</definedName>
    <definedName name="Start52" localSheetId="13">#REF!</definedName>
    <definedName name="Start52" localSheetId="10">#REF!</definedName>
    <definedName name="Start52" localSheetId="19">#REF!</definedName>
    <definedName name="Start52" localSheetId="11">#REF!</definedName>
    <definedName name="Start52" localSheetId="20">#REF!</definedName>
    <definedName name="Start52" localSheetId="4">#REF!</definedName>
    <definedName name="Start52" localSheetId="12">#REF!</definedName>
    <definedName name="Start52" localSheetId="9">#REF!</definedName>
    <definedName name="Start52" localSheetId="22">#REF!</definedName>
    <definedName name="Start52" localSheetId="23">#REF!</definedName>
    <definedName name="Start52" localSheetId="21">#REF!</definedName>
    <definedName name="Start52">#REF!</definedName>
    <definedName name="Start53" localSheetId="25">#REF!</definedName>
    <definedName name="Start53" localSheetId="26">#REF!</definedName>
    <definedName name="Start53" localSheetId="24">#REF!</definedName>
    <definedName name="Start53" localSheetId="27">#REF!</definedName>
    <definedName name="Start53" localSheetId="6">#REF!</definedName>
    <definedName name="Start53" localSheetId="13">#REF!</definedName>
    <definedName name="Start53" localSheetId="10">#REF!</definedName>
    <definedName name="Start53" localSheetId="19">#REF!</definedName>
    <definedName name="Start53" localSheetId="11">#REF!</definedName>
    <definedName name="Start53" localSheetId="20">#REF!</definedName>
    <definedName name="Start53" localSheetId="4">#REF!</definedName>
    <definedName name="Start53" localSheetId="12">#REF!</definedName>
    <definedName name="Start53" localSheetId="9">#REF!</definedName>
    <definedName name="Start53" localSheetId="22">#REF!</definedName>
    <definedName name="Start53" localSheetId="23">#REF!</definedName>
    <definedName name="Start53" localSheetId="21">#REF!</definedName>
    <definedName name="Start53">#REF!</definedName>
    <definedName name="Start54" localSheetId="25">#REF!</definedName>
    <definedName name="Start54" localSheetId="26">#REF!</definedName>
    <definedName name="Start54" localSheetId="24">#REF!</definedName>
    <definedName name="Start54" localSheetId="27">#REF!</definedName>
    <definedName name="Start54" localSheetId="6">#REF!</definedName>
    <definedName name="Start54" localSheetId="13">#REF!</definedName>
    <definedName name="Start54" localSheetId="10">#REF!</definedName>
    <definedName name="Start54" localSheetId="19">#REF!</definedName>
    <definedName name="Start54" localSheetId="11">#REF!</definedName>
    <definedName name="Start54" localSheetId="20">#REF!</definedName>
    <definedName name="Start54" localSheetId="4">#REF!</definedName>
    <definedName name="Start54" localSheetId="12">#REF!</definedName>
    <definedName name="Start54" localSheetId="9">#REF!</definedName>
    <definedName name="Start54" localSheetId="22">#REF!</definedName>
    <definedName name="Start54" localSheetId="23">#REF!</definedName>
    <definedName name="Start54" localSheetId="21">#REF!</definedName>
    <definedName name="Start54">#REF!</definedName>
    <definedName name="Start55" localSheetId="25">#REF!</definedName>
    <definedName name="Start55" localSheetId="26">#REF!</definedName>
    <definedName name="Start55" localSheetId="24">#REF!</definedName>
    <definedName name="Start55" localSheetId="27">#REF!</definedName>
    <definedName name="Start55" localSheetId="6">#REF!</definedName>
    <definedName name="Start55" localSheetId="13">#REF!</definedName>
    <definedName name="Start55" localSheetId="10">#REF!</definedName>
    <definedName name="Start55" localSheetId="19">#REF!</definedName>
    <definedName name="Start55" localSheetId="11">#REF!</definedName>
    <definedName name="Start55" localSheetId="20">#REF!</definedName>
    <definedName name="Start55" localSheetId="4">#REF!</definedName>
    <definedName name="Start55" localSheetId="12">#REF!</definedName>
    <definedName name="Start55" localSheetId="9">#REF!</definedName>
    <definedName name="Start55" localSheetId="22">#REF!</definedName>
    <definedName name="Start55" localSheetId="23">#REF!</definedName>
    <definedName name="Start55" localSheetId="21">#REF!</definedName>
    <definedName name="Start55">#REF!</definedName>
    <definedName name="Start56" localSheetId="25">#REF!</definedName>
    <definedName name="Start56" localSheetId="26">#REF!</definedName>
    <definedName name="Start56" localSheetId="24">#REF!</definedName>
    <definedName name="Start56" localSheetId="27">#REF!</definedName>
    <definedName name="Start56" localSheetId="6">#REF!</definedName>
    <definedName name="Start56" localSheetId="13">#REF!</definedName>
    <definedName name="Start56" localSheetId="10">#REF!</definedName>
    <definedName name="Start56" localSheetId="19">#REF!</definedName>
    <definedName name="Start56" localSheetId="11">#REF!</definedName>
    <definedName name="Start56" localSheetId="20">#REF!</definedName>
    <definedName name="Start56" localSheetId="4">#REF!</definedName>
    <definedName name="Start56" localSheetId="12">#REF!</definedName>
    <definedName name="Start56" localSheetId="9">#REF!</definedName>
    <definedName name="Start56" localSheetId="22">#REF!</definedName>
    <definedName name="Start56" localSheetId="23">#REF!</definedName>
    <definedName name="Start56" localSheetId="21">#REF!</definedName>
    <definedName name="Start56">#REF!</definedName>
    <definedName name="Start57" localSheetId="25">#REF!</definedName>
    <definedName name="Start57" localSheetId="26">#REF!</definedName>
    <definedName name="Start57" localSheetId="24">#REF!</definedName>
    <definedName name="Start57" localSheetId="27">#REF!</definedName>
    <definedName name="Start57" localSheetId="6">#REF!</definedName>
    <definedName name="Start57" localSheetId="13">#REF!</definedName>
    <definedName name="Start57" localSheetId="10">#REF!</definedName>
    <definedName name="Start57" localSheetId="19">#REF!</definedName>
    <definedName name="Start57" localSheetId="11">#REF!</definedName>
    <definedName name="Start57" localSheetId="20">#REF!</definedName>
    <definedName name="Start57" localSheetId="4">#REF!</definedName>
    <definedName name="Start57" localSheetId="12">#REF!</definedName>
    <definedName name="Start57" localSheetId="9">#REF!</definedName>
    <definedName name="Start57" localSheetId="22">#REF!</definedName>
    <definedName name="Start57" localSheetId="23">#REF!</definedName>
    <definedName name="Start57" localSheetId="21">#REF!</definedName>
    <definedName name="Start57">#REF!</definedName>
    <definedName name="Start58" localSheetId="25">#REF!</definedName>
    <definedName name="Start58" localSheetId="26">#REF!</definedName>
    <definedName name="Start58" localSheetId="24">#REF!</definedName>
    <definedName name="Start58" localSheetId="27">#REF!</definedName>
    <definedName name="Start58" localSheetId="6">#REF!</definedName>
    <definedName name="Start58" localSheetId="13">#REF!</definedName>
    <definedName name="Start58" localSheetId="10">#REF!</definedName>
    <definedName name="Start58" localSheetId="19">#REF!</definedName>
    <definedName name="Start58" localSheetId="11">#REF!</definedName>
    <definedName name="Start58" localSheetId="20">#REF!</definedName>
    <definedName name="Start58" localSheetId="4">#REF!</definedName>
    <definedName name="Start58" localSheetId="12">#REF!</definedName>
    <definedName name="Start58" localSheetId="9">#REF!</definedName>
    <definedName name="Start58" localSheetId="22">#REF!</definedName>
    <definedName name="Start58" localSheetId="23">#REF!</definedName>
    <definedName name="Start58" localSheetId="21">#REF!</definedName>
    <definedName name="Start58">#REF!</definedName>
    <definedName name="Start59" localSheetId="25">#REF!</definedName>
    <definedName name="Start59" localSheetId="26">#REF!</definedName>
    <definedName name="Start59" localSheetId="24">#REF!</definedName>
    <definedName name="Start59" localSheetId="27">#REF!</definedName>
    <definedName name="Start59" localSheetId="6">#REF!</definedName>
    <definedName name="Start59" localSheetId="13">#REF!</definedName>
    <definedName name="Start59" localSheetId="10">#REF!</definedName>
    <definedName name="Start59" localSheetId="19">#REF!</definedName>
    <definedName name="Start59" localSheetId="11">#REF!</definedName>
    <definedName name="Start59" localSheetId="20">#REF!</definedName>
    <definedName name="Start59" localSheetId="4">#REF!</definedName>
    <definedName name="Start59" localSheetId="12">#REF!</definedName>
    <definedName name="Start59" localSheetId="9">#REF!</definedName>
    <definedName name="Start59" localSheetId="22">#REF!</definedName>
    <definedName name="Start59" localSheetId="23">#REF!</definedName>
    <definedName name="Start59" localSheetId="21">#REF!</definedName>
    <definedName name="Start59">#REF!</definedName>
    <definedName name="Start6" localSheetId="25">#REF!</definedName>
    <definedName name="Start6" localSheetId="26">#REF!</definedName>
    <definedName name="Start6" localSheetId="24">#REF!</definedName>
    <definedName name="Start6" localSheetId="27">#REF!</definedName>
    <definedName name="Start6" localSheetId="6">#REF!</definedName>
    <definedName name="Start6" localSheetId="13">#REF!</definedName>
    <definedName name="Start6" localSheetId="10">#REF!</definedName>
    <definedName name="Start6" localSheetId="19">#REF!</definedName>
    <definedName name="Start6" localSheetId="11">#REF!</definedName>
    <definedName name="Start6" localSheetId="20">#REF!</definedName>
    <definedName name="Start6" localSheetId="4">#REF!</definedName>
    <definedName name="Start6" localSheetId="12">#REF!</definedName>
    <definedName name="Start6" localSheetId="9">#REF!</definedName>
    <definedName name="Start6" localSheetId="22">#REF!</definedName>
    <definedName name="Start6" localSheetId="23">#REF!</definedName>
    <definedName name="Start6" localSheetId="21">#REF!</definedName>
    <definedName name="Start6">#REF!</definedName>
    <definedName name="Start60" localSheetId="25">#REF!</definedName>
    <definedName name="Start60" localSheetId="26">#REF!</definedName>
    <definedName name="Start60" localSheetId="24">#REF!</definedName>
    <definedName name="Start60" localSheetId="27">#REF!</definedName>
    <definedName name="Start60" localSheetId="6">#REF!</definedName>
    <definedName name="Start60" localSheetId="13">#REF!</definedName>
    <definedName name="Start60" localSheetId="10">#REF!</definedName>
    <definedName name="Start60" localSheetId="19">#REF!</definedName>
    <definedName name="Start60" localSheetId="11">#REF!</definedName>
    <definedName name="Start60" localSheetId="20">#REF!</definedName>
    <definedName name="Start60" localSheetId="4">#REF!</definedName>
    <definedName name="Start60" localSheetId="12">#REF!</definedName>
    <definedName name="Start60" localSheetId="9">#REF!</definedName>
    <definedName name="Start60" localSheetId="22">#REF!</definedName>
    <definedName name="Start60" localSheetId="23">#REF!</definedName>
    <definedName name="Start60" localSheetId="21">#REF!</definedName>
    <definedName name="Start60">#REF!</definedName>
    <definedName name="Start61" localSheetId="25">#REF!</definedName>
    <definedName name="Start61" localSheetId="26">#REF!</definedName>
    <definedName name="Start61" localSheetId="24">#REF!</definedName>
    <definedName name="Start61" localSheetId="27">#REF!</definedName>
    <definedName name="Start61" localSheetId="6">#REF!</definedName>
    <definedName name="Start61" localSheetId="13">#REF!</definedName>
    <definedName name="Start61" localSheetId="10">#REF!</definedName>
    <definedName name="Start61" localSheetId="19">#REF!</definedName>
    <definedName name="Start61" localSheetId="11">#REF!</definedName>
    <definedName name="Start61" localSheetId="20">#REF!</definedName>
    <definedName name="Start61" localSheetId="4">#REF!</definedName>
    <definedName name="Start61" localSheetId="12">#REF!</definedName>
    <definedName name="Start61" localSheetId="9">#REF!</definedName>
    <definedName name="Start61" localSheetId="22">#REF!</definedName>
    <definedName name="Start61" localSheetId="23">#REF!</definedName>
    <definedName name="Start61" localSheetId="21">#REF!</definedName>
    <definedName name="Start61">#REF!</definedName>
    <definedName name="Start62" localSheetId="25">#REF!</definedName>
    <definedName name="Start62" localSheetId="26">#REF!</definedName>
    <definedName name="Start62" localSheetId="24">#REF!</definedName>
    <definedName name="Start62" localSheetId="27">#REF!</definedName>
    <definedName name="Start62" localSheetId="6">#REF!</definedName>
    <definedName name="Start62" localSheetId="13">#REF!</definedName>
    <definedName name="Start62" localSheetId="10">#REF!</definedName>
    <definedName name="Start62" localSheetId="19">#REF!</definedName>
    <definedName name="Start62" localSheetId="11">#REF!</definedName>
    <definedName name="Start62" localSheetId="20">#REF!</definedName>
    <definedName name="Start62" localSheetId="4">#REF!</definedName>
    <definedName name="Start62" localSheetId="12">#REF!</definedName>
    <definedName name="Start62" localSheetId="9">#REF!</definedName>
    <definedName name="Start62" localSheetId="22">#REF!</definedName>
    <definedName name="Start62" localSheetId="23">#REF!</definedName>
    <definedName name="Start62" localSheetId="21">#REF!</definedName>
    <definedName name="Start62">#REF!</definedName>
    <definedName name="Start63" localSheetId="25">#REF!</definedName>
    <definedName name="Start63" localSheetId="26">#REF!</definedName>
    <definedName name="Start63" localSheetId="24">#REF!</definedName>
    <definedName name="Start63" localSheetId="27">#REF!</definedName>
    <definedName name="Start63" localSheetId="6">#REF!</definedName>
    <definedName name="Start63" localSheetId="13">#REF!</definedName>
    <definedName name="Start63" localSheetId="10">#REF!</definedName>
    <definedName name="Start63" localSheetId="19">#REF!</definedName>
    <definedName name="Start63" localSheetId="11">#REF!</definedName>
    <definedName name="Start63" localSheetId="20">#REF!</definedName>
    <definedName name="Start63" localSheetId="4">#REF!</definedName>
    <definedName name="Start63" localSheetId="12">#REF!</definedName>
    <definedName name="Start63" localSheetId="9">#REF!</definedName>
    <definedName name="Start63" localSheetId="22">#REF!</definedName>
    <definedName name="Start63" localSheetId="23">#REF!</definedName>
    <definedName name="Start63" localSheetId="21">#REF!</definedName>
    <definedName name="Start63">#REF!</definedName>
    <definedName name="Start64" localSheetId="25">#REF!</definedName>
    <definedName name="Start64" localSheetId="26">#REF!</definedName>
    <definedName name="Start64" localSheetId="24">#REF!</definedName>
    <definedName name="Start64" localSheetId="27">#REF!</definedName>
    <definedName name="Start64" localSheetId="6">#REF!</definedName>
    <definedName name="Start64" localSheetId="13">#REF!</definedName>
    <definedName name="Start64" localSheetId="10">#REF!</definedName>
    <definedName name="Start64" localSheetId="19">#REF!</definedName>
    <definedName name="Start64" localSheetId="11">#REF!</definedName>
    <definedName name="Start64" localSheetId="20">#REF!</definedName>
    <definedName name="Start64" localSheetId="4">#REF!</definedName>
    <definedName name="Start64" localSheetId="12">#REF!</definedName>
    <definedName name="Start64" localSheetId="9">#REF!</definedName>
    <definedName name="Start64" localSheetId="22">#REF!</definedName>
    <definedName name="Start64" localSheetId="23">#REF!</definedName>
    <definedName name="Start64" localSheetId="21">#REF!</definedName>
    <definedName name="Start64">#REF!</definedName>
    <definedName name="Start65" localSheetId="25">#REF!</definedName>
    <definedName name="Start65" localSheetId="26">#REF!</definedName>
    <definedName name="Start65" localSheetId="24">#REF!</definedName>
    <definedName name="Start65" localSheetId="27">#REF!</definedName>
    <definedName name="Start65" localSheetId="6">#REF!</definedName>
    <definedName name="Start65" localSheetId="13">#REF!</definedName>
    <definedName name="Start65" localSheetId="10">#REF!</definedName>
    <definedName name="Start65" localSheetId="19">#REF!</definedName>
    <definedName name="Start65" localSheetId="11">#REF!</definedName>
    <definedName name="Start65" localSheetId="20">#REF!</definedName>
    <definedName name="Start65" localSheetId="4">#REF!</definedName>
    <definedName name="Start65" localSheetId="12">#REF!</definedName>
    <definedName name="Start65" localSheetId="9">#REF!</definedName>
    <definedName name="Start65" localSheetId="22">#REF!</definedName>
    <definedName name="Start65" localSheetId="23">#REF!</definedName>
    <definedName name="Start65" localSheetId="21">#REF!</definedName>
    <definedName name="Start65">#REF!</definedName>
    <definedName name="Start66" localSheetId="25">#REF!</definedName>
    <definedName name="Start66" localSheetId="26">#REF!</definedName>
    <definedName name="Start66" localSheetId="24">#REF!</definedName>
    <definedName name="Start66" localSheetId="27">#REF!</definedName>
    <definedName name="Start66" localSheetId="6">#REF!</definedName>
    <definedName name="Start66" localSheetId="13">#REF!</definedName>
    <definedName name="Start66" localSheetId="10">#REF!</definedName>
    <definedName name="Start66" localSheetId="19">#REF!</definedName>
    <definedName name="Start66" localSheetId="11">#REF!</definedName>
    <definedName name="Start66" localSheetId="20">#REF!</definedName>
    <definedName name="Start66" localSheetId="4">#REF!</definedName>
    <definedName name="Start66" localSheetId="12">#REF!</definedName>
    <definedName name="Start66" localSheetId="9">#REF!</definedName>
    <definedName name="Start66" localSheetId="22">#REF!</definedName>
    <definedName name="Start66" localSheetId="23">#REF!</definedName>
    <definedName name="Start66" localSheetId="21">#REF!</definedName>
    <definedName name="Start66">#REF!</definedName>
    <definedName name="Start7" localSheetId="25">#REF!</definedName>
    <definedName name="Start7" localSheetId="26">#REF!</definedName>
    <definedName name="Start7" localSheetId="24">#REF!</definedName>
    <definedName name="Start7" localSheetId="27">#REF!</definedName>
    <definedName name="Start7" localSheetId="6">#REF!</definedName>
    <definedName name="Start7" localSheetId="13">#REF!</definedName>
    <definedName name="Start7" localSheetId="10">#REF!</definedName>
    <definedName name="Start7" localSheetId="19">#REF!</definedName>
    <definedName name="Start7" localSheetId="11">#REF!</definedName>
    <definedName name="Start7" localSheetId="20">#REF!</definedName>
    <definedName name="Start7" localSheetId="4">#REF!</definedName>
    <definedName name="Start7" localSheetId="12">#REF!</definedName>
    <definedName name="Start7" localSheetId="9">#REF!</definedName>
    <definedName name="Start7" localSheetId="22">#REF!</definedName>
    <definedName name="Start7" localSheetId="23">#REF!</definedName>
    <definedName name="Start7" localSheetId="21">#REF!</definedName>
    <definedName name="Start7">#REF!</definedName>
    <definedName name="Start8" localSheetId="25">#REF!</definedName>
    <definedName name="Start8" localSheetId="26">#REF!</definedName>
    <definedName name="Start8" localSheetId="24">#REF!</definedName>
    <definedName name="Start8" localSheetId="27">#REF!</definedName>
    <definedName name="Start8" localSheetId="6">#REF!</definedName>
    <definedName name="Start8" localSheetId="13">#REF!</definedName>
    <definedName name="Start8" localSheetId="10">#REF!</definedName>
    <definedName name="Start8" localSheetId="19">#REF!</definedName>
    <definedName name="Start8" localSheetId="11">#REF!</definedName>
    <definedName name="Start8" localSheetId="20">#REF!</definedName>
    <definedName name="Start8" localSheetId="4">#REF!</definedName>
    <definedName name="Start8" localSheetId="12">#REF!</definedName>
    <definedName name="Start8" localSheetId="9">#REF!</definedName>
    <definedName name="Start8" localSheetId="22">#REF!</definedName>
    <definedName name="Start8" localSheetId="23">#REF!</definedName>
    <definedName name="Start8" localSheetId="21">#REF!</definedName>
    <definedName name="Start8">#REF!</definedName>
    <definedName name="Start9" localSheetId="25">#REF!</definedName>
    <definedName name="Start9" localSheetId="26">#REF!</definedName>
    <definedName name="Start9" localSheetId="24">#REF!</definedName>
    <definedName name="Start9" localSheetId="27">#REF!</definedName>
    <definedName name="Start9" localSheetId="6">#REF!</definedName>
    <definedName name="Start9" localSheetId="13">#REF!</definedName>
    <definedName name="Start9" localSheetId="10">#REF!</definedName>
    <definedName name="Start9" localSheetId="19">#REF!</definedName>
    <definedName name="Start9" localSheetId="11">#REF!</definedName>
    <definedName name="Start9" localSheetId="20">#REF!</definedName>
    <definedName name="Start9" localSheetId="4">#REF!</definedName>
    <definedName name="Start9" localSheetId="12">#REF!</definedName>
    <definedName name="Start9" localSheetId="9">#REF!</definedName>
    <definedName name="Start9" localSheetId="22">#REF!</definedName>
    <definedName name="Start9" localSheetId="23">#REF!</definedName>
    <definedName name="Start9" localSheetId="21">#REF!</definedName>
    <definedName name="Start9">#REF!</definedName>
    <definedName name="termination" localSheetId="25">#REF!</definedName>
    <definedName name="termination" localSheetId="26">#REF!</definedName>
    <definedName name="termination" localSheetId="24">#REF!</definedName>
    <definedName name="termination" localSheetId="27">#REF!</definedName>
    <definedName name="termination" localSheetId="6">#REF!</definedName>
    <definedName name="termination" localSheetId="13">#REF!</definedName>
    <definedName name="termination" localSheetId="10">#REF!</definedName>
    <definedName name="termination" localSheetId="19">#REF!</definedName>
    <definedName name="termination" localSheetId="11">#REF!</definedName>
    <definedName name="termination" localSheetId="20">#REF!</definedName>
    <definedName name="termination" localSheetId="4">#REF!</definedName>
    <definedName name="termination" localSheetId="12">#REF!</definedName>
    <definedName name="termination" localSheetId="9">#REF!</definedName>
    <definedName name="termination" localSheetId="22">#REF!</definedName>
    <definedName name="termination" localSheetId="23">#REF!</definedName>
    <definedName name="termination" localSheetId="21">#REF!</definedName>
    <definedName name="termination">#REF!</definedName>
    <definedName name="toggle_PD_Intel" localSheetId="25">#REF!</definedName>
    <definedName name="toggle_PD_Intel" localSheetId="26">#REF!</definedName>
    <definedName name="toggle_PD_Intel" localSheetId="24">#REF!</definedName>
    <definedName name="toggle_PD_Intel" localSheetId="27">#REF!</definedName>
    <definedName name="toggle_PD_Intel" localSheetId="6">#REF!</definedName>
    <definedName name="toggle_PD_Intel" localSheetId="13">#REF!</definedName>
    <definedName name="toggle_PD_Intel" localSheetId="10">#REF!</definedName>
    <definedName name="toggle_PD_Intel" localSheetId="19">#REF!</definedName>
    <definedName name="toggle_PD_Intel" localSheetId="11">#REF!</definedName>
    <definedName name="toggle_PD_Intel" localSheetId="20">#REF!</definedName>
    <definedName name="toggle_PD_Intel" localSheetId="4">#REF!</definedName>
    <definedName name="toggle_PD_Intel" localSheetId="12">#REF!</definedName>
    <definedName name="toggle_PD_Intel" localSheetId="9">#REF!</definedName>
    <definedName name="toggle_PD_Intel" localSheetId="22">#REF!</definedName>
    <definedName name="toggle_PD_Intel" localSheetId="23">#REF!</definedName>
    <definedName name="toggle_PD_Intel" localSheetId="21">#REF!</definedName>
    <definedName name="toggle_PD_Intel">#REF!</definedName>
    <definedName name="Typ_customer" localSheetId="25">#REF!</definedName>
    <definedName name="Typ_customer" localSheetId="26">#REF!</definedName>
    <definedName name="Typ_customer" localSheetId="24">#REF!</definedName>
    <definedName name="Typ_customer" localSheetId="27">#REF!</definedName>
    <definedName name="Typ_customer" localSheetId="6">#REF!</definedName>
    <definedName name="Typ_customer" localSheetId="13">#REF!</definedName>
    <definedName name="Typ_customer" localSheetId="10">#REF!</definedName>
    <definedName name="Typ_customer" localSheetId="19">#REF!</definedName>
    <definedName name="Typ_customer" localSheetId="11">#REF!</definedName>
    <definedName name="Typ_customer" localSheetId="20">#REF!</definedName>
    <definedName name="Typ_customer" localSheetId="4">#REF!</definedName>
    <definedName name="Typ_customer" localSheetId="12">#REF!</definedName>
    <definedName name="Typ_customer" localSheetId="9">#REF!</definedName>
    <definedName name="Typ_customer" localSheetId="22">#REF!</definedName>
    <definedName name="Typ_customer" localSheetId="23">#REF!</definedName>
    <definedName name="Typ_customer" localSheetId="21">#REF!</definedName>
    <definedName name="Typ_customer">#REF!</definedName>
    <definedName name="unit" localSheetId="25">#REF!</definedName>
    <definedName name="unit" localSheetId="26">#REF!</definedName>
    <definedName name="unit" localSheetId="24">#REF!</definedName>
    <definedName name="unit" localSheetId="27">#REF!</definedName>
    <definedName name="unit" localSheetId="6">#REF!</definedName>
    <definedName name="unit" localSheetId="13">#REF!</definedName>
    <definedName name="unit" localSheetId="10">#REF!</definedName>
    <definedName name="unit" localSheetId="19">#REF!</definedName>
    <definedName name="unit" localSheetId="11">#REF!</definedName>
    <definedName name="unit" localSheetId="20">#REF!</definedName>
    <definedName name="unit" localSheetId="4">#REF!</definedName>
    <definedName name="unit" localSheetId="12">#REF!</definedName>
    <definedName name="unit" localSheetId="9">#REF!</definedName>
    <definedName name="unit" localSheetId="22">#REF!</definedName>
    <definedName name="unit" localSheetId="23">#REF!</definedName>
    <definedName name="unit" localSheetId="21">#REF!</definedName>
    <definedName name="unit">#REF!</definedName>
    <definedName name="Unit_cost" localSheetId="25">#REF!</definedName>
    <definedName name="Unit_cost" localSheetId="26">#REF!</definedName>
    <definedName name="Unit_cost" localSheetId="24">#REF!</definedName>
    <definedName name="Unit_cost" localSheetId="27">#REF!</definedName>
    <definedName name="Unit_cost" localSheetId="6">#REF!</definedName>
    <definedName name="Unit_cost" localSheetId="13">#REF!</definedName>
    <definedName name="Unit_cost" localSheetId="10">#REF!</definedName>
    <definedName name="Unit_cost" localSheetId="19">#REF!</definedName>
    <definedName name="Unit_cost" localSheetId="11">#REF!</definedName>
    <definedName name="Unit_cost" localSheetId="20">#REF!</definedName>
    <definedName name="Unit_cost" localSheetId="4">#REF!</definedName>
    <definedName name="Unit_cost" localSheetId="12">#REF!</definedName>
    <definedName name="Unit_cost" localSheetId="9">#REF!</definedName>
    <definedName name="Unit_cost" localSheetId="22">#REF!</definedName>
    <definedName name="Unit_cost" localSheetId="23">#REF!</definedName>
    <definedName name="Unit_cost" localSheetId="21">#REF!</definedName>
    <definedName name="Unit_co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3" i="95" l="1"/>
  <c r="AJ4" i="95"/>
  <c r="Q2" i="104"/>
  <c r="R11" i="15"/>
  <c r="C23" i="15" a="1"/>
  <c r="C23" i="15" l="1"/>
  <c r="C83" i="15"/>
  <c r="C73" i="122"/>
  <c r="D73" i="122"/>
  <c r="C74" i="122"/>
  <c r="D74" i="122"/>
  <c r="C71" i="122"/>
  <c r="D71" i="122"/>
  <c r="C72" i="122"/>
  <c r="D72" i="122"/>
  <c r="C68" i="122"/>
  <c r="D68" i="122"/>
  <c r="C69" i="122"/>
  <c r="D69" i="122"/>
  <c r="C70" i="122"/>
  <c r="D70" i="122"/>
  <c r="C6" i="122"/>
  <c r="D6" i="122"/>
  <c r="C7" i="122"/>
  <c r="D7" i="122"/>
  <c r="C8" i="122"/>
  <c r="D8" i="122"/>
  <c r="C9" i="122"/>
  <c r="D9" i="122"/>
  <c r="C10" i="122"/>
  <c r="D10" i="122"/>
  <c r="C11" i="122"/>
  <c r="D11" i="122"/>
  <c r="C12" i="122"/>
  <c r="D12" i="122"/>
  <c r="C13" i="122"/>
  <c r="D13" i="122"/>
  <c r="C14" i="122"/>
  <c r="D14" i="122"/>
  <c r="C15" i="122"/>
  <c r="D15" i="122"/>
  <c r="C16" i="122"/>
  <c r="D16" i="122"/>
  <c r="C17" i="122"/>
  <c r="D17" i="122"/>
  <c r="C18" i="122"/>
  <c r="D18" i="122"/>
  <c r="C19" i="122"/>
  <c r="D19" i="122"/>
  <c r="C20" i="122"/>
  <c r="D20" i="122"/>
  <c r="C21" i="122"/>
  <c r="D21" i="122"/>
  <c r="C22" i="122"/>
  <c r="D22" i="122"/>
  <c r="C23" i="122"/>
  <c r="D23" i="122"/>
  <c r="C24" i="122"/>
  <c r="D24" i="122"/>
  <c r="C25" i="122"/>
  <c r="D25" i="122"/>
  <c r="C26" i="122"/>
  <c r="D26" i="122"/>
  <c r="C27" i="122"/>
  <c r="D27" i="122"/>
  <c r="C28" i="122"/>
  <c r="D28" i="122"/>
  <c r="C29" i="122"/>
  <c r="D29" i="122"/>
  <c r="C30" i="122"/>
  <c r="D30" i="122"/>
  <c r="C31" i="122"/>
  <c r="D31" i="122"/>
  <c r="C32" i="122"/>
  <c r="D32" i="122"/>
  <c r="C33" i="122"/>
  <c r="D33" i="122"/>
  <c r="C34" i="122"/>
  <c r="D34" i="122"/>
  <c r="C35" i="122"/>
  <c r="D35" i="122"/>
  <c r="C36" i="122"/>
  <c r="D36" i="122"/>
  <c r="C37" i="122"/>
  <c r="D37" i="122"/>
  <c r="C38" i="122"/>
  <c r="D38" i="122"/>
  <c r="C39" i="122"/>
  <c r="D39" i="122"/>
  <c r="C40" i="122"/>
  <c r="D40" i="122"/>
  <c r="C41" i="122"/>
  <c r="D41" i="122"/>
  <c r="C42" i="122"/>
  <c r="D42" i="122"/>
  <c r="C43" i="122"/>
  <c r="D43" i="122"/>
  <c r="C44" i="122"/>
  <c r="D44" i="122"/>
  <c r="C45" i="122"/>
  <c r="D45" i="122"/>
  <c r="C46" i="122"/>
  <c r="D46" i="122"/>
  <c r="C47" i="122"/>
  <c r="D47" i="122"/>
  <c r="C48" i="122"/>
  <c r="D48" i="122"/>
  <c r="C49" i="122"/>
  <c r="D49" i="122"/>
  <c r="C50" i="122"/>
  <c r="D50" i="122"/>
  <c r="C51" i="122"/>
  <c r="D51" i="122"/>
  <c r="C52" i="122"/>
  <c r="D52" i="122"/>
  <c r="C53" i="122"/>
  <c r="D53" i="122"/>
  <c r="C54" i="122"/>
  <c r="D54" i="122"/>
  <c r="C55" i="122"/>
  <c r="D55" i="122"/>
  <c r="C56" i="122"/>
  <c r="D56" i="122"/>
  <c r="C57" i="122"/>
  <c r="D57" i="122"/>
  <c r="C58" i="122"/>
  <c r="D58" i="122"/>
  <c r="C59" i="122"/>
  <c r="D59" i="122"/>
  <c r="C60" i="122"/>
  <c r="D60" i="122"/>
  <c r="C61" i="122"/>
  <c r="D61" i="122"/>
  <c r="C62" i="122"/>
  <c r="D62" i="122"/>
  <c r="C63" i="122"/>
  <c r="D63" i="122"/>
  <c r="C64" i="122"/>
  <c r="D64" i="122"/>
  <c r="C65" i="122"/>
  <c r="D65" i="122"/>
  <c r="C66" i="122"/>
  <c r="D66" i="122"/>
  <c r="C67" i="122"/>
  <c r="D67" i="122"/>
  <c r="C5" i="122"/>
  <c r="D5" i="122"/>
  <c r="D4" i="122"/>
  <c r="C4" i="122"/>
  <c r="C102" i="15"/>
  <c r="D59" i="15" l="1"/>
  <c r="E59" i="15"/>
  <c r="F59" i="15"/>
  <c r="G59" i="15"/>
  <c r="H59" i="15"/>
  <c r="I59" i="15"/>
  <c r="J59" i="15"/>
  <c r="K59" i="15"/>
  <c r="L59" i="15"/>
  <c r="M59" i="15"/>
  <c r="N59" i="15"/>
  <c r="O59" i="15"/>
  <c r="P59" i="15"/>
  <c r="Q59" i="15"/>
  <c r="R59" i="15"/>
  <c r="S59" i="15"/>
  <c r="T59" i="15"/>
  <c r="U59" i="15"/>
  <c r="V59" i="15"/>
  <c r="W59" i="15"/>
  <c r="X59" i="15"/>
  <c r="C59" i="15"/>
  <c r="G24" i="15" l="1"/>
  <c r="P10" i="15"/>
  <c r="X81" i="104" l="1"/>
  <c r="W81" i="104"/>
  <c r="Y81" i="104" s="1"/>
  <c r="W80" i="104"/>
  <c r="Y80" i="104" s="1"/>
  <c r="Y79" i="104"/>
  <c r="X79" i="104"/>
  <c r="W79" i="104"/>
  <c r="Y78" i="104"/>
  <c r="X78" i="104"/>
  <c r="W78" i="104"/>
  <c r="W77" i="104"/>
  <c r="Y77" i="104" s="1"/>
  <c r="W76" i="104"/>
  <c r="Y76" i="104" s="1"/>
  <c r="Y75" i="104"/>
  <c r="X75" i="104"/>
  <c r="W75" i="104"/>
  <c r="W74" i="104"/>
  <c r="Y74" i="104" s="1"/>
  <c r="X73" i="104"/>
  <c r="W73" i="104"/>
  <c r="Y73" i="104" s="1"/>
  <c r="W72" i="104"/>
  <c r="Y72" i="104" s="1"/>
  <c r="Y71" i="104"/>
  <c r="X71" i="104"/>
  <c r="W71" i="104"/>
  <c r="Y70" i="104"/>
  <c r="X70" i="104"/>
  <c r="W70" i="104"/>
  <c r="W69" i="104"/>
  <c r="Y69" i="104" s="1"/>
  <c r="W68" i="104"/>
  <c r="Y68" i="104" s="1"/>
  <c r="Y67" i="104"/>
  <c r="X67" i="104"/>
  <c r="W67" i="104"/>
  <c r="W66" i="104"/>
  <c r="Y66" i="104" s="1"/>
  <c r="X65" i="104"/>
  <c r="W65" i="104"/>
  <c r="Y65" i="104" s="1"/>
  <c r="W64" i="104"/>
  <c r="Y64" i="104" s="1"/>
  <c r="Y63" i="104"/>
  <c r="X63" i="104"/>
  <c r="W63" i="104"/>
  <c r="Y62" i="104"/>
  <c r="W62" i="104"/>
  <c r="X62" i="104" s="1"/>
  <c r="W61" i="104"/>
  <c r="Y61" i="104" s="1"/>
  <c r="W60" i="104"/>
  <c r="Y60" i="104" s="1"/>
  <c r="Y59" i="104"/>
  <c r="X59" i="104"/>
  <c r="W59" i="104"/>
  <c r="W58" i="104"/>
  <c r="Y58" i="104" s="1"/>
  <c r="X57" i="104"/>
  <c r="W57" i="104"/>
  <c r="Y57" i="104" s="1"/>
  <c r="W56" i="104"/>
  <c r="Y56" i="104" s="1"/>
  <c r="Y55" i="104"/>
  <c r="X55" i="104"/>
  <c r="W55" i="104"/>
  <c r="Y54" i="104"/>
  <c r="W54" i="104"/>
  <c r="X54" i="104" s="1"/>
  <c r="W53" i="104"/>
  <c r="Y53" i="104" s="1"/>
  <c r="W52" i="104"/>
  <c r="Y52" i="104" s="1"/>
  <c r="X51" i="104"/>
  <c r="W51" i="104"/>
  <c r="Y51" i="104" s="1"/>
  <c r="W50" i="104"/>
  <c r="Y50" i="104" s="1"/>
  <c r="X49" i="104"/>
  <c r="W49" i="104"/>
  <c r="Y49" i="104" s="1"/>
  <c r="W48" i="104"/>
  <c r="Y48" i="104" s="1"/>
  <c r="Y47" i="104"/>
  <c r="X47" i="104"/>
  <c r="W47" i="104"/>
  <c r="Y46" i="104"/>
  <c r="W46" i="104"/>
  <c r="X46" i="104" s="1"/>
  <c r="W45" i="104"/>
  <c r="Y45" i="104" s="1"/>
  <c r="W44" i="104"/>
  <c r="Y44" i="104" s="1"/>
  <c r="X43" i="104"/>
  <c r="W43" i="104"/>
  <c r="Y43" i="104" s="1"/>
  <c r="W42" i="104"/>
  <c r="Y42" i="104" s="1"/>
  <c r="X41" i="104"/>
  <c r="W41" i="104"/>
  <c r="Y41" i="104" s="1"/>
  <c r="W40" i="104"/>
  <c r="Y40" i="104" s="1"/>
  <c r="Y39" i="104"/>
  <c r="X39" i="104"/>
  <c r="W39" i="104"/>
  <c r="Y38" i="104"/>
  <c r="W38" i="104"/>
  <c r="X38" i="104" s="1"/>
  <c r="W37" i="104"/>
  <c r="Y37" i="104" s="1"/>
  <c r="W36" i="104"/>
  <c r="Y36" i="104" s="1"/>
  <c r="X35" i="104"/>
  <c r="W35" i="104"/>
  <c r="Y35" i="104" s="1"/>
  <c r="W34" i="104"/>
  <c r="Y34" i="104" s="1"/>
  <c r="W81" i="103"/>
  <c r="Y81" i="103" s="1"/>
  <c r="W80" i="103"/>
  <c r="Y80" i="103" s="1"/>
  <c r="X79" i="103"/>
  <c r="W79" i="103"/>
  <c r="Y79" i="103" s="1"/>
  <c r="Y78" i="103"/>
  <c r="W78" i="103"/>
  <c r="X78" i="103" s="1"/>
  <c r="W77" i="103"/>
  <c r="Y77" i="103" s="1"/>
  <c r="X76" i="103"/>
  <c r="W76" i="103"/>
  <c r="Y76" i="103" s="1"/>
  <c r="W75" i="103"/>
  <c r="Y75" i="103" s="1"/>
  <c r="X74" i="103"/>
  <c r="W74" i="103"/>
  <c r="Y74" i="103" s="1"/>
  <c r="W73" i="103"/>
  <c r="Y73" i="103" s="1"/>
  <c r="W72" i="103"/>
  <c r="Y72" i="103" s="1"/>
  <c r="X71" i="103"/>
  <c r="W71" i="103"/>
  <c r="Y71" i="103" s="1"/>
  <c r="Y70" i="103"/>
  <c r="W70" i="103"/>
  <c r="X70" i="103" s="1"/>
  <c r="W69" i="103"/>
  <c r="Y69" i="103" s="1"/>
  <c r="X68" i="103"/>
  <c r="W68" i="103"/>
  <c r="Y68" i="103" s="1"/>
  <c r="W67" i="103"/>
  <c r="Y67" i="103" s="1"/>
  <c r="X66" i="103"/>
  <c r="W66" i="103"/>
  <c r="Y66" i="103" s="1"/>
  <c r="W65" i="103"/>
  <c r="Y65" i="103" s="1"/>
  <c r="W64" i="103"/>
  <c r="Y64" i="103" s="1"/>
  <c r="X63" i="103"/>
  <c r="W63" i="103"/>
  <c r="Y63" i="103" s="1"/>
  <c r="Y62" i="103"/>
  <c r="W62" i="103"/>
  <c r="X62" i="103" s="1"/>
  <c r="W61" i="103"/>
  <c r="Y61" i="103" s="1"/>
  <c r="Y60" i="103"/>
  <c r="X60" i="103"/>
  <c r="W60" i="103"/>
  <c r="W59" i="103"/>
  <c r="Y59" i="103" s="1"/>
  <c r="X58" i="103"/>
  <c r="W58" i="103"/>
  <c r="Y58" i="103" s="1"/>
  <c r="W57" i="103"/>
  <c r="Y57" i="103" s="1"/>
  <c r="W56" i="103"/>
  <c r="Y56" i="103" s="1"/>
  <c r="X55" i="103"/>
  <c r="W55" i="103"/>
  <c r="Y55" i="103" s="1"/>
  <c r="Y54" i="103"/>
  <c r="W54" i="103"/>
  <c r="X54" i="103" s="1"/>
  <c r="W53" i="103"/>
  <c r="Y53" i="103" s="1"/>
  <c r="Y52" i="103"/>
  <c r="X52" i="103"/>
  <c r="W52" i="103"/>
  <c r="W51" i="103"/>
  <c r="Y51" i="103" s="1"/>
  <c r="X50" i="103"/>
  <c r="W50" i="103"/>
  <c r="Y50" i="103" s="1"/>
  <c r="W49" i="103"/>
  <c r="Y49" i="103" s="1"/>
  <c r="W48" i="103"/>
  <c r="Y48" i="103" s="1"/>
  <c r="X47" i="103"/>
  <c r="W47" i="103"/>
  <c r="Y47" i="103" s="1"/>
  <c r="Y46" i="103"/>
  <c r="W46" i="103"/>
  <c r="X46" i="103" s="1"/>
  <c r="W45" i="103"/>
  <c r="Y45" i="103" s="1"/>
  <c r="Y44" i="103"/>
  <c r="X44" i="103"/>
  <c r="W44" i="103"/>
  <c r="W43" i="103"/>
  <c r="Y43" i="103" s="1"/>
  <c r="X42" i="103"/>
  <c r="W42" i="103"/>
  <c r="Y42" i="103" s="1"/>
  <c r="Y41" i="103"/>
  <c r="W41" i="103"/>
  <c r="X41" i="103" s="1"/>
  <c r="W40" i="103"/>
  <c r="Y40" i="103" s="1"/>
  <c r="X39" i="103"/>
  <c r="W39" i="103"/>
  <c r="Y39" i="103" s="1"/>
  <c r="Y38" i="103"/>
  <c r="W38" i="103"/>
  <c r="X38" i="103" s="1"/>
  <c r="W37" i="103"/>
  <c r="Y37" i="103" s="1"/>
  <c r="Y36" i="103"/>
  <c r="X36" i="103"/>
  <c r="W36" i="103"/>
  <c r="W35" i="103"/>
  <c r="Y35" i="103" s="1"/>
  <c r="X34" i="103"/>
  <c r="W34" i="103"/>
  <c r="Y34" i="103" s="1"/>
  <c r="Y81" i="95"/>
  <c r="X81" i="95"/>
  <c r="W81" i="95"/>
  <c r="W80" i="95"/>
  <c r="Y80" i="95" s="1"/>
  <c r="Y79" i="95"/>
  <c r="X79" i="95"/>
  <c r="W79" i="95"/>
  <c r="Y78" i="95"/>
  <c r="W78" i="95"/>
  <c r="X78" i="95" s="1"/>
  <c r="W77" i="95"/>
  <c r="Y77" i="95" s="1"/>
  <c r="X76" i="95"/>
  <c r="W76" i="95"/>
  <c r="Y76" i="95" s="1"/>
  <c r="Y75" i="95"/>
  <c r="W75" i="95"/>
  <c r="X75" i="95" s="1"/>
  <c r="W74" i="95"/>
  <c r="Y74" i="95" s="1"/>
  <c r="Y73" i="95"/>
  <c r="X73" i="95"/>
  <c r="W73" i="95"/>
  <c r="W72" i="95"/>
  <c r="Y72" i="95" s="1"/>
  <c r="Y71" i="95"/>
  <c r="X71" i="95"/>
  <c r="W71" i="95"/>
  <c r="Y70" i="95"/>
  <c r="W70" i="95"/>
  <c r="X70" i="95" s="1"/>
  <c r="W69" i="95"/>
  <c r="Y69" i="95" s="1"/>
  <c r="X68" i="95"/>
  <c r="W68" i="95"/>
  <c r="Y68" i="95" s="1"/>
  <c r="Y67" i="95"/>
  <c r="W67" i="95"/>
  <c r="X67" i="95" s="1"/>
  <c r="W66" i="95"/>
  <c r="Y66" i="95" s="1"/>
  <c r="Y65" i="95"/>
  <c r="X65" i="95"/>
  <c r="W65" i="95"/>
  <c r="W64" i="95"/>
  <c r="Y64" i="95" s="1"/>
  <c r="Y63" i="95"/>
  <c r="X63" i="95"/>
  <c r="W63" i="95"/>
  <c r="Y62" i="95"/>
  <c r="X62" i="95"/>
  <c r="W62" i="95"/>
  <c r="W61" i="95"/>
  <c r="Y61" i="95" s="1"/>
  <c r="X60" i="95"/>
  <c r="W60" i="95"/>
  <c r="Y60" i="95" s="1"/>
  <c r="Y59" i="95"/>
  <c r="W59" i="95"/>
  <c r="X59" i="95" s="1"/>
  <c r="W58" i="95"/>
  <c r="Y58" i="95" s="1"/>
  <c r="X57" i="95"/>
  <c r="W57" i="95"/>
  <c r="Y57" i="95" s="1"/>
  <c r="W56" i="95"/>
  <c r="Y56" i="95" s="1"/>
  <c r="Y55" i="95"/>
  <c r="X55" i="95"/>
  <c r="W55" i="95"/>
  <c r="Y54" i="95"/>
  <c r="X54" i="95"/>
  <c r="W54" i="95"/>
  <c r="W53" i="95"/>
  <c r="Y53" i="95" s="1"/>
  <c r="X52" i="95"/>
  <c r="W52" i="95"/>
  <c r="Y52" i="95" s="1"/>
  <c r="Y51" i="95"/>
  <c r="W51" i="95"/>
  <c r="X51" i="95" s="1"/>
  <c r="W50" i="95"/>
  <c r="Y50" i="95" s="1"/>
  <c r="X49" i="95"/>
  <c r="W49" i="95"/>
  <c r="Y49" i="95" s="1"/>
  <c r="W48" i="95"/>
  <c r="Y48" i="95" s="1"/>
  <c r="Y47" i="95"/>
  <c r="X47" i="95"/>
  <c r="W47" i="95"/>
  <c r="Y46" i="95"/>
  <c r="W46" i="95"/>
  <c r="X46" i="95" s="1"/>
  <c r="W45" i="95"/>
  <c r="Y45" i="95" s="1"/>
  <c r="X44" i="95"/>
  <c r="W44" i="95"/>
  <c r="Y44" i="95" s="1"/>
  <c r="Y43" i="95"/>
  <c r="W43" i="95"/>
  <c r="X43" i="95" s="1"/>
  <c r="W42" i="95"/>
  <c r="Y42" i="95" s="1"/>
  <c r="X41" i="95"/>
  <c r="W41" i="95"/>
  <c r="Y41" i="95" s="1"/>
  <c r="W40" i="95"/>
  <c r="Y40" i="95" s="1"/>
  <c r="Y39" i="95"/>
  <c r="X39" i="95"/>
  <c r="W39" i="95"/>
  <c r="Y38" i="95"/>
  <c r="W38" i="95"/>
  <c r="X38" i="95" s="1"/>
  <c r="W37" i="95"/>
  <c r="Y37" i="95" s="1"/>
  <c r="X36" i="95"/>
  <c r="W36" i="95"/>
  <c r="Y36" i="95" s="1"/>
  <c r="Y35" i="95"/>
  <c r="X35" i="95"/>
  <c r="W35" i="95"/>
  <c r="W34" i="95"/>
  <c r="Y34" i="95" s="1"/>
  <c r="X81" i="97"/>
  <c r="W81" i="97"/>
  <c r="Y81" i="97" s="1"/>
  <c r="W80" i="97"/>
  <c r="Y80" i="97" s="1"/>
  <c r="X79" i="97"/>
  <c r="W79" i="97"/>
  <c r="Y79" i="97" s="1"/>
  <c r="Y78" i="97"/>
  <c r="X78" i="97"/>
  <c r="W78" i="97"/>
  <c r="Y77" i="97"/>
  <c r="W77" i="97"/>
  <c r="X77" i="97" s="1"/>
  <c r="W76" i="97"/>
  <c r="Y76" i="97" s="1"/>
  <c r="X75" i="97"/>
  <c r="W75" i="97"/>
  <c r="Y75" i="97" s="1"/>
  <c r="W74" i="97"/>
  <c r="Y74" i="97" s="1"/>
  <c r="Y73" i="97"/>
  <c r="X73" i="97"/>
  <c r="W73" i="97"/>
  <c r="W72" i="97"/>
  <c r="Y72" i="97" s="1"/>
  <c r="X71" i="97"/>
  <c r="W71" i="97"/>
  <c r="Y71" i="97" s="1"/>
  <c r="Y70" i="97"/>
  <c r="X70" i="97"/>
  <c r="W70" i="97"/>
  <c r="W69" i="97"/>
  <c r="Y69" i="97" s="1"/>
  <c r="W68" i="97"/>
  <c r="Y68" i="97" s="1"/>
  <c r="X67" i="97"/>
  <c r="W67" i="97"/>
  <c r="Y67" i="97" s="1"/>
  <c r="W66" i="97"/>
  <c r="Y66" i="97" s="1"/>
  <c r="Y65" i="97"/>
  <c r="X65" i="97"/>
  <c r="W65" i="97"/>
  <c r="W64" i="97"/>
  <c r="Y64" i="97" s="1"/>
  <c r="X63" i="97"/>
  <c r="W63" i="97"/>
  <c r="Y63" i="97" s="1"/>
  <c r="Y62" i="97"/>
  <c r="X62" i="97"/>
  <c r="W62" i="97"/>
  <c r="W61" i="97"/>
  <c r="Y61" i="97" s="1"/>
  <c r="W60" i="97"/>
  <c r="Y60" i="97" s="1"/>
  <c r="X59" i="97"/>
  <c r="W59" i="97"/>
  <c r="Y59" i="97" s="1"/>
  <c r="W58" i="97"/>
  <c r="Y58" i="97" s="1"/>
  <c r="Y57" i="97"/>
  <c r="X57" i="97"/>
  <c r="W57" i="97"/>
  <c r="W56" i="97"/>
  <c r="Y56" i="97" s="1"/>
  <c r="Y55" i="97"/>
  <c r="X55" i="97"/>
  <c r="W55" i="97"/>
  <c r="Y54" i="97"/>
  <c r="X54" i="97"/>
  <c r="W54" i="97"/>
  <c r="W53" i="97"/>
  <c r="Y53" i="97" s="1"/>
  <c r="W52" i="97"/>
  <c r="Y52" i="97" s="1"/>
  <c r="X51" i="97"/>
  <c r="W51" i="97"/>
  <c r="Y51" i="97" s="1"/>
  <c r="W50" i="97"/>
  <c r="Y50" i="97" s="1"/>
  <c r="Y49" i="97"/>
  <c r="X49" i="97"/>
  <c r="W49" i="97"/>
  <c r="W48" i="97"/>
  <c r="Y48" i="97" s="1"/>
  <c r="Y47" i="97"/>
  <c r="X47" i="97"/>
  <c r="W47" i="97"/>
  <c r="Y46" i="97"/>
  <c r="X46" i="97"/>
  <c r="W46" i="97"/>
  <c r="W45" i="97"/>
  <c r="Y45" i="97" s="1"/>
  <c r="W44" i="97"/>
  <c r="Y44" i="97" s="1"/>
  <c r="X43" i="97"/>
  <c r="W43" i="97"/>
  <c r="Y43" i="97" s="1"/>
  <c r="W42" i="97"/>
  <c r="Y42" i="97" s="1"/>
  <c r="Y41" i="97"/>
  <c r="X41" i="97"/>
  <c r="W41" i="97"/>
  <c r="W40" i="97"/>
  <c r="Y40" i="97" s="1"/>
  <c r="Y39" i="97"/>
  <c r="X39" i="97"/>
  <c r="W39" i="97"/>
  <c r="Y38" i="97"/>
  <c r="W38" i="97"/>
  <c r="X38" i="97" s="1"/>
  <c r="X37" i="97"/>
  <c r="W37" i="97"/>
  <c r="Y37" i="97" s="1"/>
  <c r="W36" i="97"/>
  <c r="Y36" i="97" s="1"/>
  <c r="X35" i="97"/>
  <c r="W35" i="97"/>
  <c r="Y35" i="97" s="1"/>
  <c r="W34" i="97"/>
  <c r="Y34" i="97" s="1"/>
  <c r="W81" i="98"/>
  <c r="Y81" i="98" s="1"/>
  <c r="W80" i="98"/>
  <c r="Y80" i="98" s="1"/>
  <c r="Y79" i="98"/>
  <c r="X79" i="98"/>
  <c r="W79" i="98"/>
  <c r="Y78" i="98"/>
  <c r="X78" i="98"/>
  <c r="W78" i="98"/>
  <c r="Y77" i="98"/>
  <c r="X77" i="98"/>
  <c r="W77" i="98"/>
  <c r="W76" i="98"/>
  <c r="Y76" i="98" s="1"/>
  <c r="Y75" i="98"/>
  <c r="X75" i="98"/>
  <c r="W75" i="98"/>
  <c r="W74" i="98"/>
  <c r="Y74" i="98" s="1"/>
  <c r="W73" i="98"/>
  <c r="Y73" i="98" s="1"/>
  <c r="W72" i="98"/>
  <c r="X72" i="98" s="1"/>
  <c r="Y71" i="98"/>
  <c r="X71" i="98"/>
  <c r="W71" i="98"/>
  <c r="Y70" i="98"/>
  <c r="X70" i="98"/>
  <c r="W70" i="98"/>
  <c r="Y69" i="98"/>
  <c r="X69" i="98"/>
  <c r="W69" i="98"/>
  <c r="W68" i="98"/>
  <c r="Y68" i="98" s="1"/>
  <c r="Y67" i="98"/>
  <c r="X67" i="98"/>
  <c r="W67" i="98"/>
  <c r="W66" i="98"/>
  <c r="Y66" i="98" s="1"/>
  <c r="W65" i="98"/>
  <c r="Y65" i="98" s="1"/>
  <c r="W64" i="98"/>
  <c r="X64" i="98" s="1"/>
  <c r="Y63" i="98"/>
  <c r="X63" i="98"/>
  <c r="W63" i="98"/>
  <c r="Y62" i="98"/>
  <c r="X62" i="98"/>
  <c r="W62" i="98"/>
  <c r="Y61" i="98"/>
  <c r="X61" i="98"/>
  <c r="W61" i="98"/>
  <c r="W60" i="98"/>
  <c r="Y60" i="98" s="1"/>
  <c r="Y59" i="98"/>
  <c r="X59" i="98"/>
  <c r="W59" i="98"/>
  <c r="W58" i="98"/>
  <c r="Y58" i="98" s="1"/>
  <c r="W57" i="98"/>
  <c r="Y57" i="98" s="1"/>
  <c r="W56" i="98"/>
  <c r="X56" i="98" s="1"/>
  <c r="Y55" i="98"/>
  <c r="X55" i="98"/>
  <c r="W55" i="98"/>
  <c r="Y54" i="98"/>
  <c r="X54" i="98"/>
  <c r="W54" i="98"/>
  <c r="Y53" i="98"/>
  <c r="X53" i="98"/>
  <c r="W53" i="98"/>
  <c r="W52" i="98"/>
  <c r="Y52" i="98" s="1"/>
  <c r="Y51" i="98"/>
  <c r="X51" i="98"/>
  <c r="W51" i="98"/>
  <c r="W50" i="98"/>
  <c r="Y50" i="98" s="1"/>
  <c r="W49" i="98"/>
  <c r="Y49" i="98" s="1"/>
  <c r="W48" i="98"/>
  <c r="Y48" i="98" s="1"/>
  <c r="Y47" i="98"/>
  <c r="X47" i="98"/>
  <c r="W47" i="98"/>
  <c r="Y46" i="98"/>
  <c r="X46" i="98"/>
  <c r="W46" i="98"/>
  <c r="Y45" i="98"/>
  <c r="W45" i="98"/>
  <c r="X45" i="98" s="1"/>
  <c r="X44" i="98"/>
  <c r="W44" i="98"/>
  <c r="Y44" i="98" s="1"/>
  <c r="Y43" i="98"/>
  <c r="X43" i="98"/>
  <c r="W43" i="98"/>
  <c r="W42" i="98"/>
  <c r="Y42" i="98" s="1"/>
  <c r="W41" i="98"/>
  <c r="Y41" i="98" s="1"/>
  <c r="W40" i="98"/>
  <c r="X40" i="98" s="1"/>
  <c r="Y39" i="98"/>
  <c r="X39" i="98"/>
  <c r="W39" i="98"/>
  <c r="Y38" i="98"/>
  <c r="X38" i="98"/>
  <c r="W38" i="98"/>
  <c r="Y37" i="98"/>
  <c r="W37" i="98"/>
  <c r="X37" i="98" s="1"/>
  <c r="Y36" i="98"/>
  <c r="X36" i="98"/>
  <c r="W36" i="98"/>
  <c r="Y35" i="98"/>
  <c r="X35" i="98"/>
  <c r="W35" i="98"/>
  <c r="W34" i="98"/>
  <c r="Y34" i="98" s="1"/>
  <c r="X81" i="99"/>
  <c r="W81" i="99"/>
  <c r="Y81" i="99" s="1"/>
  <c r="W80" i="99"/>
  <c r="Y80" i="99" s="1"/>
  <c r="X79" i="99"/>
  <c r="W79" i="99"/>
  <c r="Y79" i="99" s="1"/>
  <c r="Y78" i="99"/>
  <c r="W78" i="99"/>
  <c r="X78" i="99" s="1"/>
  <c r="W77" i="99"/>
  <c r="Y77" i="99" s="1"/>
  <c r="X76" i="99"/>
  <c r="W76" i="99"/>
  <c r="Y76" i="99" s="1"/>
  <c r="Y75" i="99"/>
  <c r="X75" i="99"/>
  <c r="W75" i="99"/>
  <c r="W74" i="99"/>
  <c r="Y74" i="99" s="1"/>
  <c r="X73" i="99"/>
  <c r="W73" i="99"/>
  <c r="Y73" i="99" s="1"/>
  <c r="W72" i="99"/>
  <c r="Y72" i="99" s="1"/>
  <c r="X71" i="99"/>
  <c r="W71" i="99"/>
  <c r="Y71" i="99" s="1"/>
  <c r="Y70" i="99"/>
  <c r="W70" i="99"/>
  <c r="X70" i="99" s="1"/>
  <c r="W69" i="99"/>
  <c r="Y69" i="99" s="1"/>
  <c r="X68" i="99"/>
  <c r="W68" i="99"/>
  <c r="Y68" i="99" s="1"/>
  <c r="Y67" i="99"/>
  <c r="X67" i="99"/>
  <c r="W67" i="99"/>
  <c r="W66" i="99"/>
  <c r="Y66" i="99" s="1"/>
  <c r="X65" i="99"/>
  <c r="W65" i="99"/>
  <c r="Y65" i="99" s="1"/>
  <c r="W64" i="99"/>
  <c r="Y64" i="99" s="1"/>
  <c r="X63" i="99"/>
  <c r="W63" i="99"/>
  <c r="Y63" i="99" s="1"/>
  <c r="Y62" i="99"/>
  <c r="W62" i="99"/>
  <c r="X62" i="99" s="1"/>
  <c r="W61" i="99"/>
  <c r="Y61" i="99" s="1"/>
  <c r="X60" i="99"/>
  <c r="W60" i="99"/>
  <c r="Y60" i="99" s="1"/>
  <c r="Y59" i="99"/>
  <c r="X59" i="99"/>
  <c r="W59" i="99"/>
  <c r="W58" i="99"/>
  <c r="Y58" i="99" s="1"/>
  <c r="X57" i="99"/>
  <c r="W57" i="99"/>
  <c r="Y57" i="99" s="1"/>
  <c r="W56" i="99"/>
  <c r="Y56" i="99" s="1"/>
  <c r="X55" i="99"/>
  <c r="W55" i="99"/>
  <c r="Y55" i="99" s="1"/>
  <c r="Y54" i="99"/>
  <c r="W54" i="99"/>
  <c r="X54" i="99" s="1"/>
  <c r="W53" i="99"/>
  <c r="Y53" i="99" s="1"/>
  <c r="X52" i="99"/>
  <c r="W52" i="99"/>
  <c r="Y52" i="99" s="1"/>
  <c r="Y51" i="99"/>
  <c r="X51" i="99"/>
  <c r="W51" i="99"/>
  <c r="W50" i="99"/>
  <c r="Y50" i="99" s="1"/>
  <c r="X49" i="99"/>
  <c r="W49" i="99"/>
  <c r="Y49" i="99" s="1"/>
  <c r="W48" i="99"/>
  <c r="Y48" i="99" s="1"/>
  <c r="X47" i="99"/>
  <c r="W47" i="99"/>
  <c r="Y47" i="99" s="1"/>
  <c r="Y46" i="99"/>
  <c r="W46" i="99"/>
  <c r="X46" i="99" s="1"/>
  <c r="W45" i="99"/>
  <c r="Y45" i="99" s="1"/>
  <c r="X44" i="99"/>
  <c r="W44" i="99"/>
  <c r="Y44" i="99" s="1"/>
  <c r="Y43" i="99"/>
  <c r="X43" i="99"/>
  <c r="W43" i="99"/>
  <c r="W42" i="99"/>
  <c r="Y42" i="99" s="1"/>
  <c r="X41" i="99"/>
  <c r="W41" i="99"/>
  <c r="Y41" i="99" s="1"/>
  <c r="W40" i="99"/>
  <c r="Y40" i="99" s="1"/>
  <c r="X39" i="99"/>
  <c r="W39" i="99"/>
  <c r="Y39" i="99" s="1"/>
  <c r="Y38" i="99"/>
  <c r="W38" i="99"/>
  <c r="X38" i="99" s="1"/>
  <c r="W37" i="99"/>
  <c r="Y37" i="99" s="1"/>
  <c r="X36" i="99"/>
  <c r="W36" i="99"/>
  <c r="Y36" i="99" s="1"/>
  <c r="Y35" i="99"/>
  <c r="X35" i="99"/>
  <c r="W35" i="99"/>
  <c r="W34" i="99"/>
  <c r="Y34" i="99" s="1"/>
  <c r="W81" i="100"/>
  <c r="Y81" i="100" s="1"/>
  <c r="W80" i="100"/>
  <c r="Y80" i="100" s="1"/>
  <c r="W79" i="100"/>
  <c r="X79" i="100" s="1"/>
  <c r="Y78" i="100"/>
  <c r="X78" i="100"/>
  <c r="W78" i="100"/>
  <c r="Y77" i="100"/>
  <c r="W77" i="100"/>
  <c r="X77" i="100" s="1"/>
  <c r="X76" i="100"/>
  <c r="W76" i="100"/>
  <c r="Y76" i="100" s="1"/>
  <c r="Y75" i="100"/>
  <c r="X75" i="100"/>
  <c r="W75" i="100"/>
  <c r="W74" i="100"/>
  <c r="Y74" i="100" s="1"/>
  <c r="X73" i="100"/>
  <c r="W73" i="100"/>
  <c r="Y73" i="100" s="1"/>
  <c r="W72" i="100"/>
  <c r="Y72" i="100" s="1"/>
  <c r="W71" i="100"/>
  <c r="Y71" i="100" s="1"/>
  <c r="Y70" i="100"/>
  <c r="X70" i="100"/>
  <c r="W70" i="100"/>
  <c r="Y69" i="100"/>
  <c r="W69" i="100"/>
  <c r="X69" i="100" s="1"/>
  <c r="X68" i="100"/>
  <c r="W68" i="100"/>
  <c r="Y68" i="100" s="1"/>
  <c r="Y67" i="100"/>
  <c r="X67" i="100"/>
  <c r="W67" i="100"/>
  <c r="W66" i="100"/>
  <c r="Y66" i="100" s="1"/>
  <c r="X65" i="100"/>
  <c r="W65" i="100"/>
  <c r="Y65" i="100" s="1"/>
  <c r="W64" i="100"/>
  <c r="Y64" i="100" s="1"/>
  <c r="W63" i="100"/>
  <c r="X63" i="100" s="1"/>
  <c r="Y62" i="100"/>
  <c r="X62" i="100"/>
  <c r="W62" i="100"/>
  <c r="Y61" i="100"/>
  <c r="W61" i="100"/>
  <c r="X61" i="100" s="1"/>
  <c r="X60" i="100"/>
  <c r="W60" i="100"/>
  <c r="Y60" i="100" s="1"/>
  <c r="Y59" i="100"/>
  <c r="X59" i="100"/>
  <c r="W59" i="100"/>
  <c r="W58" i="100"/>
  <c r="Y58" i="100" s="1"/>
  <c r="X57" i="100"/>
  <c r="W57" i="100"/>
  <c r="Y57" i="100" s="1"/>
  <c r="W56" i="100"/>
  <c r="Y56" i="100" s="1"/>
  <c r="W55" i="100"/>
  <c r="X55" i="100" s="1"/>
  <c r="Y54" i="100"/>
  <c r="X54" i="100"/>
  <c r="W54" i="100"/>
  <c r="Y53" i="100"/>
  <c r="W53" i="100"/>
  <c r="X53" i="100" s="1"/>
  <c r="X52" i="100"/>
  <c r="W52" i="100"/>
  <c r="Y52" i="100" s="1"/>
  <c r="Y51" i="100"/>
  <c r="X51" i="100"/>
  <c r="W51" i="100"/>
  <c r="W50" i="100"/>
  <c r="Y50" i="100" s="1"/>
  <c r="X49" i="100"/>
  <c r="W49" i="100"/>
  <c r="Y49" i="100" s="1"/>
  <c r="W48" i="100"/>
  <c r="Y48" i="100" s="1"/>
  <c r="W47" i="100"/>
  <c r="X47" i="100" s="1"/>
  <c r="Y46" i="100"/>
  <c r="X46" i="100"/>
  <c r="W46" i="100"/>
  <c r="Y45" i="100"/>
  <c r="W45" i="100"/>
  <c r="X45" i="100" s="1"/>
  <c r="X44" i="100"/>
  <c r="W44" i="100"/>
  <c r="Y44" i="100" s="1"/>
  <c r="Y43" i="100"/>
  <c r="X43" i="100"/>
  <c r="W43" i="100"/>
  <c r="W42" i="100"/>
  <c r="Y42" i="100" s="1"/>
  <c r="X41" i="100"/>
  <c r="W41" i="100"/>
  <c r="Y41" i="100" s="1"/>
  <c r="W40" i="100"/>
  <c r="Y40" i="100" s="1"/>
  <c r="W39" i="100"/>
  <c r="X39" i="100" s="1"/>
  <c r="Y38" i="100"/>
  <c r="X38" i="100"/>
  <c r="W38" i="100"/>
  <c r="Y37" i="100"/>
  <c r="W37" i="100"/>
  <c r="X37" i="100" s="1"/>
  <c r="X36" i="100"/>
  <c r="W36" i="100"/>
  <c r="Y36" i="100" s="1"/>
  <c r="Y35" i="100"/>
  <c r="X35" i="100"/>
  <c r="W35" i="100"/>
  <c r="W34" i="100"/>
  <c r="Y34" i="100" s="1"/>
  <c r="W81" i="101"/>
  <c r="Y81" i="101" s="1"/>
  <c r="W80" i="101"/>
  <c r="X80" i="101" s="1"/>
  <c r="Y79" i="101"/>
  <c r="X79" i="101"/>
  <c r="W79" i="101"/>
  <c r="Y78" i="101"/>
  <c r="W78" i="101"/>
  <c r="X78" i="101" s="1"/>
  <c r="Y77" i="101"/>
  <c r="X77" i="101"/>
  <c r="W77" i="101"/>
  <c r="W76" i="101"/>
  <c r="Y76" i="101" s="1"/>
  <c r="X75" i="101"/>
  <c r="W75" i="101"/>
  <c r="Y75" i="101" s="1"/>
  <c r="Y74" i="101"/>
  <c r="X74" i="101"/>
  <c r="W74" i="101"/>
  <c r="W73" i="101"/>
  <c r="Y73" i="101" s="1"/>
  <c r="W72" i="101"/>
  <c r="X72" i="101" s="1"/>
  <c r="Y71" i="101"/>
  <c r="X71" i="101"/>
  <c r="W71" i="101"/>
  <c r="Y70" i="101"/>
  <c r="W70" i="101"/>
  <c r="X70" i="101" s="1"/>
  <c r="X69" i="101"/>
  <c r="W69" i="101"/>
  <c r="Y69" i="101" s="1"/>
  <c r="W68" i="101"/>
  <c r="Y68" i="101" s="1"/>
  <c r="X67" i="101"/>
  <c r="W67" i="101"/>
  <c r="Y67" i="101" s="1"/>
  <c r="Y66" i="101"/>
  <c r="X66" i="101"/>
  <c r="W66" i="101"/>
  <c r="W65" i="101"/>
  <c r="Y65" i="101" s="1"/>
  <c r="W64" i="101"/>
  <c r="X64" i="101" s="1"/>
  <c r="Y63" i="101"/>
  <c r="X63" i="101"/>
  <c r="W63" i="101"/>
  <c r="Y62" i="101"/>
  <c r="X62" i="101"/>
  <c r="W62" i="101"/>
  <c r="Y61" i="101"/>
  <c r="X61" i="101"/>
  <c r="W61" i="101"/>
  <c r="W60" i="101"/>
  <c r="Y60" i="101" s="1"/>
  <c r="X59" i="101"/>
  <c r="W59" i="101"/>
  <c r="Y59" i="101" s="1"/>
  <c r="Y58" i="101"/>
  <c r="X58" i="101"/>
  <c r="W58" i="101"/>
  <c r="W57" i="101"/>
  <c r="Y57" i="101" s="1"/>
  <c r="W56" i="101"/>
  <c r="X56" i="101" s="1"/>
  <c r="Y55" i="101"/>
  <c r="X55" i="101"/>
  <c r="W55" i="101"/>
  <c r="Y54" i="101"/>
  <c r="X54" i="101"/>
  <c r="W54" i="101"/>
  <c r="Y53" i="101"/>
  <c r="X53" i="101"/>
  <c r="W53" i="101"/>
  <c r="W52" i="101"/>
  <c r="Y52" i="101" s="1"/>
  <c r="X51" i="101"/>
  <c r="W51" i="101"/>
  <c r="Y51" i="101" s="1"/>
  <c r="Y50" i="101"/>
  <c r="X50" i="101"/>
  <c r="W50" i="101"/>
  <c r="W49" i="101"/>
  <c r="Y49" i="101" s="1"/>
  <c r="W48" i="101"/>
  <c r="X48" i="101" s="1"/>
  <c r="Y47" i="101"/>
  <c r="X47" i="101"/>
  <c r="W47" i="101"/>
  <c r="Y46" i="101"/>
  <c r="X46" i="101"/>
  <c r="W46" i="101"/>
  <c r="Y45" i="101"/>
  <c r="X45" i="101"/>
  <c r="W45" i="101"/>
  <c r="W44" i="101"/>
  <c r="Y44" i="101" s="1"/>
  <c r="X43" i="101"/>
  <c r="W43" i="101"/>
  <c r="Y43" i="101" s="1"/>
  <c r="Y42" i="101"/>
  <c r="W42" i="101"/>
  <c r="X42" i="101" s="1"/>
  <c r="W41" i="101"/>
  <c r="Y41" i="101" s="1"/>
  <c r="W40" i="101"/>
  <c r="X40" i="101" s="1"/>
  <c r="Y39" i="101"/>
  <c r="X39" i="101"/>
  <c r="W39" i="101"/>
  <c r="Y38" i="101"/>
  <c r="X38" i="101"/>
  <c r="W38" i="101"/>
  <c r="Y37" i="101"/>
  <c r="X37" i="101"/>
  <c r="W37" i="101"/>
  <c r="W36" i="101"/>
  <c r="Y36" i="101" s="1"/>
  <c r="X35" i="101"/>
  <c r="W35" i="101"/>
  <c r="Y35" i="101" s="1"/>
  <c r="Y34" i="101"/>
  <c r="W34" i="101"/>
  <c r="X34" i="101" s="1"/>
  <c r="W81" i="102"/>
  <c r="Y81" i="102" s="1"/>
  <c r="W80" i="102"/>
  <c r="Y80" i="102" s="1"/>
  <c r="Y79" i="102"/>
  <c r="X79" i="102"/>
  <c r="W79" i="102"/>
  <c r="Y78" i="102"/>
  <c r="W78" i="102"/>
  <c r="X78" i="102" s="1"/>
  <c r="Y77" i="102"/>
  <c r="X77" i="102"/>
  <c r="W77" i="102"/>
  <c r="W76" i="102"/>
  <c r="Y76" i="102" s="1"/>
  <c r="W75" i="102"/>
  <c r="Y75" i="102" s="1"/>
  <c r="W74" i="102"/>
  <c r="Y74" i="102" s="1"/>
  <c r="W73" i="102"/>
  <c r="Y73" i="102" s="1"/>
  <c r="W72" i="102"/>
  <c r="Y72" i="102" s="1"/>
  <c r="Y71" i="102"/>
  <c r="X71" i="102"/>
  <c r="W71" i="102"/>
  <c r="Y70" i="102"/>
  <c r="W70" i="102"/>
  <c r="X70" i="102" s="1"/>
  <c r="Y69" i="102"/>
  <c r="X69" i="102"/>
  <c r="W69" i="102"/>
  <c r="W68" i="102"/>
  <c r="Y68" i="102" s="1"/>
  <c r="W67" i="102"/>
  <c r="Y67" i="102" s="1"/>
  <c r="W66" i="102"/>
  <c r="Y66" i="102" s="1"/>
  <c r="W65" i="102"/>
  <c r="Y65" i="102" s="1"/>
  <c r="W64" i="102"/>
  <c r="Y64" i="102" s="1"/>
  <c r="Y63" i="102"/>
  <c r="X63" i="102"/>
  <c r="W63" i="102"/>
  <c r="Y62" i="102"/>
  <c r="W62" i="102"/>
  <c r="X62" i="102" s="1"/>
  <c r="Y61" i="102"/>
  <c r="X61" i="102"/>
  <c r="W61" i="102"/>
  <c r="W60" i="102"/>
  <c r="Y60" i="102" s="1"/>
  <c r="W59" i="102"/>
  <c r="Y59" i="102" s="1"/>
  <c r="W58" i="102"/>
  <c r="Y58" i="102" s="1"/>
  <c r="W57" i="102"/>
  <c r="Y57" i="102" s="1"/>
  <c r="W56" i="102"/>
  <c r="Y56" i="102" s="1"/>
  <c r="Y55" i="102"/>
  <c r="X55" i="102"/>
  <c r="W55" i="102"/>
  <c r="Y54" i="102"/>
  <c r="W54" i="102"/>
  <c r="X54" i="102" s="1"/>
  <c r="X53" i="102"/>
  <c r="W53" i="102"/>
  <c r="Y53" i="102" s="1"/>
  <c r="W52" i="102"/>
  <c r="Y52" i="102" s="1"/>
  <c r="W51" i="102"/>
  <c r="Y51" i="102" s="1"/>
  <c r="W50" i="102"/>
  <c r="Y50" i="102" s="1"/>
  <c r="W49" i="102"/>
  <c r="Y49" i="102" s="1"/>
  <c r="W48" i="102"/>
  <c r="Y48" i="102" s="1"/>
  <c r="Y47" i="102"/>
  <c r="X47" i="102"/>
  <c r="W47" i="102"/>
  <c r="Y46" i="102"/>
  <c r="W46" i="102"/>
  <c r="X46" i="102" s="1"/>
  <c r="W45" i="102"/>
  <c r="Y45" i="102" s="1"/>
  <c r="X44" i="102"/>
  <c r="W44" i="102"/>
  <c r="Y44" i="102" s="1"/>
  <c r="Y43" i="102"/>
  <c r="W43" i="102"/>
  <c r="X43" i="102" s="1"/>
  <c r="W42" i="102"/>
  <c r="Y42" i="102" s="1"/>
  <c r="W41" i="102"/>
  <c r="X41" i="102" s="1"/>
  <c r="W40" i="102"/>
  <c r="Y40" i="102" s="1"/>
  <c r="Y39" i="102"/>
  <c r="X39" i="102"/>
  <c r="W39" i="102"/>
  <c r="Y38" i="102"/>
  <c r="W38" i="102"/>
  <c r="X38" i="102" s="1"/>
  <c r="W37" i="102"/>
  <c r="Y37" i="102" s="1"/>
  <c r="X36" i="102"/>
  <c r="W36" i="102"/>
  <c r="Y36" i="102" s="1"/>
  <c r="Y35" i="102"/>
  <c r="W35" i="102"/>
  <c r="X35" i="102" s="1"/>
  <c r="W34" i="102"/>
  <c r="Y34" i="102" s="1"/>
  <c r="Y81" i="112"/>
  <c r="X81" i="112"/>
  <c r="W81" i="112"/>
  <c r="Y80" i="112"/>
  <c r="W80" i="112"/>
  <c r="X80" i="112" s="1"/>
  <c r="Y79" i="112"/>
  <c r="X79" i="112"/>
  <c r="W79" i="112"/>
  <c r="Y78" i="112"/>
  <c r="X78" i="112"/>
  <c r="W78" i="112"/>
  <c r="W77" i="112"/>
  <c r="Y77" i="112" s="1"/>
  <c r="Y76" i="112"/>
  <c r="X76" i="112"/>
  <c r="W76" i="112"/>
  <c r="W75" i="112"/>
  <c r="Y75" i="112" s="1"/>
  <c r="W74" i="112"/>
  <c r="Y74" i="112" s="1"/>
  <c r="Y73" i="112"/>
  <c r="X73" i="112"/>
  <c r="W73" i="112"/>
  <c r="Y72" i="112"/>
  <c r="W72" i="112"/>
  <c r="X72" i="112" s="1"/>
  <c r="Y71" i="112"/>
  <c r="X71" i="112"/>
  <c r="W71" i="112"/>
  <c r="Y70" i="112"/>
  <c r="X70" i="112"/>
  <c r="W70" i="112"/>
  <c r="W69" i="112"/>
  <c r="Y69" i="112" s="1"/>
  <c r="Y68" i="112"/>
  <c r="X68" i="112"/>
  <c r="W68" i="112"/>
  <c r="W67" i="112"/>
  <c r="Y67" i="112" s="1"/>
  <c r="W66" i="112"/>
  <c r="X66" i="112" s="1"/>
  <c r="Y65" i="112"/>
  <c r="X65" i="112"/>
  <c r="W65" i="112"/>
  <c r="Y64" i="112"/>
  <c r="W64" i="112"/>
  <c r="X64" i="112" s="1"/>
  <c r="Y63" i="112"/>
  <c r="X63" i="112"/>
  <c r="W63" i="112"/>
  <c r="Y62" i="112"/>
  <c r="W62" i="112"/>
  <c r="X62" i="112" s="1"/>
  <c r="X61" i="112"/>
  <c r="W61" i="112"/>
  <c r="Y61" i="112" s="1"/>
  <c r="Y60" i="112"/>
  <c r="X60" i="112"/>
  <c r="W60" i="112"/>
  <c r="W59" i="112"/>
  <c r="Y59" i="112" s="1"/>
  <c r="W58" i="112"/>
  <c r="X58" i="112" s="1"/>
  <c r="Y57" i="112"/>
  <c r="X57" i="112"/>
  <c r="W57" i="112"/>
  <c r="Y56" i="112"/>
  <c r="W56" i="112"/>
  <c r="X56" i="112" s="1"/>
  <c r="Y55" i="112"/>
  <c r="X55" i="112"/>
  <c r="W55" i="112"/>
  <c r="Y54" i="112"/>
  <c r="W54" i="112"/>
  <c r="X54" i="112" s="1"/>
  <c r="X53" i="112"/>
  <c r="W53" i="112"/>
  <c r="Y53" i="112" s="1"/>
  <c r="Y52" i="112"/>
  <c r="X52" i="112"/>
  <c r="W52" i="112"/>
  <c r="W51" i="112"/>
  <c r="Y51" i="112" s="1"/>
  <c r="W50" i="112"/>
  <c r="X50" i="112" s="1"/>
  <c r="Y49" i="112"/>
  <c r="X49" i="112"/>
  <c r="W49" i="112"/>
  <c r="Y48" i="112"/>
  <c r="W48" i="112"/>
  <c r="X48" i="112" s="1"/>
  <c r="Y47" i="112"/>
  <c r="X47" i="112"/>
  <c r="W47" i="112"/>
  <c r="Y46" i="112"/>
  <c r="W46" i="112"/>
  <c r="X46" i="112" s="1"/>
  <c r="X45" i="112"/>
  <c r="W45" i="112"/>
  <c r="Y45" i="112" s="1"/>
  <c r="Y44" i="112"/>
  <c r="X44" i="112"/>
  <c r="W44" i="112"/>
  <c r="W43" i="112"/>
  <c r="Y43" i="112" s="1"/>
  <c r="W42" i="112"/>
  <c r="X42" i="112" s="1"/>
  <c r="Y41" i="112"/>
  <c r="X41" i="112"/>
  <c r="W41" i="112"/>
  <c r="Y40" i="112"/>
  <c r="W40" i="112"/>
  <c r="X40" i="112" s="1"/>
  <c r="Y39" i="112"/>
  <c r="X39" i="112"/>
  <c r="W39" i="112"/>
  <c r="Y38" i="112"/>
  <c r="W38" i="112"/>
  <c r="X38" i="112" s="1"/>
  <c r="X37" i="112"/>
  <c r="W37" i="112"/>
  <c r="Y37" i="112" s="1"/>
  <c r="Y36" i="112"/>
  <c r="X36" i="112"/>
  <c r="W36" i="112"/>
  <c r="W35" i="112"/>
  <c r="Y35" i="112" s="1"/>
  <c r="W34" i="112"/>
  <c r="X34" i="112" s="1"/>
  <c r="Y81" i="114"/>
  <c r="X81" i="114"/>
  <c r="W81" i="114"/>
  <c r="W80" i="114"/>
  <c r="Y80" i="114" s="1"/>
  <c r="X79" i="114"/>
  <c r="W79" i="114"/>
  <c r="Y79" i="114" s="1"/>
  <c r="Y78" i="114"/>
  <c r="W78" i="114"/>
  <c r="X78" i="114" s="1"/>
  <c r="W77" i="114"/>
  <c r="Y77" i="114" s="1"/>
  <c r="W76" i="114"/>
  <c r="Y76" i="114" s="1"/>
  <c r="Y75" i="114"/>
  <c r="X75" i="114"/>
  <c r="W75" i="114"/>
  <c r="W74" i="114"/>
  <c r="Y74" i="114" s="1"/>
  <c r="Y73" i="114"/>
  <c r="X73" i="114"/>
  <c r="W73" i="114"/>
  <c r="W72" i="114"/>
  <c r="Y72" i="114" s="1"/>
  <c r="X71" i="114"/>
  <c r="W71" i="114"/>
  <c r="Y71" i="114" s="1"/>
  <c r="Y70" i="114"/>
  <c r="W70" i="114"/>
  <c r="X70" i="114" s="1"/>
  <c r="W69" i="114"/>
  <c r="Y69" i="114" s="1"/>
  <c r="W68" i="114"/>
  <c r="Y68" i="114" s="1"/>
  <c r="Y67" i="114"/>
  <c r="X67" i="114"/>
  <c r="W67" i="114"/>
  <c r="W66" i="114"/>
  <c r="Y66" i="114" s="1"/>
  <c r="Y65" i="114"/>
  <c r="X65" i="114"/>
  <c r="W65" i="114"/>
  <c r="W64" i="114"/>
  <c r="Y64" i="114" s="1"/>
  <c r="X63" i="114"/>
  <c r="W63" i="114"/>
  <c r="Y63" i="114" s="1"/>
  <c r="Y62" i="114"/>
  <c r="W62" i="114"/>
  <c r="X62" i="114" s="1"/>
  <c r="W61" i="114"/>
  <c r="Y61" i="114" s="1"/>
  <c r="W60" i="114"/>
  <c r="Y60" i="114" s="1"/>
  <c r="Y59" i="114"/>
  <c r="X59" i="114"/>
  <c r="W59" i="114"/>
  <c r="W58" i="114"/>
  <c r="Y58" i="114" s="1"/>
  <c r="Y57" i="114"/>
  <c r="X57" i="114"/>
  <c r="W57" i="114"/>
  <c r="W56" i="114"/>
  <c r="Y56" i="114" s="1"/>
  <c r="X55" i="114"/>
  <c r="W55" i="114"/>
  <c r="Y55" i="114" s="1"/>
  <c r="Y54" i="114"/>
  <c r="W54" i="114"/>
  <c r="X54" i="114" s="1"/>
  <c r="W53" i="114"/>
  <c r="Y53" i="114" s="1"/>
  <c r="W52" i="114"/>
  <c r="Y52" i="114" s="1"/>
  <c r="Y51" i="114"/>
  <c r="X51" i="114"/>
  <c r="W51" i="114"/>
  <c r="W50" i="114"/>
  <c r="Y50" i="114" s="1"/>
  <c r="Y49" i="114"/>
  <c r="X49" i="114"/>
  <c r="W49" i="114"/>
  <c r="W48" i="114"/>
  <c r="Y48" i="114" s="1"/>
  <c r="X47" i="114"/>
  <c r="W47" i="114"/>
  <c r="Y47" i="114" s="1"/>
  <c r="Y46" i="114"/>
  <c r="W46" i="114"/>
  <c r="X46" i="114" s="1"/>
  <c r="X45" i="114"/>
  <c r="W45" i="114"/>
  <c r="Y45" i="114" s="1"/>
  <c r="W44" i="114"/>
  <c r="Y44" i="114" s="1"/>
  <c r="Y43" i="114"/>
  <c r="X43" i="114"/>
  <c r="W43" i="114"/>
  <c r="W42" i="114"/>
  <c r="Y42" i="114" s="1"/>
  <c r="Y41" i="114"/>
  <c r="X41" i="114"/>
  <c r="W41" i="114"/>
  <c r="W40" i="114"/>
  <c r="Y40" i="114" s="1"/>
  <c r="X39" i="114"/>
  <c r="W39" i="114"/>
  <c r="Y39" i="114" s="1"/>
  <c r="Y38" i="114"/>
  <c r="W38" i="114"/>
  <c r="X38" i="114" s="1"/>
  <c r="X37" i="114"/>
  <c r="W37" i="114"/>
  <c r="Y37" i="114" s="1"/>
  <c r="W36" i="114"/>
  <c r="Y36" i="114" s="1"/>
  <c r="Y35" i="114"/>
  <c r="X35" i="114"/>
  <c r="W35" i="114"/>
  <c r="W34" i="114"/>
  <c r="Y34" i="114" s="1"/>
  <c r="Y81" i="115"/>
  <c r="X81" i="115"/>
  <c r="W81" i="115"/>
  <c r="W80" i="115"/>
  <c r="Y80" i="115" s="1"/>
  <c r="X79" i="115"/>
  <c r="W79" i="115"/>
  <c r="Y79" i="115" s="1"/>
  <c r="Y78" i="115"/>
  <c r="W78" i="115"/>
  <c r="X78" i="115" s="1"/>
  <c r="X77" i="115"/>
  <c r="W77" i="115"/>
  <c r="Y77" i="115" s="1"/>
  <c r="Y76" i="115"/>
  <c r="X76" i="115"/>
  <c r="W76" i="115"/>
  <c r="Y75" i="115"/>
  <c r="X75" i="115"/>
  <c r="W75" i="115"/>
  <c r="Y74" i="115"/>
  <c r="W74" i="115"/>
  <c r="X74" i="115" s="1"/>
  <c r="X73" i="115"/>
  <c r="W73" i="115"/>
  <c r="Y73" i="115" s="1"/>
  <c r="W72" i="115"/>
  <c r="Y72" i="115" s="1"/>
  <c r="X71" i="115"/>
  <c r="W71" i="115"/>
  <c r="Y71" i="115" s="1"/>
  <c r="Y70" i="115"/>
  <c r="W70" i="115"/>
  <c r="X70" i="115" s="1"/>
  <c r="X69" i="115"/>
  <c r="W69" i="115"/>
  <c r="Y69" i="115" s="1"/>
  <c r="Y68" i="115"/>
  <c r="X68" i="115"/>
  <c r="W68" i="115"/>
  <c r="Y67" i="115"/>
  <c r="X67" i="115"/>
  <c r="W67" i="115"/>
  <c r="Y66" i="115"/>
  <c r="W66" i="115"/>
  <c r="X66" i="115" s="1"/>
  <c r="W65" i="115"/>
  <c r="Y65" i="115" s="1"/>
  <c r="W64" i="115"/>
  <c r="Y64" i="115" s="1"/>
  <c r="X63" i="115"/>
  <c r="W63" i="115"/>
  <c r="Y63" i="115" s="1"/>
  <c r="Y62" i="115"/>
  <c r="W62" i="115"/>
  <c r="X62" i="115" s="1"/>
  <c r="X61" i="115"/>
  <c r="W61" i="115"/>
  <c r="Y61" i="115" s="1"/>
  <c r="Y60" i="115"/>
  <c r="X60" i="115"/>
  <c r="W60" i="115"/>
  <c r="Y59" i="115"/>
  <c r="X59" i="115"/>
  <c r="W59" i="115"/>
  <c r="Y58" i="115"/>
  <c r="W58" i="115"/>
  <c r="X58" i="115" s="1"/>
  <c r="W57" i="115"/>
  <c r="Y57" i="115" s="1"/>
  <c r="W56" i="115"/>
  <c r="Y56" i="115" s="1"/>
  <c r="X55" i="115"/>
  <c r="W55" i="115"/>
  <c r="Y55" i="115" s="1"/>
  <c r="Y54" i="115"/>
  <c r="W54" i="115"/>
  <c r="X54" i="115" s="1"/>
  <c r="X53" i="115"/>
  <c r="W53" i="115"/>
  <c r="Y53" i="115" s="1"/>
  <c r="Y52" i="115"/>
  <c r="X52" i="115"/>
  <c r="W52" i="115"/>
  <c r="Y51" i="115"/>
  <c r="X51" i="115"/>
  <c r="W51" i="115"/>
  <c r="Y50" i="115"/>
  <c r="W50" i="115"/>
  <c r="X50" i="115" s="1"/>
  <c r="W49" i="115"/>
  <c r="Y49" i="115" s="1"/>
  <c r="W48" i="115"/>
  <c r="Y48" i="115" s="1"/>
  <c r="X47" i="115"/>
  <c r="W47" i="115"/>
  <c r="Y47" i="115" s="1"/>
  <c r="Y46" i="115"/>
  <c r="W46" i="115"/>
  <c r="X46" i="115" s="1"/>
  <c r="X45" i="115"/>
  <c r="W45" i="115"/>
  <c r="Y45" i="115" s="1"/>
  <c r="Y44" i="115"/>
  <c r="X44" i="115"/>
  <c r="W44" i="115"/>
  <c r="Y43" i="115"/>
  <c r="X43" i="115"/>
  <c r="W43" i="115"/>
  <c r="Y42" i="115"/>
  <c r="W42" i="115"/>
  <c r="X42" i="115" s="1"/>
  <c r="W41" i="115"/>
  <c r="Y41" i="115" s="1"/>
  <c r="W40" i="115"/>
  <c r="Y40" i="115" s="1"/>
  <c r="X39" i="115"/>
  <c r="W39" i="115"/>
  <c r="Y39" i="115" s="1"/>
  <c r="Y38" i="115"/>
  <c r="W38" i="115"/>
  <c r="X38" i="115" s="1"/>
  <c r="X37" i="115"/>
  <c r="W37" i="115"/>
  <c r="Y37" i="115" s="1"/>
  <c r="Y36" i="115"/>
  <c r="X36" i="115"/>
  <c r="W36" i="115"/>
  <c r="Y35" i="115"/>
  <c r="X35" i="115"/>
  <c r="W35" i="115"/>
  <c r="Y34" i="115"/>
  <c r="W34" i="115"/>
  <c r="X34" i="115" s="1"/>
  <c r="W81" i="116"/>
  <c r="Y81" i="116" s="1"/>
  <c r="W80" i="116"/>
  <c r="Y80" i="116" s="1"/>
  <c r="Y79" i="116"/>
  <c r="X79" i="116"/>
  <c r="W79" i="116"/>
  <c r="Y78" i="116"/>
  <c r="W78" i="116"/>
  <c r="X78" i="116" s="1"/>
  <c r="W77" i="116"/>
  <c r="Y77" i="116" s="1"/>
  <c r="X76" i="116"/>
  <c r="W76" i="116"/>
  <c r="Y76" i="116" s="1"/>
  <c r="Y75" i="116"/>
  <c r="W75" i="116"/>
  <c r="X75" i="116" s="1"/>
  <c r="W74" i="116"/>
  <c r="Y74" i="116" s="1"/>
  <c r="W73" i="116"/>
  <c r="Y73" i="116" s="1"/>
  <c r="W72" i="116"/>
  <c r="Y72" i="116" s="1"/>
  <c r="X71" i="116"/>
  <c r="W71" i="116"/>
  <c r="Y71" i="116" s="1"/>
  <c r="Y70" i="116"/>
  <c r="X70" i="116"/>
  <c r="W70" i="116"/>
  <c r="Y69" i="116"/>
  <c r="W69" i="116"/>
  <c r="X69" i="116" s="1"/>
  <c r="X68" i="116"/>
  <c r="W68" i="116"/>
  <c r="Y68" i="116" s="1"/>
  <c r="W67" i="116"/>
  <c r="Y67" i="116" s="1"/>
  <c r="X66" i="116"/>
  <c r="W66" i="116"/>
  <c r="Y66" i="116" s="1"/>
  <c r="W65" i="116"/>
  <c r="Y65" i="116" s="1"/>
  <c r="W64" i="116"/>
  <c r="Y64" i="116" s="1"/>
  <c r="X63" i="116"/>
  <c r="W63" i="116"/>
  <c r="Y63" i="116" s="1"/>
  <c r="Y62" i="116"/>
  <c r="X62" i="116"/>
  <c r="W62" i="116"/>
  <c r="Y61" i="116"/>
  <c r="W61" i="116"/>
  <c r="X61" i="116" s="1"/>
  <c r="X60" i="116"/>
  <c r="W60" i="116"/>
  <c r="Y60" i="116" s="1"/>
  <c r="W59" i="116"/>
  <c r="Y59" i="116" s="1"/>
  <c r="X58" i="116"/>
  <c r="W58" i="116"/>
  <c r="Y58" i="116" s="1"/>
  <c r="W57" i="116"/>
  <c r="Y57" i="116" s="1"/>
  <c r="W56" i="116"/>
  <c r="X56" i="116" s="1"/>
  <c r="X55" i="116"/>
  <c r="W55" i="116"/>
  <c r="Y55" i="116" s="1"/>
  <c r="Y54" i="116"/>
  <c r="X54" i="116"/>
  <c r="W54" i="116"/>
  <c r="Y53" i="116"/>
  <c r="W53" i="116"/>
  <c r="X53" i="116" s="1"/>
  <c r="X52" i="116"/>
  <c r="W52" i="116"/>
  <c r="Y52" i="116" s="1"/>
  <c r="W51" i="116"/>
  <c r="Y51" i="116" s="1"/>
  <c r="X50" i="116"/>
  <c r="W50" i="116"/>
  <c r="Y50" i="116" s="1"/>
  <c r="W49" i="116"/>
  <c r="Y49" i="116" s="1"/>
  <c r="W48" i="116"/>
  <c r="X48" i="116" s="1"/>
  <c r="X47" i="116"/>
  <c r="W47" i="116"/>
  <c r="Y47" i="116" s="1"/>
  <c r="Y46" i="116"/>
  <c r="X46" i="116"/>
  <c r="W46" i="116"/>
  <c r="Y45" i="116"/>
  <c r="W45" i="116"/>
  <c r="X45" i="116" s="1"/>
  <c r="Y44" i="116"/>
  <c r="X44" i="116"/>
  <c r="W44" i="116"/>
  <c r="W43" i="116"/>
  <c r="Y43" i="116" s="1"/>
  <c r="X42" i="116"/>
  <c r="W42" i="116"/>
  <c r="Y42" i="116" s="1"/>
  <c r="W41" i="116"/>
  <c r="Y41" i="116" s="1"/>
  <c r="W40" i="116"/>
  <c r="Y40" i="116" s="1"/>
  <c r="X39" i="116"/>
  <c r="W39" i="116"/>
  <c r="Y39" i="116" s="1"/>
  <c r="Y38" i="116"/>
  <c r="X38" i="116"/>
  <c r="W38" i="116"/>
  <c r="Y37" i="116"/>
  <c r="W37" i="116"/>
  <c r="X37" i="116" s="1"/>
  <c r="Y36" i="116"/>
  <c r="X36" i="116"/>
  <c r="W36" i="116"/>
  <c r="W35" i="116"/>
  <c r="Y35" i="116" s="1"/>
  <c r="X34" i="116"/>
  <c r="W34" i="116"/>
  <c r="Y34" i="116" s="1"/>
  <c r="X81" i="117"/>
  <c r="W81" i="117"/>
  <c r="Y81" i="117" s="1"/>
  <c r="W80" i="117"/>
  <c r="Y80" i="117" s="1"/>
  <c r="X79" i="117"/>
  <c r="W79" i="117"/>
  <c r="Y79" i="117" s="1"/>
  <c r="Y78" i="117"/>
  <c r="W78" i="117"/>
  <c r="X78" i="117" s="1"/>
  <c r="W77" i="117"/>
  <c r="Y77" i="117" s="1"/>
  <c r="Y76" i="117"/>
  <c r="X76" i="117"/>
  <c r="W76" i="117"/>
  <c r="Y75" i="117"/>
  <c r="X75" i="117"/>
  <c r="W75" i="117"/>
  <c r="W74" i="117"/>
  <c r="Y74" i="117" s="1"/>
  <c r="X73" i="117"/>
  <c r="W73" i="117"/>
  <c r="Y73" i="117" s="1"/>
  <c r="W72" i="117"/>
  <c r="Y72" i="117" s="1"/>
  <c r="X71" i="117"/>
  <c r="W71" i="117"/>
  <c r="Y71" i="117" s="1"/>
  <c r="Y70" i="117"/>
  <c r="W70" i="117"/>
  <c r="X70" i="117" s="1"/>
  <c r="W69" i="117"/>
  <c r="Y69" i="117" s="1"/>
  <c r="Y68" i="117"/>
  <c r="X68" i="117"/>
  <c r="W68" i="117"/>
  <c r="Y67" i="117"/>
  <c r="X67" i="117"/>
  <c r="W67" i="117"/>
  <c r="W66" i="117"/>
  <c r="Y66" i="117" s="1"/>
  <c r="X65" i="117"/>
  <c r="W65" i="117"/>
  <c r="Y65" i="117" s="1"/>
  <c r="W64" i="117"/>
  <c r="Y64" i="117" s="1"/>
  <c r="X63" i="117"/>
  <c r="W63" i="117"/>
  <c r="Y63" i="117" s="1"/>
  <c r="Y62" i="117"/>
  <c r="W62" i="117"/>
  <c r="X62" i="117" s="1"/>
  <c r="W61" i="117"/>
  <c r="Y61" i="117" s="1"/>
  <c r="Y60" i="117"/>
  <c r="X60" i="117"/>
  <c r="W60" i="117"/>
  <c r="Y59" i="117"/>
  <c r="W59" i="117"/>
  <c r="X59" i="117" s="1"/>
  <c r="W58" i="117"/>
  <c r="Y58" i="117" s="1"/>
  <c r="X57" i="117"/>
  <c r="W57" i="117"/>
  <c r="Y57" i="117" s="1"/>
  <c r="W56" i="117"/>
  <c r="Y56" i="117" s="1"/>
  <c r="X55" i="117"/>
  <c r="W55" i="117"/>
  <c r="Y55" i="117" s="1"/>
  <c r="Y54" i="117"/>
  <c r="W54" i="117"/>
  <c r="X54" i="117" s="1"/>
  <c r="W53" i="117"/>
  <c r="Y53" i="117" s="1"/>
  <c r="Y52" i="117"/>
  <c r="X52" i="117"/>
  <c r="W52" i="117"/>
  <c r="Y51" i="117"/>
  <c r="X51" i="117"/>
  <c r="W51" i="117"/>
  <c r="W50" i="117"/>
  <c r="Y50" i="117" s="1"/>
  <c r="X49" i="117"/>
  <c r="W49" i="117"/>
  <c r="Y49" i="117" s="1"/>
  <c r="W48" i="117"/>
  <c r="Y48" i="117" s="1"/>
  <c r="Y47" i="117"/>
  <c r="X47" i="117"/>
  <c r="W47" i="117"/>
  <c r="Y46" i="117"/>
  <c r="W46" i="117"/>
  <c r="X46" i="117" s="1"/>
  <c r="W45" i="117"/>
  <c r="Y45" i="117" s="1"/>
  <c r="Y44" i="117"/>
  <c r="X44" i="117"/>
  <c r="W44" i="117"/>
  <c r="Y43" i="117"/>
  <c r="W43" i="117"/>
  <c r="X43" i="117" s="1"/>
  <c r="W42" i="117"/>
  <c r="Y42" i="117" s="1"/>
  <c r="X41" i="117"/>
  <c r="W41" i="117"/>
  <c r="Y41" i="117" s="1"/>
  <c r="W40" i="117"/>
  <c r="Y40" i="117" s="1"/>
  <c r="Y39" i="117"/>
  <c r="X39" i="117"/>
  <c r="W39" i="117"/>
  <c r="Y38" i="117"/>
  <c r="W38" i="117"/>
  <c r="X38" i="117" s="1"/>
  <c r="W37" i="117"/>
  <c r="Y37" i="117" s="1"/>
  <c r="Y36" i="117"/>
  <c r="X36" i="117"/>
  <c r="W36" i="117"/>
  <c r="Y35" i="117"/>
  <c r="W35" i="117"/>
  <c r="X35" i="117" s="1"/>
  <c r="W34" i="117"/>
  <c r="Y34" i="117" s="1"/>
  <c r="Y81" i="118"/>
  <c r="X81" i="118"/>
  <c r="W81" i="118"/>
  <c r="W80" i="118"/>
  <c r="Y80" i="118" s="1"/>
  <c r="X79" i="118"/>
  <c r="W79" i="118"/>
  <c r="Y79" i="118" s="1"/>
  <c r="Y78" i="118"/>
  <c r="W78" i="118"/>
  <c r="X78" i="118" s="1"/>
  <c r="X77" i="118"/>
  <c r="W77" i="118"/>
  <c r="Y77" i="118" s="1"/>
  <c r="Y76" i="118"/>
  <c r="X76" i="118"/>
  <c r="W76" i="118"/>
  <c r="W75" i="118"/>
  <c r="Y75" i="118" s="1"/>
  <c r="X74" i="118"/>
  <c r="W74" i="118"/>
  <c r="Y74" i="118" s="1"/>
  <c r="Y73" i="118"/>
  <c r="X73" i="118"/>
  <c r="W73" i="118"/>
  <c r="W72" i="118"/>
  <c r="Y72" i="118" s="1"/>
  <c r="X71" i="118"/>
  <c r="W71" i="118"/>
  <c r="Y71" i="118" s="1"/>
  <c r="Y70" i="118"/>
  <c r="W70" i="118"/>
  <c r="X70" i="118" s="1"/>
  <c r="X69" i="118"/>
  <c r="W69" i="118"/>
  <c r="Y69" i="118" s="1"/>
  <c r="Y68" i="118"/>
  <c r="X68" i="118"/>
  <c r="W68" i="118"/>
  <c r="W67" i="118"/>
  <c r="Y67" i="118" s="1"/>
  <c r="X66" i="118"/>
  <c r="W66" i="118"/>
  <c r="Y66" i="118" s="1"/>
  <c r="Y65" i="118"/>
  <c r="X65" i="118"/>
  <c r="W65" i="118"/>
  <c r="W64" i="118"/>
  <c r="Y64" i="118" s="1"/>
  <c r="X63" i="118"/>
  <c r="W63" i="118"/>
  <c r="Y63" i="118" s="1"/>
  <c r="Y62" i="118"/>
  <c r="W62" i="118"/>
  <c r="X62" i="118" s="1"/>
  <c r="X61" i="118"/>
  <c r="W61" i="118"/>
  <c r="Y61" i="118" s="1"/>
  <c r="Y60" i="118"/>
  <c r="X60" i="118"/>
  <c r="W60" i="118"/>
  <c r="W59" i="118"/>
  <c r="Y59" i="118" s="1"/>
  <c r="X58" i="118"/>
  <c r="W58" i="118"/>
  <c r="Y58" i="118" s="1"/>
  <c r="Y57" i="118"/>
  <c r="X57" i="118"/>
  <c r="W57" i="118"/>
  <c r="W56" i="118"/>
  <c r="Y56" i="118" s="1"/>
  <c r="X55" i="118"/>
  <c r="W55" i="118"/>
  <c r="Y55" i="118" s="1"/>
  <c r="Y54" i="118"/>
  <c r="W54" i="118"/>
  <c r="X54" i="118" s="1"/>
  <c r="X53" i="118"/>
  <c r="W53" i="118"/>
  <c r="Y53" i="118" s="1"/>
  <c r="Y52" i="118"/>
  <c r="X52" i="118"/>
  <c r="W52" i="118"/>
  <c r="W51" i="118"/>
  <c r="Y51" i="118" s="1"/>
  <c r="X50" i="118"/>
  <c r="W50" i="118"/>
  <c r="Y50" i="118" s="1"/>
  <c r="Y49" i="118"/>
  <c r="X49" i="118"/>
  <c r="W49" i="118"/>
  <c r="W48" i="118"/>
  <c r="Y48" i="118" s="1"/>
  <c r="X47" i="118"/>
  <c r="W47" i="118"/>
  <c r="Y47" i="118" s="1"/>
  <c r="Y46" i="118"/>
  <c r="W46" i="118"/>
  <c r="X46" i="118" s="1"/>
  <c r="X45" i="118"/>
  <c r="W45" i="118"/>
  <c r="Y45" i="118" s="1"/>
  <c r="Y44" i="118"/>
  <c r="X44" i="118"/>
  <c r="W44" i="118"/>
  <c r="W43" i="118"/>
  <c r="Y43" i="118" s="1"/>
  <c r="X42" i="118"/>
  <c r="W42" i="118"/>
  <c r="Y42" i="118" s="1"/>
  <c r="Y41" i="118"/>
  <c r="X41" i="118"/>
  <c r="W41" i="118"/>
  <c r="W40" i="118"/>
  <c r="Y40" i="118" s="1"/>
  <c r="X39" i="118"/>
  <c r="W39" i="118"/>
  <c r="Y39" i="118" s="1"/>
  <c r="Y38" i="118"/>
  <c r="W38" i="118"/>
  <c r="X38" i="118" s="1"/>
  <c r="X37" i="118"/>
  <c r="W37" i="118"/>
  <c r="Y37" i="118" s="1"/>
  <c r="Y36" i="118"/>
  <c r="X36" i="118"/>
  <c r="W36" i="118"/>
  <c r="W35" i="118"/>
  <c r="Y35" i="118" s="1"/>
  <c r="W34" i="118"/>
  <c r="Y34" i="118" s="1"/>
  <c r="W81" i="119"/>
  <c r="Y81" i="119" s="1"/>
  <c r="W80" i="119"/>
  <c r="Y80" i="119" s="1"/>
  <c r="X79" i="119"/>
  <c r="W79" i="119"/>
  <c r="Y79" i="119" s="1"/>
  <c r="Y78" i="119"/>
  <c r="X78" i="119"/>
  <c r="W78" i="119"/>
  <c r="W77" i="119"/>
  <c r="Y77" i="119" s="1"/>
  <c r="X76" i="119"/>
  <c r="W76" i="119"/>
  <c r="Y76" i="119" s="1"/>
  <c r="Y75" i="119"/>
  <c r="X75" i="119"/>
  <c r="W75" i="119"/>
  <c r="Y74" i="119"/>
  <c r="W74" i="119"/>
  <c r="X74" i="119" s="1"/>
  <c r="W73" i="119"/>
  <c r="Y73" i="119" s="1"/>
  <c r="W72" i="119"/>
  <c r="Y72" i="119" s="1"/>
  <c r="X71" i="119"/>
  <c r="W71" i="119"/>
  <c r="Y71" i="119" s="1"/>
  <c r="Y70" i="119"/>
  <c r="X70" i="119"/>
  <c r="W70" i="119"/>
  <c r="W69" i="119"/>
  <c r="Y69" i="119" s="1"/>
  <c r="X68" i="119"/>
  <c r="W68" i="119"/>
  <c r="Y68" i="119" s="1"/>
  <c r="Y67" i="119"/>
  <c r="X67" i="119"/>
  <c r="W67" i="119"/>
  <c r="Y66" i="119"/>
  <c r="X66" i="119"/>
  <c r="W66" i="119"/>
  <c r="Y65" i="119"/>
  <c r="W65" i="119"/>
  <c r="X65" i="119" s="1"/>
  <c r="W64" i="119"/>
  <c r="Y64" i="119" s="1"/>
  <c r="X63" i="119"/>
  <c r="W63" i="119"/>
  <c r="Y63" i="119" s="1"/>
  <c r="Y62" i="119"/>
  <c r="X62" i="119"/>
  <c r="W62" i="119"/>
  <c r="W61" i="119"/>
  <c r="Y61" i="119" s="1"/>
  <c r="X60" i="119"/>
  <c r="W60" i="119"/>
  <c r="Y60" i="119" s="1"/>
  <c r="Y59" i="119"/>
  <c r="X59" i="119"/>
  <c r="W59" i="119"/>
  <c r="Y58" i="119"/>
  <c r="X58" i="119"/>
  <c r="W58" i="119"/>
  <c r="W57" i="119"/>
  <c r="Y57" i="119" s="1"/>
  <c r="W56" i="119"/>
  <c r="Y56" i="119" s="1"/>
  <c r="X55" i="119"/>
  <c r="W55" i="119"/>
  <c r="Y55" i="119" s="1"/>
  <c r="Y54" i="119"/>
  <c r="X54" i="119"/>
  <c r="W54" i="119"/>
  <c r="W53" i="119"/>
  <c r="Y53" i="119" s="1"/>
  <c r="X52" i="119"/>
  <c r="W52" i="119"/>
  <c r="Y52" i="119" s="1"/>
  <c r="Y51" i="119"/>
  <c r="X51" i="119"/>
  <c r="W51" i="119"/>
  <c r="Y50" i="119"/>
  <c r="X50" i="119"/>
  <c r="W50" i="119"/>
  <c r="W49" i="119"/>
  <c r="Y49" i="119" s="1"/>
  <c r="W48" i="119"/>
  <c r="Y48" i="119" s="1"/>
  <c r="X47" i="119"/>
  <c r="W47" i="119"/>
  <c r="Y47" i="119" s="1"/>
  <c r="Y46" i="119"/>
  <c r="X46" i="119"/>
  <c r="W46" i="119"/>
  <c r="W45" i="119"/>
  <c r="Y45" i="119" s="1"/>
  <c r="X44" i="119"/>
  <c r="W44" i="119"/>
  <c r="Y44" i="119" s="1"/>
  <c r="Y43" i="119"/>
  <c r="X43" i="119"/>
  <c r="W43" i="119"/>
  <c r="Y42" i="119"/>
  <c r="W42" i="119"/>
  <c r="X42" i="119" s="1"/>
  <c r="W41" i="119"/>
  <c r="Y41" i="119" s="1"/>
  <c r="W40" i="119"/>
  <c r="Y40" i="119" s="1"/>
  <c r="X39" i="119"/>
  <c r="W39" i="119"/>
  <c r="Y39" i="119" s="1"/>
  <c r="Y38" i="119"/>
  <c r="X38" i="119"/>
  <c r="W38" i="119"/>
  <c r="Y37" i="119"/>
  <c r="W37" i="119"/>
  <c r="X37" i="119" s="1"/>
  <c r="W36" i="119"/>
  <c r="Y36" i="119" s="1"/>
  <c r="Y35" i="119"/>
  <c r="X35" i="119"/>
  <c r="W35" i="119"/>
  <c r="Y34" i="119"/>
  <c r="W34" i="119"/>
  <c r="X34" i="119" s="1"/>
  <c r="X40" i="104" l="1"/>
  <c r="X48" i="104"/>
  <c r="X56" i="104"/>
  <c r="X64" i="104"/>
  <c r="X72" i="104"/>
  <c r="X80" i="104"/>
  <c r="X34" i="104"/>
  <c r="X42" i="104"/>
  <c r="X50" i="104"/>
  <c r="X58" i="104"/>
  <c r="X66" i="104"/>
  <c r="X74" i="104"/>
  <c r="X36" i="104"/>
  <c r="X44" i="104"/>
  <c r="X52" i="104"/>
  <c r="X60" i="104"/>
  <c r="X68" i="104"/>
  <c r="X76" i="104"/>
  <c r="X37" i="104"/>
  <c r="X45" i="104"/>
  <c r="X53" i="104"/>
  <c r="X61" i="104"/>
  <c r="X69" i="104"/>
  <c r="X77" i="104"/>
  <c r="X40" i="103"/>
  <c r="X48" i="103"/>
  <c r="X56" i="103"/>
  <c r="X64" i="103"/>
  <c r="X72" i="103"/>
  <c r="X80" i="103"/>
  <c r="X49" i="103"/>
  <c r="X57" i="103"/>
  <c r="X65" i="103"/>
  <c r="X73" i="103"/>
  <c r="X81" i="103"/>
  <c r="X35" i="103"/>
  <c r="X43" i="103"/>
  <c r="X51" i="103"/>
  <c r="X59" i="103"/>
  <c r="X67" i="103"/>
  <c r="X75" i="103"/>
  <c r="X37" i="103"/>
  <c r="X45" i="103"/>
  <c r="X53" i="103"/>
  <c r="X61" i="103"/>
  <c r="X69" i="103"/>
  <c r="X77" i="103"/>
  <c r="X40" i="95"/>
  <c r="X48" i="95"/>
  <c r="X56" i="95"/>
  <c r="X64" i="95"/>
  <c r="X72" i="95"/>
  <c r="X80" i="95"/>
  <c r="X34" i="95"/>
  <c r="X42" i="95"/>
  <c r="X50" i="95"/>
  <c r="X58" i="95"/>
  <c r="X66" i="95"/>
  <c r="X74" i="95"/>
  <c r="X37" i="95"/>
  <c r="X45" i="95"/>
  <c r="X53" i="95"/>
  <c r="X61" i="95"/>
  <c r="X69" i="95"/>
  <c r="X77" i="95"/>
  <c r="X40" i="97"/>
  <c r="X48" i="97"/>
  <c r="X56" i="97"/>
  <c r="X64" i="97"/>
  <c r="X72" i="97"/>
  <c r="X80" i="97"/>
  <c r="X34" i="97"/>
  <c r="X42" i="97"/>
  <c r="X50" i="97"/>
  <c r="X58" i="97"/>
  <c r="X66" i="97"/>
  <c r="X74" i="97"/>
  <c r="X36" i="97"/>
  <c r="X44" i="97"/>
  <c r="X52" i="97"/>
  <c r="X60" i="97"/>
  <c r="X68" i="97"/>
  <c r="X76" i="97"/>
  <c r="X45" i="97"/>
  <c r="X53" i="97"/>
  <c r="X61" i="97"/>
  <c r="X69" i="97"/>
  <c r="X48" i="98"/>
  <c r="X80" i="98"/>
  <c r="Y40" i="98"/>
  <c r="X41" i="98"/>
  <c r="X49" i="98"/>
  <c r="Y56" i="98"/>
  <c r="X57" i="98"/>
  <c r="Y64" i="98"/>
  <c r="X65" i="98"/>
  <c r="Y72" i="98"/>
  <c r="X73" i="98"/>
  <c r="X81" i="98"/>
  <c r="X34" i="98"/>
  <c r="X42" i="98"/>
  <c r="X50" i="98"/>
  <c r="X58" i="98"/>
  <c r="X66" i="98"/>
  <c r="X74" i="98"/>
  <c r="X52" i="98"/>
  <c r="X60" i="98"/>
  <c r="X68" i="98"/>
  <c r="X76" i="98"/>
  <c r="X40" i="99"/>
  <c r="X48" i="99"/>
  <c r="X56" i="99"/>
  <c r="X64" i="99"/>
  <c r="X72" i="99"/>
  <c r="X80" i="99"/>
  <c r="X34" i="99"/>
  <c r="X42" i="99"/>
  <c r="X50" i="99"/>
  <c r="X58" i="99"/>
  <c r="X66" i="99"/>
  <c r="X74" i="99"/>
  <c r="X37" i="99"/>
  <c r="X45" i="99"/>
  <c r="X53" i="99"/>
  <c r="X61" i="99"/>
  <c r="X69" i="99"/>
  <c r="X77" i="99"/>
  <c r="X71" i="100"/>
  <c r="Y39" i="100"/>
  <c r="X40" i="100"/>
  <c r="Y47" i="100"/>
  <c r="X48" i="100"/>
  <c r="Y55" i="100"/>
  <c r="X56" i="100"/>
  <c r="Y63" i="100"/>
  <c r="X64" i="100"/>
  <c r="X72" i="100"/>
  <c r="Y79" i="100"/>
  <c r="X80" i="100"/>
  <c r="X81" i="100"/>
  <c r="X34" i="100"/>
  <c r="X42" i="100"/>
  <c r="X50" i="100"/>
  <c r="X58" i="100"/>
  <c r="X66" i="100"/>
  <c r="X74" i="100"/>
  <c r="Y40" i="101"/>
  <c r="X41" i="101"/>
  <c r="Y48" i="101"/>
  <c r="X49" i="101"/>
  <c r="Y56" i="101"/>
  <c r="X57" i="101"/>
  <c r="Y64" i="101"/>
  <c r="X65" i="101"/>
  <c r="Y72" i="101"/>
  <c r="X73" i="101"/>
  <c r="Y80" i="101"/>
  <c r="X81" i="101"/>
  <c r="X36" i="101"/>
  <c r="X44" i="101"/>
  <c r="X52" i="101"/>
  <c r="X60" i="101"/>
  <c r="X68" i="101"/>
  <c r="X76" i="101"/>
  <c r="X40" i="102"/>
  <c r="X48" i="102"/>
  <c r="X56" i="102"/>
  <c r="X64" i="102"/>
  <c r="X72" i="102"/>
  <c r="X80" i="102"/>
  <c r="X49" i="102"/>
  <c r="X57" i="102"/>
  <c r="X65" i="102"/>
  <c r="X73" i="102"/>
  <c r="X81" i="102"/>
  <c r="X34" i="102"/>
  <c r="Y41" i="102"/>
  <c r="X42" i="102"/>
  <c r="X50" i="102"/>
  <c r="X58" i="102"/>
  <c r="X66" i="102"/>
  <c r="X74" i="102"/>
  <c r="X51" i="102"/>
  <c r="X59" i="102"/>
  <c r="X67" i="102"/>
  <c r="X75" i="102"/>
  <c r="X52" i="102"/>
  <c r="X60" i="102"/>
  <c r="X68" i="102"/>
  <c r="X76" i="102"/>
  <c r="X37" i="102"/>
  <c r="X45" i="102"/>
  <c r="X74" i="112"/>
  <c r="Y34" i="112"/>
  <c r="X35" i="112"/>
  <c r="Y42" i="112"/>
  <c r="X43" i="112"/>
  <c r="Y50" i="112"/>
  <c r="X51" i="112"/>
  <c r="Y58" i="112"/>
  <c r="X59" i="112"/>
  <c r="Y66" i="112"/>
  <c r="X67" i="112"/>
  <c r="X75" i="112"/>
  <c r="X69" i="112"/>
  <c r="X77" i="112"/>
  <c r="X40" i="114"/>
  <c r="X48" i="114"/>
  <c r="X56" i="114"/>
  <c r="X64" i="114"/>
  <c r="X72" i="114"/>
  <c r="X80" i="114"/>
  <c r="X34" i="114"/>
  <c r="X42" i="114"/>
  <c r="X50" i="114"/>
  <c r="X58" i="114"/>
  <c r="X66" i="114"/>
  <c r="X74" i="114"/>
  <c r="X36" i="114"/>
  <c r="X44" i="114"/>
  <c r="X52" i="114"/>
  <c r="X60" i="114"/>
  <c r="X68" i="114"/>
  <c r="X76" i="114"/>
  <c r="X53" i="114"/>
  <c r="X61" i="114"/>
  <c r="X69" i="114"/>
  <c r="X77" i="114"/>
  <c r="X40" i="115"/>
  <c r="X48" i="115"/>
  <c r="X56" i="115"/>
  <c r="X64" i="115"/>
  <c r="X72" i="115"/>
  <c r="X80" i="115"/>
  <c r="X41" i="115"/>
  <c r="X49" i="115"/>
  <c r="X57" i="115"/>
  <c r="X65" i="115"/>
  <c r="X72" i="116"/>
  <c r="X80" i="116"/>
  <c r="X40" i="116"/>
  <c r="X64" i="116"/>
  <c r="X41" i="116"/>
  <c r="Y48" i="116"/>
  <c r="X49" i="116"/>
  <c r="Y56" i="116"/>
  <c r="X57" i="116"/>
  <c r="X65" i="116"/>
  <c r="X73" i="116"/>
  <c r="X81" i="116"/>
  <c r="X74" i="116"/>
  <c r="X35" i="116"/>
  <c r="X43" i="116"/>
  <c r="X51" i="116"/>
  <c r="X59" i="116"/>
  <c r="X67" i="116"/>
  <c r="X77" i="116"/>
  <c r="X40" i="117"/>
  <c r="X48" i="117"/>
  <c r="X56" i="117"/>
  <c r="X64" i="117"/>
  <c r="X72" i="117"/>
  <c r="X80" i="117"/>
  <c r="X34" i="117"/>
  <c r="X42" i="117"/>
  <c r="X50" i="117"/>
  <c r="X58" i="117"/>
  <c r="X66" i="117"/>
  <c r="X74" i="117"/>
  <c r="X37" i="117"/>
  <c r="X45" i="117"/>
  <c r="X53" i="117"/>
  <c r="X61" i="117"/>
  <c r="X69" i="117"/>
  <c r="X77" i="117"/>
  <c r="X40" i="118"/>
  <c r="X48" i="118"/>
  <c r="X56" i="118"/>
  <c r="X64" i="118"/>
  <c r="X72" i="118"/>
  <c r="X80" i="118"/>
  <c r="X34" i="118"/>
  <c r="X35" i="118"/>
  <c r="X43" i="118"/>
  <c r="X51" i="118"/>
  <c r="X59" i="118"/>
  <c r="X67" i="118"/>
  <c r="X75" i="118"/>
  <c r="X40" i="119"/>
  <c r="X48" i="119"/>
  <c r="X56" i="119"/>
  <c r="X64" i="119"/>
  <c r="X72" i="119"/>
  <c r="X80" i="119"/>
  <c r="X41" i="119"/>
  <c r="X49" i="119"/>
  <c r="X57" i="119"/>
  <c r="X73" i="119"/>
  <c r="X81" i="119"/>
  <c r="X36" i="119"/>
  <c r="X45" i="119"/>
  <c r="X53" i="119"/>
  <c r="X61" i="119"/>
  <c r="X69" i="119"/>
  <c r="X77" i="119"/>
  <c r="X29" i="121" l="1"/>
  <c r="K25" i="121"/>
  <c r="K24" i="121"/>
  <c r="N15" i="121"/>
  <c r="K15" i="121"/>
  <c r="AK12" i="121"/>
  <c r="AJ12" i="121"/>
  <c r="AI12" i="121"/>
  <c r="K12" i="121"/>
  <c r="AK11" i="121"/>
  <c r="AJ11" i="121"/>
  <c r="AI11" i="121"/>
  <c r="S11" i="121"/>
  <c r="H11" i="121"/>
  <c r="C11" i="121"/>
  <c r="AK10" i="121"/>
  <c r="AJ10" i="121"/>
  <c r="AI10" i="121"/>
  <c r="AK9" i="121"/>
  <c r="AJ9" i="121"/>
  <c r="AI9" i="121"/>
  <c r="AI8" i="121"/>
  <c r="AI7" i="121"/>
  <c r="N7" i="121"/>
  <c r="AK6" i="121"/>
  <c r="AI6" i="121"/>
  <c r="AI5" i="121"/>
  <c r="AH5" i="121"/>
  <c r="AK4" i="121"/>
  <c r="AJ4" i="121"/>
  <c r="AI4" i="121"/>
  <c r="AH4" i="121"/>
  <c r="AK3" i="121"/>
  <c r="AI3" i="121"/>
  <c r="AH3" i="121"/>
  <c r="AG3" i="121"/>
  <c r="AA3" i="121"/>
  <c r="Z3" i="121"/>
  <c r="Y3" i="121"/>
  <c r="W3" i="121"/>
  <c r="V3" i="121"/>
  <c r="U3" i="121"/>
  <c r="T3" i="121"/>
  <c r="S3" i="121"/>
  <c r="R3" i="121"/>
  <c r="P3" i="121"/>
  <c r="O3" i="121"/>
  <c r="N3" i="121"/>
  <c r="J3" i="121"/>
  <c r="S14" i="121" s="1"/>
  <c r="AK2" i="121"/>
  <c r="AJ2" i="121"/>
  <c r="AH2" i="121"/>
  <c r="AG2" i="121"/>
  <c r="AA2" i="121"/>
  <c r="Z2" i="121"/>
  <c r="Y2" i="121"/>
  <c r="W2" i="121"/>
  <c r="V2" i="121"/>
  <c r="X2" i="121" s="1"/>
  <c r="U2" i="121"/>
  <c r="T2" i="121"/>
  <c r="S2" i="121"/>
  <c r="R2" i="121"/>
  <c r="Q2" i="121"/>
  <c r="N2" i="121"/>
  <c r="J2" i="121"/>
  <c r="AK5" i="121" s="1"/>
  <c r="N129" i="121"/>
  <c r="P129" i="121" s="1"/>
  <c r="N128" i="121"/>
  <c r="P128" i="121" s="1"/>
  <c r="O127" i="121"/>
  <c r="N127" i="121"/>
  <c r="P127" i="121" s="1"/>
  <c r="P126" i="121"/>
  <c r="O126" i="121"/>
  <c r="N126" i="121"/>
  <c r="O125" i="121"/>
  <c r="N125" i="121"/>
  <c r="P125" i="121" s="1"/>
  <c r="P124" i="121"/>
  <c r="N124" i="121"/>
  <c r="O124" i="121" s="1"/>
  <c r="P123" i="121"/>
  <c r="N123" i="121"/>
  <c r="O123" i="121" s="1"/>
  <c r="N122" i="121"/>
  <c r="N121" i="121"/>
  <c r="P121" i="121" s="1"/>
  <c r="N120" i="121"/>
  <c r="P120" i="121" s="1"/>
  <c r="O119" i="121"/>
  <c r="N119" i="121"/>
  <c r="P119" i="121" s="1"/>
  <c r="P118" i="121"/>
  <c r="O118" i="121"/>
  <c r="N118" i="121"/>
  <c r="P117" i="121"/>
  <c r="O117" i="121"/>
  <c r="N117" i="121"/>
  <c r="P116" i="121"/>
  <c r="N116" i="121"/>
  <c r="O116" i="121" s="1"/>
  <c r="P115" i="121"/>
  <c r="N115" i="121"/>
  <c r="O115" i="121" s="1"/>
  <c r="N114" i="121"/>
  <c r="N113" i="121"/>
  <c r="P113" i="121" s="1"/>
  <c r="N112" i="121"/>
  <c r="P112" i="121" s="1"/>
  <c r="O111" i="121"/>
  <c r="N111" i="121"/>
  <c r="P111" i="121" s="1"/>
  <c r="P110" i="121"/>
  <c r="O110" i="121"/>
  <c r="N110" i="121"/>
  <c r="P109" i="121"/>
  <c r="O109" i="121"/>
  <c r="N109" i="121"/>
  <c r="N108" i="121"/>
  <c r="O108" i="121" s="1"/>
  <c r="P107" i="121"/>
  <c r="N107" i="121"/>
  <c r="O107" i="121" s="1"/>
  <c r="N106" i="121"/>
  <c r="O105" i="121"/>
  <c r="N105" i="121"/>
  <c r="P105" i="121" s="1"/>
  <c r="N104" i="121"/>
  <c r="P104" i="121" s="1"/>
  <c r="N103" i="121"/>
  <c r="P103" i="121" s="1"/>
  <c r="N102" i="121"/>
  <c r="P102" i="121" s="1"/>
  <c r="N101" i="121"/>
  <c r="O100" i="121"/>
  <c r="N100" i="121"/>
  <c r="P100" i="121" s="1"/>
  <c r="N99" i="121"/>
  <c r="P99" i="121" s="1"/>
  <c r="O98" i="121"/>
  <c r="N98" i="121"/>
  <c r="P98" i="121" s="1"/>
  <c r="P97" i="121"/>
  <c r="O97" i="121"/>
  <c r="N97" i="121"/>
  <c r="P96" i="121"/>
  <c r="O96" i="121"/>
  <c r="N96" i="121"/>
  <c r="B96" i="121"/>
  <c r="O95" i="121"/>
  <c r="N95" i="121"/>
  <c r="P95" i="121" s="1"/>
  <c r="N94" i="121"/>
  <c r="P94" i="121" s="1"/>
  <c r="H94" i="121"/>
  <c r="G94" i="121"/>
  <c r="F94" i="121"/>
  <c r="E94" i="121"/>
  <c r="D94" i="121"/>
  <c r="C94" i="121"/>
  <c r="B94" i="121"/>
  <c r="P93" i="121"/>
  <c r="N93" i="121"/>
  <c r="O93" i="121" s="1"/>
  <c r="O92" i="121"/>
  <c r="N92" i="121"/>
  <c r="P92" i="121" s="1"/>
  <c r="O91" i="121"/>
  <c r="N91" i="121"/>
  <c r="P91" i="121" s="1"/>
  <c r="H91" i="121"/>
  <c r="G91" i="121"/>
  <c r="F91" i="121"/>
  <c r="E91" i="121"/>
  <c r="D91" i="121"/>
  <c r="C91" i="121"/>
  <c r="B91" i="121"/>
  <c r="N90" i="121"/>
  <c r="P90" i="121" s="1"/>
  <c r="P89" i="121"/>
  <c r="O89" i="121"/>
  <c r="N89" i="121"/>
  <c r="H89" i="121"/>
  <c r="G89" i="121"/>
  <c r="F89" i="121"/>
  <c r="E89" i="121"/>
  <c r="D89" i="121"/>
  <c r="C89" i="121"/>
  <c r="B89" i="121"/>
  <c r="N88" i="121"/>
  <c r="P88" i="121" s="1"/>
  <c r="P87" i="121"/>
  <c r="N87" i="121"/>
  <c r="O87" i="121" s="1"/>
  <c r="P86" i="121"/>
  <c r="N86" i="121"/>
  <c r="O86" i="121" s="1"/>
  <c r="N85" i="121"/>
  <c r="N84" i="121"/>
  <c r="P83" i="121"/>
  <c r="N83" i="121"/>
  <c r="O83" i="121" s="1"/>
  <c r="P82" i="121"/>
  <c r="N82" i="121"/>
  <c r="O82" i="121" s="1"/>
  <c r="W81" i="121"/>
  <c r="X81" i="121" s="1"/>
  <c r="P81" i="121"/>
  <c r="O81" i="121"/>
  <c r="N81" i="121"/>
  <c r="W80" i="121"/>
  <c r="X80" i="121" s="1"/>
  <c r="P80" i="121"/>
  <c r="O80" i="121"/>
  <c r="N80" i="121"/>
  <c r="Y79" i="121"/>
  <c r="W79" i="121"/>
  <c r="X79" i="121" s="1"/>
  <c r="N79" i="121"/>
  <c r="P79" i="121" s="1"/>
  <c r="X78" i="121"/>
  <c r="W78" i="121"/>
  <c r="Y78" i="121" s="1"/>
  <c r="P78" i="121"/>
  <c r="N78" i="121"/>
  <c r="O78" i="121" s="1"/>
  <c r="W77" i="121"/>
  <c r="Y77" i="121" s="1"/>
  <c r="P77" i="121"/>
  <c r="O77" i="121"/>
  <c r="N77" i="121"/>
  <c r="Y76" i="121"/>
  <c r="X76" i="121"/>
  <c r="W76" i="121"/>
  <c r="N76" i="121"/>
  <c r="P76" i="121" s="1"/>
  <c r="H76" i="121"/>
  <c r="G76" i="121"/>
  <c r="F76" i="121"/>
  <c r="E76" i="121"/>
  <c r="D76" i="121"/>
  <c r="C76" i="121"/>
  <c r="B76" i="121"/>
  <c r="W75" i="121"/>
  <c r="Y75" i="121" s="1"/>
  <c r="N75" i="121"/>
  <c r="W74" i="121"/>
  <c r="Y74" i="121" s="1"/>
  <c r="P74" i="121"/>
  <c r="N74" i="121"/>
  <c r="O74" i="121" s="1"/>
  <c r="B74" i="121"/>
  <c r="Y73" i="121"/>
  <c r="W73" i="121"/>
  <c r="X73" i="121" s="1"/>
  <c r="P73" i="121"/>
  <c r="O73" i="121"/>
  <c r="N73" i="121"/>
  <c r="Y72" i="121"/>
  <c r="X72" i="121"/>
  <c r="W72" i="121"/>
  <c r="O72" i="121"/>
  <c r="N72" i="121"/>
  <c r="P72" i="121" s="1"/>
  <c r="X71" i="121"/>
  <c r="W71" i="121"/>
  <c r="Y71" i="121" s="1"/>
  <c r="P71" i="121"/>
  <c r="N71" i="121"/>
  <c r="O71" i="121" s="1"/>
  <c r="H71" i="121"/>
  <c r="G71" i="121"/>
  <c r="F71" i="121"/>
  <c r="E71" i="121"/>
  <c r="D71" i="121"/>
  <c r="C71" i="121"/>
  <c r="B71" i="121"/>
  <c r="W70" i="121"/>
  <c r="X70" i="121" s="1"/>
  <c r="O70" i="121"/>
  <c r="N70" i="121"/>
  <c r="P70" i="121" s="1"/>
  <c r="W69" i="121"/>
  <c r="P69" i="121"/>
  <c r="O69" i="121"/>
  <c r="N69" i="121"/>
  <c r="H69" i="121"/>
  <c r="G69" i="121"/>
  <c r="F69" i="121"/>
  <c r="E69" i="121"/>
  <c r="D69" i="121"/>
  <c r="C69" i="121"/>
  <c r="B69" i="121"/>
  <c r="Y68" i="121"/>
  <c r="X68" i="121"/>
  <c r="W68" i="121"/>
  <c r="N68" i="121"/>
  <c r="P68" i="121" s="1"/>
  <c r="W67" i="121"/>
  <c r="P67" i="121"/>
  <c r="O67" i="121"/>
  <c r="N67" i="121"/>
  <c r="W66" i="121"/>
  <c r="P66" i="121"/>
  <c r="O66" i="121"/>
  <c r="N66" i="121"/>
  <c r="W65" i="121"/>
  <c r="P65" i="121"/>
  <c r="O65" i="121"/>
  <c r="N65" i="121"/>
  <c r="W64" i="121"/>
  <c r="P64" i="121"/>
  <c r="O64" i="121"/>
  <c r="N64" i="121"/>
  <c r="W63" i="121"/>
  <c r="X63" i="121" s="1"/>
  <c r="O63" i="121"/>
  <c r="N63" i="121"/>
  <c r="P63" i="121" s="1"/>
  <c r="Y62" i="121"/>
  <c r="X62" i="121"/>
  <c r="W62" i="121"/>
  <c r="O62" i="121"/>
  <c r="N62" i="121"/>
  <c r="P62" i="121" s="1"/>
  <c r="W61" i="121"/>
  <c r="P61" i="121"/>
  <c r="N61" i="121"/>
  <c r="O61" i="121" s="1"/>
  <c r="W60" i="121"/>
  <c r="P60" i="121"/>
  <c r="N60" i="121"/>
  <c r="O60" i="121" s="1"/>
  <c r="W59" i="121"/>
  <c r="P59" i="121"/>
  <c r="N59" i="121"/>
  <c r="O59" i="121" s="1"/>
  <c r="W58" i="121"/>
  <c r="P58" i="121"/>
  <c r="N58" i="121"/>
  <c r="O58" i="121" s="1"/>
  <c r="W57" i="121"/>
  <c r="P57" i="121"/>
  <c r="N57" i="121"/>
  <c r="O57" i="121" s="1"/>
  <c r="W56" i="121"/>
  <c r="P56" i="121"/>
  <c r="N56" i="121"/>
  <c r="O56" i="121" s="1"/>
  <c r="C56" i="121"/>
  <c r="B56" i="121"/>
  <c r="W55" i="121"/>
  <c r="X55" i="121" s="1"/>
  <c r="P55" i="121"/>
  <c r="O55" i="121"/>
  <c r="N55" i="121"/>
  <c r="X54" i="121"/>
  <c r="W54" i="121"/>
  <c r="Y54" i="121" s="1"/>
  <c r="O54" i="121"/>
  <c r="N54" i="121"/>
  <c r="P54" i="121" s="1"/>
  <c r="C54" i="121"/>
  <c r="B54" i="121"/>
  <c r="Y53" i="121"/>
  <c r="X53" i="121"/>
  <c r="W53" i="121"/>
  <c r="N53" i="121"/>
  <c r="P53" i="121" s="1"/>
  <c r="Y52" i="121"/>
  <c r="W52" i="121"/>
  <c r="X52" i="121" s="1"/>
  <c r="P52" i="121"/>
  <c r="O52" i="121"/>
  <c r="N52" i="121"/>
  <c r="W51" i="121"/>
  <c r="P51" i="121"/>
  <c r="N51" i="121"/>
  <c r="O51" i="121" s="1"/>
  <c r="C51" i="121"/>
  <c r="B51" i="121"/>
  <c r="W50" i="121"/>
  <c r="X50" i="121" s="1"/>
  <c r="P50" i="121"/>
  <c r="O50" i="121"/>
  <c r="N50" i="121"/>
  <c r="X49" i="121"/>
  <c r="W49" i="121"/>
  <c r="Y49" i="121" s="1"/>
  <c r="N49" i="121"/>
  <c r="P49" i="121" s="1"/>
  <c r="C49" i="121"/>
  <c r="B49" i="121"/>
  <c r="Y48" i="121"/>
  <c r="X48" i="121"/>
  <c r="W48" i="121"/>
  <c r="P48" i="121"/>
  <c r="N48" i="121"/>
  <c r="O48" i="121" s="1"/>
  <c r="Y47" i="121"/>
  <c r="X47" i="121"/>
  <c r="W47" i="121"/>
  <c r="N47" i="121"/>
  <c r="P47" i="121" s="1"/>
  <c r="Y46" i="121"/>
  <c r="X46" i="121"/>
  <c r="W46" i="121"/>
  <c r="P46" i="121"/>
  <c r="N46" i="121"/>
  <c r="O46" i="121" s="1"/>
  <c r="Y45" i="121"/>
  <c r="X45" i="121"/>
  <c r="W45" i="121"/>
  <c r="P45" i="121"/>
  <c r="O45" i="121"/>
  <c r="N45" i="121"/>
  <c r="Y44" i="121"/>
  <c r="X44" i="121"/>
  <c r="W44" i="121"/>
  <c r="P44" i="121"/>
  <c r="N44" i="121"/>
  <c r="O44" i="121" s="1"/>
  <c r="W43" i="121"/>
  <c r="Y43" i="121" s="1"/>
  <c r="P43" i="121"/>
  <c r="N43" i="121"/>
  <c r="O43" i="121" s="1"/>
  <c r="Y42" i="121"/>
  <c r="W42" i="121"/>
  <c r="X42" i="121" s="1"/>
  <c r="P42" i="121"/>
  <c r="O42" i="121"/>
  <c r="N42" i="121"/>
  <c r="Y41" i="121"/>
  <c r="W41" i="121"/>
  <c r="X41" i="121" s="1"/>
  <c r="N41" i="121"/>
  <c r="P41" i="121" s="1"/>
  <c r="Y40" i="121"/>
  <c r="W40" i="121"/>
  <c r="X40" i="121" s="1"/>
  <c r="O40" i="121"/>
  <c r="N40" i="121"/>
  <c r="P40" i="121" s="1"/>
  <c r="Y39" i="121"/>
  <c r="W39" i="121"/>
  <c r="X39" i="121" s="1"/>
  <c r="O39" i="121"/>
  <c r="N39" i="121"/>
  <c r="P39" i="121" s="1"/>
  <c r="Y38" i="121"/>
  <c r="W38" i="121"/>
  <c r="X38" i="121" s="1"/>
  <c r="O38" i="121"/>
  <c r="N38" i="121"/>
  <c r="P38" i="121" s="1"/>
  <c r="X37" i="121"/>
  <c r="W37" i="121"/>
  <c r="Y37" i="121" s="1"/>
  <c r="P37" i="121"/>
  <c r="N37" i="121"/>
  <c r="O37" i="121" s="1"/>
  <c r="X36" i="121"/>
  <c r="W36" i="121"/>
  <c r="Y36" i="121" s="1"/>
  <c r="P36" i="121"/>
  <c r="N36" i="121"/>
  <c r="O36" i="121" s="1"/>
  <c r="X35" i="121"/>
  <c r="W35" i="121"/>
  <c r="Y35" i="121" s="1"/>
  <c r="P35" i="121"/>
  <c r="N35" i="121"/>
  <c r="O35" i="121" s="1"/>
  <c r="X34" i="121"/>
  <c r="W34" i="121"/>
  <c r="Y34" i="121" s="1"/>
  <c r="P34" i="121"/>
  <c r="N34" i="121"/>
  <c r="O34" i="121" s="1"/>
  <c r="C32" i="121"/>
  <c r="B32" i="121"/>
  <c r="C30" i="121"/>
  <c r="B30" i="121"/>
  <c r="C27" i="121"/>
  <c r="B27" i="121"/>
  <c r="C25" i="121"/>
  <c r="B25" i="121"/>
  <c r="B12" i="121"/>
  <c r="X3" i="121"/>
  <c r="B11" i="121"/>
  <c r="E96" i="15"/>
  <c r="F96" i="15"/>
  <c r="M96" i="15"/>
  <c r="N96" i="15"/>
  <c r="U96" i="15"/>
  <c r="V96" i="15"/>
  <c r="F95" i="15"/>
  <c r="G95" i="15"/>
  <c r="H95" i="15"/>
  <c r="K95" i="15"/>
  <c r="M95" i="15"/>
  <c r="N95" i="15"/>
  <c r="O95" i="15"/>
  <c r="P95" i="15"/>
  <c r="S95" i="15"/>
  <c r="U95" i="15"/>
  <c r="V95" i="15"/>
  <c r="W95" i="15"/>
  <c r="X95" i="15"/>
  <c r="C95" i="15"/>
  <c r="I95" i="15" s="1"/>
  <c r="C96" i="15"/>
  <c r="G96" i="15" s="1"/>
  <c r="Z95" i="15"/>
  <c r="AA95" i="15"/>
  <c r="C104" i="15"/>
  <c r="K21" i="111" s="1"/>
  <c r="C103" i="15"/>
  <c r="K22" i="111" s="1"/>
  <c r="G72" i="111" s="1"/>
  <c r="C82" i="15"/>
  <c r="C101" i="15" s="1"/>
  <c r="K19" i="111" s="1"/>
  <c r="D85" i="15"/>
  <c r="E85" i="15"/>
  <c r="F85" i="15"/>
  <c r="G85" i="15"/>
  <c r="H85" i="15"/>
  <c r="I85" i="15"/>
  <c r="J85" i="15"/>
  <c r="K85" i="15"/>
  <c r="L85" i="15"/>
  <c r="M85" i="15"/>
  <c r="N85" i="15"/>
  <c r="O85" i="15"/>
  <c r="P85" i="15"/>
  <c r="Q85" i="15"/>
  <c r="R85" i="15"/>
  <c r="S85" i="15"/>
  <c r="T85" i="15"/>
  <c r="U85" i="15"/>
  <c r="V85" i="15"/>
  <c r="W85" i="15"/>
  <c r="X85" i="15"/>
  <c r="Y85" i="15"/>
  <c r="Z85" i="15"/>
  <c r="AA85" i="15"/>
  <c r="E82" i="15"/>
  <c r="G82" i="15"/>
  <c r="H82" i="15"/>
  <c r="I82" i="15"/>
  <c r="J82" i="15"/>
  <c r="K82" i="15"/>
  <c r="M82" i="15"/>
  <c r="O82" i="15"/>
  <c r="P82" i="15"/>
  <c r="Q82" i="15"/>
  <c r="R82" i="15"/>
  <c r="S82" i="15"/>
  <c r="U82" i="15"/>
  <c r="W82" i="15"/>
  <c r="X82" i="15"/>
  <c r="Y82" i="15"/>
  <c r="Z82" i="15"/>
  <c r="AA82" i="15"/>
  <c r="I21" i="122" l="1"/>
  <c r="I22" i="122"/>
  <c r="I55" i="122"/>
  <c r="I40" i="122"/>
  <c r="I9" i="122"/>
  <c r="I73" i="122"/>
  <c r="I71" i="122"/>
  <c r="I72" i="122"/>
  <c r="I68" i="122"/>
  <c r="I42" i="122"/>
  <c r="I69" i="122"/>
  <c r="I70" i="122"/>
  <c r="I11" i="122"/>
  <c r="I27" i="122"/>
  <c r="I43" i="122"/>
  <c r="I59" i="122"/>
  <c r="I48" i="122"/>
  <c r="I8" i="122"/>
  <c r="I12" i="122"/>
  <c r="I28" i="122"/>
  <c r="I44" i="122"/>
  <c r="I60" i="122"/>
  <c r="I29" i="122"/>
  <c r="I45" i="122"/>
  <c r="I61" i="122"/>
  <c r="I30" i="122"/>
  <c r="I46" i="122"/>
  <c r="I62" i="122"/>
  <c r="I31" i="122"/>
  <c r="I47" i="122"/>
  <c r="I63" i="122"/>
  <c r="I32" i="122"/>
  <c r="I64" i="122"/>
  <c r="I39" i="122"/>
  <c r="I41" i="122"/>
  <c r="I13" i="122"/>
  <c r="I14" i="122"/>
  <c r="I15" i="122"/>
  <c r="I16" i="122"/>
  <c r="I17" i="122"/>
  <c r="I33" i="122"/>
  <c r="I49" i="122"/>
  <c r="I65" i="122"/>
  <c r="I18" i="122"/>
  <c r="I34" i="122"/>
  <c r="I66" i="122"/>
  <c r="I52" i="122"/>
  <c r="I37" i="122"/>
  <c r="I53" i="122"/>
  <c r="I38" i="122"/>
  <c r="I23" i="122"/>
  <c r="I4" i="122"/>
  <c r="I56" i="122"/>
  <c r="I25" i="122"/>
  <c r="I10" i="122"/>
  <c r="I58" i="122"/>
  <c r="I50" i="122"/>
  <c r="I19" i="122"/>
  <c r="I35" i="122"/>
  <c r="I51" i="122"/>
  <c r="I67" i="122"/>
  <c r="I20" i="122"/>
  <c r="I36" i="122"/>
  <c r="I5" i="122"/>
  <c r="I6" i="122"/>
  <c r="I54" i="122"/>
  <c r="I7" i="122"/>
  <c r="I24" i="122"/>
  <c r="I57" i="122"/>
  <c r="I26" i="122"/>
  <c r="K18" i="111"/>
  <c r="E102" i="121"/>
  <c r="B38" i="121"/>
  <c r="E84" i="121"/>
  <c r="C40" i="121"/>
  <c r="H93" i="111"/>
  <c r="H92" i="111" s="1"/>
  <c r="G73" i="111"/>
  <c r="G93" i="111"/>
  <c r="AJ8" i="121"/>
  <c r="S12" i="121"/>
  <c r="AJ6" i="121"/>
  <c r="AK8" i="121"/>
  <c r="S13" i="121"/>
  <c r="E68" i="121"/>
  <c r="AJ7" i="121"/>
  <c r="AJ3" i="121"/>
  <c r="AJ5" i="121"/>
  <c r="AK7" i="121"/>
  <c r="E88" i="121"/>
  <c r="C12" i="121"/>
  <c r="D12" i="121" s="1"/>
  <c r="F12" i="121"/>
  <c r="D11" i="121"/>
  <c r="F11" i="121"/>
  <c r="Y57" i="121"/>
  <c r="X57" i="121"/>
  <c r="Y69" i="121"/>
  <c r="X69" i="121"/>
  <c r="O41" i="121"/>
  <c r="O47" i="121"/>
  <c r="O53" i="121"/>
  <c r="Y55" i="121"/>
  <c r="Y60" i="121"/>
  <c r="X60" i="121"/>
  <c r="Y63" i="121"/>
  <c r="X43" i="121"/>
  <c r="Y50" i="121"/>
  <c r="Y64" i="121"/>
  <c r="X64" i="121"/>
  <c r="Y70" i="121"/>
  <c r="Y58" i="121"/>
  <c r="X58" i="121"/>
  <c r="Y65" i="121"/>
  <c r="X65" i="121"/>
  <c r="H96" i="121"/>
  <c r="E96" i="121"/>
  <c r="D96" i="121"/>
  <c r="C96" i="121"/>
  <c r="G96" i="121"/>
  <c r="F96" i="121"/>
  <c r="F22" i="121" a="1"/>
  <c r="F22" i="121" s="1"/>
  <c r="Y61" i="121"/>
  <c r="X61" i="121"/>
  <c r="Y66" i="121"/>
  <c r="X66" i="121"/>
  <c r="P75" i="121"/>
  <c r="O75" i="121"/>
  <c r="X77" i="121"/>
  <c r="O79" i="121"/>
  <c r="P84" i="121"/>
  <c r="O84" i="121"/>
  <c r="Y56" i="121"/>
  <c r="X56" i="121"/>
  <c r="Y67" i="121"/>
  <c r="X67" i="121"/>
  <c r="D77" i="121"/>
  <c r="G77" i="121"/>
  <c r="O49" i="121"/>
  <c r="Y51" i="121"/>
  <c r="X51" i="121"/>
  <c r="Y59" i="121"/>
  <c r="X59" i="121"/>
  <c r="X75" i="121"/>
  <c r="P122" i="121"/>
  <c r="O122" i="121"/>
  <c r="O68" i="121"/>
  <c r="X74" i="121"/>
  <c r="O76" i="121"/>
  <c r="Y80" i="121"/>
  <c r="P85" i="121"/>
  <c r="O85" i="121"/>
  <c r="P114" i="121"/>
  <c r="O114" i="121"/>
  <c r="Y81" i="121"/>
  <c r="O90" i="121"/>
  <c r="O94" i="121"/>
  <c r="P106" i="121"/>
  <c r="O106" i="121"/>
  <c r="P101" i="121"/>
  <c r="O101" i="121"/>
  <c r="P108" i="121"/>
  <c r="O88" i="121"/>
  <c r="O99" i="121"/>
  <c r="O102" i="121"/>
  <c r="O103" i="121"/>
  <c r="O104" i="121"/>
  <c r="O112" i="121"/>
  <c r="O120" i="121"/>
  <c r="O128" i="121"/>
  <c r="O113" i="121"/>
  <c r="O121" i="121"/>
  <c r="O129" i="121"/>
  <c r="E95" i="15"/>
  <c r="T96" i="15"/>
  <c r="L96" i="15"/>
  <c r="V82" i="15"/>
  <c r="N82" i="15"/>
  <c r="F82" i="15"/>
  <c r="Y95" i="15"/>
  <c r="T95" i="15"/>
  <c r="L95" i="15"/>
  <c r="AA96" i="15"/>
  <c r="S96" i="15"/>
  <c r="K96" i="15"/>
  <c r="Z96" i="15"/>
  <c r="R96" i="15"/>
  <c r="J96" i="15"/>
  <c r="T82" i="15"/>
  <c r="L82" i="15"/>
  <c r="D82" i="15"/>
  <c r="R95" i="15"/>
  <c r="J95" i="15"/>
  <c r="Y96" i="15"/>
  <c r="Q96" i="15"/>
  <c r="I96" i="15"/>
  <c r="D95" i="15"/>
  <c r="Q95" i="15"/>
  <c r="X96" i="15"/>
  <c r="P96" i="15"/>
  <c r="H96" i="15"/>
  <c r="W96" i="15"/>
  <c r="O96" i="15"/>
  <c r="G92" i="111" l="1"/>
  <c r="B95" i="121"/>
  <c r="G95" i="121"/>
  <c r="H75" i="121"/>
  <c r="F95" i="121"/>
  <c r="E95" i="121"/>
  <c r="F75" i="121"/>
  <c r="D95" i="121"/>
  <c r="D75" i="121"/>
  <c r="C75" i="121"/>
  <c r="B75" i="121"/>
  <c r="H95" i="121"/>
  <c r="B55" i="121"/>
  <c r="G75" i="121"/>
  <c r="C31" i="121"/>
  <c r="E75" i="121"/>
  <c r="B31" i="121"/>
  <c r="C95" i="121"/>
  <c r="C55" i="121"/>
  <c r="C90" i="121"/>
  <c r="H90" i="121"/>
  <c r="G90" i="121"/>
  <c r="F90" i="121"/>
  <c r="G70" i="121"/>
  <c r="F70" i="121"/>
  <c r="D90" i="121"/>
  <c r="D70" i="121"/>
  <c r="B90" i="121"/>
  <c r="C70" i="121"/>
  <c r="C26" i="121"/>
  <c r="H70" i="121"/>
  <c r="B26" i="121"/>
  <c r="B70" i="121"/>
  <c r="C50" i="121"/>
  <c r="B50" i="121"/>
  <c r="C55" i="15"/>
  <c r="E83" i="15"/>
  <c r="H27" i="118" l="1"/>
  <c r="H29" i="118"/>
  <c r="H32" i="118"/>
  <c r="H28" i="118"/>
  <c r="F31" i="118"/>
  <c r="F30" i="118"/>
  <c r="I32" i="118" l="1"/>
  <c r="I28" i="118"/>
  <c r="O17" i="15" l="1"/>
  <c r="O18" i="15"/>
  <c r="P18" i="15"/>
  <c r="P17" i="15"/>
  <c r="I18" i="15"/>
  <c r="J18" i="15"/>
  <c r="I17" i="15"/>
  <c r="J17" i="15"/>
  <c r="F18" i="15"/>
  <c r="G18" i="15"/>
  <c r="F17" i="15"/>
  <c r="G17" i="15"/>
  <c r="L18" i="15"/>
  <c r="M18" i="15"/>
  <c r="L17" i="15"/>
  <c r="M17" i="15"/>
  <c r="D46" i="15"/>
  <c r="D47" i="15"/>
  <c r="R40" i="15" l="1"/>
  <c r="S40" i="15"/>
  <c r="T40" i="15"/>
  <c r="U40" i="15"/>
  <c r="V40" i="15"/>
  <c r="W40" i="15"/>
  <c r="X40" i="15"/>
  <c r="R41" i="15"/>
  <c r="S41" i="15"/>
  <c r="T41" i="15"/>
  <c r="U41" i="15"/>
  <c r="V41" i="15"/>
  <c r="W41" i="15"/>
  <c r="X41" i="15"/>
  <c r="R42" i="15"/>
  <c r="S42" i="15"/>
  <c r="T42" i="15"/>
  <c r="R43" i="15"/>
  <c r="S43" i="15"/>
  <c r="T43" i="15"/>
  <c r="R44" i="15"/>
  <c r="S44" i="15"/>
  <c r="T44" i="15"/>
  <c r="X44" i="15"/>
  <c r="R45" i="15"/>
  <c r="S45" i="15"/>
  <c r="T45" i="15"/>
  <c r="X45" i="15"/>
  <c r="D40" i="15"/>
  <c r="D41" i="15"/>
  <c r="D44" i="15"/>
  <c r="D45" i="15"/>
  <c r="N15" i="119" l="1"/>
  <c r="K15" i="119"/>
  <c r="AK12" i="119"/>
  <c r="AJ12" i="119"/>
  <c r="AI12" i="119"/>
  <c r="K12" i="119"/>
  <c r="AK11" i="119"/>
  <c r="AJ11" i="119"/>
  <c r="AI11" i="119"/>
  <c r="C11" i="119"/>
  <c r="AK10" i="119"/>
  <c r="AJ10" i="119"/>
  <c r="AI10" i="119"/>
  <c r="AK9" i="119"/>
  <c r="AJ9" i="119"/>
  <c r="AI9" i="119"/>
  <c r="AK8" i="119"/>
  <c r="AI8" i="119"/>
  <c r="AI7" i="119"/>
  <c r="N7" i="119"/>
  <c r="AI6" i="119"/>
  <c r="AI5" i="119"/>
  <c r="AH5" i="119"/>
  <c r="AI4" i="119"/>
  <c r="AH4" i="119"/>
  <c r="AI3" i="119"/>
  <c r="AH3" i="119"/>
  <c r="AG3" i="119"/>
  <c r="AB3" i="119"/>
  <c r="W3" i="119"/>
  <c r="V3" i="119"/>
  <c r="X3" i="119" s="1"/>
  <c r="U3" i="119"/>
  <c r="T3" i="119"/>
  <c r="S3" i="119"/>
  <c r="R3" i="119"/>
  <c r="P3" i="119"/>
  <c r="O3" i="119"/>
  <c r="N3" i="119"/>
  <c r="J3" i="119"/>
  <c r="S14" i="119" s="1"/>
  <c r="AK2" i="119"/>
  <c r="AJ2" i="119"/>
  <c r="AH2" i="119"/>
  <c r="AG2" i="119"/>
  <c r="AF2" i="119"/>
  <c r="AE2" i="119"/>
  <c r="U2" i="119"/>
  <c r="T2" i="119"/>
  <c r="S2" i="119"/>
  <c r="B38" i="119" s="1"/>
  <c r="R2" i="119"/>
  <c r="Q2" i="119"/>
  <c r="N2" i="119"/>
  <c r="J2" i="119"/>
  <c r="AJ7" i="119" s="1"/>
  <c r="P129" i="119"/>
  <c r="N129" i="119"/>
  <c r="O129" i="119" s="1"/>
  <c r="N128" i="119"/>
  <c r="P128" i="119" s="1"/>
  <c r="N127" i="119"/>
  <c r="P127" i="119" s="1"/>
  <c r="N126" i="119"/>
  <c r="P126" i="119" s="1"/>
  <c r="P125" i="119"/>
  <c r="N125" i="119"/>
  <c r="O125" i="119" s="1"/>
  <c r="N124" i="119"/>
  <c r="P124" i="119" s="1"/>
  <c r="N123" i="119"/>
  <c r="P123" i="119" s="1"/>
  <c r="N122" i="119"/>
  <c r="P122" i="119" s="1"/>
  <c r="P121" i="119"/>
  <c r="N121" i="119"/>
  <c r="O121" i="119" s="1"/>
  <c r="N120" i="119"/>
  <c r="P120" i="119" s="1"/>
  <c r="N119" i="119"/>
  <c r="P119" i="119" s="1"/>
  <c r="N118" i="119"/>
  <c r="P117" i="119"/>
  <c r="N117" i="119"/>
  <c r="O117" i="119" s="1"/>
  <c r="N116" i="119"/>
  <c r="P116" i="119" s="1"/>
  <c r="N115" i="119"/>
  <c r="P115" i="119" s="1"/>
  <c r="N114" i="119"/>
  <c r="P114" i="119" s="1"/>
  <c r="P113" i="119"/>
  <c r="N113" i="119"/>
  <c r="O113" i="119" s="1"/>
  <c r="N112" i="119"/>
  <c r="P112" i="119" s="1"/>
  <c r="N111" i="119"/>
  <c r="P111" i="119" s="1"/>
  <c r="O110" i="119"/>
  <c r="N110" i="119"/>
  <c r="P110" i="119" s="1"/>
  <c r="P109" i="119"/>
  <c r="N109" i="119"/>
  <c r="O109" i="119" s="1"/>
  <c r="N108" i="119"/>
  <c r="P108" i="119" s="1"/>
  <c r="N107" i="119"/>
  <c r="P107" i="119" s="1"/>
  <c r="O106" i="119"/>
  <c r="N106" i="119"/>
  <c r="P106" i="119" s="1"/>
  <c r="P105" i="119"/>
  <c r="N105" i="119"/>
  <c r="O105" i="119" s="1"/>
  <c r="N104" i="119"/>
  <c r="P104" i="119" s="1"/>
  <c r="N103" i="119"/>
  <c r="P103" i="119" s="1"/>
  <c r="P102" i="119"/>
  <c r="N102" i="119"/>
  <c r="O102" i="119" s="1"/>
  <c r="N101" i="119"/>
  <c r="P101" i="119" s="1"/>
  <c r="N100" i="119"/>
  <c r="P100" i="119" s="1"/>
  <c r="N99" i="119"/>
  <c r="P98" i="119"/>
  <c r="O98" i="119"/>
  <c r="N98" i="119"/>
  <c r="N97" i="119"/>
  <c r="P97" i="119" s="1"/>
  <c r="N96" i="119"/>
  <c r="P96" i="119" s="1"/>
  <c r="B96" i="119"/>
  <c r="O95" i="119"/>
  <c r="N95" i="119"/>
  <c r="P95" i="119" s="1"/>
  <c r="N94" i="119"/>
  <c r="H94" i="119"/>
  <c r="G94" i="119"/>
  <c r="F94" i="119"/>
  <c r="E94" i="119"/>
  <c r="D94" i="119"/>
  <c r="C94" i="119"/>
  <c r="B94" i="119"/>
  <c r="N93" i="119"/>
  <c r="P93" i="119" s="1"/>
  <c r="P92" i="119"/>
  <c r="O92" i="119"/>
  <c r="N92" i="119"/>
  <c r="P91" i="119"/>
  <c r="O91" i="119"/>
  <c r="N91" i="119"/>
  <c r="H91" i="119"/>
  <c r="G91" i="119"/>
  <c r="F91" i="119"/>
  <c r="E91" i="119"/>
  <c r="D91" i="119"/>
  <c r="C91" i="119"/>
  <c r="B91" i="119"/>
  <c r="N90" i="119"/>
  <c r="P90" i="119" s="1"/>
  <c r="N89" i="119"/>
  <c r="P89" i="119" s="1"/>
  <c r="H89" i="119"/>
  <c r="G89" i="119"/>
  <c r="F89" i="119"/>
  <c r="E89" i="119"/>
  <c r="D89" i="119"/>
  <c r="C89" i="119"/>
  <c r="B89" i="119"/>
  <c r="O88" i="119"/>
  <c r="N88" i="119"/>
  <c r="P88" i="119" s="1"/>
  <c r="N87" i="119"/>
  <c r="P86" i="119"/>
  <c r="O86" i="119"/>
  <c r="N86" i="119"/>
  <c r="N85" i="119"/>
  <c r="P85" i="119" s="1"/>
  <c r="N84" i="119"/>
  <c r="P84" i="119" s="1"/>
  <c r="N83" i="119"/>
  <c r="P83" i="119" s="1"/>
  <c r="N82" i="119"/>
  <c r="P82" i="119" s="1"/>
  <c r="N81" i="119"/>
  <c r="P81" i="119" s="1"/>
  <c r="N80" i="119"/>
  <c r="N79" i="119"/>
  <c r="P79" i="119" s="1"/>
  <c r="N78" i="119"/>
  <c r="P78" i="119" s="1"/>
  <c r="P77" i="119"/>
  <c r="O77" i="119"/>
  <c r="N77" i="119"/>
  <c r="N76" i="119"/>
  <c r="P76" i="119" s="1"/>
  <c r="H76" i="119"/>
  <c r="G76" i="119"/>
  <c r="F76" i="119"/>
  <c r="E76" i="119"/>
  <c r="D76" i="119"/>
  <c r="C76" i="119"/>
  <c r="B76" i="119"/>
  <c r="O75" i="119"/>
  <c r="N75" i="119"/>
  <c r="P75" i="119" s="1"/>
  <c r="P74" i="119"/>
  <c r="O74" i="119"/>
  <c r="N74" i="119"/>
  <c r="B74" i="119"/>
  <c r="O73" i="119"/>
  <c r="N73" i="119"/>
  <c r="P73" i="119" s="1"/>
  <c r="P72" i="119"/>
  <c r="N72" i="119"/>
  <c r="O72" i="119" s="1"/>
  <c r="O71" i="119"/>
  <c r="N71" i="119"/>
  <c r="P71" i="119" s="1"/>
  <c r="H71" i="119"/>
  <c r="G71" i="119"/>
  <c r="F71" i="119"/>
  <c r="E71" i="119"/>
  <c r="D71" i="119"/>
  <c r="C71" i="119"/>
  <c r="B71" i="119"/>
  <c r="O70" i="119"/>
  <c r="N70" i="119"/>
  <c r="P70" i="119" s="1"/>
  <c r="N69" i="119"/>
  <c r="P69" i="119" s="1"/>
  <c r="H69" i="119"/>
  <c r="G69" i="119"/>
  <c r="F69" i="119"/>
  <c r="E69" i="119"/>
  <c r="D69" i="119"/>
  <c r="C69" i="119"/>
  <c r="B69" i="119"/>
  <c r="O68" i="119"/>
  <c r="N68" i="119"/>
  <c r="P68" i="119" s="1"/>
  <c r="O67" i="119"/>
  <c r="N67" i="119"/>
  <c r="P67" i="119" s="1"/>
  <c r="N66" i="119"/>
  <c r="O66" i="119" s="1"/>
  <c r="P65" i="119"/>
  <c r="O65" i="119"/>
  <c r="N65" i="119"/>
  <c r="O64" i="119"/>
  <c r="N64" i="119"/>
  <c r="P64" i="119" s="1"/>
  <c r="P63" i="119"/>
  <c r="O63" i="119"/>
  <c r="N63" i="119"/>
  <c r="N62" i="119"/>
  <c r="O62" i="119" s="1"/>
  <c r="O61" i="119"/>
  <c r="N61" i="119"/>
  <c r="P61" i="119" s="1"/>
  <c r="N60" i="119"/>
  <c r="O60" i="119" s="1"/>
  <c r="P59" i="119"/>
  <c r="O59" i="119"/>
  <c r="N59" i="119"/>
  <c r="O58" i="119"/>
  <c r="N58" i="119"/>
  <c r="P58" i="119" s="1"/>
  <c r="N57" i="119"/>
  <c r="P56" i="119"/>
  <c r="O56" i="119"/>
  <c r="N56" i="119"/>
  <c r="C56" i="119"/>
  <c r="B56" i="119"/>
  <c r="P55" i="119"/>
  <c r="N55" i="119"/>
  <c r="O55" i="119" s="1"/>
  <c r="O54" i="119"/>
  <c r="N54" i="119"/>
  <c r="P54" i="119" s="1"/>
  <c r="C54" i="119"/>
  <c r="B54" i="119"/>
  <c r="P53" i="119"/>
  <c r="O53" i="119"/>
  <c r="N53" i="119"/>
  <c r="P52" i="119"/>
  <c r="O52" i="119"/>
  <c r="N52" i="119"/>
  <c r="P51" i="119"/>
  <c r="O51" i="119"/>
  <c r="N51" i="119"/>
  <c r="C51" i="119"/>
  <c r="B51" i="119"/>
  <c r="P50" i="119"/>
  <c r="N50" i="119"/>
  <c r="O50" i="119" s="1"/>
  <c r="O49" i="119"/>
  <c r="N49" i="119"/>
  <c r="P49" i="119" s="1"/>
  <c r="C49" i="119"/>
  <c r="B49" i="119"/>
  <c r="O48" i="119"/>
  <c r="N48" i="119"/>
  <c r="P48" i="119" s="1"/>
  <c r="N47" i="119"/>
  <c r="P47" i="119" s="1"/>
  <c r="N46" i="119"/>
  <c r="O46" i="119" s="1"/>
  <c r="P45" i="119"/>
  <c r="N45" i="119"/>
  <c r="O45" i="119" s="1"/>
  <c r="O44" i="119"/>
  <c r="N44" i="119"/>
  <c r="P44" i="119" s="1"/>
  <c r="N43" i="119"/>
  <c r="P43" i="119" s="1"/>
  <c r="P42" i="119"/>
  <c r="N42" i="119"/>
  <c r="O42" i="119" s="1"/>
  <c r="P41" i="119"/>
  <c r="O41" i="119"/>
  <c r="N41" i="119"/>
  <c r="P40" i="119"/>
  <c r="O40" i="119"/>
  <c r="N40" i="119"/>
  <c r="O39" i="119"/>
  <c r="N39" i="119"/>
  <c r="P39" i="119" s="1"/>
  <c r="N38" i="119"/>
  <c r="P38" i="119" s="1"/>
  <c r="N37" i="119"/>
  <c r="P37" i="119" s="1"/>
  <c r="P36" i="119"/>
  <c r="N36" i="119"/>
  <c r="O36" i="119" s="1"/>
  <c r="P35" i="119"/>
  <c r="O35" i="119"/>
  <c r="N35" i="119"/>
  <c r="N34" i="119"/>
  <c r="P34" i="119" s="1"/>
  <c r="C32" i="119"/>
  <c r="B32" i="119"/>
  <c r="C30" i="119"/>
  <c r="B30" i="119"/>
  <c r="C27" i="119"/>
  <c r="B27" i="119"/>
  <c r="C25" i="119"/>
  <c r="B25" i="119"/>
  <c r="B12" i="119"/>
  <c r="F12" i="119" s="1"/>
  <c r="AK12" i="118"/>
  <c r="AJ12" i="118"/>
  <c r="AI12" i="118"/>
  <c r="AK11" i="118"/>
  <c r="AJ11" i="118"/>
  <c r="AI11" i="118"/>
  <c r="AK10" i="118"/>
  <c r="AJ10" i="118"/>
  <c r="AI10" i="118"/>
  <c r="AI9" i="118"/>
  <c r="AI8" i="118"/>
  <c r="AI7" i="118"/>
  <c r="AI6" i="118"/>
  <c r="AI5" i="118"/>
  <c r="AH5" i="118"/>
  <c r="AI4" i="118"/>
  <c r="AH4" i="118"/>
  <c r="AI3" i="118"/>
  <c r="AH3" i="118"/>
  <c r="AK2" i="118"/>
  <c r="AJ2" i="118"/>
  <c r="AH2" i="118"/>
  <c r="AK12" i="117"/>
  <c r="AJ12" i="117"/>
  <c r="AI12" i="117"/>
  <c r="AK11" i="117"/>
  <c r="AJ11" i="117"/>
  <c r="AI11" i="117"/>
  <c r="AK10" i="117"/>
  <c r="AJ10" i="117"/>
  <c r="AI10" i="117"/>
  <c r="AJ9" i="117"/>
  <c r="AI9" i="117"/>
  <c r="AI8" i="117"/>
  <c r="AI7" i="117"/>
  <c r="AI6" i="117"/>
  <c r="AI5" i="117"/>
  <c r="AH5" i="117"/>
  <c r="AI4" i="117"/>
  <c r="AH4" i="117"/>
  <c r="AI3" i="117"/>
  <c r="AH3" i="117"/>
  <c r="AK2" i="117"/>
  <c r="AJ2" i="117"/>
  <c r="AH2" i="117"/>
  <c r="AK12" i="116"/>
  <c r="AJ12" i="116"/>
  <c r="AI12" i="116"/>
  <c r="AK11" i="116"/>
  <c r="AJ11" i="116"/>
  <c r="AI11" i="116"/>
  <c r="AK10" i="116"/>
  <c r="AJ10" i="116"/>
  <c r="AI10" i="116"/>
  <c r="AI9" i="116"/>
  <c r="AI8" i="116"/>
  <c r="AI7" i="116"/>
  <c r="AI6" i="116"/>
  <c r="AI5" i="116"/>
  <c r="AH5" i="116"/>
  <c r="AI4" i="116"/>
  <c r="AH4" i="116"/>
  <c r="AI3" i="116"/>
  <c r="AH3" i="116"/>
  <c r="AK2" i="116"/>
  <c r="AJ2" i="116"/>
  <c r="AH2" i="116"/>
  <c r="AK12" i="115"/>
  <c r="AJ12" i="115"/>
  <c r="AI12" i="115"/>
  <c r="AK11" i="115"/>
  <c r="AJ11" i="115"/>
  <c r="AI11" i="115"/>
  <c r="AK10" i="115"/>
  <c r="AJ10" i="115"/>
  <c r="AI10" i="115"/>
  <c r="AI9" i="115"/>
  <c r="AI8" i="115"/>
  <c r="AI7" i="115"/>
  <c r="AI6" i="115"/>
  <c r="AI5" i="115"/>
  <c r="AH5" i="115"/>
  <c r="AI4" i="115"/>
  <c r="AH4" i="115"/>
  <c r="AI3" i="115"/>
  <c r="AH3" i="115"/>
  <c r="AK2" i="115"/>
  <c r="AJ2" i="115"/>
  <c r="AH2" i="115"/>
  <c r="AK12" i="114"/>
  <c r="AJ12" i="114"/>
  <c r="AI12" i="114"/>
  <c r="AK11" i="114"/>
  <c r="AJ11" i="114"/>
  <c r="AI11" i="114"/>
  <c r="AK10" i="114"/>
  <c r="AJ10" i="114"/>
  <c r="AI10" i="114"/>
  <c r="AK9" i="114"/>
  <c r="AI9" i="114"/>
  <c r="AI8" i="114"/>
  <c r="AI7" i="114"/>
  <c r="AI6" i="114"/>
  <c r="AI5" i="114"/>
  <c r="AH5" i="114"/>
  <c r="AK4" i="114"/>
  <c r="AI4" i="114"/>
  <c r="AH4" i="114"/>
  <c r="AI3" i="114"/>
  <c r="AH3" i="114"/>
  <c r="AK2" i="114"/>
  <c r="AJ2" i="114"/>
  <c r="AH2" i="114"/>
  <c r="AK12" i="112"/>
  <c r="AJ12" i="112"/>
  <c r="AI12" i="112"/>
  <c r="AK11" i="112"/>
  <c r="AJ11" i="112"/>
  <c r="AI11" i="112"/>
  <c r="AK10" i="112"/>
  <c r="AJ10" i="112"/>
  <c r="AI10" i="112"/>
  <c r="AI9" i="112"/>
  <c r="AI8" i="112"/>
  <c r="AI7" i="112"/>
  <c r="AI6" i="112"/>
  <c r="AI5" i="112"/>
  <c r="AH5" i="112"/>
  <c r="AI4" i="112"/>
  <c r="AH4" i="112"/>
  <c r="AI3" i="112"/>
  <c r="AH3" i="112"/>
  <c r="AK2" i="112"/>
  <c r="AJ2" i="112"/>
  <c r="AH2" i="112"/>
  <c r="X29" i="118"/>
  <c r="K25" i="118"/>
  <c r="N15" i="118"/>
  <c r="K15" i="118"/>
  <c r="K12" i="118"/>
  <c r="H11" i="118"/>
  <c r="C11" i="118"/>
  <c r="N7" i="118"/>
  <c r="AG3" i="118"/>
  <c r="AB3" i="118"/>
  <c r="AA3" i="118"/>
  <c r="Z3" i="118"/>
  <c r="Y3" i="118"/>
  <c r="W3" i="118"/>
  <c r="V3" i="118"/>
  <c r="X3" i="118" s="1"/>
  <c r="U3" i="118"/>
  <c r="T3" i="118"/>
  <c r="S3" i="118"/>
  <c r="R3" i="118"/>
  <c r="O3" i="118"/>
  <c r="N3" i="118"/>
  <c r="J3" i="118"/>
  <c r="S14" i="118" s="1"/>
  <c r="AG2" i="118"/>
  <c r="AF2" i="118"/>
  <c r="AE2" i="118"/>
  <c r="AA2" i="118"/>
  <c r="Z2" i="118"/>
  <c r="Y2" i="118"/>
  <c r="W2" i="118"/>
  <c r="V2" i="118"/>
  <c r="X2" i="118" s="1"/>
  <c r="U2" i="118"/>
  <c r="T2" i="118"/>
  <c r="S2" i="118"/>
  <c r="R2" i="118"/>
  <c r="Q2" i="118"/>
  <c r="N2" i="118"/>
  <c r="J2" i="118"/>
  <c r="S11" i="118" s="1"/>
  <c r="P129" i="118"/>
  <c r="N129" i="118"/>
  <c r="O129" i="118" s="1"/>
  <c r="N128" i="118"/>
  <c r="P128" i="118" s="1"/>
  <c r="N127" i="118"/>
  <c r="P127" i="118" s="1"/>
  <c r="N126" i="118"/>
  <c r="P126" i="118" s="1"/>
  <c r="P125" i="118"/>
  <c r="N125" i="118"/>
  <c r="O125" i="118" s="1"/>
  <c r="N124" i="118"/>
  <c r="P124" i="118" s="1"/>
  <c r="N123" i="118"/>
  <c r="P123" i="118" s="1"/>
  <c r="N122" i="118"/>
  <c r="P122" i="118" s="1"/>
  <c r="P121" i="118"/>
  <c r="N121" i="118"/>
  <c r="O121" i="118" s="1"/>
  <c r="N120" i="118"/>
  <c r="P120" i="118" s="1"/>
  <c r="N119" i="118"/>
  <c r="P119" i="118" s="1"/>
  <c r="N118" i="118"/>
  <c r="P117" i="118"/>
  <c r="N117" i="118"/>
  <c r="O117" i="118" s="1"/>
  <c r="N116" i="118"/>
  <c r="P116" i="118" s="1"/>
  <c r="N115" i="118"/>
  <c r="P115" i="118" s="1"/>
  <c r="O114" i="118"/>
  <c r="N114" i="118"/>
  <c r="P114" i="118" s="1"/>
  <c r="P113" i="118"/>
  <c r="N113" i="118"/>
  <c r="O113" i="118" s="1"/>
  <c r="N112" i="118"/>
  <c r="P112" i="118" s="1"/>
  <c r="N111" i="118"/>
  <c r="P111" i="118" s="1"/>
  <c r="O110" i="118"/>
  <c r="N110" i="118"/>
  <c r="P110" i="118" s="1"/>
  <c r="P109" i="118"/>
  <c r="N109" i="118"/>
  <c r="O109" i="118" s="1"/>
  <c r="N108" i="118"/>
  <c r="P108" i="118" s="1"/>
  <c r="N107" i="118"/>
  <c r="P107" i="118" s="1"/>
  <c r="O106" i="118"/>
  <c r="N106" i="118"/>
  <c r="P106" i="118" s="1"/>
  <c r="P105" i="118"/>
  <c r="N105" i="118"/>
  <c r="O105" i="118" s="1"/>
  <c r="N104" i="118"/>
  <c r="P104" i="118" s="1"/>
  <c r="N103" i="118"/>
  <c r="P103" i="118" s="1"/>
  <c r="P102" i="118"/>
  <c r="N102" i="118"/>
  <c r="O102" i="118" s="1"/>
  <c r="N101" i="118"/>
  <c r="P101" i="118" s="1"/>
  <c r="N100" i="118"/>
  <c r="P100" i="118" s="1"/>
  <c r="N99" i="118"/>
  <c r="P98" i="118"/>
  <c r="O98" i="118"/>
  <c r="N98" i="118"/>
  <c r="N97" i="118"/>
  <c r="P97" i="118" s="1"/>
  <c r="N96" i="118"/>
  <c r="P96" i="118" s="1"/>
  <c r="B96" i="118"/>
  <c r="N95" i="118"/>
  <c r="P95" i="118" s="1"/>
  <c r="N94" i="118"/>
  <c r="H94" i="118"/>
  <c r="G94" i="118"/>
  <c r="F94" i="118"/>
  <c r="E94" i="118"/>
  <c r="D94" i="118"/>
  <c r="C94" i="118"/>
  <c r="B94" i="118"/>
  <c r="O93" i="118"/>
  <c r="N93" i="118"/>
  <c r="P93" i="118" s="1"/>
  <c r="P92" i="118"/>
  <c r="O92" i="118"/>
  <c r="N92" i="118"/>
  <c r="P91" i="118"/>
  <c r="N91" i="118"/>
  <c r="O91" i="118" s="1"/>
  <c r="H91" i="118"/>
  <c r="G91" i="118"/>
  <c r="F91" i="118"/>
  <c r="E91" i="118"/>
  <c r="D91" i="118"/>
  <c r="C91" i="118"/>
  <c r="B91" i="118"/>
  <c r="P90" i="118"/>
  <c r="O90" i="118"/>
  <c r="N90" i="118"/>
  <c r="P89" i="118"/>
  <c r="O89" i="118"/>
  <c r="N89" i="118"/>
  <c r="H89" i="118"/>
  <c r="G89" i="118"/>
  <c r="F89" i="118"/>
  <c r="E89" i="118"/>
  <c r="D89" i="118"/>
  <c r="C89" i="118"/>
  <c r="B89" i="118"/>
  <c r="P88" i="118"/>
  <c r="O88" i="118"/>
  <c r="N88" i="118"/>
  <c r="N87" i="118"/>
  <c r="P87" i="118" s="1"/>
  <c r="P86" i="118"/>
  <c r="O86" i="118"/>
  <c r="N86" i="118"/>
  <c r="P85" i="118"/>
  <c r="O85" i="118"/>
  <c r="N85" i="118"/>
  <c r="N84" i="118"/>
  <c r="P84" i="118" s="1"/>
  <c r="N83" i="118"/>
  <c r="N82" i="118"/>
  <c r="P82" i="118" s="1"/>
  <c r="P81" i="118"/>
  <c r="O81" i="118"/>
  <c r="N81" i="118"/>
  <c r="N80" i="118"/>
  <c r="N79" i="118"/>
  <c r="N78" i="118"/>
  <c r="P78" i="118" s="1"/>
  <c r="P77" i="118"/>
  <c r="O77" i="118"/>
  <c r="N77" i="118"/>
  <c r="N76" i="118"/>
  <c r="P76" i="118" s="1"/>
  <c r="H76" i="118"/>
  <c r="G76" i="118"/>
  <c r="F76" i="118"/>
  <c r="E76" i="118"/>
  <c r="D76" i="118"/>
  <c r="C76" i="118"/>
  <c r="B76" i="118"/>
  <c r="P75" i="118"/>
  <c r="O75" i="118"/>
  <c r="N75" i="118"/>
  <c r="P74" i="118"/>
  <c r="O74" i="118"/>
  <c r="N74" i="118"/>
  <c r="B74" i="118"/>
  <c r="P73" i="118"/>
  <c r="O73" i="118"/>
  <c r="N73" i="118"/>
  <c r="N72" i="118"/>
  <c r="P71" i="118"/>
  <c r="N71" i="118"/>
  <c r="O71" i="118" s="1"/>
  <c r="H71" i="118"/>
  <c r="G71" i="118"/>
  <c r="F71" i="118"/>
  <c r="E71" i="118"/>
  <c r="D71" i="118"/>
  <c r="C71" i="118"/>
  <c r="B71" i="118"/>
  <c r="O70" i="118"/>
  <c r="N70" i="118"/>
  <c r="P70" i="118" s="1"/>
  <c r="P69" i="118"/>
  <c r="N69" i="118"/>
  <c r="O69" i="118" s="1"/>
  <c r="H69" i="118"/>
  <c r="G69" i="118"/>
  <c r="F69" i="118"/>
  <c r="E69" i="118"/>
  <c r="D69" i="118"/>
  <c r="C69" i="118"/>
  <c r="B69" i="118"/>
  <c r="N68" i="118"/>
  <c r="P68" i="118" s="1"/>
  <c r="N67" i="118"/>
  <c r="P67" i="118" s="1"/>
  <c r="P66" i="118"/>
  <c r="O66" i="118"/>
  <c r="N66" i="118"/>
  <c r="P65" i="118"/>
  <c r="N65" i="118"/>
  <c r="O65" i="118" s="1"/>
  <c r="O64" i="118"/>
  <c r="N64" i="118"/>
  <c r="P64" i="118" s="1"/>
  <c r="P63" i="118"/>
  <c r="N63" i="118"/>
  <c r="O63" i="118" s="1"/>
  <c r="P62" i="118"/>
  <c r="O62" i="118"/>
  <c r="N62" i="118"/>
  <c r="N61" i="118"/>
  <c r="P61" i="118" s="1"/>
  <c r="P60" i="118"/>
  <c r="O60" i="118"/>
  <c r="N60" i="118"/>
  <c r="P59" i="118"/>
  <c r="N59" i="118"/>
  <c r="O59" i="118" s="1"/>
  <c r="O58" i="118"/>
  <c r="N58" i="118"/>
  <c r="P58" i="118" s="1"/>
  <c r="N57" i="118"/>
  <c r="O56" i="118"/>
  <c r="N56" i="118"/>
  <c r="P56" i="118" s="1"/>
  <c r="C56" i="118"/>
  <c r="B56" i="118"/>
  <c r="N55" i="118"/>
  <c r="O54" i="118"/>
  <c r="N54" i="118"/>
  <c r="P54" i="118" s="1"/>
  <c r="C54" i="118"/>
  <c r="B54" i="118"/>
  <c r="P53" i="118"/>
  <c r="N53" i="118"/>
  <c r="O53" i="118" s="1"/>
  <c r="P52" i="118"/>
  <c r="N52" i="118"/>
  <c r="O52" i="118" s="1"/>
  <c r="P51" i="118"/>
  <c r="N51" i="118"/>
  <c r="O51" i="118" s="1"/>
  <c r="C51" i="118"/>
  <c r="B51" i="118"/>
  <c r="P50" i="118"/>
  <c r="O50" i="118"/>
  <c r="N50" i="118"/>
  <c r="N49" i="118"/>
  <c r="O49" i="118" s="1"/>
  <c r="C49" i="118"/>
  <c r="B49" i="118"/>
  <c r="P48" i="118"/>
  <c r="O48" i="118"/>
  <c r="N48" i="118"/>
  <c r="P47" i="118"/>
  <c r="N47" i="118"/>
  <c r="O47" i="118" s="1"/>
  <c r="P46" i="118"/>
  <c r="O46" i="118"/>
  <c r="N46" i="118"/>
  <c r="N45" i="118"/>
  <c r="O45" i="118" s="1"/>
  <c r="N44" i="118"/>
  <c r="P44" i="118" s="1"/>
  <c r="N43" i="118"/>
  <c r="P43" i="118" s="1"/>
  <c r="N42" i="118"/>
  <c r="O42" i="118" s="1"/>
  <c r="N41" i="118"/>
  <c r="P41" i="118" s="1"/>
  <c r="P40" i="118"/>
  <c r="O40" i="118"/>
  <c r="N40" i="118"/>
  <c r="N39" i="118"/>
  <c r="P39" i="118" s="1"/>
  <c r="P38" i="118"/>
  <c r="O38" i="118"/>
  <c r="N38" i="118"/>
  <c r="N37" i="118"/>
  <c r="P37" i="118" s="1"/>
  <c r="P36" i="118"/>
  <c r="N36" i="118"/>
  <c r="O36" i="118" s="1"/>
  <c r="P35" i="118"/>
  <c r="O35" i="118"/>
  <c r="N35" i="118"/>
  <c r="N34" i="118"/>
  <c r="P34" i="118" s="1"/>
  <c r="C32" i="118"/>
  <c r="B32" i="118"/>
  <c r="C30" i="118"/>
  <c r="B30" i="118"/>
  <c r="C27" i="118"/>
  <c r="B27" i="118"/>
  <c r="C25" i="118"/>
  <c r="B25" i="118"/>
  <c r="B12" i="118"/>
  <c r="F12" i="118" s="1"/>
  <c r="C31" i="118" s="1"/>
  <c r="B11" i="118"/>
  <c r="X29" i="117"/>
  <c r="N15" i="117"/>
  <c r="K15" i="117"/>
  <c r="K12" i="117"/>
  <c r="H11" i="117"/>
  <c r="C11" i="117"/>
  <c r="N7" i="117"/>
  <c r="AG3" i="117"/>
  <c r="AB3" i="117"/>
  <c r="AA3" i="117"/>
  <c r="Z3" i="117"/>
  <c r="Y3" i="117"/>
  <c r="W3" i="117"/>
  <c r="V3" i="117"/>
  <c r="U3" i="117"/>
  <c r="T3" i="117"/>
  <c r="S3" i="117"/>
  <c r="R3" i="117"/>
  <c r="O3" i="117"/>
  <c r="N3" i="117"/>
  <c r="J3" i="117"/>
  <c r="S14" i="117" s="1"/>
  <c r="AG2" i="117"/>
  <c r="AF2" i="117"/>
  <c r="AE2" i="117"/>
  <c r="AA2" i="117"/>
  <c r="Z2" i="117"/>
  <c r="Y2" i="117"/>
  <c r="W2" i="117"/>
  <c r="V2" i="117"/>
  <c r="X2" i="117" s="1"/>
  <c r="U2" i="117"/>
  <c r="T2" i="117"/>
  <c r="S2" i="117"/>
  <c r="R2" i="117"/>
  <c r="Q2" i="117"/>
  <c r="N2" i="117"/>
  <c r="J2" i="117"/>
  <c r="S11" i="117" s="1"/>
  <c r="P129" i="117"/>
  <c r="N129" i="117"/>
  <c r="O129" i="117" s="1"/>
  <c r="N128" i="117"/>
  <c r="P128" i="117" s="1"/>
  <c r="N127" i="117"/>
  <c r="P126" i="117"/>
  <c r="O126" i="117"/>
  <c r="N126" i="117"/>
  <c r="P125" i="117"/>
  <c r="N125" i="117"/>
  <c r="O125" i="117" s="1"/>
  <c r="N124" i="117"/>
  <c r="P124" i="117" s="1"/>
  <c r="N123" i="117"/>
  <c r="P122" i="117"/>
  <c r="O122" i="117"/>
  <c r="N122" i="117"/>
  <c r="P121" i="117"/>
  <c r="N121" i="117"/>
  <c r="O121" i="117" s="1"/>
  <c r="N120" i="117"/>
  <c r="P120" i="117" s="1"/>
  <c r="N119" i="117"/>
  <c r="P118" i="117"/>
  <c r="O118" i="117"/>
  <c r="N118" i="117"/>
  <c r="P117" i="117"/>
  <c r="N117" i="117"/>
  <c r="O117" i="117" s="1"/>
  <c r="N116" i="117"/>
  <c r="P116" i="117" s="1"/>
  <c r="N115" i="117"/>
  <c r="P114" i="117"/>
  <c r="O114" i="117"/>
  <c r="N114" i="117"/>
  <c r="P113" i="117"/>
  <c r="N113" i="117"/>
  <c r="O113" i="117" s="1"/>
  <c r="N112" i="117"/>
  <c r="P112" i="117" s="1"/>
  <c r="N111" i="117"/>
  <c r="P110" i="117"/>
  <c r="O110" i="117"/>
  <c r="N110" i="117"/>
  <c r="P109" i="117"/>
  <c r="N109" i="117"/>
  <c r="O109" i="117" s="1"/>
  <c r="P108" i="117"/>
  <c r="N108" i="117"/>
  <c r="O108" i="117" s="1"/>
  <c r="N107" i="117"/>
  <c r="P106" i="117"/>
  <c r="O106" i="117"/>
  <c r="N106" i="117"/>
  <c r="P105" i="117"/>
  <c r="N105" i="117"/>
  <c r="O105" i="117" s="1"/>
  <c r="P104" i="117"/>
  <c r="N104" i="117"/>
  <c r="O104" i="117" s="1"/>
  <c r="P103" i="117"/>
  <c r="O103" i="117"/>
  <c r="N103" i="117"/>
  <c r="P102" i="117"/>
  <c r="N102" i="117"/>
  <c r="O102" i="117" s="1"/>
  <c r="P101" i="117"/>
  <c r="O101" i="117"/>
  <c r="N101" i="117"/>
  <c r="N100" i="117"/>
  <c r="P100" i="117" s="1"/>
  <c r="N99" i="117"/>
  <c r="P98" i="117"/>
  <c r="O98" i="117"/>
  <c r="N98" i="117"/>
  <c r="P97" i="117"/>
  <c r="O97" i="117"/>
  <c r="N97" i="117"/>
  <c r="N96" i="117"/>
  <c r="P96" i="117" s="1"/>
  <c r="B96" i="117"/>
  <c r="N95" i="117"/>
  <c r="N94" i="117"/>
  <c r="P94" i="117" s="1"/>
  <c r="H94" i="117"/>
  <c r="G94" i="117"/>
  <c r="F94" i="117"/>
  <c r="E94" i="117"/>
  <c r="D94" i="117"/>
  <c r="C94" i="117"/>
  <c r="B94" i="117"/>
  <c r="P93" i="117"/>
  <c r="O93" i="117"/>
  <c r="N93" i="117"/>
  <c r="P92" i="117"/>
  <c r="O92" i="117"/>
  <c r="N92" i="117"/>
  <c r="P91" i="117"/>
  <c r="N91" i="117"/>
  <c r="O91" i="117" s="1"/>
  <c r="H91" i="117"/>
  <c r="G91" i="117"/>
  <c r="F91" i="117"/>
  <c r="E91" i="117"/>
  <c r="D91" i="117"/>
  <c r="C91" i="117"/>
  <c r="B91" i="117"/>
  <c r="P90" i="117"/>
  <c r="O90" i="117"/>
  <c r="N90" i="117"/>
  <c r="P89" i="117"/>
  <c r="O89" i="117"/>
  <c r="N89" i="117"/>
  <c r="H89" i="117"/>
  <c r="G89" i="117"/>
  <c r="F89" i="117"/>
  <c r="E89" i="117"/>
  <c r="D89" i="117"/>
  <c r="C89" i="117"/>
  <c r="B89" i="117"/>
  <c r="P88" i="117"/>
  <c r="N88" i="117"/>
  <c r="O88" i="117" s="1"/>
  <c r="N87" i="117"/>
  <c r="P87" i="117" s="1"/>
  <c r="P86" i="117"/>
  <c r="O86" i="117"/>
  <c r="N86" i="117"/>
  <c r="P85" i="117"/>
  <c r="O85" i="117"/>
  <c r="N85" i="117"/>
  <c r="N84" i="117"/>
  <c r="P84" i="117" s="1"/>
  <c r="N83" i="117"/>
  <c r="N82" i="117"/>
  <c r="P82" i="117" s="1"/>
  <c r="N81" i="117"/>
  <c r="P81" i="117" s="1"/>
  <c r="N80" i="117"/>
  <c r="P80" i="117" s="1"/>
  <c r="N79" i="117"/>
  <c r="N78" i="117"/>
  <c r="P78" i="117" s="1"/>
  <c r="P77" i="117"/>
  <c r="N77" i="117"/>
  <c r="O77" i="117" s="1"/>
  <c r="O76" i="117"/>
  <c r="N76" i="117"/>
  <c r="P76" i="117" s="1"/>
  <c r="H76" i="117"/>
  <c r="G76" i="117"/>
  <c r="F76" i="117"/>
  <c r="E76" i="117"/>
  <c r="D76" i="117"/>
  <c r="C76" i="117"/>
  <c r="B76" i="117"/>
  <c r="P75" i="117"/>
  <c r="O75" i="117"/>
  <c r="N75" i="117"/>
  <c r="P74" i="117"/>
  <c r="O74" i="117"/>
  <c r="N74" i="117"/>
  <c r="B74" i="117"/>
  <c r="P73" i="117"/>
  <c r="N73" i="117"/>
  <c r="O73" i="117" s="1"/>
  <c r="O72" i="117"/>
  <c r="N72" i="117"/>
  <c r="P72" i="117" s="1"/>
  <c r="P71" i="117"/>
  <c r="N71" i="117"/>
  <c r="O71" i="117" s="1"/>
  <c r="H71" i="117"/>
  <c r="G71" i="117"/>
  <c r="F71" i="117"/>
  <c r="E71" i="117"/>
  <c r="D71" i="117"/>
  <c r="C71" i="117"/>
  <c r="B71" i="117"/>
  <c r="N70" i="117"/>
  <c r="O69" i="117"/>
  <c r="N69" i="117"/>
  <c r="P69" i="117" s="1"/>
  <c r="H69" i="117"/>
  <c r="G69" i="117"/>
  <c r="F69" i="117"/>
  <c r="E69" i="117"/>
  <c r="D69" i="117"/>
  <c r="C69" i="117"/>
  <c r="B69" i="117"/>
  <c r="O68" i="117"/>
  <c r="N68" i="117"/>
  <c r="P68" i="117" s="1"/>
  <c r="O67" i="117"/>
  <c r="N67" i="117"/>
  <c r="P67" i="117" s="1"/>
  <c r="P66" i="117"/>
  <c r="N66" i="117"/>
  <c r="O66" i="117" s="1"/>
  <c r="P65" i="117"/>
  <c r="O65" i="117"/>
  <c r="N65" i="117"/>
  <c r="N64" i="117"/>
  <c r="P63" i="117"/>
  <c r="O63" i="117"/>
  <c r="N63" i="117"/>
  <c r="P62" i="117"/>
  <c r="N62" i="117"/>
  <c r="O62" i="117" s="1"/>
  <c r="O61" i="117"/>
  <c r="N61" i="117"/>
  <c r="P61" i="117" s="1"/>
  <c r="N60" i="117"/>
  <c r="O60" i="117" s="1"/>
  <c r="P59" i="117"/>
  <c r="O59" i="117"/>
  <c r="N59" i="117"/>
  <c r="N58" i="117"/>
  <c r="P58" i="117" s="1"/>
  <c r="P57" i="117"/>
  <c r="N57" i="117"/>
  <c r="O57" i="117" s="1"/>
  <c r="P56" i="117"/>
  <c r="O56" i="117"/>
  <c r="N56" i="117"/>
  <c r="C56" i="117"/>
  <c r="B56" i="117"/>
  <c r="P55" i="117"/>
  <c r="N55" i="117"/>
  <c r="O55" i="117" s="1"/>
  <c r="N54" i="117"/>
  <c r="P54" i="117" s="1"/>
  <c r="C54" i="117"/>
  <c r="B54" i="117"/>
  <c r="P53" i="117"/>
  <c r="O53" i="117"/>
  <c r="N53" i="117"/>
  <c r="P52" i="117"/>
  <c r="O52" i="117"/>
  <c r="N52" i="117"/>
  <c r="P51" i="117"/>
  <c r="O51" i="117"/>
  <c r="N51" i="117"/>
  <c r="C51" i="117"/>
  <c r="B51" i="117"/>
  <c r="N50" i="117"/>
  <c r="O50" i="117" s="1"/>
  <c r="P49" i="117"/>
  <c r="O49" i="117"/>
  <c r="N49" i="117"/>
  <c r="C49" i="117"/>
  <c r="B49" i="117"/>
  <c r="N48" i="117"/>
  <c r="O48" i="117" s="1"/>
  <c r="P47" i="117"/>
  <c r="O47" i="117"/>
  <c r="N47" i="117"/>
  <c r="P46" i="117"/>
  <c r="N46" i="117"/>
  <c r="O46" i="117" s="1"/>
  <c r="P45" i="117"/>
  <c r="O45" i="117"/>
  <c r="N45" i="117"/>
  <c r="O44" i="117"/>
  <c r="N44" i="117"/>
  <c r="P44" i="117" s="1"/>
  <c r="P43" i="117"/>
  <c r="O43" i="117"/>
  <c r="N43" i="117"/>
  <c r="P42" i="117"/>
  <c r="N42" i="117"/>
  <c r="O42" i="117" s="1"/>
  <c r="P41" i="117"/>
  <c r="O41" i="117"/>
  <c r="N41" i="117"/>
  <c r="N40" i="117"/>
  <c r="P40" i="117" s="1"/>
  <c r="P39" i="117"/>
  <c r="N39" i="117"/>
  <c r="O39" i="117" s="1"/>
  <c r="O38" i="117"/>
  <c r="N38" i="117"/>
  <c r="P38" i="117" s="1"/>
  <c r="O37" i="117"/>
  <c r="N37" i="117"/>
  <c r="P37" i="117" s="1"/>
  <c r="N36" i="117"/>
  <c r="P36" i="117" s="1"/>
  <c r="P35" i="117"/>
  <c r="O35" i="117"/>
  <c r="N35" i="117"/>
  <c r="N34" i="117"/>
  <c r="O34" i="117" s="1"/>
  <c r="C32" i="117"/>
  <c r="B32" i="117"/>
  <c r="C30" i="117"/>
  <c r="B30" i="117"/>
  <c r="C27" i="117"/>
  <c r="B27" i="117"/>
  <c r="C25" i="117"/>
  <c r="B25" i="117"/>
  <c r="B12" i="117"/>
  <c r="F12" i="117" s="1"/>
  <c r="X3" i="117"/>
  <c r="B11" i="117"/>
  <c r="X29" i="116"/>
  <c r="N15" i="116"/>
  <c r="K15" i="116"/>
  <c r="K12" i="116"/>
  <c r="H11" i="116"/>
  <c r="C11" i="116"/>
  <c r="N7" i="116"/>
  <c r="AG3" i="116"/>
  <c r="AB3" i="116"/>
  <c r="AA3" i="116"/>
  <c r="Z3" i="116"/>
  <c r="Y3" i="116"/>
  <c r="W3" i="116"/>
  <c r="V3" i="116"/>
  <c r="X3" i="116" s="1"/>
  <c r="U3" i="116"/>
  <c r="T3" i="116"/>
  <c r="S3" i="116"/>
  <c r="R3" i="116"/>
  <c r="O3" i="116"/>
  <c r="N3" i="116"/>
  <c r="J3" i="116"/>
  <c r="S14" i="116" s="1"/>
  <c r="AG2" i="116"/>
  <c r="AF2" i="116"/>
  <c r="AE2" i="116"/>
  <c r="AA2" i="116"/>
  <c r="Z2" i="116"/>
  <c r="Y2" i="116"/>
  <c r="W2" i="116"/>
  <c r="V2" i="116"/>
  <c r="X2" i="116" s="1"/>
  <c r="U2" i="116"/>
  <c r="T2" i="116"/>
  <c r="S2" i="116"/>
  <c r="R2" i="116"/>
  <c r="Q2" i="116"/>
  <c r="N2" i="116"/>
  <c r="J2" i="116"/>
  <c r="AJ6" i="116" s="1"/>
  <c r="N129" i="116"/>
  <c r="O129" i="116" s="1"/>
  <c r="P128" i="116"/>
  <c r="N128" i="116"/>
  <c r="O128" i="116" s="1"/>
  <c r="N127" i="116"/>
  <c r="N126" i="116"/>
  <c r="P126" i="116" s="1"/>
  <c r="P125" i="116"/>
  <c r="N125" i="116"/>
  <c r="O125" i="116" s="1"/>
  <c r="P124" i="116"/>
  <c r="N124" i="116"/>
  <c r="O124" i="116" s="1"/>
  <c r="N123" i="116"/>
  <c r="P122" i="116"/>
  <c r="O122" i="116"/>
  <c r="N122" i="116"/>
  <c r="N121" i="116"/>
  <c r="P120" i="116"/>
  <c r="N120" i="116"/>
  <c r="O120" i="116" s="1"/>
  <c r="N119" i="116"/>
  <c r="N118" i="116"/>
  <c r="N117" i="116"/>
  <c r="O117" i="116" s="1"/>
  <c r="P116" i="116"/>
  <c r="N116" i="116"/>
  <c r="O116" i="116" s="1"/>
  <c r="N115" i="116"/>
  <c r="P114" i="116"/>
  <c r="N114" i="116"/>
  <c r="O114" i="116" s="1"/>
  <c r="P113" i="116"/>
  <c r="N113" i="116"/>
  <c r="O113" i="116" s="1"/>
  <c r="P112" i="116"/>
  <c r="N112" i="116"/>
  <c r="O112" i="116" s="1"/>
  <c r="N111" i="116"/>
  <c r="P110" i="116"/>
  <c r="O110" i="116"/>
  <c r="N110" i="116"/>
  <c r="N109" i="116"/>
  <c r="O109" i="116" s="1"/>
  <c r="P108" i="116"/>
  <c r="N108" i="116"/>
  <c r="O108" i="116" s="1"/>
  <c r="N107" i="116"/>
  <c r="N106" i="116"/>
  <c r="P106" i="116" s="1"/>
  <c r="N105" i="116"/>
  <c r="O105" i="116" s="1"/>
  <c r="P104" i="116"/>
  <c r="N104" i="116"/>
  <c r="O104" i="116" s="1"/>
  <c r="P103" i="116"/>
  <c r="O103" i="116"/>
  <c r="N103" i="116"/>
  <c r="P102" i="116"/>
  <c r="N102" i="116"/>
  <c r="O102" i="116" s="1"/>
  <c r="P101" i="116"/>
  <c r="O101" i="116"/>
  <c r="N101" i="116"/>
  <c r="O100" i="116"/>
  <c r="N100" i="116"/>
  <c r="P100" i="116" s="1"/>
  <c r="O99" i="116"/>
  <c r="N99" i="116"/>
  <c r="P99" i="116" s="1"/>
  <c r="P98" i="116"/>
  <c r="O98" i="116"/>
  <c r="N98" i="116"/>
  <c r="P97" i="116"/>
  <c r="O97" i="116"/>
  <c r="N97" i="116"/>
  <c r="O96" i="116"/>
  <c r="N96" i="116"/>
  <c r="P96" i="116" s="1"/>
  <c r="B96" i="116"/>
  <c r="N95" i="116"/>
  <c r="N94" i="116"/>
  <c r="P94" i="116" s="1"/>
  <c r="H94" i="116"/>
  <c r="G94" i="116"/>
  <c r="F94" i="116"/>
  <c r="E94" i="116"/>
  <c r="D94" i="116"/>
  <c r="C94" i="116"/>
  <c r="B94" i="116"/>
  <c r="P93" i="116"/>
  <c r="N93" i="116"/>
  <c r="O93" i="116" s="1"/>
  <c r="P92" i="116"/>
  <c r="O92" i="116"/>
  <c r="N92" i="116"/>
  <c r="P91" i="116"/>
  <c r="N91" i="116"/>
  <c r="O91" i="116" s="1"/>
  <c r="H91" i="116"/>
  <c r="G91" i="116"/>
  <c r="F91" i="116"/>
  <c r="E91" i="116"/>
  <c r="D91" i="116"/>
  <c r="C91" i="116"/>
  <c r="B91" i="116"/>
  <c r="P90" i="116"/>
  <c r="O90" i="116"/>
  <c r="N90" i="116"/>
  <c r="P89" i="116"/>
  <c r="O89" i="116"/>
  <c r="N89" i="116"/>
  <c r="H89" i="116"/>
  <c r="G89" i="116"/>
  <c r="F89" i="116"/>
  <c r="E89" i="116"/>
  <c r="D89" i="116"/>
  <c r="C89" i="116"/>
  <c r="B89" i="116"/>
  <c r="P88" i="116"/>
  <c r="N88" i="116"/>
  <c r="O88" i="116" s="1"/>
  <c r="N87" i="116"/>
  <c r="P87" i="116" s="1"/>
  <c r="P86" i="116"/>
  <c r="O86" i="116"/>
  <c r="N86" i="116"/>
  <c r="P85" i="116"/>
  <c r="O85" i="116"/>
  <c r="N85" i="116"/>
  <c r="O84" i="116"/>
  <c r="N84" i="116"/>
  <c r="P84" i="116" s="1"/>
  <c r="P83" i="116"/>
  <c r="N83" i="116"/>
  <c r="O83" i="116" s="1"/>
  <c r="O82" i="116"/>
  <c r="N82" i="116"/>
  <c r="P82" i="116" s="1"/>
  <c r="O81" i="116"/>
  <c r="N81" i="116"/>
  <c r="P81" i="116" s="1"/>
  <c r="N80" i="116"/>
  <c r="P80" i="116" s="1"/>
  <c r="N79" i="116"/>
  <c r="O78" i="116"/>
  <c r="N78" i="116"/>
  <c r="P78" i="116" s="1"/>
  <c r="N77" i="116"/>
  <c r="N76" i="116"/>
  <c r="P76" i="116" s="1"/>
  <c r="H76" i="116"/>
  <c r="G76" i="116"/>
  <c r="F76" i="116"/>
  <c r="E76" i="116"/>
  <c r="D76" i="116"/>
  <c r="C76" i="116"/>
  <c r="B76" i="116"/>
  <c r="P75" i="116"/>
  <c r="O75" i="116"/>
  <c r="N75" i="116"/>
  <c r="N74" i="116"/>
  <c r="B74" i="116"/>
  <c r="O73" i="116"/>
  <c r="N73" i="116"/>
  <c r="P73" i="116" s="1"/>
  <c r="O72" i="116"/>
  <c r="N72" i="116"/>
  <c r="P72" i="116" s="1"/>
  <c r="O71" i="116"/>
  <c r="N71" i="116"/>
  <c r="P71" i="116" s="1"/>
  <c r="H71" i="116"/>
  <c r="G71" i="116"/>
  <c r="F71" i="116"/>
  <c r="E71" i="116"/>
  <c r="D71" i="116"/>
  <c r="C71" i="116"/>
  <c r="B71" i="116"/>
  <c r="P70" i="116"/>
  <c r="O70" i="116"/>
  <c r="N70" i="116"/>
  <c r="O69" i="116"/>
  <c r="N69" i="116"/>
  <c r="P69" i="116" s="1"/>
  <c r="H69" i="116"/>
  <c r="G69" i="116"/>
  <c r="F69" i="116"/>
  <c r="E69" i="116"/>
  <c r="D69" i="116"/>
  <c r="C69" i="116"/>
  <c r="B69" i="116"/>
  <c r="P68" i="116"/>
  <c r="O68" i="116"/>
  <c r="N68" i="116"/>
  <c r="P67" i="116"/>
  <c r="O67" i="116"/>
  <c r="N67" i="116"/>
  <c r="O66" i="116"/>
  <c r="N66" i="116"/>
  <c r="P66" i="116" s="1"/>
  <c r="P65" i="116"/>
  <c r="N65" i="116"/>
  <c r="O65" i="116" s="1"/>
  <c r="P64" i="116"/>
  <c r="O64" i="116"/>
  <c r="N64" i="116"/>
  <c r="N63" i="116"/>
  <c r="O63" i="116" s="1"/>
  <c r="O62" i="116"/>
  <c r="N62" i="116"/>
  <c r="P62" i="116" s="1"/>
  <c r="P61" i="116"/>
  <c r="O61" i="116"/>
  <c r="N61" i="116"/>
  <c r="O60" i="116"/>
  <c r="N60" i="116"/>
  <c r="P60" i="116" s="1"/>
  <c r="N59" i="116"/>
  <c r="O59" i="116" s="1"/>
  <c r="P58" i="116"/>
  <c r="O58" i="116"/>
  <c r="N58" i="116"/>
  <c r="N57" i="116"/>
  <c r="P57" i="116" s="1"/>
  <c r="N56" i="116"/>
  <c r="C56" i="116"/>
  <c r="B56" i="116"/>
  <c r="O55" i="116"/>
  <c r="N55" i="116"/>
  <c r="P55" i="116" s="1"/>
  <c r="P54" i="116"/>
  <c r="O54" i="116"/>
  <c r="N54" i="116"/>
  <c r="C54" i="116"/>
  <c r="B54" i="116"/>
  <c r="N53" i="116"/>
  <c r="O53" i="116" s="1"/>
  <c r="N52" i="116"/>
  <c r="O52" i="116" s="1"/>
  <c r="N51" i="116"/>
  <c r="P51" i="116" s="1"/>
  <c r="C51" i="116"/>
  <c r="B51" i="116"/>
  <c r="O50" i="116"/>
  <c r="N50" i="116"/>
  <c r="P50" i="116" s="1"/>
  <c r="P49" i="116"/>
  <c r="O49" i="116"/>
  <c r="N49" i="116"/>
  <c r="C49" i="116"/>
  <c r="B49" i="116"/>
  <c r="P48" i="116"/>
  <c r="N48" i="116"/>
  <c r="O48" i="116" s="1"/>
  <c r="P47" i="116"/>
  <c r="O47" i="116"/>
  <c r="N47" i="116"/>
  <c r="O46" i="116"/>
  <c r="N46" i="116"/>
  <c r="P46" i="116" s="1"/>
  <c r="N45" i="116"/>
  <c r="P45" i="116" s="1"/>
  <c r="O44" i="116"/>
  <c r="N44" i="116"/>
  <c r="P44" i="116" s="1"/>
  <c r="N43" i="116"/>
  <c r="P43" i="116" s="1"/>
  <c r="O42" i="116"/>
  <c r="N42" i="116"/>
  <c r="P42" i="116" s="1"/>
  <c r="P41" i="116"/>
  <c r="O41" i="116"/>
  <c r="N41" i="116"/>
  <c r="O40" i="116"/>
  <c r="N40" i="116"/>
  <c r="P40" i="116" s="1"/>
  <c r="O39" i="116"/>
  <c r="N39" i="116"/>
  <c r="P39" i="116" s="1"/>
  <c r="N38" i="116"/>
  <c r="P38" i="116" s="1"/>
  <c r="N37" i="116"/>
  <c r="P37" i="116" s="1"/>
  <c r="O36" i="116"/>
  <c r="N36" i="116"/>
  <c r="P36" i="116" s="1"/>
  <c r="N35" i="116"/>
  <c r="P35" i="116" s="1"/>
  <c r="P34" i="116"/>
  <c r="N34" i="116"/>
  <c r="O34" i="116" s="1"/>
  <c r="C32" i="116"/>
  <c r="B32" i="116"/>
  <c r="C30" i="116"/>
  <c r="B30" i="116"/>
  <c r="C27" i="116"/>
  <c r="B27" i="116"/>
  <c r="C25" i="116"/>
  <c r="B25" i="116"/>
  <c r="B12" i="116"/>
  <c r="F12" i="116" s="1"/>
  <c r="B11" i="116"/>
  <c r="N15" i="115"/>
  <c r="K15" i="115"/>
  <c r="K12" i="115"/>
  <c r="C11" i="115"/>
  <c r="N7" i="115"/>
  <c r="AG3" i="115"/>
  <c r="AB3" i="115"/>
  <c r="Z3" i="115"/>
  <c r="Y3" i="115"/>
  <c r="W3" i="115"/>
  <c r="V3" i="115"/>
  <c r="X3" i="115" s="1"/>
  <c r="S3" i="115"/>
  <c r="R3" i="115"/>
  <c r="N3" i="115"/>
  <c r="J3" i="115"/>
  <c r="S14" i="115" s="1"/>
  <c r="AG2" i="115"/>
  <c r="AF2" i="115"/>
  <c r="AE2" i="115"/>
  <c r="Z2" i="115"/>
  <c r="Y2" i="115"/>
  <c r="U2" i="115"/>
  <c r="T2" i="115"/>
  <c r="S2" i="115"/>
  <c r="B11" i="115" s="1"/>
  <c r="R2" i="115"/>
  <c r="Q2" i="115"/>
  <c r="N2" i="115"/>
  <c r="J2" i="115"/>
  <c r="AK7" i="115" s="1"/>
  <c r="P129" i="115"/>
  <c r="O129" i="115"/>
  <c r="N129" i="115"/>
  <c r="N128" i="115"/>
  <c r="P128" i="115" s="1"/>
  <c r="N127" i="115"/>
  <c r="P126" i="115"/>
  <c r="O126" i="115"/>
  <c r="N126" i="115"/>
  <c r="P125" i="115"/>
  <c r="O125" i="115"/>
  <c r="N125" i="115"/>
  <c r="N124" i="115"/>
  <c r="P124" i="115" s="1"/>
  <c r="N123" i="115"/>
  <c r="P122" i="115"/>
  <c r="O122" i="115"/>
  <c r="N122" i="115"/>
  <c r="P121" i="115"/>
  <c r="O121" i="115"/>
  <c r="N121" i="115"/>
  <c r="N120" i="115"/>
  <c r="P120" i="115" s="1"/>
  <c r="N119" i="115"/>
  <c r="P118" i="115"/>
  <c r="O118" i="115"/>
  <c r="N118" i="115"/>
  <c r="P117" i="115"/>
  <c r="O117" i="115"/>
  <c r="N117" i="115"/>
  <c r="N116" i="115"/>
  <c r="P116" i="115" s="1"/>
  <c r="N115" i="115"/>
  <c r="P114" i="115"/>
  <c r="O114" i="115"/>
  <c r="N114" i="115"/>
  <c r="P113" i="115"/>
  <c r="O113" i="115"/>
  <c r="N113" i="115"/>
  <c r="N112" i="115"/>
  <c r="P112" i="115" s="1"/>
  <c r="N111" i="115"/>
  <c r="P110" i="115"/>
  <c r="O110" i="115"/>
  <c r="N110" i="115"/>
  <c r="P109" i="115"/>
  <c r="O109" i="115"/>
  <c r="N109" i="115"/>
  <c r="N108" i="115"/>
  <c r="P108" i="115" s="1"/>
  <c r="N107" i="115"/>
  <c r="P106" i="115"/>
  <c r="O106" i="115"/>
  <c r="N106" i="115"/>
  <c r="P105" i="115"/>
  <c r="O105" i="115"/>
  <c r="N105" i="115"/>
  <c r="N104" i="115"/>
  <c r="P104" i="115" s="1"/>
  <c r="P103" i="115"/>
  <c r="O103" i="115"/>
  <c r="N103" i="115"/>
  <c r="P102" i="115"/>
  <c r="O102" i="115"/>
  <c r="N102" i="115"/>
  <c r="P101" i="115"/>
  <c r="O101" i="115"/>
  <c r="N101" i="115"/>
  <c r="O100" i="115"/>
  <c r="N100" i="115"/>
  <c r="P100" i="115" s="1"/>
  <c r="N99" i="115"/>
  <c r="P99" i="115" s="1"/>
  <c r="P98" i="115"/>
  <c r="N98" i="115"/>
  <c r="O98" i="115" s="1"/>
  <c r="P97" i="115"/>
  <c r="O97" i="115"/>
  <c r="N97" i="115"/>
  <c r="O96" i="115"/>
  <c r="N96" i="115"/>
  <c r="P96" i="115" s="1"/>
  <c r="B96" i="115"/>
  <c r="N95" i="115"/>
  <c r="N94" i="115"/>
  <c r="P94" i="115" s="1"/>
  <c r="H94" i="115"/>
  <c r="G94" i="115"/>
  <c r="F94" i="115"/>
  <c r="E94" i="115"/>
  <c r="D94" i="115"/>
  <c r="C94" i="115"/>
  <c r="B94" i="115"/>
  <c r="P93" i="115"/>
  <c r="O93" i="115"/>
  <c r="N93" i="115"/>
  <c r="P92" i="115"/>
  <c r="N92" i="115"/>
  <c r="O92" i="115" s="1"/>
  <c r="P91" i="115"/>
  <c r="O91" i="115"/>
  <c r="N91" i="115"/>
  <c r="H91" i="115"/>
  <c r="G91" i="115"/>
  <c r="F91" i="115"/>
  <c r="E91" i="115"/>
  <c r="D91" i="115"/>
  <c r="C91" i="115"/>
  <c r="B91" i="115"/>
  <c r="P90" i="115"/>
  <c r="N90" i="115"/>
  <c r="O90" i="115" s="1"/>
  <c r="P89" i="115"/>
  <c r="N89" i="115"/>
  <c r="O89" i="115" s="1"/>
  <c r="H89" i="115"/>
  <c r="G89" i="115"/>
  <c r="F89" i="115"/>
  <c r="E89" i="115"/>
  <c r="D89" i="115"/>
  <c r="C89" i="115"/>
  <c r="B89" i="115"/>
  <c r="N88" i="115"/>
  <c r="P88" i="115" s="1"/>
  <c r="N87" i="115"/>
  <c r="P87" i="115" s="1"/>
  <c r="P86" i="115"/>
  <c r="N86" i="115"/>
  <c r="O86" i="115" s="1"/>
  <c r="P85" i="115"/>
  <c r="N85" i="115"/>
  <c r="O85" i="115" s="1"/>
  <c r="P84" i="115"/>
  <c r="O84" i="115"/>
  <c r="N84" i="115"/>
  <c r="N83" i="115"/>
  <c r="P82" i="115"/>
  <c r="O82" i="115"/>
  <c r="N82" i="115"/>
  <c r="P81" i="115"/>
  <c r="O81" i="115"/>
  <c r="N81" i="115"/>
  <c r="N80" i="115"/>
  <c r="P80" i="115" s="1"/>
  <c r="N79" i="115"/>
  <c r="P78" i="115"/>
  <c r="O78" i="115"/>
  <c r="N78" i="115"/>
  <c r="N77" i="115"/>
  <c r="P77" i="115" s="1"/>
  <c r="P76" i="115"/>
  <c r="O76" i="115"/>
  <c r="N76" i="115"/>
  <c r="H76" i="115"/>
  <c r="G76" i="115"/>
  <c r="F76" i="115"/>
  <c r="E76" i="115"/>
  <c r="D76" i="115"/>
  <c r="C76" i="115"/>
  <c r="B76" i="115"/>
  <c r="P75" i="115"/>
  <c r="O75" i="115"/>
  <c r="N75" i="115"/>
  <c r="N74" i="115"/>
  <c r="B74" i="115"/>
  <c r="N73" i="115"/>
  <c r="P72" i="115"/>
  <c r="O72" i="115"/>
  <c r="N72" i="115"/>
  <c r="N71" i="115"/>
  <c r="H71" i="115"/>
  <c r="G71" i="115"/>
  <c r="F71" i="115"/>
  <c r="E71" i="115"/>
  <c r="D71" i="115"/>
  <c r="C71" i="115"/>
  <c r="B71" i="115"/>
  <c r="P70" i="115"/>
  <c r="O70" i="115"/>
  <c r="N70" i="115"/>
  <c r="P69" i="115"/>
  <c r="O69" i="115"/>
  <c r="N69" i="115"/>
  <c r="H69" i="115"/>
  <c r="G69" i="115"/>
  <c r="F69" i="115"/>
  <c r="E69" i="115"/>
  <c r="D69" i="115"/>
  <c r="C69" i="115"/>
  <c r="B69" i="115"/>
  <c r="O68" i="115"/>
  <c r="N68" i="115"/>
  <c r="P68" i="115" s="1"/>
  <c r="P67" i="115"/>
  <c r="O67" i="115"/>
  <c r="N67" i="115"/>
  <c r="N66" i="115"/>
  <c r="P66" i="115" s="1"/>
  <c r="P65" i="115"/>
  <c r="N65" i="115"/>
  <c r="O65" i="115" s="1"/>
  <c r="P64" i="115"/>
  <c r="O64" i="115"/>
  <c r="N64" i="115"/>
  <c r="P63" i="115"/>
  <c r="N63" i="115"/>
  <c r="O63" i="115" s="1"/>
  <c r="N62" i="115"/>
  <c r="P62" i="115" s="1"/>
  <c r="O61" i="115"/>
  <c r="N61" i="115"/>
  <c r="P61" i="115" s="1"/>
  <c r="N60" i="115"/>
  <c r="P60" i="115" s="1"/>
  <c r="P59" i="115"/>
  <c r="N59" i="115"/>
  <c r="O59" i="115" s="1"/>
  <c r="P58" i="115"/>
  <c r="O58" i="115"/>
  <c r="N58" i="115"/>
  <c r="N57" i="115"/>
  <c r="P57" i="115" s="1"/>
  <c r="P56" i="115"/>
  <c r="N56" i="115"/>
  <c r="O56" i="115" s="1"/>
  <c r="C56" i="115"/>
  <c r="B56" i="115"/>
  <c r="O55" i="115"/>
  <c r="N55" i="115"/>
  <c r="P55" i="115" s="1"/>
  <c r="P54" i="115"/>
  <c r="O54" i="115"/>
  <c r="N54" i="115"/>
  <c r="C54" i="115"/>
  <c r="B54" i="115"/>
  <c r="N53" i="115"/>
  <c r="O53" i="115" s="1"/>
  <c r="N52" i="115"/>
  <c r="O52" i="115" s="1"/>
  <c r="N51" i="115"/>
  <c r="O51" i="115" s="1"/>
  <c r="C51" i="115"/>
  <c r="B51" i="115"/>
  <c r="O50" i="115"/>
  <c r="N50" i="115"/>
  <c r="P50" i="115" s="1"/>
  <c r="P49" i="115"/>
  <c r="O49" i="115"/>
  <c r="N49" i="115"/>
  <c r="C49" i="115"/>
  <c r="B49" i="115"/>
  <c r="N48" i="115"/>
  <c r="P48" i="115" s="1"/>
  <c r="N47" i="115"/>
  <c r="O47" i="115" s="1"/>
  <c r="O46" i="115"/>
  <c r="N46" i="115"/>
  <c r="P46" i="115" s="1"/>
  <c r="P45" i="115"/>
  <c r="N45" i="115"/>
  <c r="O45" i="115" s="1"/>
  <c r="P44" i="115"/>
  <c r="O44" i="115"/>
  <c r="N44" i="115"/>
  <c r="P43" i="115"/>
  <c r="N43" i="115"/>
  <c r="O43" i="115" s="1"/>
  <c r="O42" i="115"/>
  <c r="N42" i="115"/>
  <c r="P42" i="115" s="1"/>
  <c r="O41" i="115"/>
  <c r="N41" i="115"/>
  <c r="P41" i="115" s="1"/>
  <c r="P40" i="115"/>
  <c r="O40" i="115"/>
  <c r="N40" i="115"/>
  <c r="P39" i="115"/>
  <c r="O39" i="115"/>
  <c r="N39" i="115"/>
  <c r="P38" i="115"/>
  <c r="O38" i="115"/>
  <c r="N38" i="115"/>
  <c r="P37" i="115"/>
  <c r="O37" i="115"/>
  <c r="N37" i="115"/>
  <c r="N36" i="115"/>
  <c r="P36" i="115" s="1"/>
  <c r="N35" i="115"/>
  <c r="P35" i="115" s="1"/>
  <c r="P34" i="115"/>
  <c r="O34" i="115"/>
  <c r="N34" i="115"/>
  <c r="C32" i="115"/>
  <c r="B32" i="115"/>
  <c r="C30" i="115"/>
  <c r="B30" i="115"/>
  <c r="C27" i="115"/>
  <c r="B27" i="115"/>
  <c r="C25" i="115"/>
  <c r="B25" i="115"/>
  <c r="B12" i="115"/>
  <c r="F12" i="115" s="1"/>
  <c r="X29" i="114"/>
  <c r="N15" i="114"/>
  <c r="K15" i="114"/>
  <c r="K12" i="114"/>
  <c r="H11" i="114"/>
  <c r="C11" i="114"/>
  <c r="N7" i="114"/>
  <c r="AG3" i="114"/>
  <c r="AB3" i="114"/>
  <c r="Z3" i="114"/>
  <c r="W3" i="114"/>
  <c r="V3" i="114"/>
  <c r="X3" i="114" s="1"/>
  <c r="S3" i="114"/>
  <c r="C40" i="114" s="1"/>
  <c r="R3" i="114"/>
  <c r="N3" i="114"/>
  <c r="J3" i="114"/>
  <c r="S14" i="114" s="1"/>
  <c r="AG2" i="114"/>
  <c r="AF2" i="114"/>
  <c r="AE2" i="114"/>
  <c r="Z2" i="114"/>
  <c r="U2" i="114"/>
  <c r="T2" i="114"/>
  <c r="S2" i="114"/>
  <c r="R2" i="114"/>
  <c r="E102" i="114" s="1"/>
  <c r="Q2" i="114"/>
  <c r="N2" i="114"/>
  <c r="J2" i="114"/>
  <c r="AK8" i="114" s="1"/>
  <c r="P129" i="114"/>
  <c r="O129" i="114"/>
  <c r="N129" i="114"/>
  <c r="N128" i="114"/>
  <c r="P128" i="114" s="1"/>
  <c r="N127" i="114"/>
  <c r="P127" i="114" s="1"/>
  <c r="P126" i="114"/>
  <c r="O126" i="114"/>
  <c r="N126" i="114"/>
  <c r="P125" i="114"/>
  <c r="O125" i="114"/>
  <c r="N125" i="114"/>
  <c r="N124" i="114"/>
  <c r="P124" i="114" s="1"/>
  <c r="N123" i="114"/>
  <c r="P123" i="114" s="1"/>
  <c r="P122" i="114"/>
  <c r="O122" i="114"/>
  <c r="N122" i="114"/>
  <c r="P121" i="114"/>
  <c r="O121" i="114"/>
  <c r="N121" i="114"/>
  <c r="N120" i="114"/>
  <c r="P120" i="114" s="1"/>
  <c r="N119" i="114"/>
  <c r="P119" i="114" s="1"/>
  <c r="P118" i="114"/>
  <c r="O118" i="114"/>
  <c r="N118" i="114"/>
  <c r="P117" i="114"/>
  <c r="O117" i="114"/>
  <c r="N117" i="114"/>
  <c r="N116" i="114"/>
  <c r="P116" i="114" s="1"/>
  <c r="N115" i="114"/>
  <c r="P115" i="114" s="1"/>
  <c r="P114" i="114"/>
  <c r="O114" i="114"/>
  <c r="N114" i="114"/>
  <c r="P113" i="114"/>
  <c r="O113" i="114"/>
  <c r="N113" i="114"/>
  <c r="N112" i="114"/>
  <c r="P112" i="114" s="1"/>
  <c r="N111" i="114"/>
  <c r="P111" i="114" s="1"/>
  <c r="P110" i="114"/>
  <c r="O110" i="114"/>
  <c r="N110" i="114"/>
  <c r="P109" i="114"/>
  <c r="O109" i="114"/>
  <c r="N109" i="114"/>
  <c r="N108" i="114"/>
  <c r="P108" i="114" s="1"/>
  <c r="N107" i="114"/>
  <c r="P107" i="114" s="1"/>
  <c r="P106" i="114"/>
  <c r="O106" i="114"/>
  <c r="N106" i="114"/>
  <c r="P105" i="114"/>
  <c r="O105" i="114"/>
  <c r="N105" i="114"/>
  <c r="N104" i="114"/>
  <c r="P104" i="114" s="1"/>
  <c r="P103" i="114"/>
  <c r="O103" i="114"/>
  <c r="N103" i="114"/>
  <c r="P102" i="114"/>
  <c r="O102" i="114"/>
  <c r="N102" i="114"/>
  <c r="P101" i="114"/>
  <c r="O101" i="114"/>
  <c r="N101" i="114"/>
  <c r="O100" i="114"/>
  <c r="N100" i="114"/>
  <c r="P100" i="114" s="1"/>
  <c r="N99" i="114"/>
  <c r="N98" i="114"/>
  <c r="O98" i="114" s="1"/>
  <c r="P97" i="114"/>
  <c r="O97" i="114"/>
  <c r="N97" i="114"/>
  <c r="O96" i="114"/>
  <c r="N96" i="114"/>
  <c r="P96" i="114" s="1"/>
  <c r="B96" i="114"/>
  <c r="N95" i="114"/>
  <c r="P95" i="114" s="1"/>
  <c r="N94" i="114"/>
  <c r="H94" i="114"/>
  <c r="G94" i="114"/>
  <c r="F94" i="114"/>
  <c r="E94" i="114"/>
  <c r="D94" i="114"/>
  <c r="C94" i="114"/>
  <c r="B94" i="114"/>
  <c r="P93" i="114"/>
  <c r="O93" i="114"/>
  <c r="N93" i="114"/>
  <c r="N92" i="114"/>
  <c r="P91" i="114"/>
  <c r="O91" i="114"/>
  <c r="N91" i="114"/>
  <c r="H91" i="114"/>
  <c r="G91" i="114"/>
  <c r="F91" i="114"/>
  <c r="E91" i="114"/>
  <c r="D91" i="114"/>
  <c r="C91" i="114"/>
  <c r="B91" i="114"/>
  <c r="P90" i="114"/>
  <c r="O90" i="114"/>
  <c r="N90" i="114"/>
  <c r="P89" i="114"/>
  <c r="O89" i="114"/>
  <c r="N89" i="114"/>
  <c r="H89" i="114"/>
  <c r="G89" i="114"/>
  <c r="F89" i="114"/>
  <c r="E89" i="114"/>
  <c r="D89" i="114"/>
  <c r="C89" i="114"/>
  <c r="B89" i="114"/>
  <c r="N88" i="114"/>
  <c r="P88" i="114" s="1"/>
  <c r="N87" i="114"/>
  <c r="N86" i="114"/>
  <c r="O86" i="114" s="1"/>
  <c r="P85" i="114"/>
  <c r="O85" i="114"/>
  <c r="N85" i="114"/>
  <c r="O84" i="114"/>
  <c r="N84" i="114"/>
  <c r="P84" i="114" s="1"/>
  <c r="N83" i="114"/>
  <c r="O82" i="114"/>
  <c r="N82" i="114"/>
  <c r="P82" i="114" s="1"/>
  <c r="P81" i="114"/>
  <c r="O81" i="114"/>
  <c r="N81" i="114"/>
  <c r="O80" i="114"/>
  <c r="N80" i="114"/>
  <c r="P80" i="114" s="1"/>
  <c r="N79" i="114"/>
  <c r="O79" i="114" s="1"/>
  <c r="O78" i="114"/>
  <c r="N78" i="114"/>
  <c r="P78" i="114" s="1"/>
  <c r="P77" i="114"/>
  <c r="N77" i="114"/>
  <c r="O77" i="114" s="1"/>
  <c r="O76" i="114"/>
  <c r="N76" i="114"/>
  <c r="P76" i="114" s="1"/>
  <c r="H76" i="114"/>
  <c r="G76" i="114"/>
  <c r="F76" i="114"/>
  <c r="E76" i="114"/>
  <c r="D76" i="114"/>
  <c r="C76" i="114"/>
  <c r="B76" i="114"/>
  <c r="P75" i="114"/>
  <c r="O75" i="114"/>
  <c r="N75" i="114"/>
  <c r="P74" i="114"/>
  <c r="N74" i="114"/>
  <c r="O74" i="114" s="1"/>
  <c r="B74" i="114"/>
  <c r="N73" i="114"/>
  <c r="P73" i="114" s="1"/>
  <c r="O72" i="114"/>
  <c r="N72" i="114"/>
  <c r="P72" i="114" s="1"/>
  <c r="N71" i="114"/>
  <c r="H71" i="114"/>
  <c r="G71" i="114"/>
  <c r="F71" i="114"/>
  <c r="E71" i="114"/>
  <c r="D71" i="114"/>
  <c r="C71" i="114"/>
  <c r="B71" i="114"/>
  <c r="O70" i="114"/>
  <c r="N70" i="114"/>
  <c r="P70" i="114" s="1"/>
  <c r="N69" i="114"/>
  <c r="O69" i="114" s="1"/>
  <c r="H69" i="114"/>
  <c r="G69" i="114"/>
  <c r="F69" i="114"/>
  <c r="E69" i="114"/>
  <c r="D69" i="114"/>
  <c r="C69" i="114"/>
  <c r="B69" i="114"/>
  <c r="P68" i="114"/>
  <c r="O68" i="114"/>
  <c r="N68" i="114"/>
  <c r="P67" i="114"/>
  <c r="O67" i="114"/>
  <c r="N67" i="114"/>
  <c r="N66" i="114"/>
  <c r="P65" i="114"/>
  <c r="N65" i="114"/>
  <c r="O65" i="114" s="1"/>
  <c r="O64" i="114"/>
  <c r="N64" i="114"/>
  <c r="P64" i="114" s="1"/>
  <c r="P63" i="114"/>
  <c r="N63" i="114"/>
  <c r="O63" i="114" s="1"/>
  <c r="N62" i="114"/>
  <c r="P61" i="114"/>
  <c r="O61" i="114"/>
  <c r="N61" i="114"/>
  <c r="N60" i="114"/>
  <c r="P60" i="114" s="1"/>
  <c r="P59" i="114"/>
  <c r="N59" i="114"/>
  <c r="O59" i="114" s="1"/>
  <c r="O58" i="114"/>
  <c r="N58" i="114"/>
  <c r="P58" i="114" s="1"/>
  <c r="P57" i="114"/>
  <c r="N57" i="114"/>
  <c r="O57" i="114" s="1"/>
  <c r="P56" i="114"/>
  <c r="O56" i="114"/>
  <c r="N56" i="114"/>
  <c r="C56" i="114"/>
  <c r="B56" i="114"/>
  <c r="N55" i="114"/>
  <c r="O55" i="114" s="1"/>
  <c r="O54" i="114"/>
  <c r="N54" i="114"/>
  <c r="P54" i="114" s="1"/>
  <c r="C54" i="114"/>
  <c r="B54" i="114"/>
  <c r="N53" i="114"/>
  <c r="O53" i="114" s="1"/>
  <c r="N52" i="114"/>
  <c r="O52" i="114" s="1"/>
  <c r="P51" i="114"/>
  <c r="N51" i="114"/>
  <c r="O51" i="114" s="1"/>
  <c r="C51" i="114"/>
  <c r="B51" i="114"/>
  <c r="N50" i="114"/>
  <c r="P50" i="114" s="1"/>
  <c r="P49" i="114"/>
  <c r="O49" i="114"/>
  <c r="N49" i="114"/>
  <c r="C49" i="114"/>
  <c r="B49" i="114"/>
  <c r="P48" i="114"/>
  <c r="O48" i="114"/>
  <c r="N48" i="114"/>
  <c r="P47" i="114"/>
  <c r="O47" i="114"/>
  <c r="N47" i="114"/>
  <c r="N46" i="114"/>
  <c r="P46" i="114" s="1"/>
  <c r="P45" i="114"/>
  <c r="N45" i="114"/>
  <c r="O45" i="114" s="1"/>
  <c r="O44" i="114"/>
  <c r="N44" i="114"/>
  <c r="P44" i="114" s="1"/>
  <c r="P43" i="114"/>
  <c r="N43" i="114"/>
  <c r="O43" i="114" s="1"/>
  <c r="P42" i="114"/>
  <c r="O42" i="114"/>
  <c r="N42" i="114"/>
  <c r="N41" i="114"/>
  <c r="P41" i="114" s="1"/>
  <c r="P40" i="114"/>
  <c r="O40" i="114"/>
  <c r="N40" i="114"/>
  <c r="N39" i="114"/>
  <c r="P39" i="114" s="1"/>
  <c r="N38" i="114"/>
  <c r="P38" i="114" s="1"/>
  <c r="N37" i="114"/>
  <c r="P37" i="114" s="1"/>
  <c r="N36" i="114"/>
  <c r="P36" i="114" s="1"/>
  <c r="P35" i="114"/>
  <c r="O35" i="114"/>
  <c r="N35" i="114"/>
  <c r="N34" i="114"/>
  <c r="P34" i="114" s="1"/>
  <c r="C32" i="114"/>
  <c r="B32" i="114"/>
  <c r="C30" i="114"/>
  <c r="B30" i="114"/>
  <c r="C27" i="114"/>
  <c r="B27" i="114"/>
  <c r="C25" i="114"/>
  <c r="B25" i="114"/>
  <c r="B12" i="114"/>
  <c r="F12" i="114" s="1"/>
  <c r="X29" i="112"/>
  <c r="N15" i="112"/>
  <c r="K15" i="112"/>
  <c r="K12" i="112"/>
  <c r="H11" i="112"/>
  <c r="C11" i="112"/>
  <c r="N7" i="112"/>
  <c r="AG3" i="112"/>
  <c r="AB3" i="112"/>
  <c r="Z3" i="112"/>
  <c r="Y3" i="112"/>
  <c r="W3" i="112"/>
  <c r="V3" i="112"/>
  <c r="X3" i="112" s="1"/>
  <c r="S3" i="112"/>
  <c r="R3" i="112"/>
  <c r="N3" i="112"/>
  <c r="J3" i="112"/>
  <c r="S14" i="112" s="1"/>
  <c r="AG2" i="112"/>
  <c r="AF2" i="112"/>
  <c r="AE2" i="112"/>
  <c r="Z2" i="112"/>
  <c r="Y2" i="112"/>
  <c r="U2" i="112"/>
  <c r="T2" i="112"/>
  <c r="S2" i="112"/>
  <c r="R2" i="112"/>
  <c r="Q2" i="112"/>
  <c r="N2" i="112"/>
  <c r="J2" i="112"/>
  <c r="AJ7" i="112" s="1"/>
  <c r="P129" i="112"/>
  <c r="N129" i="112"/>
  <c r="O129" i="112" s="1"/>
  <c r="N128" i="112"/>
  <c r="P128" i="112" s="1"/>
  <c r="P127" i="112"/>
  <c r="O127" i="112"/>
  <c r="N127" i="112"/>
  <c r="N126" i="112"/>
  <c r="P125" i="112"/>
  <c r="N125" i="112"/>
  <c r="O125" i="112" s="1"/>
  <c r="N124" i="112"/>
  <c r="P124" i="112" s="1"/>
  <c r="P123" i="112"/>
  <c r="O123" i="112"/>
  <c r="N123" i="112"/>
  <c r="N122" i="112"/>
  <c r="P121" i="112"/>
  <c r="N121" i="112"/>
  <c r="O121" i="112" s="1"/>
  <c r="N120" i="112"/>
  <c r="P120" i="112" s="1"/>
  <c r="P119" i="112"/>
  <c r="O119" i="112"/>
  <c r="N119" i="112"/>
  <c r="O118" i="112"/>
  <c r="N118" i="112"/>
  <c r="P118" i="112" s="1"/>
  <c r="P117" i="112"/>
  <c r="N117" i="112"/>
  <c r="O117" i="112" s="1"/>
  <c r="N116" i="112"/>
  <c r="P116" i="112" s="1"/>
  <c r="P115" i="112"/>
  <c r="O115" i="112"/>
  <c r="N115" i="112"/>
  <c r="O114" i="112"/>
  <c r="N114" i="112"/>
  <c r="P114" i="112" s="1"/>
  <c r="P113" i="112"/>
  <c r="N113" i="112"/>
  <c r="O113" i="112" s="1"/>
  <c r="N112" i="112"/>
  <c r="P112" i="112" s="1"/>
  <c r="P111" i="112"/>
  <c r="O111" i="112"/>
  <c r="N111" i="112"/>
  <c r="N110" i="112"/>
  <c r="P110" i="112" s="1"/>
  <c r="P109" i="112"/>
  <c r="N109" i="112"/>
  <c r="O109" i="112" s="1"/>
  <c r="N108" i="112"/>
  <c r="P108" i="112" s="1"/>
  <c r="P107" i="112"/>
  <c r="O107" i="112"/>
  <c r="N107" i="112"/>
  <c r="N106" i="112"/>
  <c r="P106" i="112" s="1"/>
  <c r="P105" i="112"/>
  <c r="N105" i="112"/>
  <c r="O105" i="112" s="1"/>
  <c r="N104" i="112"/>
  <c r="P104" i="112" s="1"/>
  <c r="P103" i="112"/>
  <c r="O103" i="112"/>
  <c r="N103" i="112"/>
  <c r="P102" i="112"/>
  <c r="N102" i="112"/>
  <c r="O102" i="112" s="1"/>
  <c r="P101" i="112"/>
  <c r="O101" i="112"/>
  <c r="N101" i="112"/>
  <c r="N100" i="112"/>
  <c r="N99" i="112"/>
  <c r="P98" i="112"/>
  <c r="O98" i="112"/>
  <c r="N98" i="112"/>
  <c r="P97" i="112"/>
  <c r="O97" i="112"/>
  <c r="N97" i="112"/>
  <c r="N96" i="112"/>
  <c r="B96" i="112"/>
  <c r="P95" i="112"/>
  <c r="O95" i="112"/>
  <c r="N95" i="112"/>
  <c r="P94" i="112"/>
  <c r="N94" i="112"/>
  <c r="O94" i="112" s="1"/>
  <c r="H94" i="112"/>
  <c r="G94" i="112"/>
  <c r="F94" i="112"/>
  <c r="E94" i="112"/>
  <c r="D94" i="112"/>
  <c r="C94" i="112"/>
  <c r="B94" i="112"/>
  <c r="O93" i="112"/>
  <c r="N93" i="112"/>
  <c r="P93" i="112" s="1"/>
  <c r="P92" i="112"/>
  <c r="O92" i="112"/>
  <c r="N92" i="112"/>
  <c r="P91" i="112"/>
  <c r="N91" i="112"/>
  <c r="O91" i="112" s="1"/>
  <c r="H91" i="112"/>
  <c r="G91" i="112"/>
  <c r="F91" i="112"/>
  <c r="E91" i="112"/>
  <c r="D91" i="112"/>
  <c r="C91" i="112"/>
  <c r="B91" i="112"/>
  <c r="P90" i="112"/>
  <c r="O90" i="112"/>
  <c r="N90" i="112"/>
  <c r="P89" i="112"/>
  <c r="O89" i="112"/>
  <c r="N89" i="112"/>
  <c r="H89" i="112"/>
  <c r="G89" i="112"/>
  <c r="F89" i="112"/>
  <c r="E89" i="112"/>
  <c r="D89" i="112"/>
  <c r="C89" i="112"/>
  <c r="B89" i="112"/>
  <c r="N88" i="112"/>
  <c r="P88" i="112" s="1"/>
  <c r="P87" i="112"/>
  <c r="N87" i="112"/>
  <c r="O87" i="112" s="1"/>
  <c r="P86" i="112"/>
  <c r="O86" i="112"/>
  <c r="N86" i="112"/>
  <c r="P85" i="112"/>
  <c r="O85" i="112"/>
  <c r="N85" i="112"/>
  <c r="N84" i="112"/>
  <c r="N83" i="112"/>
  <c r="O82" i="112"/>
  <c r="N82" i="112"/>
  <c r="P82" i="112" s="1"/>
  <c r="P81" i="112"/>
  <c r="O81" i="112"/>
  <c r="N81" i="112"/>
  <c r="P80" i="112"/>
  <c r="O80" i="112"/>
  <c r="N80" i="112"/>
  <c r="N79" i="112"/>
  <c r="P79" i="112" s="1"/>
  <c r="N78" i="112"/>
  <c r="P77" i="112"/>
  <c r="N77" i="112"/>
  <c r="O77" i="112" s="1"/>
  <c r="N76" i="112"/>
  <c r="H76" i="112"/>
  <c r="G76" i="112"/>
  <c r="F76" i="112"/>
  <c r="E76" i="112"/>
  <c r="D76" i="112"/>
  <c r="C76" i="112"/>
  <c r="B76" i="112"/>
  <c r="P75" i="112"/>
  <c r="O75" i="112"/>
  <c r="N75" i="112"/>
  <c r="N74" i="112"/>
  <c r="B74" i="112"/>
  <c r="N73" i="112"/>
  <c r="O72" i="112"/>
  <c r="N72" i="112"/>
  <c r="P72" i="112" s="1"/>
  <c r="N71" i="112"/>
  <c r="H71" i="112"/>
  <c r="G71" i="112"/>
  <c r="F71" i="112"/>
  <c r="E71" i="112"/>
  <c r="D71" i="112"/>
  <c r="C71" i="112"/>
  <c r="B71" i="112"/>
  <c r="P70" i="112"/>
  <c r="O70" i="112"/>
  <c r="N70" i="112"/>
  <c r="P69" i="112"/>
  <c r="O69" i="112"/>
  <c r="N69" i="112"/>
  <c r="H69" i="112"/>
  <c r="G69" i="112"/>
  <c r="F69" i="112"/>
  <c r="E69" i="112"/>
  <c r="D69" i="112"/>
  <c r="C69" i="112"/>
  <c r="B69" i="112"/>
  <c r="N68" i="112"/>
  <c r="O67" i="112"/>
  <c r="N67" i="112"/>
  <c r="P67" i="112" s="1"/>
  <c r="N66" i="112"/>
  <c r="P65" i="112"/>
  <c r="O65" i="112"/>
  <c r="N65" i="112"/>
  <c r="P64" i="112"/>
  <c r="O64" i="112"/>
  <c r="N64" i="112"/>
  <c r="P63" i="112"/>
  <c r="O63" i="112"/>
  <c r="N63" i="112"/>
  <c r="N62" i="112"/>
  <c r="N61" i="112"/>
  <c r="P61" i="112" s="1"/>
  <c r="N60" i="112"/>
  <c r="P59" i="112"/>
  <c r="O59" i="112"/>
  <c r="N59" i="112"/>
  <c r="P58" i="112"/>
  <c r="O58" i="112"/>
  <c r="N58" i="112"/>
  <c r="N57" i="112"/>
  <c r="P57" i="112" s="1"/>
  <c r="P56" i="112"/>
  <c r="N56" i="112"/>
  <c r="O56" i="112" s="1"/>
  <c r="C56" i="112"/>
  <c r="B56" i="112"/>
  <c r="N55" i="112"/>
  <c r="P54" i="112"/>
  <c r="O54" i="112"/>
  <c r="N54" i="112"/>
  <c r="C54" i="112"/>
  <c r="B54" i="112"/>
  <c r="P53" i="112"/>
  <c r="O53" i="112"/>
  <c r="N53" i="112"/>
  <c r="P52" i="112"/>
  <c r="O52" i="112"/>
  <c r="N52" i="112"/>
  <c r="P51" i="112"/>
  <c r="O51" i="112"/>
  <c r="N51" i="112"/>
  <c r="C51" i="112"/>
  <c r="B51" i="112"/>
  <c r="N50" i="112"/>
  <c r="N49" i="112"/>
  <c r="P49" i="112" s="1"/>
  <c r="C49" i="112"/>
  <c r="B49" i="112"/>
  <c r="P48" i="112"/>
  <c r="O48" i="112"/>
  <c r="N48" i="112"/>
  <c r="N47" i="112"/>
  <c r="N46" i="112"/>
  <c r="P45" i="112"/>
  <c r="O45" i="112"/>
  <c r="N45" i="112"/>
  <c r="P44" i="112"/>
  <c r="N44" i="112"/>
  <c r="O44" i="112" s="1"/>
  <c r="P43" i="112"/>
  <c r="O43" i="112"/>
  <c r="N43" i="112"/>
  <c r="N42" i="112"/>
  <c r="P41" i="112"/>
  <c r="O41" i="112"/>
  <c r="N41" i="112"/>
  <c r="N40" i="112"/>
  <c r="P40" i="112" s="1"/>
  <c r="P39" i="112"/>
  <c r="O39" i="112"/>
  <c r="N39" i="112"/>
  <c r="N38" i="112"/>
  <c r="P38" i="112" s="1"/>
  <c r="O37" i="112"/>
  <c r="N37" i="112"/>
  <c r="P37" i="112" s="1"/>
  <c r="N36" i="112"/>
  <c r="O36" i="112" s="1"/>
  <c r="P35" i="112"/>
  <c r="O35" i="112"/>
  <c r="N35" i="112"/>
  <c r="N34" i="112"/>
  <c r="P34" i="112" s="1"/>
  <c r="C32" i="112"/>
  <c r="B32" i="112"/>
  <c r="C30" i="112"/>
  <c r="B30" i="112"/>
  <c r="C27" i="112"/>
  <c r="B27" i="112"/>
  <c r="C25" i="112"/>
  <c r="B25" i="112"/>
  <c r="B12" i="112"/>
  <c r="R23" i="15" a="1"/>
  <c r="W23" i="15" a="1"/>
  <c r="U23" i="15" a="1"/>
  <c r="V23" i="15" a="1"/>
  <c r="S23" i="15" a="1"/>
  <c r="E102" i="115" l="1"/>
  <c r="B38" i="115"/>
  <c r="B38" i="118"/>
  <c r="E102" i="112"/>
  <c r="C40" i="112"/>
  <c r="E84" i="119"/>
  <c r="E102" i="116"/>
  <c r="E102" i="117"/>
  <c r="C40" i="119"/>
  <c r="B38" i="116"/>
  <c r="B38" i="117"/>
  <c r="E102" i="119"/>
  <c r="R23" i="15"/>
  <c r="S23" i="15"/>
  <c r="W23" i="15"/>
  <c r="U23" i="15"/>
  <c r="V23" i="15"/>
  <c r="C12" i="117"/>
  <c r="D12" i="117" s="1"/>
  <c r="AK7" i="112"/>
  <c r="AJ6" i="114"/>
  <c r="AJ3" i="112"/>
  <c r="AJ5" i="112"/>
  <c r="AJ4" i="114"/>
  <c r="AK6" i="114"/>
  <c r="AJ9" i="114"/>
  <c r="AJ9" i="115"/>
  <c r="AJ8" i="119"/>
  <c r="AK3" i="112"/>
  <c r="AK5" i="112"/>
  <c r="AJ8" i="112"/>
  <c r="AK9" i="115"/>
  <c r="AJ9" i="116"/>
  <c r="AK8" i="112"/>
  <c r="AJ7" i="114"/>
  <c r="AK4" i="116"/>
  <c r="AK9" i="116"/>
  <c r="AJ6" i="112"/>
  <c r="AK7" i="114"/>
  <c r="AK4" i="117"/>
  <c r="AK9" i="117"/>
  <c r="B11" i="119"/>
  <c r="F11" i="119" s="1"/>
  <c r="AK5" i="119"/>
  <c r="AJ4" i="112"/>
  <c r="AK6" i="112"/>
  <c r="AJ9" i="112"/>
  <c r="AJ3" i="114"/>
  <c r="AJ5" i="114"/>
  <c r="B38" i="112"/>
  <c r="E84" i="112"/>
  <c r="B38" i="114"/>
  <c r="E84" i="114"/>
  <c r="E102" i="118"/>
  <c r="AK4" i="112"/>
  <c r="AK9" i="112"/>
  <c r="AK3" i="114"/>
  <c r="AK5" i="114"/>
  <c r="AJ8" i="114"/>
  <c r="C40" i="118"/>
  <c r="AJ4" i="118"/>
  <c r="AK6" i="118"/>
  <c r="AJ9" i="118"/>
  <c r="AK4" i="118"/>
  <c r="AK9" i="118"/>
  <c r="AJ7" i="118"/>
  <c r="AK7" i="118"/>
  <c r="AJ3" i="118"/>
  <c r="AJ5" i="118"/>
  <c r="AK3" i="118"/>
  <c r="AK5" i="118"/>
  <c r="AJ8" i="118"/>
  <c r="S12" i="118"/>
  <c r="AK8" i="118"/>
  <c r="E84" i="118"/>
  <c r="AJ6" i="118"/>
  <c r="C40" i="116"/>
  <c r="AJ4" i="116"/>
  <c r="AK6" i="116"/>
  <c r="AJ7" i="116"/>
  <c r="AK7" i="116"/>
  <c r="AJ3" i="116"/>
  <c r="AJ5" i="116"/>
  <c r="AK3" i="116"/>
  <c r="AK5" i="116"/>
  <c r="AJ8" i="116"/>
  <c r="AK8" i="116"/>
  <c r="E84" i="116"/>
  <c r="S12" i="116"/>
  <c r="AK3" i="115"/>
  <c r="AJ8" i="115"/>
  <c r="AK5" i="115"/>
  <c r="AJ3" i="115"/>
  <c r="AJ5" i="115"/>
  <c r="S12" i="115"/>
  <c r="AK8" i="115"/>
  <c r="AJ6" i="115"/>
  <c r="E84" i="115"/>
  <c r="AJ4" i="115"/>
  <c r="AK6" i="115"/>
  <c r="C40" i="115"/>
  <c r="AK4" i="115"/>
  <c r="AJ7" i="115"/>
  <c r="E84" i="117"/>
  <c r="AJ4" i="117"/>
  <c r="AK6" i="117"/>
  <c r="C40" i="117"/>
  <c r="AK7" i="117"/>
  <c r="AJ3" i="117"/>
  <c r="AJ5" i="117"/>
  <c r="S12" i="117"/>
  <c r="AJ7" i="117"/>
  <c r="AK3" i="117"/>
  <c r="AK5" i="117"/>
  <c r="AJ8" i="117"/>
  <c r="AK8" i="117"/>
  <c r="AJ6" i="117"/>
  <c r="AK3" i="119"/>
  <c r="S12" i="119"/>
  <c r="AJ3" i="119"/>
  <c r="AJ5" i="119"/>
  <c r="AK7" i="119"/>
  <c r="AJ6" i="119"/>
  <c r="AJ4" i="119"/>
  <c r="AK6" i="119"/>
  <c r="S11" i="119"/>
  <c r="E68" i="119"/>
  <c r="AK4" i="119"/>
  <c r="S13" i="119"/>
  <c r="E88" i="119"/>
  <c r="G95" i="119"/>
  <c r="D75" i="119"/>
  <c r="F95" i="119"/>
  <c r="E95" i="119"/>
  <c r="B75" i="119"/>
  <c r="D95" i="119"/>
  <c r="C95" i="119"/>
  <c r="H75" i="119"/>
  <c r="B95" i="119"/>
  <c r="G75" i="119"/>
  <c r="F75" i="119"/>
  <c r="C55" i="119"/>
  <c r="E75" i="119"/>
  <c r="C75" i="119"/>
  <c r="H95" i="119"/>
  <c r="B55" i="119"/>
  <c r="C31" i="119"/>
  <c r="B31" i="119"/>
  <c r="D11" i="119"/>
  <c r="C12" i="119"/>
  <c r="D12" i="119" s="1"/>
  <c r="O37" i="119"/>
  <c r="O38" i="119"/>
  <c r="O43" i="119"/>
  <c r="P46" i="119"/>
  <c r="P94" i="119"/>
  <c r="O94" i="119"/>
  <c r="F96" i="119"/>
  <c r="E96" i="119"/>
  <c r="D96" i="119"/>
  <c r="C96" i="119"/>
  <c r="H96" i="119"/>
  <c r="G96" i="119"/>
  <c r="O34" i="119"/>
  <c r="F22" i="119" a="1"/>
  <c r="F22" i="119" s="1"/>
  <c r="O47" i="119"/>
  <c r="P118" i="119"/>
  <c r="O118" i="119"/>
  <c r="G77" i="119"/>
  <c r="D77" i="119"/>
  <c r="P57" i="119"/>
  <c r="O57" i="119"/>
  <c r="P60" i="119"/>
  <c r="P62" i="119"/>
  <c r="P66" i="119"/>
  <c r="P80" i="119"/>
  <c r="O80" i="119"/>
  <c r="O69" i="119"/>
  <c r="O81" i="119"/>
  <c r="O126" i="119"/>
  <c r="O114" i="119"/>
  <c r="P87" i="119"/>
  <c r="O87" i="119"/>
  <c r="O93" i="119"/>
  <c r="P99" i="119"/>
  <c r="O99" i="119"/>
  <c r="O122" i="119"/>
  <c r="O79" i="119"/>
  <c r="O83" i="119"/>
  <c r="O107" i="119"/>
  <c r="O111" i="119"/>
  <c r="O115" i="119"/>
  <c r="O119" i="119"/>
  <c r="O123" i="119"/>
  <c r="O127" i="119"/>
  <c r="O76" i="119"/>
  <c r="O78" i="119"/>
  <c r="O82" i="119"/>
  <c r="O84" i="119"/>
  <c r="O96" i="119"/>
  <c r="O100" i="119"/>
  <c r="O104" i="119"/>
  <c r="O108" i="119"/>
  <c r="O112" i="119"/>
  <c r="O116" i="119"/>
  <c r="O120" i="119"/>
  <c r="O124" i="119"/>
  <c r="O128" i="119"/>
  <c r="O85" i="119"/>
  <c r="O89" i="119"/>
  <c r="O90" i="119"/>
  <c r="O97" i="119"/>
  <c r="O101" i="119"/>
  <c r="O103" i="119"/>
  <c r="E68" i="118"/>
  <c r="S13" i="118"/>
  <c r="E88" i="118"/>
  <c r="F11" i="118"/>
  <c r="D11" i="118"/>
  <c r="O34" i="118"/>
  <c r="O39" i="118"/>
  <c r="P42" i="118"/>
  <c r="H75" i="118"/>
  <c r="O41" i="118"/>
  <c r="O44" i="118"/>
  <c r="P55" i="118"/>
  <c r="O55" i="118"/>
  <c r="G77" i="118"/>
  <c r="D77" i="118"/>
  <c r="P45" i="118"/>
  <c r="P49" i="118"/>
  <c r="P57" i="118"/>
  <c r="O57" i="118"/>
  <c r="P80" i="118"/>
  <c r="O80" i="118"/>
  <c r="G95" i="118"/>
  <c r="D75" i="118"/>
  <c r="F95" i="118"/>
  <c r="E95" i="118"/>
  <c r="B75" i="118"/>
  <c r="D95" i="118"/>
  <c r="C95" i="118"/>
  <c r="B95" i="118"/>
  <c r="F75" i="118"/>
  <c r="C55" i="118"/>
  <c r="E75" i="118"/>
  <c r="B55" i="118"/>
  <c r="H95" i="118"/>
  <c r="C75" i="118"/>
  <c r="G75" i="118"/>
  <c r="C12" i="118"/>
  <c r="D12" i="118" s="1"/>
  <c r="O37" i="118"/>
  <c r="O43" i="118"/>
  <c r="P118" i="118"/>
  <c r="O118" i="118"/>
  <c r="D96" i="118"/>
  <c r="H96" i="118"/>
  <c r="B31" i="118"/>
  <c r="P79" i="118"/>
  <c r="O79" i="118"/>
  <c r="P94" i="118"/>
  <c r="O94" i="118"/>
  <c r="O126" i="118"/>
  <c r="O61" i="118"/>
  <c r="O67" i="118"/>
  <c r="O68" i="118"/>
  <c r="O87" i="118"/>
  <c r="P72" i="118"/>
  <c r="O72" i="118"/>
  <c r="P83" i="118"/>
  <c r="O83" i="118"/>
  <c r="P99" i="118"/>
  <c r="O99" i="118"/>
  <c r="O122" i="118"/>
  <c r="O95" i="118"/>
  <c r="O107" i="118"/>
  <c r="O111" i="118"/>
  <c r="O115" i="118"/>
  <c r="O119" i="118"/>
  <c r="O123" i="118"/>
  <c r="O127" i="118"/>
  <c r="O76" i="118"/>
  <c r="O78" i="118"/>
  <c r="O82" i="118"/>
  <c r="O84" i="118"/>
  <c r="O96" i="118"/>
  <c r="O100" i="118"/>
  <c r="O104" i="118"/>
  <c r="O108" i="118"/>
  <c r="O112" i="118"/>
  <c r="O116" i="118"/>
  <c r="O120" i="118"/>
  <c r="O124" i="118"/>
  <c r="O128" i="118"/>
  <c r="O97" i="118"/>
  <c r="O101" i="118"/>
  <c r="O103" i="118"/>
  <c r="E68" i="117"/>
  <c r="S13" i="117"/>
  <c r="E88" i="117"/>
  <c r="F11" i="117"/>
  <c r="D11" i="117"/>
  <c r="G95" i="117"/>
  <c r="D75" i="117"/>
  <c r="F95" i="117"/>
  <c r="E95" i="117"/>
  <c r="B75" i="117"/>
  <c r="D95" i="117"/>
  <c r="C95" i="117"/>
  <c r="H95" i="117"/>
  <c r="F75" i="117"/>
  <c r="C55" i="117"/>
  <c r="E75" i="117"/>
  <c r="C75" i="117"/>
  <c r="B95" i="117"/>
  <c r="H75" i="117"/>
  <c r="G75" i="117"/>
  <c r="C31" i="117"/>
  <c r="B31" i="117"/>
  <c r="B55" i="117"/>
  <c r="P34" i="117"/>
  <c r="G77" i="117"/>
  <c r="O40" i="117"/>
  <c r="O58" i="117"/>
  <c r="P123" i="117"/>
  <c r="O123" i="117"/>
  <c r="P70" i="117"/>
  <c r="O70" i="117"/>
  <c r="O36" i="117"/>
  <c r="P64" i="117"/>
  <c r="O64" i="117"/>
  <c r="D96" i="117"/>
  <c r="H96" i="117"/>
  <c r="P48" i="117"/>
  <c r="P50" i="117"/>
  <c r="O54" i="117"/>
  <c r="P60" i="117"/>
  <c r="D77" i="117"/>
  <c r="P99" i="117"/>
  <c r="O99" i="117"/>
  <c r="O87" i="117"/>
  <c r="O94" i="117"/>
  <c r="P119" i="117"/>
  <c r="O119" i="117"/>
  <c r="O81" i="117"/>
  <c r="P115" i="117"/>
  <c r="O115" i="117"/>
  <c r="P79" i="117"/>
  <c r="O79" i="117"/>
  <c r="O80" i="117"/>
  <c r="P95" i="117"/>
  <c r="O95" i="117"/>
  <c r="P111" i="117"/>
  <c r="O111" i="117"/>
  <c r="P127" i="117"/>
  <c r="O127" i="117"/>
  <c r="P83" i="117"/>
  <c r="O83" i="117"/>
  <c r="P107" i="117"/>
  <c r="O107" i="117"/>
  <c r="O78" i="117"/>
  <c r="O82" i="117"/>
  <c r="O84" i="117"/>
  <c r="O96" i="117"/>
  <c r="O100" i="117"/>
  <c r="O112" i="117"/>
  <c r="O116" i="117"/>
  <c r="O120" i="117"/>
  <c r="O124" i="117"/>
  <c r="O128" i="117"/>
  <c r="S11" i="116"/>
  <c r="E68" i="116"/>
  <c r="S13" i="116"/>
  <c r="E88" i="116"/>
  <c r="F11" i="116"/>
  <c r="D11" i="116"/>
  <c r="G95" i="116"/>
  <c r="E95" i="116"/>
  <c r="B75" i="116"/>
  <c r="D95" i="116"/>
  <c r="C95" i="116"/>
  <c r="B95" i="116"/>
  <c r="D75" i="116"/>
  <c r="C75" i="116"/>
  <c r="B55" i="116"/>
  <c r="H75" i="116"/>
  <c r="G75" i="116"/>
  <c r="F95" i="116"/>
  <c r="E75" i="116"/>
  <c r="H95" i="116"/>
  <c r="C55" i="116"/>
  <c r="C31" i="116"/>
  <c r="B31" i="116"/>
  <c r="F75" i="116"/>
  <c r="C12" i="116"/>
  <c r="D12" i="116" s="1"/>
  <c r="O37" i="116"/>
  <c r="O38" i="116"/>
  <c r="O43" i="116"/>
  <c r="O45" i="116"/>
  <c r="O51" i="116"/>
  <c r="P118" i="116"/>
  <c r="O118" i="116"/>
  <c r="O35" i="116"/>
  <c r="P59" i="116"/>
  <c r="P127" i="116"/>
  <c r="O127" i="116"/>
  <c r="D96" i="116"/>
  <c r="H96" i="116"/>
  <c r="P52" i="116"/>
  <c r="O77" i="116"/>
  <c r="P77" i="116"/>
  <c r="O79" i="116"/>
  <c r="P79" i="116"/>
  <c r="P56" i="116"/>
  <c r="O56" i="116"/>
  <c r="P53" i="116"/>
  <c r="O57" i="116"/>
  <c r="P63" i="116"/>
  <c r="P74" i="116"/>
  <c r="O74" i="116"/>
  <c r="G77" i="116"/>
  <c r="D77" i="116"/>
  <c r="O121" i="116"/>
  <c r="P121" i="116"/>
  <c r="P107" i="116"/>
  <c r="O107" i="116"/>
  <c r="P115" i="116"/>
  <c r="O115" i="116"/>
  <c r="O76" i="116"/>
  <c r="O80" i="116"/>
  <c r="O87" i="116"/>
  <c r="O94" i="116"/>
  <c r="P95" i="116"/>
  <c r="O95" i="116"/>
  <c r="O106" i="116"/>
  <c r="P109" i="116"/>
  <c r="P123" i="116"/>
  <c r="O123" i="116"/>
  <c r="O126" i="116"/>
  <c r="P129" i="116"/>
  <c r="P111" i="116"/>
  <c r="O111" i="116"/>
  <c r="P117" i="116"/>
  <c r="P105" i="116"/>
  <c r="P119" i="116"/>
  <c r="O119" i="116"/>
  <c r="C12" i="115"/>
  <c r="D12" i="115" s="1"/>
  <c r="S11" i="115"/>
  <c r="E68" i="115"/>
  <c r="S13" i="115"/>
  <c r="E88" i="115"/>
  <c r="G95" i="115"/>
  <c r="F95" i="115"/>
  <c r="C75" i="115"/>
  <c r="E95" i="115"/>
  <c r="B75" i="115"/>
  <c r="D95" i="115"/>
  <c r="C95" i="115"/>
  <c r="H75" i="115"/>
  <c r="H95" i="115"/>
  <c r="B95" i="115"/>
  <c r="F75" i="115"/>
  <c r="E75" i="115"/>
  <c r="G75" i="115"/>
  <c r="C55" i="115"/>
  <c r="C31" i="115"/>
  <c r="B55" i="115"/>
  <c r="B31" i="115"/>
  <c r="D75" i="115"/>
  <c r="D11" i="115"/>
  <c r="F11" i="115"/>
  <c r="P47" i="115"/>
  <c r="O36" i="115"/>
  <c r="O48" i="115"/>
  <c r="P71" i="115"/>
  <c r="O71" i="115"/>
  <c r="O35" i="115"/>
  <c r="P51" i="115"/>
  <c r="P53" i="115"/>
  <c r="O60" i="115"/>
  <c r="O62" i="115"/>
  <c r="O66" i="115"/>
  <c r="P73" i="115"/>
  <c r="O73" i="115"/>
  <c r="P74" i="115"/>
  <c r="O74" i="115"/>
  <c r="D77" i="115"/>
  <c r="G77" i="115"/>
  <c r="P52" i="115"/>
  <c r="O57" i="115"/>
  <c r="P115" i="115"/>
  <c r="O115" i="115"/>
  <c r="P83" i="115"/>
  <c r="O83" i="115"/>
  <c r="P111" i="115"/>
  <c r="O111" i="115"/>
  <c r="O80" i="115"/>
  <c r="O99" i="115"/>
  <c r="P107" i="115"/>
  <c r="O107" i="115"/>
  <c r="O94" i="115"/>
  <c r="P79" i="115"/>
  <c r="O79" i="115"/>
  <c r="P127" i="115"/>
  <c r="O127" i="115"/>
  <c r="O87" i="115"/>
  <c r="P123" i="115"/>
  <c r="O123" i="115"/>
  <c r="P95" i="115"/>
  <c r="O95" i="115"/>
  <c r="P119" i="115"/>
  <c r="O119" i="115"/>
  <c r="O77" i="115"/>
  <c r="O88" i="115"/>
  <c r="O104" i="115"/>
  <c r="O108" i="115"/>
  <c r="O112" i="115"/>
  <c r="O116" i="115"/>
  <c r="O120" i="115"/>
  <c r="O124" i="115"/>
  <c r="O128" i="115"/>
  <c r="S12" i="114"/>
  <c r="S11" i="114"/>
  <c r="E68" i="114"/>
  <c r="S13" i="114"/>
  <c r="E88" i="114"/>
  <c r="F95" i="114"/>
  <c r="E95" i="114"/>
  <c r="B75" i="114"/>
  <c r="D95" i="114"/>
  <c r="C95" i="114"/>
  <c r="H75" i="114"/>
  <c r="B95" i="114"/>
  <c r="H95" i="114"/>
  <c r="G75" i="114"/>
  <c r="G95" i="114"/>
  <c r="F75" i="114"/>
  <c r="E75" i="114"/>
  <c r="D75" i="114"/>
  <c r="O34" i="114"/>
  <c r="O38" i="114"/>
  <c r="O41" i="114"/>
  <c r="P55" i="114"/>
  <c r="O92" i="114"/>
  <c r="P92" i="114"/>
  <c r="O46" i="114"/>
  <c r="P62" i="114"/>
  <c r="O62" i="114"/>
  <c r="C75" i="114"/>
  <c r="O37" i="114"/>
  <c r="G77" i="114"/>
  <c r="D77" i="114"/>
  <c r="B11" i="114"/>
  <c r="P66" i="114"/>
  <c r="O66" i="114"/>
  <c r="C31" i="114"/>
  <c r="O60" i="114"/>
  <c r="P71" i="114"/>
  <c r="O71" i="114"/>
  <c r="P94" i="114"/>
  <c r="O94" i="114"/>
  <c r="C12" i="114"/>
  <c r="D12" i="114" s="1"/>
  <c r="O36" i="114"/>
  <c r="O39" i="114"/>
  <c r="O50" i="114"/>
  <c r="P52" i="114"/>
  <c r="P53" i="114"/>
  <c r="B55" i="114"/>
  <c r="B31" i="114"/>
  <c r="C55" i="114"/>
  <c r="P69" i="114"/>
  <c r="P83" i="114"/>
  <c r="O83" i="114"/>
  <c r="P86" i="114"/>
  <c r="P79" i="114"/>
  <c r="P87" i="114"/>
  <c r="O87" i="114"/>
  <c r="P98" i="114"/>
  <c r="O73" i="114"/>
  <c r="P99" i="114"/>
  <c r="O99" i="114"/>
  <c r="O95" i="114"/>
  <c r="O107" i="114"/>
  <c r="O111" i="114"/>
  <c r="O115" i="114"/>
  <c r="O119" i="114"/>
  <c r="O123" i="114"/>
  <c r="O127" i="114"/>
  <c r="O88" i="114"/>
  <c r="O104" i="114"/>
  <c r="O108" i="114"/>
  <c r="O112" i="114"/>
  <c r="O116" i="114"/>
  <c r="O120" i="114"/>
  <c r="O124" i="114"/>
  <c r="O128" i="114"/>
  <c r="S12" i="112"/>
  <c r="S11" i="112"/>
  <c r="E68" i="112"/>
  <c r="S13" i="112"/>
  <c r="E88" i="112"/>
  <c r="O42" i="112"/>
  <c r="P42" i="112"/>
  <c r="F12" i="112"/>
  <c r="C12" i="112"/>
  <c r="D12" i="112" s="1"/>
  <c r="P50" i="112"/>
  <c r="O50" i="112"/>
  <c r="P71" i="112"/>
  <c r="O71" i="112"/>
  <c r="P78" i="112"/>
  <c r="O78" i="112"/>
  <c r="O40" i="112"/>
  <c r="P74" i="112"/>
  <c r="O74" i="112"/>
  <c r="P36" i="112"/>
  <c r="O46" i="112"/>
  <c r="P46" i="112"/>
  <c r="O61" i="112"/>
  <c r="P83" i="112"/>
  <c r="O83" i="112"/>
  <c r="D77" i="112"/>
  <c r="G77" i="112"/>
  <c r="P55" i="112"/>
  <c r="O55" i="112"/>
  <c r="P47" i="112"/>
  <c r="O47" i="112"/>
  <c r="P68" i="112"/>
  <c r="O68" i="112"/>
  <c r="B11" i="112"/>
  <c r="O34" i="112"/>
  <c r="O38" i="112"/>
  <c r="O57" i="112"/>
  <c r="P62" i="112"/>
  <c r="O62" i="112"/>
  <c r="O99" i="112"/>
  <c r="P99" i="112"/>
  <c r="P76" i="112"/>
  <c r="O76" i="112"/>
  <c r="O110" i="112"/>
  <c r="P100" i="112"/>
  <c r="O100" i="112"/>
  <c r="O49" i="112"/>
  <c r="P60" i="112"/>
  <c r="O60" i="112"/>
  <c r="P122" i="112"/>
  <c r="O122" i="112"/>
  <c r="P66" i="112"/>
  <c r="O66" i="112"/>
  <c r="P73" i="112"/>
  <c r="O73" i="112"/>
  <c r="O79" i="112"/>
  <c r="P84" i="112"/>
  <c r="O84" i="112"/>
  <c r="P126" i="112"/>
  <c r="O126" i="112"/>
  <c r="P96" i="112"/>
  <c r="O96" i="112"/>
  <c r="O106" i="112"/>
  <c r="O88" i="112"/>
  <c r="O104" i="112"/>
  <c r="O108" i="112"/>
  <c r="O112" i="112"/>
  <c r="O116" i="112"/>
  <c r="O120" i="112"/>
  <c r="O124" i="112"/>
  <c r="O128" i="112"/>
  <c r="C90" i="118" l="1"/>
  <c r="B90" i="118"/>
  <c r="H90" i="118"/>
  <c r="G90" i="118"/>
  <c r="F90" i="118"/>
  <c r="H70" i="118"/>
  <c r="D90" i="118"/>
  <c r="G70" i="118"/>
  <c r="F70" i="118"/>
  <c r="C50" i="118"/>
  <c r="D70" i="118"/>
  <c r="B50" i="118"/>
  <c r="C70" i="118"/>
  <c r="B70" i="118"/>
  <c r="B26" i="118"/>
  <c r="C26" i="118"/>
  <c r="C90" i="117"/>
  <c r="B90" i="117"/>
  <c r="H90" i="117"/>
  <c r="D90" i="117"/>
  <c r="G90" i="117"/>
  <c r="H70" i="117"/>
  <c r="F90" i="117"/>
  <c r="G70" i="117"/>
  <c r="D70" i="117"/>
  <c r="C70" i="117"/>
  <c r="B70" i="117"/>
  <c r="B26" i="117"/>
  <c r="C50" i="117"/>
  <c r="B50" i="117"/>
  <c r="F70" i="117"/>
  <c r="C26" i="117"/>
  <c r="C90" i="116"/>
  <c r="H90" i="116"/>
  <c r="H70" i="116"/>
  <c r="G90" i="116"/>
  <c r="G70" i="116"/>
  <c r="F90" i="116"/>
  <c r="F70" i="116"/>
  <c r="D90" i="116"/>
  <c r="D70" i="116"/>
  <c r="B90" i="116"/>
  <c r="C70" i="116"/>
  <c r="B70" i="116"/>
  <c r="C50" i="116"/>
  <c r="C26" i="116"/>
  <c r="B50" i="116"/>
  <c r="B26" i="116"/>
  <c r="F11" i="114"/>
  <c r="D11" i="114"/>
  <c r="F11" i="112"/>
  <c r="D11" i="112"/>
  <c r="G95" i="112"/>
  <c r="F95" i="112"/>
  <c r="E95" i="112"/>
  <c r="B75" i="112"/>
  <c r="D95" i="112"/>
  <c r="B95" i="112"/>
  <c r="H75" i="112"/>
  <c r="H95" i="112"/>
  <c r="E75" i="112"/>
  <c r="C95" i="112"/>
  <c r="D75" i="112"/>
  <c r="C55" i="112"/>
  <c r="G75" i="112"/>
  <c r="F75" i="112"/>
  <c r="B31" i="112"/>
  <c r="B55" i="112"/>
  <c r="C75" i="112"/>
  <c r="C31" i="112"/>
  <c r="B90" i="114" l="1"/>
  <c r="H90" i="114"/>
  <c r="G90" i="114"/>
  <c r="D90" i="114"/>
  <c r="F90" i="114"/>
  <c r="F70" i="114"/>
  <c r="C50" i="114"/>
  <c r="C90" i="114"/>
  <c r="D70" i="114"/>
  <c r="C70" i="114"/>
  <c r="B70" i="114"/>
  <c r="G70" i="114"/>
  <c r="B50" i="114"/>
  <c r="C26" i="114"/>
  <c r="H70" i="114"/>
  <c r="B26" i="114"/>
  <c r="C90" i="112"/>
  <c r="B90" i="112"/>
  <c r="G90" i="112"/>
  <c r="H90" i="112"/>
  <c r="D70" i="112"/>
  <c r="B50" i="112"/>
  <c r="G70" i="112"/>
  <c r="F70" i="112"/>
  <c r="B70" i="112"/>
  <c r="C50" i="112"/>
  <c r="C26" i="112"/>
  <c r="D90" i="112"/>
  <c r="H70" i="112"/>
  <c r="F90" i="112"/>
  <c r="B26" i="112"/>
  <c r="C70" i="112"/>
  <c r="F22" i="118" l="1" a="1"/>
  <c r="F22" i="118" s="1"/>
  <c r="F22" i="115" a="1"/>
  <c r="F22" i="115" s="1"/>
  <c r="F22" i="116" l="1" a="1"/>
  <c r="F22" i="116" s="1"/>
  <c r="AK12" i="111" l="1"/>
  <c r="AJ12" i="111"/>
  <c r="AI12" i="111"/>
  <c r="AK11" i="111"/>
  <c r="AJ11" i="111"/>
  <c r="AI11" i="111"/>
  <c r="AK10" i="111"/>
  <c r="AJ10" i="111"/>
  <c r="AI10" i="111"/>
  <c r="AJ9" i="111"/>
  <c r="AI9" i="111"/>
  <c r="AK8" i="111"/>
  <c r="AI8" i="111"/>
  <c r="AK7" i="111"/>
  <c r="AI7" i="111"/>
  <c r="AK6" i="111"/>
  <c r="AI6" i="111"/>
  <c r="AI5" i="111"/>
  <c r="AH5" i="111"/>
  <c r="AJ4" i="111"/>
  <c r="AI4" i="111"/>
  <c r="AH4" i="111"/>
  <c r="AI3" i="111"/>
  <c r="AH3" i="111"/>
  <c r="AK2" i="111"/>
  <c r="AJ2" i="111"/>
  <c r="AH2" i="111"/>
  <c r="AK12" i="109"/>
  <c r="AJ12" i="109"/>
  <c r="AI12" i="109"/>
  <c r="AK11" i="109"/>
  <c r="AJ11" i="109"/>
  <c r="AI11" i="109"/>
  <c r="AK10" i="109"/>
  <c r="AJ10" i="109"/>
  <c r="AI10" i="109"/>
  <c r="AI9" i="109"/>
  <c r="AI8" i="109"/>
  <c r="AI7" i="109"/>
  <c r="AI6" i="109"/>
  <c r="AI5" i="109"/>
  <c r="AH5" i="109"/>
  <c r="AI4" i="109"/>
  <c r="AH4" i="109"/>
  <c r="AI3" i="109"/>
  <c r="AH3" i="109"/>
  <c r="AK2" i="109"/>
  <c r="AJ2" i="109"/>
  <c r="AH2" i="109"/>
  <c r="X29" i="111"/>
  <c r="K25" i="111"/>
  <c r="K24" i="111"/>
  <c r="N15" i="111"/>
  <c r="K15" i="111"/>
  <c r="P12" i="111"/>
  <c r="K12" i="111"/>
  <c r="H11" i="111"/>
  <c r="C11" i="111"/>
  <c r="N7" i="111"/>
  <c r="AG3" i="111"/>
  <c r="AB3" i="111"/>
  <c r="Z3" i="111"/>
  <c r="Y3" i="111"/>
  <c r="U3" i="111"/>
  <c r="T3" i="111"/>
  <c r="S3" i="111"/>
  <c r="R3" i="111"/>
  <c r="E84" i="111" s="1"/>
  <c r="P3" i="111"/>
  <c r="O3" i="111"/>
  <c r="N3" i="111"/>
  <c r="J3" i="111"/>
  <c r="S14" i="111" s="1"/>
  <c r="AG2" i="111"/>
  <c r="AF2" i="111"/>
  <c r="AE2" i="111"/>
  <c r="AD2" i="111"/>
  <c r="AC2" i="111"/>
  <c r="AB2" i="111"/>
  <c r="Z2" i="111"/>
  <c r="Y2" i="111"/>
  <c r="V2" i="111"/>
  <c r="X2" i="111" s="1"/>
  <c r="U2" i="111"/>
  <c r="T2" i="111"/>
  <c r="S2" i="111"/>
  <c r="B38" i="111" s="1"/>
  <c r="R2" i="111"/>
  <c r="E102" i="111" s="1"/>
  <c r="Q2" i="111"/>
  <c r="P2" i="111"/>
  <c r="O2" i="111"/>
  <c r="N2" i="111"/>
  <c r="J2" i="111"/>
  <c r="AJ7" i="111" s="1"/>
  <c r="N129" i="111"/>
  <c r="O129" i="111" s="1"/>
  <c r="P128" i="111"/>
  <c r="N128" i="111"/>
  <c r="O128" i="111" s="1"/>
  <c r="N127" i="111"/>
  <c r="P127" i="111" s="1"/>
  <c r="P126" i="111"/>
  <c r="N126" i="111"/>
  <c r="O126" i="111" s="1"/>
  <c r="N125" i="111"/>
  <c r="O125" i="111" s="1"/>
  <c r="P124" i="111"/>
  <c r="N124" i="111"/>
  <c r="O124" i="111" s="1"/>
  <c r="N123" i="111"/>
  <c r="P123" i="111" s="1"/>
  <c r="P122" i="111"/>
  <c r="N122" i="111"/>
  <c r="O122" i="111" s="1"/>
  <c r="N121" i="111"/>
  <c r="O121" i="111" s="1"/>
  <c r="P120" i="111"/>
  <c r="N120" i="111"/>
  <c r="O120" i="111" s="1"/>
  <c r="N119" i="111"/>
  <c r="P119" i="111" s="1"/>
  <c r="P118" i="111"/>
  <c r="N118" i="111"/>
  <c r="O118" i="111" s="1"/>
  <c r="N117" i="111"/>
  <c r="O117" i="111" s="1"/>
  <c r="P116" i="111"/>
  <c r="N116" i="111"/>
  <c r="O116" i="111" s="1"/>
  <c r="N115" i="111"/>
  <c r="P115" i="111" s="1"/>
  <c r="P114" i="111"/>
  <c r="N114" i="111"/>
  <c r="O114" i="111" s="1"/>
  <c r="N113" i="111"/>
  <c r="O113" i="111" s="1"/>
  <c r="P112" i="111"/>
  <c r="N112" i="111"/>
  <c r="O112" i="111" s="1"/>
  <c r="N111" i="111"/>
  <c r="P111" i="111" s="1"/>
  <c r="P110" i="111"/>
  <c r="N110" i="111"/>
  <c r="O110" i="111" s="1"/>
  <c r="N109" i="111"/>
  <c r="O109" i="111" s="1"/>
  <c r="P108" i="111"/>
  <c r="N108" i="111"/>
  <c r="O108" i="111" s="1"/>
  <c r="N107" i="111"/>
  <c r="P107" i="111" s="1"/>
  <c r="P106" i="111"/>
  <c r="N106" i="111"/>
  <c r="O106" i="111" s="1"/>
  <c r="N105" i="111"/>
  <c r="O105" i="111" s="1"/>
  <c r="P104" i="111"/>
  <c r="N104" i="111"/>
  <c r="O104" i="111" s="1"/>
  <c r="O103" i="111"/>
  <c r="N103" i="111"/>
  <c r="P103" i="111" s="1"/>
  <c r="N102" i="111"/>
  <c r="O102" i="111" s="1"/>
  <c r="O101" i="111"/>
  <c r="N101" i="111"/>
  <c r="P101" i="111" s="1"/>
  <c r="P100" i="111"/>
  <c r="O100" i="111"/>
  <c r="N100" i="111"/>
  <c r="O99" i="111"/>
  <c r="N99" i="111"/>
  <c r="P99" i="111" s="1"/>
  <c r="P98" i="111"/>
  <c r="O98" i="111"/>
  <c r="N98" i="111"/>
  <c r="O97" i="111"/>
  <c r="N97" i="111"/>
  <c r="P97" i="111" s="1"/>
  <c r="P96" i="111"/>
  <c r="O96" i="111"/>
  <c r="N96" i="111"/>
  <c r="B96" i="111"/>
  <c r="N95" i="111"/>
  <c r="P95" i="111" s="1"/>
  <c r="O94" i="111"/>
  <c r="N94" i="111"/>
  <c r="P94" i="111" s="1"/>
  <c r="H94" i="111"/>
  <c r="G94" i="111"/>
  <c r="F94" i="111"/>
  <c r="E94" i="111"/>
  <c r="D94" i="111"/>
  <c r="C94" i="111"/>
  <c r="B94" i="111"/>
  <c r="P93" i="111"/>
  <c r="O93" i="111"/>
  <c r="N93" i="111"/>
  <c r="P92" i="111"/>
  <c r="O92" i="111"/>
  <c r="N92" i="111"/>
  <c r="N91" i="111"/>
  <c r="O91" i="111" s="1"/>
  <c r="H91" i="111"/>
  <c r="G91" i="111"/>
  <c r="F91" i="111"/>
  <c r="E91" i="111"/>
  <c r="D91" i="111"/>
  <c r="C91" i="111"/>
  <c r="B91" i="111"/>
  <c r="O90" i="111"/>
  <c r="N90" i="111"/>
  <c r="P90" i="111" s="1"/>
  <c r="O89" i="111"/>
  <c r="N89" i="111"/>
  <c r="P89" i="111" s="1"/>
  <c r="H89" i="111"/>
  <c r="G89" i="111"/>
  <c r="F89" i="111"/>
  <c r="E89" i="111"/>
  <c r="D89" i="111"/>
  <c r="C89" i="111"/>
  <c r="B89" i="111"/>
  <c r="P88" i="111"/>
  <c r="N88" i="111"/>
  <c r="O88" i="111" s="1"/>
  <c r="O87" i="111"/>
  <c r="N87" i="111"/>
  <c r="P87" i="111" s="1"/>
  <c r="P86" i="111"/>
  <c r="O86" i="111"/>
  <c r="N86" i="111"/>
  <c r="O85" i="111"/>
  <c r="N85" i="111"/>
  <c r="P85" i="111" s="1"/>
  <c r="N84" i="111"/>
  <c r="P84" i="111" s="1"/>
  <c r="N83" i="111"/>
  <c r="N82" i="111"/>
  <c r="P82" i="111" s="1"/>
  <c r="Y81" i="111"/>
  <c r="W81" i="111"/>
  <c r="X81" i="111" s="1"/>
  <c r="P81" i="111"/>
  <c r="O81" i="111"/>
  <c r="N81" i="111"/>
  <c r="Y80" i="111"/>
  <c r="X80" i="111"/>
  <c r="W80" i="111"/>
  <c r="O80" i="111"/>
  <c r="N80" i="111"/>
  <c r="P80" i="111" s="1"/>
  <c r="X79" i="111"/>
  <c r="W79" i="111"/>
  <c r="Y79" i="111" s="1"/>
  <c r="N79" i="111"/>
  <c r="W78" i="111"/>
  <c r="N78" i="111"/>
  <c r="P78" i="111" s="1"/>
  <c r="W77" i="111"/>
  <c r="Y77" i="111" s="1"/>
  <c r="P77" i="111"/>
  <c r="N77" i="111"/>
  <c r="O77" i="111" s="1"/>
  <c r="W76" i="111"/>
  <c r="N76" i="111"/>
  <c r="P76" i="111" s="1"/>
  <c r="H76" i="111"/>
  <c r="G76" i="111"/>
  <c r="F76" i="111"/>
  <c r="E76" i="111"/>
  <c r="D76" i="111"/>
  <c r="C76" i="111"/>
  <c r="B76" i="111"/>
  <c r="Y75" i="111"/>
  <c r="W75" i="111"/>
  <c r="X75" i="111" s="1"/>
  <c r="P75" i="111"/>
  <c r="O75" i="111"/>
  <c r="N75" i="111"/>
  <c r="W74" i="111"/>
  <c r="P74" i="111"/>
  <c r="N74" i="111"/>
  <c r="O74" i="111" s="1"/>
  <c r="B74" i="111"/>
  <c r="Y73" i="111"/>
  <c r="X73" i="111"/>
  <c r="W73" i="111"/>
  <c r="N73" i="111"/>
  <c r="P73" i="111" s="1"/>
  <c r="W72" i="111"/>
  <c r="N72" i="111"/>
  <c r="P72" i="111" s="1"/>
  <c r="Y71" i="111"/>
  <c r="W71" i="111"/>
  <c r="X71" i="111" s="1"/>
  <c r="P71" i="111"/>
  <c r="O71" i="111"/>
  <c r="N71" i="111"/>
  <c r="H71" i="111"/>
  <c r="G71" i="111"/>
  <c r="F71" i="111"/>
  <c r="E71" i="111"/>
  <c r="D71" i="111"/>
  <c r="C71" i="111"/>
  <c r="B71" i="111"/>
  <c r="Y70" i="111"/>
  <c r="X70" i="111"/>
  <c r="W70" i="111"/>
  <c r="N70" i="111"/>
  <c r="Y69" i="111"/>
  <c r="W69" i="111"/>
  <c r="X69" i="111" s="1"/>
  <c r="P69" i="111"/>
  <c r="O69" i="111"/>
  <c r="N69" i="111"/>
  <c r="H69" i="111"/>
  <c r="G69" i="111"/>
  <c r="F69" i="111"/>
  <c r="E69" i="111"/>
  <c r="D69" i="111"/>
  <c r="C69" i="111"/>
  <c r="B69" i="111"/>
  <c r="X68" i="111"/>
  <c r="W68" i="111"/>
  <c r="Y68" i="111" s="1"/>
  <c r="N68" i="111"/>
  <c r="O68" i="111" s="1"/>
  <c r="X67" i="111"/>
  <c r="W67" i="111"/>
  <c r="Y67" i="111" s="1"/>
  <c r="N67" i="111"/>
  <c r="O67" i="111" s="1"/>
  <c r="W66" i="111"/>
  <c r="X66" i="111" s="1"/>
  <c r="P66" i="111"/>
  <c r="N66" i="111"/>
  <c r="O66" i="111" s="1"/>
  <c r="Y65" i="111"/>
  <c r="W65" i="111"/>
  <c r="X65" i="111" s="1"/>
  <c r="P65" i="111"/>
  <c r="O65" i="111"/>
  <c r="N65" i="111"/>
  <c r="Y64" i="111"/>
  <c r="X64" i="111"/>
  <c r="W64" i="111"/>
  <c r="N64" i="111"/>
  <c r="Y63" i="111"/>
  <c r="W63" i="111"/>
  <c r="X63" i="111" s="1"/>
  <c r="P63" i="111"/>
  <c r="O63" i="111"/>
  <c r="N63" i="111"/>
  <c r="W62" i="111"/>
  <c r="X62" i="111" s="1"/>
  <c r="P62" i="111"/>
  <c r="N62" i="111"/>
  <c r="O62" i="111" s="1"/>
  <c r="X61" i="111"/>
  <c r="W61" i="111"/>
  <c r="Y61" i="111" s="1"/>
  <c r="N61" i="111"/>
  <c r="O61" i="111" s="1"/>
  <c r="W60" i="111"/>
  <c r="X60" i="111" s="1"/>
  <c r="P60" i="111"/>
  <c r="N60" i="111"/>
  <c r="O60" i="111" s="1"/>
  <c r="Y59" i="111"/>
  <c r="W59" i="111"/>
  <c r="X59" i="111" s="1"/>
  <c r="P59" i="111"/>
  <c r="O59" i="111"/>
  <c r="N59" i="111"/>
  <c r="Y58" i="111"/>
  <c r="X58" i="111"/>
  <c r="W58" i="111"/>
  <c r="N58" i="111"/>
  <c r="W57" i="111"/>
  <c r="N57" i="111"/>
  <c r="P57" i="111" s="1"/>
  <c r="W56" i="111"/>
  <c r="Y56" i="111" s="1"/>
  <c r="P56" i="111"/>
  <c r="O56" i="111"/>
  <c r="N56" i="111"/>
  <c r="C56" i="111"/>
  <c r="B56" i="111"/>
  <c r="W55" i="111"/>
  <c r="N55" i="111"/>
  <c r="P55" i="111" s="1"/>
  <c r="Y54" i="111"/>
  <c r="X54" i="111"/>
  <c r="W54" i="111"/>
  <c r="N54" i="111"/>
  <c r="C54" i="111"/>
  <c r="B54" i="111"/>
  <c r="Y53" i="111"/>
  <c r="W53" i="111"/>
  <c r="X53" i="111" s="1"/>
  <c r="P53" i="111"/>
  <c r="O53" i="111"/>
  <c r="N53" i="111"/>
  <c r="Y52" i="111"/>
  <c r="W52" i="111"/>
  <c r="X52" i="111" s="1"/>
  <c r="P52" i="111"/>
  <c r="O52" i="111"/>
  <c r="N52" i="111"/>
  <c r="Y51" i="111"/>
  <c r="W51" i="111"/>
  <c r="X51" i="111" s="1"/>
  <c r="P51" i="111"/>
  <c r="O51" i="111"/>
  <c r="N51" i="111"/>
  <c r="C51" i="111"/>
  <c r="B51" i="111"/>
  <c r="W50" i="111"/>
  <c r="X50" i="111" s="1"/>
  <c r="P50" i="111"/>
  <c r="N50" i="111"/>
  <c r="O50" i="111" s="1"/>
  <c r="X49" i="111"/>
  <c r="W49" i="111"/>
  <c r="Y49" i="111" s="1"/>
  <c r="N49" i="111"/>
  <c r="O49" i="111" s="1"/>
  <c r="C49" i="111"/>
  <c r="B49" i="111"/>
  <c r="Y48" i="111"/>
  <c r="X48" i="111"/>
  <c r="W48" i="111"/>
  <c r="O48" i="111"/>
  <c r="N48" i="111"/>
  <c r="P48" i="111" s="1"/>
  <c r="X47" i="111"/>
  <c r="W47" i="111"/>
  <c r="Y47" i="111" s="1"/>
  <c r="N47" i="111"/>
  <c r="O47" i="111" s="1"/>
  <c r="W46" i="111"/>
  <c r="X46" i="111" s="1"/>
  <c r="P46" i="111"/>
  <c r="N46" i="111"/>
  <c r="O46" i="111" s="1"/>
  <c r="Y45" i="111"/>
  <c r="W45" i="111"/>
  <c r="X45" i="111" s="1"/>
  <c r="P45" i="111"/>
  <c r="O45" i="111"/>
  <c r="N45" i="111"/>
  <c r="Y44" i="111"/>
  <c r="X44" i="111"/>
  <c r="W44" i="111"/>
  <c r="N44" i="111"/>
  <c r="Y43" i="111"/>
  <c r="W43" i="111"/>
  <c r="X43" i="111" s="1"/>
  <c r="P43" i="111"/>
  <c r="O43" i="111"/>
  <c r="N43" i="111"/>
  <c r="W42" i="111"/>
  <c r="X42" i="111" s="1"/>
  <c r="P42" i="111"/>
  <c r="N42" i="111"/>
  <c r="O42" i="111" s="1"/>
  <c r="X41" i="111"/>
  <c r="W41" i="111"/>
  <c r="Y41" i="111" s="1"/>
  <c r="N41" i="111"/>
  <c r="O41" i="111" s="1"/>
  <c r="W40" i="111"/>
  <c r="X40" i="111" s="1"/>
  <c r="P40" i="111"/>
  <c r="N40" i="111"/>
  <c r="O40" i="111" s="1"/>
  <c r="W39" i="111"/>
  <c r="X39" i="111" s="1"/>
  <c r="P39" i="111"/>
  <c r="N39" i="111"/>
  <c r="O39" i="111" s="1"/>
  <c r="Y38" i="111"/>
  <c r="W38" i="111"/>
  <c r="X38" i="111" s="1"/>
  <c r="P38" i="111"/>
  <c r="O38" i="111"/>
  <c r="N38" i="111"/>
  <c r="Y37" i="111"/>
  <c r="W37" i="111"/>
  <c r="X37" i="111" s="1"/>
  <c r="P37" i="111"/>
  <c r="O37" i="111"/>
  <c r="N37" i="111"/>
  <c r="Y36" i="111"/>
  <c r="X36" i="111"/>
  <c r="W36" i="111"/>
  <c r="N36" i="111"/>
  <c r="W35" i="111"/>
  <c r="N35" i="111"/>
  <c r="P35" i="111" s="1"/>
  <c r="W34" i="111"/>
  <c r="Y34" i="111" s="1"/>
  <c r="P34" i="111"/>
  <c r="N34" i="111"/>
  <c r="O34" i="111" s="1"/>
  <c r="C32" i="111"/>
  <c r="B32" i="111"/>
  <c r="C30" i="111"/>
  <c r="B30" i="111"/>
  <c r="C27" i="111"/>
  <c r="B27" i="111"/>
  <c r="C25" i="111"/>
  <c r="B25" i="111"/>
  <c r="B12" i="111"/>
  <c r="F12" i="111" s="1"/>
  <c r="H72" i="111" l="1"/>
  <c r="AJ3" i="111"/>
  <c r="AJ5" i="111"/>
  <c r="AK3" i="111"/>
  <c r="AK5" i="111"/>
  <c r="AJ8" i="111"/>
  <c r="AJ6" i="111"/>
  <c r="AK4" i="111"/>
  <c r="AK9" i="111"/>
  <c r="C40" i="111"/>
  <c r="N12" i="111"/>
  <c r="O18" i="111" s="1"/>
  <c r="C12" i="111"/>
  <c r="D12" i="111" s="1"/>
  <c r="S12" i="111"/>
  <c r="S11" i="111"/>
  <c r="E68" i="111"/>
  <c r="S13" i="111"/>
  <c r="E88" i="111"/>
  <c r="G95" i="111"/>
  <c r="D75" i="111"/>
  <c r="F95" i="111"/>
  <c r="E95" i="111"/>
  <c r="B75" i="111"/>
  <c r="D95" i="111"/>
  <c r="C95" i="111"/>
  <c r="H75" i="111"/>
  <c r="B95" i="111"/>
  <c r="F75" i="111"/>
  <c r="H95" i="111"/>
  <c r="E75" i="111"/>
  <c r="B55" i="111"/>
  <c r="C31" i="111"/>
  <c r="G75" i="111"/>
  <c r="B31" i="111"/>
  <c r="C55" i="111"/>
  <c r="P54" i="111"/>
  <c r="O54" i="111"/>
  <c r="Y57" i="111"/>
  <c r="X57" i="111"/>
  <c r="H74" i="111"/>
  <c r="G74" i="111"/>
  <c r="F74" i="111"/>
  <c r="D74" i="111"/>
  <c r="C74" i="111"/>
  <c r="E74" i="111"/>
  <c r="F96" i="111"/>
  <c r="E96" i="111"/>
  <c r="D96" i="111"/>
  <c r="C96" i="111"/>
  <c r="H96" i="111"/>
  <c r="G96" i="111"/>
  <c r="Y35" i="111"/>
  <c r="X35" i="111"/>
  <c r="P44" i="111"/>
  <c r="O44" i="111"/>
  <c r="P58" i="111"/>
  <c r="O58" i="111"/>
  <c r="P70" i="111"/>
  <c r="O70" i="111"/>
  <c r="D77" i="111"/>
  <c r="G77" i="111"/>
  <c r="B11" i="111"/>
  <c r="P36" i="111"/>
  <c r="O36" i="111"/>
  <c r="P64" i="111"/>
  <c r="O64" i="111"/>
  <c r="P79" i="111"/>
  <c r="O79" i="111"/>
  <c r="Y55" i="111"/>
  <c r="X55" i="111"/>
  <c r="C75" i="111"/>
  <c r="Y39" i="111"/>
  <c r="Y40" i="111"/>
  <c r="P41" i="111"/>
  <c r="Y42" i="111"/>
  <c r="Y46" i="111"/>
  <c r="P47" i="111"/>
  <c r="P49" i="111"/>
  <c r="Y50" i="111"/>
  <c r="Y60" i="111"/>
  <c r="P61" i="111"/>
  <c r="Y62" i="111"/>
  <c r="Y66" i="111"/>
  <c r="P67" i="111"/>
  <c r="P68" i="111"/>
  <c r="P83" i="111"/>
  <c r="O83" i="111"/>
  <c r="X34" i="111"/>
  <c r="O35" i="111"/>
  <c r="O55" i="111"/>
  <c r="X56" i="111"/>
  <c r="O57" i="111"/>
  <c r="O73" i="111"/>
  <c r="Y76" i="111"/>
  <c r="X76" i="111"/>
  <c r="Y72" i="111"/>
  <c r="X72" i="111"/>
  <c r="X74" i="111"/>
  <c r="Y74" i="111"/>
  <c r="Y78" i="111"/>
  <c r="X78" i="111"/>
  <c r="P91" i="111"/>
  <c r="P102" i="111"/>
  <c r="P105" i="111"/>
  <c r="P109" i="111"/>
  <c r="P113" i="111"/>
  <c r="P117" i="111"/>
  <c r="P121" i="111"/>
  <c r="P125" i="111"/>
  <c r="P129" i="111"/>
  <c r="O95" i="111"/>
  <c r="O107" i="111"/>
  <c r="O111" i="111"/>
  <c r="O115" i="111"/>
  <c r="O119" i="111"/>
  <c r="O123" i="111"/>
  <c r="O127" i="111"/>
  <c r="O72" i="111"/>
  <c r="O76" i="111"/>
  <c r="X77" i="111"/>
  <c r="O78" i="111"/>
  <c r="O82" i="111"/>
  <c r="O84" i="111"/>
  <c r="H18" i="111" l="1"/>
  <c r="R102" i="111"/>
  <c r="R95" i="111"/>
  <c r="R53" i="111"/>
  <c r="R109" i="111"/>
  <c r="R127" i="111"/>
  <c r="R82" i="111"/>
  <c r="R70" i="111"/>
  <c r="R81" i="111"/>
  <c r="R60" i="111"/>
  <c r="R50" i="111"/>
  <c r="R38" i="111"/>
  <c r="R65" i="111"/>
  <c r="R124" i="111"/>
  <c r="R42" i="111"/>
  <c r="R74" i="111"/>
  <c r="R106" i="111"/>
  <c r="R92" i="111"/>
  <c r="R117" i="111"/>
  <c r="R110" i="111"/>
  <c r="R97" i="111"/>
  <c r="R63" i="111"/>
  <c r="R114" i="111"/>
  <c r="R35" i="111"/>
  <c r="R123" i="111"/>
  <c r="R119" i="111"/>
  <c r="R115" i="111"/>
  <c r="R105" i="111"/>
  <c r="R126" i="111"/>
  <c r="R75" i="111"/>
  <c r="R36" i="111"/>
  <c r="R93" i="111"/>
  <c r="R125" i="111"/>
  <c r="R43" i="111"/>
  <c r="R118" i="111"/>
  <c r="R61" i="111"/>
  <c r="R76" i="111"/>
  <c r="R99" i="111"/>
  <c r="R71" i="111"/>
  <c r="R120" i="111"/>
  <c r="R58" i="111"/>
  <c r="R40" i="111"/>
  <c r="R78" i="111"/>
  <c r="R91" i="111"/>
  <c r="R87" i="111"/>
  <c r="R83" i="111"/>
  <c r="R108" i="111"/>
  <c r="R62" i="111"/>
  <c r="R101" i="111"/>
  <c r="R103" i="111"/>
  <c r="R90" i="111"/>
  <c r="R67" i="111"/>
  <c r="R112" i="111"/>
  <c r="R39" i="111"/>
  <c r="R98" i="111"/>
  <c r="R46" i="111"/>
  <c r="R59" i="111"/>
  <c r="R55" i="111"/>
  <c r="R51" i="111"/>
  <c r="R113" i="111"/>
  <c r="R86" i="111"/>
  <c r="R116" i="111"/>
  <c r="R41" i="111"/>
  <c r="R80" i="111"/>
  <c r="R49" i="111"/>
  <c r="R37" i="111"/>
  <c r="R34" i="111"/>
  <c r="R121" i="111"/>
  <c r="R44" i="111"/>
  <c r="R104" i="111"/>
  <c r="R54" i="111"/>
  <c r="R77" i="111"/>
  <c r="R69" i="111"/>
  <c r="R56" i="111"/>
  <c r="R52" i="111"/>
  <c r="R48" i="111"/>
  <c r="R66" i="111"/>
  <c r="R79" i="111"/>
  <c r="R128" i="111"/>
  <c r="R100" i="111"/>
  <c r="R85" i="111"/>
  <c r="R96" i="111"/>
  <c r="R45" i="111"/>
  <c r="R84" i="111"/>
  <c r="R94" i="111"/>
  <c r="R89" i="111"/>
  <c r="R73" i="111"/>
  <c r="R57" i="111"/>
  <c r="R129" i="111"/>
  <c r="R47" i="111"/>
  <c r="R107" i="111"/>
  <c r="R68" i="111"/>
  <c r="R122" i="111"/>
  <c r="R64" i="111"/>
  <c r="R72" i="111"/>
  <c r="R88" i="111"/>
  <c r="R111" i="111"/>
  <c r="AA126" i="111"/>
  <c r="AA61" i="111"/>
  <c r="AA35" i="111"/>
  <c r="AA58" i="111"/>
  <c r="AA123" i="111"/>
  <c r="AA129" i="111"/>
  <c r="AA49" i="111"/>
  <c r="AA81" i="111"/>
  <c r="AA113" i="111"/>
  <c r="AA99" i="111"/>
  <c r="AA55" i="111"/>
  <c r="AA91" i="111"/>
  <c r="AA84" i="111"/>
  <c r="AA125" i="111"/>
  <c r="AA87" i="111"/>
  <c r="AA65" i="111"/>
  <c r="AA44" i="111"/>
  <c r="AA76" i="111"/>
  <c r="AA108" i="111"/>
  <c r="AA110" i="111"/>
  <c r="AA98" i="111"/>
  <c r="AA53" i="111"/>
  <c r="AA85" i="111"/>
  <c r="AA117" i="111"/>
  <c r="AA115" i="111"/>
  <c r="AA59" i="111"/>
  <c r="AA103" i="111"/>
  <c r="AA52" i="111"/>
  <c r="AA93" i="111"/>
  <c r="AA88" i="111"/>
  <c r="AA39" i="111"/>
  <c r="AA114" i="111"/>
  <c r="AA48" i="111"/>
  <c r="AA80" i="111"/>
  <c r="AA112" i="111"/>
  <c r="AA95" i="111"/>
  <c r="AA106" i="111"/>
  <c r="AA57" i="111"/>
  <c r="AA89" i="111"/>
  <c r="AA121" i="111"/>
  <c r="AA34" i="111"/>
  <c r="AA63" i="111"/>
  <c r="AA119" i="111"/>
  <c r="AA50" i="111"/>
  <c r="AA111" i="111"/>
  <c r="AA67" i="111"/>
  <c r="AA56" i="111"/>
  <c r="AA97" i="111"/>
  <c r="AA107" i="111"/>
  <c r="AA60" i="111"/>
  <c r="AA92" i="111"/>
  <c r="AA124" i="111"/>
  <c r="AA54" i="111"/>
  <c r="AA37" i="111"/>
  <c r="AA69" i="111"/>
  <c r="AA101" i="111"/>
  <c r="AA46" i="111"/>
  <c r="AA43" i="111"/>
  <c r="AA75" i="111"/>
  <c r="AA116" i="111"/>
  <c r="AA120" i="111"/>
  <c r="AA71" i="111"/>
  <c r="AA74" i="111"/>
  <c r="AA127" i="111"/>
  <c r="AA64" i="111"/>
  <c r="AA96" i="111"/>
  <c r="AA128" i="111"/>
  <c r="AA62" i="111"/>
  <c r="AA41" i="111"/>
  <c r="AA73" i="111"/>
  <c r="AA105" i="111"/>
  <c r="AA94" i="111"/>
  <c r="AA47" i="111"/>
  <c r="AA79" i="111"/>
  <c r="AA118" i="111"/>
  <c r="AA42" i="111"/>
  <c r="AA82" i="111"/>
  <c r="AA90" i="111"/>
  <c r="AA38" i="111"/>
  <c r="AA83" i="111"/>
  <c r="AA100" i="111"/>
  <c r="AA78" i="111"/>
  <c r="AA72" i="111"/>
  <c r="AA66" i="111"/>
  <c r="AA109" i="111"/>
  <c r="AA45" i="111"/>
  <c r="AA102" i="111"/>
  <c r="AA51" i="111"/>
  <c r="AA68" i="111"/>
  <c r="AA77" i="111"/>
  <c r="AA40" i="111"/>
  <c r="AA86" i="111"/>
  <c r="AA122" i="111"/>
  <c r="AA36" i="111"/>
  <c r="AA104" i="111"/>
  <c r="AA70" i="111"/>
  <c r="H73" i="111"/>
  <c r="H19" i="111" s="1"/>
  <c r="D11" i="111"/>
  <c r="F11" i="111"/>
  <c r="C90" i="111" l="1"/>
  <c r="H90" i="111"/>
  <c r="G90" i="111"/>
  <c r="F90" i="111"/>
  <c r="D90" i="111"/>
  <c r="H70" i="111"/>
  <c r="G70" i="111"/>
  <c r="F70" i="111"/>
  <c r="C50" i="111"/>
  <c r="D70" i="111"/>
  <c r="B50" i="111"/>
  <c r="B90" i="111"/>
  <c r="C70" i="111"/>
  <c r="B70" i="111"/>
  <c r="C26" i="111"/>
  <c r="B26" i="111"/>
  <c r="X29" i="109" l="1"/>
  <c r="K25" i="109"/>
  <c r="K24" i="109"/>
  <c r="N15" i="109"/>
  <c r="K15" i="109"/>
  <c r="K12" i="109"/>
  <c r="H11" i="109"/>
  <c r="C11" i="109"/>
  <c r="N7" i="109"/>
  <c r="AG3" i="109"/>
  <c r="AB3" i="109"/>
  <c r="Y3" i="109"/>
  <c r="U3" i="109"/>
  <c r="T3" i="109"/>
  <c r="S3" i="109"/>
  <c r="C40" i="109" s="1"/>
  <c r="R3" i="109"/>
  <c r="E84" i="109" s="1"/>
  <c r="P3" i="109"/>
  <c r="O3" i="109"/>
  <c r="N3" i="109"/>
  <c r="J3" i="109"/>
  <c r="S14" i="109" s="1"/>
  <c r="AG2" i="109"/>
  <c r="Y2" i="109"/>
  <c r="U2" i="109"/>
  <c r="T2" i="109"/>
  <c r="S2" i="109"/>
  <c r="B38" i="109" s="1"/>
  <c r="R2" i="109"/>
  <c r="E102" i="109" s="1"/>
  <c r="Q2" i="109"/>
  <c r="N2" i="109"/>
  <c r="J2" i="109"/>
  <c r="P129" i="109"/>
  <c r="N129" i="109"/>
  <c r="O129" i="109" s="1"/>
  <c r="N128" i="109"/>
  <c r="P128" i="109" s="1"/>
  <c r="P127" i="109"/>
  <c r="O127" i="109"/>
  <c r="N127" i="109"/>
  <c r="O126" i="109"/>
  <c r="N126" i="109"/>
  <c r="P126" i="109" s="1"/>
  <c r="P125" i="109"/>
  <c r="N125" i="109"/>
  <c r="O125" i="109" s="1"/>
  <c r="N124" i="109"/>
  <c r="P124" i="109" s="1"/>
  <c r="P123" i="109"/>
  <c r="O123" i="109"/>
  <c r="N123" i="109"/>
  <c r="O122" i="109"/>
  <c r="N122" i="109"/>
  <c r="P122" i="109" s="1"/>
  <c r="P121" i="109"/>
  <c r="N121" i="109"/>
  <c r="O121" i="109" s="1"/>
  <c r="N120" i="109"/>
  <c r="P120" i="109" s="1"/>
  <c r="P119" i="109"/>
  <c r="O119" i="109"/>
  <c r="N119" i="109"/>
  <c r="O118" i="109"/>
  <c r="N118" i="109"/>
  <c r="P118" i="109" s="1"/>
  <c r="P117" i="109"/>
  <c r="N117" i="109"/>
  <c r="O117" i="109" s="1"/>
  <c r="N116" i="109"/>
  <c r="P116" i="109" s="1"/>
  <c r="P115" i="109"/>
  <c r="O115" i="109"/>
  <c r="N115" i="109"/>
  <c r="O114" i="109"/>
  <c r="N114" i="109"/>
  <c r="P114" i="109" s="1"/>
  <c r="P113" i="109"/>
  <c r="N113" i="109"/>
  <c r="O113" i="109" s="1"/>
  <c r="N112" i="109"/>
  <c r="P112" i="109" s="1"/>
  <c r="P111" i="109"/>
  <c r="O111" i="109"/>
  <c r="N111" i="109"/>
  <c r="O110" i="109"/>
  <c r="N110" i="109"/>
  <c r="P110" i="109" s="1"/>
  <c r="P109" i="109"/>
  <c r="N109" i="109"/>
  <c r="O109" i="109" s="1"/>
  <c r="N108" i="109"/>
  <c r="P108" i="109" s="1"/>
  <c r="P107" i="109"/>
  <c r="O107" i="109"/>
  <c r="N107" i="109"/>
  <c r="O106" i="109"/>
  <c r="N106" i="109"/>
  <c r="P106" i="109" s="1"/>
  <c r="P105" i="109"/>
  <c r="N105" i="109"/>
  <c r="O105" i="109" s="1"/>
  <c r="N104" i="109"/>
  <c r="P104" i="109" s="1"/>
  <c r="O103" i="109"/>
  <c r="N103" i="109"/>
  <c r="P103" i="109" s="1"/>
  <c r="P102" i="109"/>
  <c r="N102" i="109"/>
  <c r="O102" i="109" s="1"/>
  <c r="O101" i="109"/>
  <c r="N101" i="109"/>
  <c r="P101" i="109" s="1"/>
  <c r="O100" i="109"/>
  <c r="N100" i="109"/>
  <c r="P100" i="109" s="1"/>
  <c r="N99" i="109"/>
  <c r="P98" i="109"/>
  <c r="O98" i="109"/>
  <c r="N98" i="109"/>
  <c r="O97" i="109"/>
  <c r="N97" i="109"/>
  <c r="P97" i="109" s="1"/>
  <c r="O96" i="109"/>
  <c r="N96" i="109"/>
  <c r="P96" i="109" s="1"/>
  <c r="B96" i="109"/>
  <c r="P95" i="109"/>
  <c r="O95" i="109"/>
  <c r="N95" i="109"/>
  <c r="N94" i="109"/>
  <c r="H94" i="109"/>
  <c r="G94" i="109"/>
  <c r="F94" i="109"/>
  <c r="E94" i="109"/>
  <c r="D94" i="109"/>
  <c r="C94" i="109"/>
  <c r="B94" i="109"/>
  <c r="O93" i="109"/>
  <c r="N93" i="109"/>
  <c r="P93" i="109" s="1"/>
  <c r="P92" i="109"/>
  <c r="O92" i="109"/>
  <c r="N92" i="109"/>
  <c r="P91" i="109"/>
  <c r="N91" i="109"/>
  <c r="O91" i="109" s="1"/>
  <c r="H91" i="109"/>
  <c r="G91" i="109"/>
  <c r="F91" i="109"/>
  <c r="E91" i="109"/>
  <c r="D91" i="109"/>
  <c r="C91" i="109"/>
  <c r="B91" i="109"/>
  <c r="P90" i="109"/>
  <c r="O90" i="109"/>
  <c r="N90" i="109"/>
  <c r="P89" i="109"/>
  <c r="O89" i="109"/>
  <c r="N89" i="109"/>
  <c r="H89" i="109"/>
  <c r="G89" i="109"/>
  <c r="F89" i="109"/>
  <c r="E89" i="109"/>
  <c r="D89" i="109"/>
  <c r="C89" i="109"/>
  <c r="B89" i="109"/>
  <c r="N88" i="109"/>
  <c r="P88" i="109" s="1"/>
  <c r="N87" i="109"/>
  <c r="P86" i="109"/>
  <c r="O86" i="109"/>
  <c r="N86" i="109"/>
  <c r="O85" i="109"/>
  <c r="N85" i="109"/>
  <c r="P85" i="109" s="1"/>
  <c r="O84" i="109"/>
  <c r="N84" i="109"/>
  <c r="P84" i="109" s="1"/>
  <c r="P83" i="109"/>
  <c r="O83" i="109"/>
  <c r="N83" i="109"/>
  <c r="O82" i="109"/>
  <c r="N82" i="109"/>
  <c r="P82" i="109" s="1"/>
  <c r="Y81" i="109"/>
  <c r="X81" i="109"/>
  <c r="W81" i="109"/>
  <c r="O81" i="109"/>
  <c r="N81" i="109"/>
  <c r="P81" i="109" s="1"/>
  <c r="X80" i="109"/>
  <c r="W80" i="109"/>
  <c r="Y80" i="109" s="1"/>
  <c r="N80" i="109"/>
  <c r="W79" i="109"/>
  <c r="P79" i="109"/>
  <c r="O79" i="109"/>
  <c r="N79" i="109"/>
  <c r="Y78" i="109"/>
  <c r="X78" i="109"/>
  <c r="W78" i="109"/>
  <c r="O78" i="109"/>
  <c r="N78" i="109"/>
  <c r="P78" i="109" s="1"/>
  <c r="X77" i="109"/>
  <c r="W77" i="109"/>
  <c r="Y77" i="109" s="1"/>
  <c r="N77" i="109"/>
  <c r="O77" i="109" s="1"/>
  <c r="Y76" i="109"/>
  <c r="X76" i="109"/>
  <c r="W76" i="109"/>
  <c r="O76" i="109"/>
  <c r="N76" i="109"/>
  <c r="P76" i="109" s="1"/>
  <c r="H76" i="109"/>
  <c r="G76" i="109"/>
  <c r="F76" i="109"/>
  <c r="E76" i="109"/>
  <c r="D76" i="109"/>
  <c r="C76" i="109"/>
  <c r="B76" i="109"/>
  <c r="W75" i="109"/>
  <c r="X75" i="109" s="1"/>
  <c r="O75" i="109"/>
  <c r="N75" i="109"/>
  <c r="P75" i="109" s="1"/>
  <c r="W74" i="109"/>
  <c r="P74" i="109"/>
  <c r="O74" i="109"/>
  <c r="N74" i="109"/>
  <c r="B74" i="109"/>
  <c r="W73" i="109"/>
  <c r="Y73" i="109" s="1"/>
  <c r="N73" i="109"/>
  <c r="W72" i="109"/>
  <c r="Y72" i="109" s="1"/>
  <c r="N72" i="109"/>
  <c r="X71" i="109"/>
  <c r="W71" i="109"/>
  <c r="Y71" i="109" s="1"/>
  <c r="N71" i="109"/>
  <c r="P71" i="109" s="1"/>
  <c r="H71" i="109"/>
  <c r="G71" i="109"/>
  <c r="F71" i="109"/>
  <c r="E71" i="109"/>
  <c r="D71" i="109"/>
  <c r="C71" i="109"/>
  <c r="B71" i="109"/>
  <c r="Y70" i="109"/>
  <c r="X70" i="109"/>
  <c r="W70" i="109"/>
  <c r="N70" i="109"/>
  <c r="W69" i="109"/>
  <c r="Y69" i="109" s="1"/>
  <c r="P69" i="109"/>
  <c r="O69" i="109"/>
  <c r="N69" i="109"/>
  <c r="H69" i="109"/>
  <c r="G69" i="109"/>
  <c r="F69" i="109"/>
  <c r="E69" i="109"/>
  <c r="D69" i="109"/>
  <c r="C69" i="109"/>
  <c r="B69" i="109"/>
  <c r="X68" i="109"/>
  <c r="W68" i="109"/>
  <c r="Y68" i="109" s="1"/>
  <c r="N68" i="109"/>
  <c r="P68" i="109" s="1"/>
  <c r="X67" i="109"/>
  <c r="W67" i="109"/>
  <c r="Y67" i="109" s="1"/>
  <c r="N67" i="109"/>
  <c r="P67" i="109" s="1"/>
  <c r="W66" i="109"/>
  <c r="Y66" i="109" s="1"/>
  <c r="P66" i="109"/>
  <c r="N66" i="109"/>
  <c r="O66" i="109" s="1"/>
  <c r="Y65" i="109"/>
  <c r="W65" i="109"/>
  <c r="X65" i="109" s="1"/>
  <c r="P65" i="109"/>
  <c r="O65" i="109"/>
  <c r="N65" i="109"/>
  <c r="Y64" i="109"/>
  <c r="X64" i="109"/>
  <c r="W64" i="109"/>
  <c r="N64" i="109"/>
  <c r="Y63" i="109"/>
  <c r="W63" i="109"/>
  <c r="X63" i="109" s="1"/>
  <c r="P63" i="109"/>
  <c r="O63" i="109"/>
  <c r="N63" i="109"/>
  <c r="W62" i="109"/>
  <c r="Y62" i="109" s="1"/>
  <c r="P62" i="109"/>
  <c r="N62" i="109"/>
  <c r="O62" i="109" s="1"/>
  <c r="X61" i="109"/>
  <c r="W61" i="109"/>
  <c r="Y61" i="109" s="1"/>
  <c r="N61" i="109"/>
  <c r="P61" i="109" s="1"/>
  <c r="W60" i="109"/>
  <c r="Y60" i="109" s="1"/>
  <c r="P60" i="109"/>
  <c r="N60" i="109"/>
  <c r="O60" i="109" s="1"/>
  <c r="Y59" i="109"/>
  <c r="W59" i="109"/>
  <c r="X59" i="109" s="1"/>
  <c r="P59" i="109"/>
  <c r="O59" i="109"/>
  <c r="N59" i="109"/>
  <c r="Y58" i="109"/>
  <c r="X58" i="109"/>
  <c r="W58" i="109"/>
  <c r="N58" i="109"/>
  <c r="W57" i="109"/>
  <c r="N57" i="109"/>
  <c r="P57" i="109" s="1"/>
  <c r="W56" i="109"/>
  <c r="Y56" i="109" s="1"/>
  <c r="P56" i="109"/>
  <c r="O56" i="109"/>
  <c r="N56" i="109"/>
  <c r="C56" i="109"/>
  <c r="B56" i="109"/>
  <c r="W55" i="109"/>
  <c r="N55" i="109"/>
  <c r="P55" i="109" s="1"/>
  <c r="Y54" i="109"/>
  <c r="X54" i="109"/>
  <c r="W54" i="109"/>
  <c r="N54" i="109"/>
  <c r="C54" i="109"/>
  <c r="B54" i="109"/>
  <c r="Y53" i="109"/>
  <c r="W53" i="109"/>
  <c r="X53" i="109" s="1"/>
  <c r="P53" i="109"/>
  <c r="O53" i="109"/>
  <c r="N53" i="109"/>
  <c r="Y52" i="109"/>
  <c r="W52" i="109"/>
  <c r="X52" i="109" s="1"/>
  <c r="P52" i="109"/>
  <c r="O52" i="109"/>
  <c r="N52" i="109"/>
  <c r="Y51" i="109"/>
  <c r="W51" i="109"/>
  <c r="X51" i="109" s="1"/>
  <c r="P51" i="109"/>
  <c r="O51" i="109"/>
  <c r="N51" i="109"/>
  <c r="C51" i="109"/>
  <c r="B51" i="109"/>
  <c r="W50" i="109"/>
  <c r="Y50" i="109" s="1"/>
  <c r="P50" i="109"/>
  <c r="N50" i="109"/>
  <c r="O50" i="109" s="1"/>
  <c r="X49" i="109"/>
  <c r="W49" i="109"/>
  <c r="Y49" i="109" s="1"/>
  <c r="N49" i="109"/>
  <c r="C49" i="109"/>
  <c r="B49" i="109"/>
  <c r="Y48" i="109"/>
  <c r="X48" i="109"/>
  <c r="W48" i="109"/>
  <c r="O48" i="109"/>
  <c r="N48" i="109"/>
  <c r="P48" i="109" s="1"/>
  <c r="X47" i="109"/>
  <c r="W47" i="109"/>
  <c r="Y47" i="109" s="1"/>
  <c r="N47" i="109"/>
  <c r="W46" i="109"/>
  <c r="P46" i="109"/>
  <c r="N46" i="109"/>
  <c r="O46" i="109" s="1"/>
  <c r="Y45" i="109"/>
  <c r="W45" i="109"/>
  <c r="X45" i="109" s="1"/>
  <c r="P45" i="109"/>
  <c r="O45" i="109"/>
  <c r="N45" i="109"/>
  <c r="Y44" i="109"/>
  <c r="X44" i="109"/>
  <c r="W44" i="109"/>
  <c r="P44" i="109"/>
  <c r="N44" i="109"/>
  <c r="O44" i="109" s="1"/>
  <c r="Y43" i="109"/>
  <c r="W43" i="109"/>
  <c r="X43" i="109" s="1"/>
  <c r="P43" i="109"/>
  <c r="O43" i="109"/>
  <c r="N43" i="109"/>
  <c r="W42" i="109"/>
  <c r="P42" i="109"/>
  <c r="N42" i="109"/>
  <c r="O42" i="109" s="1"/>
  <c r="X41" i="109"/>
  <c r="W41" i="109"/>
  <c r="Y41" i="109" s="1"/>
  <c r="N41" i="109"/>
  <c r="W40" i="109"/>
  <c r="P40" i="109"/>
  <c r="N40" i="109"/>
  <c r="O40" i="109" s="1"/>
  <c r="W39" i="109"/>
  <c r="P39" i="109"/>
  <c r="N39" i="109"/>
  <c r="O39" i="109" s="1"/>
  <c r="Y38" i="109"/>
  <c r="W38" i="109"/>
  <c r="X38" i="109" s="1"/>
  <c r="P38" i="109"/>
  <c r="O38" i="109"/>
  <c r="N38" i="109"/>
  <c r="Y37" i="109"/>
  <c r="W37" i="109"/>
  <c r="X37" i="109" s="1"/>
  <c r="P37" i="109"/>
  <c r="O37" i="109"/>
  <c r="N37" i="109"/>
  <c r="Y36" i="109"/>
  <c r="X36" i="109"/>
  <c r="W36" i="109"/>
  <c r="N36" i="109"/>
  <c r="P36" i="109" s="1"/>
  <c r="Y35" i="109"/>
  <c r="X35" i="109"/>
  <c r="W35" i="109"/>
  <c r="O35" i="109"/>
  <c r="N35" i="109"/>
  <c r="P35" i="109" s="1"/>
  <c r="W34" i="109"/>
  <c r="Y34" i="109" s="1"/>
  <c r="O34" i="109"/>
  <c r="N34" i="109"/>
  <c r="P34" i="109" s="1"/>
  <c r="C32" i="109"/>
  <c r="B32" i="109"/>
  <c r="C30" i="109"/>
  <c r="B30" i="109"/>
  <c r="C27" i="109"/>
  <c r="B27" i="109"/>
  <c r="C25" i="109"/>
  <c r="B25" i="109"/>
  <c r="B12" i="109"/>
  <c r="F12" i="109" s="1"/>
  <c r="AK9" i="109" l="1"/>
  <c r="AJ9" i="109"/>
  <c r="H96" i="109"/>
  <c r="AK6" i="109"/>
  <c r="AJ4" i="109"/>
  <c r="AK4" i="109"/>
  <c r="AJ6" i="109"/>
  <c r="AK8" i="109"/>
  <c r="AJ8" i="109"/>
  <c r="AK5" i="109"/>
  <c r="AK3" i="109"/>
  <c r="AJ5" i="109"/>
  <c r="AJ3" i="109"/>
  <c r="AK7" i="109"/>
  <c r="AJ7" i="109"/>
  <c r="F75" i="109"/>
  <c r="C31" i="109"/>
  <c r="B31" i="109"/>
  <c r="S12" i="109"/>
  <c r="S11" i="109"/>
  <c r="E68" i="109"/>
  <c r="C12" i="109"/>
  <c r="D12" i="109" s="1"/>
  <c r="S13" i="109"/>
  <c r="E88" i="109"/>
  <c r="P47" i="109"/>
  <c r="O47" i="109"/>
  <c r="P54" i="109"/>
  <c r="O54" i="109"/>
  <c r="Y57" i="109"/>
  <c r="X57" i="109"/>
  <c r="P70" i="109"/>
  <c r="O70" i="109"/>
  <c r="P72" i="109"/>
  <c r="O72" i="109"/>
  <c r="P41" i="109"/>
  <c r="O41" i="109"/>
  <c r="B11" i="109"/>
  <c r="D77" i="109"/>
  <c r="G77" i="109"/>
  <c r="P73" i="109"/>
  <c r="O73" i="109"/>
  <c r="X74" i="109"/>
  <c r="Y74" i="109"/>
  <c r="Y39" i="109"/>
  <c r="X39" i="109"/>
  <c r="P64" i="109"/>
  <c r="O64" i="109"/>
  <c r="P94" i="109"/>
  <c r="O94" i="109"/>
  <c r="O36" i="109"/>
  <c r="Y40" i="109"/>
  <c r="X40" i="109"/>
  <c r="Y46" i="109"/>
  <c r="X46" i="109"/>
  <c r="P58" i="109"/>
  <c r="O58" i="109"/>
  <c r="G95" i="109"/>
  <c r="D75" i="109"/>
  <c r="F95" i="109"/>
  <c r="E95" i="109"/>
  <c r="B75" i="109"/>
  <c r="D95" i="109"/>
  <c r="C95" i="109"/>
  <c r="B95" i="109"/>
  <c r="H95" i="109"/>
  <c r="E75" i="109"/>
  <c r="C55" i="109"/>
  <c r="C75" i="109"/>
  <c r="B55" i="109"/>
  <c r="H75" i="109"/>
  <c r="G75" i="109"/>
  <c r="X34" i="109"/>
  <c r="P49" i="109"/>
  <c r="O49" i="109"/>
  <c r="Y55" i="109"/>
  <c r="X55" i="109"/>
  <c r="F96" i="109"/>
  <c r="E96" i="109"/>
  <c r="D96" i="109"/>
  <c r="C96" i="109"/>
  <c r="G96" i="109"/>
  <c r="Y42" i="109"/>
  <c r="X42" i="109"/>
  <c r="O55" i="109"/>
  <c r="X56" i="109"/>
  <c r="O57" i="109"/>
  <c r="P77" i="109"/>
  <c r="P99" i="109"/>
  <c r="O99" i="109"/>
  <c r="X69" i="109"/>
  <c r="Y75" i="109"/>
  <c r="Y79" i="109"/>
  <c r="X79" i="109"/>
  <c r="P87" i="109"/>
  <c r="O87" i="109"/>
  <c r="X50" i="109"/>
  <c r="X60" i="109"/>
  <c r="O61" i="109"/>
  <c r="X62" i="109"/>
  <c r="X66" i="109"/>
  <c r="O67" i="109"/>
  <c r="O68" i="109"/>
  <c r="X72" i="109"/>
  <c r="X73" i="109"/>
  <c r="P80" i="109"/>
  <c r="O80" i="109"/>
  <c r="O71" i="109"/>
  <c r="O88" i="109"/>
  <c r="O104" i="109"/>
  <c r="O108" i="109"/>
  <c r="O112" i="109"/>
  <c r="O116" i="109"/>
  <c r="O120" i="109"/>
  <c r="O124" i="109"/>
  <c r="O128" i="109"/>
  <c r="F11" i="109" l="1"/>
  <c r="D11" i="109"/>
  <c r="C90" i="109" l="1"/>
  <c r="B90" i="109"/>
  <c r="H90" i="109"/>
  <c r="G90" i="109"/>
  <c r="D90" i="109"/>
  <c r="H70" i="109"/>
  <c r="G70" i="109"/>
  <c r="F70" i="109"/>
  <c r="C50" i="109"/>
  <c r="F90" i="109"/>
  <c r="D70" i="109"/>
  <c r="B50" i="109"/>
  <c r="C70" i="109"/>
  <c r="B70" i="109"/>
  <c r="C26" i="109"/>
  <c r="B26" i="109"/>
  <c r="J46" i="15" l="1"/>
  <c r="J57" i="15"/>
  <c r="P57" i="15"/>
  <c r="P46" i="15"/>
  <c r="AK12" i="102"/>
  <c r="AJ12" i="102"/>
  <c r="AI12" i="102"/>
  <c r="AK11" i="102"/>
  <c r="AJ11" i="102"/>
  <c r="AI11" i="102"/>
  <c r="AK10" i="102"/>
  <c r="AJ10" i="102"/>
  <c r="AI10" i="102"/>
  <c r="AI9" i="102"/>
  <c r="AI8" i="102"/>
  <c r="AI7" i="102"/>
  <c r="AI6" i="102"/>
  <c r="AI5" i="102"/>
  <c r="AH5" i="102"/>
  <c r="AI4" i="102"/>
  <c r="AH4" i="102"/>
  <c r="AI3" i="102"/>
  <c r="AH3" i="102"/>
  <c r="AK2" i="102"/>
  <c r="AJ2" i="102"/>
  <c r="AH2" i="102"/>
  <c r="AK12" i="101"/>
  <c r="AJ12" i="101"/>
  <c r="AI12" i="101"/>
  <c r="AK11" i="101"/>
  <c r="AJ11" i="101"/>
  <c r="AI11" i="101"/>
  <c r="AK10" i="101"/>
  <c r="AJ10" i="101"/>
  <c r="AI10" i="101"/>
  <c r="AI9" i="101"/>
  <c r="AI8" i="101"/>
  <c r="AI7" i="101"/>
  <c r="AI6" i="101"/>
  <c r="AI5" i="101"/>
  <c r="AH5" i="101"/>
  <c r="AI4" i="101"/>
  <c r="AH4" i="101"/>
  <c r="AI3" i="101"/>
  <c r="AH3" i="101"/>
  <c r="AK2" i="101"/>
  <c r="AJ2" i="101"/>
  <c r="AH2" i="101"/>
  <c r="AK12" i="100"/>
  <c r="AJ12" i="100"/>
  <c r="AI12" i="100"/>
  <c r="AK11" i="100"/>
  <c r="AJ11" i="100"/>
  <c r="AI11" i="100"/>
  <c r="AK10" i="100"/>
  <c r="AJ10" i="100"/>
  <c r="AI10" i="100"/>
  <c r="AI9" i="100"/>
  <c r="AI8" i="100"/>
  <c r="AI7" i="100"/>
  <c r="AI6" i="100"/>
  <c r="AI5" i="100"/>
  <c r="AH5" i="100"/>
  <c r="AI4" i="100"/>
  <c r="AH4" i="100"/>
  <c r="AI3" i="100"/>
  <c r="AH3" i="100"/>
  <c r="AK2" i="100"/>
  <c r="AJ2" i="100"/>
  <c r="AH2" i="100"/>
  <c r="AK12" i="99"/>
  <c r="AJ12" i="99"/>
  <c r="AI12" i="99"/>
  <c r="AK11" i="99"/>
  <c r="AJ11" i="99"/>
  <c r="AI11" i="99"/>
  <c r="AK10" i="99"/>
  <c r="AJ10" i="99"/>
  <c r="AI10" i="99"/>
  <c r="AI9" i="99"/>
  <c r="AI8" i="99"/>
  <c r="AI7" i="99"/>
  <c r="AI6" i="99"/>
  <c r="AI5" i="99"/>
  <c r="AH5" i="99"/>
  <c r="AI4" i="99"/>
  <c r="AH4" i="99"/>
  <c r="AI3" i="99"/>
  <c r="AH3" i="99"/>
  <c r="AK2" i="99"/>
  <c r="AJ2" i="99"/>
  <c r="AH2" i="99"/>
  <c r="AK12" i="98"/>
  <c r="AJ12" i="98"/>
  <c r="AI12" i="98"/>
  <c r="AK11" i="98"/>
  <c r="AJ11" i="98"/>
  <c r="AI11" i="98"/>
  <c r="AK10" i="98"/>
  <c r="AJ10" i="98"/>
  <c r="AI10" i="98"/>
  <c r="AI9" i="98"/>
  <c r="AI8" i="98"/>
  <c r="AI7" i="98"/>
  <c r="AI6" i="98"/>
  <c r="AI5" i="98"/>
  <c r="AH5" i="98"/>
  <c r="AI4" i="98"/>
  <c r="AH4" i="98"/>
  <c r="AI3" i="98"/>
  <c r="AH3" i="98"/>
  <c r="AK2" i="98"/>
  <c r="AJ2" i="98"/>
  <c r="AH2" i="98"/>
  <c r="AK12" i="97"/>
  <c r="AJ12" i="97"/>
  <c r="AI12" i="97"/>
  <c r="AK11" i="97"/>
  <c r="AJ11" i="97"/>
  <c r="AI11" i="97"/>
  <c r="AK10" i="97"/>
  <c r="AJ10" i="97"/>
  <c r="AI10" i="97"/>
  <c r="AI9" i="97"/>
  <c r="AI8" i="97"/>
  <c r="AI7" i="97"/>
  <c r="AI6" i="97"/>
  <c r="AI5" i="97"/>
  <c r="AH5" i="97"/>
  <c r="AI4" i="97"/>
  <c r="AH4" i="97"/>
  <c r="AI3" i="97"/>
  <c r="AH3" i="97"/>
  <c r="AK2" i="97"/>
  <c r="AJ2" i="97"/>
  <c r="AH2" i="97"/>
  <c r="AH2" i="95"/>
  <c r="AK12" i="107"/>
  <c r="AJ12" i="107"/>
  <c r="AI12" i="107"/>
  <c r="AK11" i="107"/>
  <c r="AJ11" i="107"/>
  <c r="AI11" i="107"/>
  <c r="AK10" i="107"/>
  <c r="AJ10" i="107"/>
  <c r="AI10" i="107"/>
  <c r="AI9" i="107"/>
  <c r="AI8" i="107"/>
  <c r="AI7" i="107"/>
  <c r="AI6" i="107"/>
  <c r="AI5" i="107"/>
  <c r="AH5" i="107"/>
  <c r="AI4" i="107"/>
  <c r="AH4" i="107"/>
  <c r="AI3" i="107"/>
  <c r="AH3" i="107"/>
  <c r="AK2" i="107"/>
  <c r="AJ2" i="107"/>
  <c r="AH2" i="107"/>
  <c r="AK12" i="106"/>
  <c r="AJ12" i="106"/>
  <c r="AI12" i="106"/>
  <c r="AK11" i="106"/>
  <c r="AJ11" i="106"/>
  <c r="AI11" i="106"/>
  <c r="AK10" i="106"/>
  <c r="AJ10" i="106"/>
  <c r="AI10" i="106"/>
  <c r="AI9" i="106"/>
  <c r="AI8" i="106"/>
  <c r="AI7" i="106"/>
  <c r="AI6" i="106"/>
  <c r="AI5" i="106"/>
  <c r="AH5" i="106"/>
  <c r="AI4" i="106"/>
  <c r="AH4" i="106"/>
  <c r="AI3" i="106"/>
  <c r="AH3" i="106"/>
  <c r="AK2" i="106"/>
  <c r="AJ2" i="106"/>
  <c r="AH2" i="106"/>
  <c r="AK12" i="105"/>
  <c r="AJ12" i="105"/>
  <c r="AI12" i="105"/>
  <c r="AK11" i="105"/>
  <c r="AJ11" i="105"/>
  <c r="AI11" i="105"/>
  <c r="AK10" i="105"/>
  <c r="AJ10" i="105"/>
  <c r="AI10" i="105"/>
  <c r="AI9" i="105"/>
  <c r="AI8" i="105"/>
  <c r="AI7" i="105"/>
  <c r="AI6" i="105"/>
  <c r="AI5" i="105"/>
  <c r="AH5" i="105"/>
  <c r="AI4" i="105"/>
  <c r="AH4" i="105"/>
  <c r="AI3" i="105"/>
  <c r="AH3" i="105"/>
  <c r="AK2" i="105"/>
  <c r="AJ2" i="105"/>
  <c r="AH2" i="105"/>
  <c r="AK12" i="104"/>
  <c r="AJ12" i="104"/>
  <c r="AI12" i="104"/>
  <c r="AK11" i="104"/>
  <c r="AJ11" i="104"/>
  <c r="AI11" i="104"/>
  <c r="AK10" i="104"/>
  <c r="AJ10" i="104"/>
  <c r="AI10" i="104"/>
  <c r="AI9" i="104"/>
  <c r="AI8" i="104"/>
  <c r="AI7" i="104"/>
  <c r="AI6" i="104"/>
  <c r="AI5" i="104"/>
  <c r="AH5" i="104"/>
  <c r="AI4" i="104"/>
  <c r="AH4" i="104"/>
  <c r="AI3" i="104"/>
  <c r="AH3" i="104"/>
  <c r="AK2" i="104"/>
  <c r="AJ2" i="104"/>
  <c r="AH2" i="104"/>
  <c r="AK12" i="103"/>
  <c r="AJ12" i="103"/>
  <c r="AI12" i="103"/>
  <c r="AK11" i="103"/>
  <c r="AJ11" i="103"/>
  <c r="AI11" i="103"/>
  <c r="AK10" i="103"/>
  <c r="AJ10" i="103"/>
  <c r="AI10" i="103"/>
  <c r="AI9" i="103"/>
  <c r="AI8" i="103"/>
  <c r="AI7" i="103"/>
  <c r="AI6" i="103"/>
  <c r="AI5" i="103"/>
  <c r="AH5" i="103"/>
  <c r="AI4" i="103"/>
  <c r="AH4" i="103"/>
  <c r="AI3" i="103"/>
  <c r="AH3" i="103"/>
  <c r="AK2" i="103"/>
  <c r="AJ2" i="103"/>
  <c r="AH2" i="103"/>
  <c r="AG3" i="107" l="1"/>
  <c r="AB3" i="107"/>
  <c r="Z3" i="107"/>
  <c r="Y3" i="107"/>
  <c r="U3" i="107"/>
  <c r="T3" i="107"/>
  <c r="S3" i="107"/>
  <c r="R3" i="107"/>
  <c r="AG2" i="107"/>
  <c r="Z2" i="107"/>
  <c r="Y2" i="107"/>
  <c r="U2" i="107"/>
  <c r="T2" i="107"/>
  <c r="S2" i="107"/>
  <c r="R2" i="107"/>
  <c r="Q2" i="107"/>
  <c r="P2" i="107"/>
  <c r="O2" i="107"/>
  <c r="N129" i="107"/>
  <c r="O129" i="107" s="1"/>
  <c r="N128" i="107"/>
  <c r="P128" i="107" s="1"/>
  <c r="P127" i="107"/>
  <c r="N127" i="107"/>
  <c r="O127" i="107" s="1"/>
  <c r="O126" i="107"/>
  <c r="N126" i="107"/>
  <c r="P126" i="107" s="1"/>
  <c r="N125" i="107"/>
  <c r="O125" i="107" s="1"/>
  <c r="N124" i="107"/>
  <c r="P124" i="107" s="1"/>
  <c r="P123" i="107"/>
  <c r="N123" i="107"/>
  <c r="O123" i="107" s="1"/>
  <c r="O122" i="107"/>
  <c r="N122" i="107"/>
  <c r="P122" i="107" s="1"/>
  <c r="N121" i="107"/>
  <c r="O121" i="107" s="1"/>
  <c r="O120" i="107"/>
  <c r="N120" i="107"/>
  <c r="P120" i="107" s="1"/>
  <c r="P119" i="107"/>
  <c r="N119" i="107"/>
  <c r="O119" i="107" s="1"/>
  <c r="O118" i="107"/>
  <c r="N118" i="107"/>
  <c r="P118" i="107" s="1"/>
  <c r="N117" i="107"/>
  <c r="O117" i="107" s="1"/>
  <c r="N116" i="107"/>
  <c r="P116" i="107" s="1"/>
  <c r="P115" i="107"/>
  <c r="N115" i="107"/>
  <c r="O115" i="107" s="1"/>
  <c r="O114" i="107"/>
  <c r="N114" i="107"/>
  <c r="P114" i="107" s="1"/>
  <c r="N113" i="107"/>
  <c r="O113" i="107" s="1"/>
  <c r="O112" i="107"/>
  <c r="N112" i="107"/>
  <c r="P112" i="107" s="1"/>
  <c r="P111" i="107"/>
  <c r="N111" i="107"/>
  <c r="O111" i="107" s="1"/>
  <c r="O110" i="107"/>
  <c r="N110" i="107"/>
  <c r="P110" i="107" s="1"/>
  <c r="N109" i="107"/>
  <c r="O109" i="107" s="1"/>
  <c r="N108" i="107"/>
  <c r="P108" i="107" s="1"/>
  <c r="P107" i="107"/>
  <c r="N107" i="107"/>
  <c r="O107" i="107" s="1"/>
  <c r="O106" i="107"/>
  <c r="N106" i="107"/>
  <c r="P106" i="107" s="1"/>
  <c r="N105" i="107"/>
  <c r="O105" i="107" s="1"/>
  <c r="O104" i="107"/>
  <c r="N104" i="107"/>
  <c r="P104" i="107" s="1"/>
  <c r="N103" i="107"/>
  <c r="N102" i="107"/>
  <c r="O102" i="107" s="1"/>
  <c r="N101" i="107"/>
  <c r="P100" i="107"/>
  <c r="O100" i="107"/>
  <c r="N100" i="107"/>
  <c r="N99" i="107"/>
  <c r="P98" i="107"/>
  <c r="O98" i="107"/>
  <c r="N98" i="107"/>
  <c r="O97" i="107"/>
  <c r="N97" i="107"/>
  <c r="P97" i="107" s="1"/>
  <c r="P96" i="107"/>
  <c r="O96" i="107"/>
  <c r="N96" i="107"/>
  <c r="B96" i="107"/>
  <c r="P95" i="107"/>
  <c r="N95" i="107"/>
  <c r="O95" i="107" s="1"/>
  <c r="N94" i="107"/>
  <c r="H94" i="107"/>
  <c r="G94" i="107"/>
  <c r="F94" i="107"/>
  <c r="E94" i="107"/>
  <c r="D94" i="107"/>
  <c r="C94" i="107"/>
  <c r="B94" i="107"/>
  <c r="O93" i="107"/>
  <c r="N93" i="107"/>
  <c r="P93" i="107" s="1"/>
  <c r="P92" i="107"/>
  <c r="O92" i="107"/>
  <c r="N92" i="107"/>
  <c r="N91" i="107"/>
  <c r="H91" i="107"/>
  <c r="G91" i="107"/>
  <c r="F91" i="107"/>
  <c r="E91" i="107"/>
  <c r="D91" i="107"/>
  <c r="C91" i="107"/>
  <c r="B91" i="107"/>
  <c r="O90" i="107"/>
  <c r="N90" i="107"/>
  <c r="P90" i="107" s="1"/>
  <c r="O89" i="107"/>
  <c r="N89" i="107"/>
  <c r="P89" i="107" s="1"/>
  <c r="H89" i="107"/>
  <c r="G89" i="107"/>
  <c r="F89" i="107"/>
  <c r="E89" i="107"/>
  <c r="D89" i="107"/>
  <c r="C89" i="107"/>
  <c r="B89" i="107"/>
  <c r="N88" i="107"/>
  <c r="O88" i="107" s="1"/>
  <c r="N87" i="107"/>
  <c r="P86" i="107"/>
  <c r="O86" i="107"/>
  <c r="N86" i="107"/>
  <c r="N85" i="107"/>
  <c r="P84" i="107"/>
  <c r="O84" i="107"/>
  <c r="N84" i="107"/>
  <c r="N83" i="107"/>
  <c r="O83" i="107" s="1"/>
  <c r="P82" i="107"/>
  <c r="O82" i="107"/>
  <c r="N82" i="107"/>
  <c r="Y81" i="107"/>
  <c r="X81" i="107"/>
  <c r="W81" i="107"/>
  <c r="N81" i="107"/>
  <c r="Y80" i="107"/>
  <c r="X80" i="107"/>
  <c r="W80" i="107"/>
  <c r="O80" i="107"/>
  <c r="N80" i="107"/>
  <c r="P80" i="107" s="1"/>
  <c r="X79" i="107"/>
  <c r="W79" i="107"/>
  <c r="Y79" i="107" s="1"/>
  <c r="P79" i="107"/>
  <c r="N79" i="107"/>
  <c r="O79" i="107" s="1"/>
  <c r="W78" i="107"/>
  <c r="X78" i="107" s="1"/>
  <c r="P78" i="107"/>
  <c r="O78" i="107"/>
  <c r="N78" i="107"/>
  <c r="Y77" i="107"/>
  <c r="X77" i="107"/>
  <c r="W77" i="107"/>
  <c r="N77" i="107"/>
  <c r="O77" i="107" s="1"/>
  <c r="Y76" i="107"/>
  <c r="W76" i="107"/>
  <c r="X76" i="107" s="1"/>
  <c r="P76" i="107"/>
  <c r="O76" i="107"/>
  <c r="N76" i="107"/>
  <c r="H76" i="107"/>
  <c r="G76" i="107"/>
  <c r="F76" i="107"/>
  <c r="E76" i="107"/>
  <c r="D76" i="107"/>
  <c r="C76" i="107"/>
  <c r="B76" i="107"/>
  <c r="Y75" i="107"/>
  <c r="X75" i="107"/>
  <c r="W75" i="107"/>
  <c r="N75" i="107"/>
  <c r="P75" i="107" s="1"/>
  <c r="Y74" i="107"/>
  <c r="W74" i="107"/>
  <c r="X74" i="107" s="1"/>
  <c r="P74" i="107"/>
  <c r="O74" i="107"/>
  <c r="N74" i="107"/>
  <c r="B74" i="107"/>
  <c r="W73" i="107"/>
  <c r="Y73" i="107" s="1"/>
  <c r="P73" i="107"/>
  <c r="O73" i="107"/>
  <c r="N73" i="107"/>
  <c r="Y72" i="107"/>
  <c r="X72" i="107"/>
  <c r="W72" i="107"/>
  <c r="P72" i="107"/>
  <c r="O72" i="107"/>
  <c r="N72" i="107"/>
  <c r="W71" i="107"/>
  <c r="P71" i="107"/>
  <c r="O71" i="107"/>
  <c r="N71" i="107"/>
  <c r="H71" i="107"/>
  <c r="G71" i="107"/>
  <c r="F71" i="107"/>
  <c r="E71" i="107"/>
  <c r="D71" i="107"/>
  <c r="C71" i="107"/>
  <c r="B71" i="107"/>
  <c r="X70" i="107"/>
  <c r="W70" i="107"/>
  <c r="Y70" i="107" s="1"/>
  <c r="N70" i="107"/>
  <c r="Y69" i="107"/>
  <c r="X69" i="107"/>
  <c r="W69" i="107"/>
  <c r="N69" i="107"/>
  <c r="P69" i="107" s="1"/>
  <c r="H69" i="107"/>
  <c r="G69" i="107"/>
  <c r="F69" i="107"/>
  <c r="E69" i="107"/>
  <c r="D69" i="107"/>
  <c r="C69" i="107"/>
  <c r="B69" i="107"/>
  <c r="X68" i="107"/>
  <c r="W68" i="107"/>
  <c r="Y68" i="107" s="1"/>
  <c r="N68" i="107"/>
  <c r="X67" i="107"/>
  <c r="W67" i="107"/>
  <c r="Y67" i="107" s="1"/>
  <c r="N67" i="107"/>
  <c r="W66" i="107"/>
  <c r="P66" i="107"/>
  <c r="O66" i="107"/>
  <c r="N66" i="107"/>
  <c r="Y65" i="107"/>
  <c r="X65" i="107"/>
  <c r="W65" i="107"/>
  <c r="O65" i="107"/>
  <c r="N65" i="107"/>
  <c r="P65" i="107" s="1"/>
  <c r="X64" i="107"/>
  <c r="W64" i="107"/>
  <c r="Y64" i="107" s="1"/>
  <c r="N64" i="107"/>
  <c r="Y63" i="107"/>
  <c r="X63" i="107"/>
  <c r="W63" i="107"/>
  <c r="O63" i="107"/>
  <c r="N63" i="107"/>
  <c r="P63" i="107" s="1"/>
  <c r="W62" i="107"/>
  <c r="X62" i="107" s="1"/>
  <c r="P62" i="107"/>
  <c r="O62" i="107"/>
  <c r="N62" i="107"/>
  <c r="W61" i="107"/>
  <c r="Y61" i="107" s="1"/>
  <c r="N61" i="107"/>
  <c r="O61" i="107" s="1"/>
  <c r="Y60" i="107"/>
  <c r="W60" i="107"/>
  <c r="X60" i="107" s="1"/>
  <c r="P60" i="107"/>
  <c r="O60" i="107"/>
  <c r="N60" i="107"/>
  <c r="Y59" i="107"/>
  <c r="X59" i="107"/>
  <c r="W59" i="107"/>
  <c r="O59" i="107"/>
  <c r="N59" i="107"/>
  <c r="P59" i="107" s="1"/>
  <c r="X58" i="107"/>
  <c r="W58" i="107"/>
  <c r="Y58" i="107" s="1"/>
  <c r="N58" i="107"/>
  <c r="W57" i="107"/>
  <c r="P57" i="107"/>
  <c r="O57" i="107"/>
  <c r="N57" i="107"/>
  <c r="Y56" i="107"/>
  <c r="X56" i="107"/>
  <c r="W56" i="107"/>
  <c r="P56" i="107"/>
  <c r="O56" i="107"/>
  <c r="N56" i="107"/>
  <c r="C56" i="107"/>
  <c r="B56" i="107"/>
  <c r="Y55" i="107"/>
  <c r="W55" i="107"/>
  <c r="X55" i="107" s="1"/>
  <c r="P55" i="107"/>
  <c r="O55" i="107"/>
  <c r="N55" i="107"/>
  <c r="X54" i="107"/>
  <c r="W54" i="107"/>
  <c r="Y54" i="107" s="1"/>
  <c r="N54" i="107"/>
  <c r="O54" i="107" s="1"/>
  <c r="C54" i="107"/>
  <c r="B54" i="107"/>
  <c r="Y53" i="107"/>
  <c r="X53" i="107"/>
  <c r="W53" i="107"/>
  <c r="N53" i="107"/>
  <c r="P53" i="107" s="1"/>
  <c r="Y52" i="107"/>
  <c r="X52" i="107"/>
  <c r="W52" i="107"/>
  <c r="N52" i="107"/>
  <c r="P52" i="107" s="1"/>
  <c r="Y51" i="107"/>
  <c r="X51" i="107"/>
  <c r="W51" i="107"/>
  <c r="N51" i="107"/>
  <c r="P51" i="107" s="1"/>
  <c r="C51" i="107"/>
  <c r="B51" i="107"/>
  <c r="W50" i="107"/>
  <c r="X50" i="107" s="1"/>
  <c r="P50" i="107"/>
  <c r="O50" i="107"/>
  <c r="N50" i="107"/>
  <c r="X49" i="107"/>
  <c r="W49" i="107"/>
  <c r="Y49" i="107" s="1"/>
  <c r="P49" i="107"/>
  <c r="N49" i="107"/>
  <c r="O49" i="107" s="1"/>
  <c r="C49" i="107"/>
  <c r="B49" i="107"/>
  <c r="Y48" i="107"/>
  <c r="X48" i="107"/>
  <c r="W48" i="107"/>
  <c r="N48" i="107"/>
  <c r="P48" i="107" s="1"/>
  <c r="W47" i="107"/>
  <c r="X47" i="107" s="1"/>
  <c r="P47" i="107"/>
  <c r="O47" i="107"/>
  <c r="N47" i="107"/>
  <c r="Y46" i="107"/>
  <c r="X46" i="107"/>
  <c r="W46" i="107"/>
  <c r="O46" i="107"/>
  <c r="N46" i="107"/>
  <c r="P46" i="107" s="1"/>
  <c r="X45" i="107"/>
  <c r="W45" i="107"/>
  <c r="Y45" i="107" s="1"/>
  <c r="N45" i="107"/>
  <c r="P45" i="107" s="1"/>
  <c r="W44" i="107"/>
  <c r="Y44" i="107" s="1"/>
  <c r="P44" i="107"/>
  <c r="O44" i="107"/>
  <c r="N44" i="107"/>
  <c r="X43" i="107"/>
  <c r="W43" i="107"/>
  <c r="Y43" i="107" s="1"/>
  <c r="N43" i="107"/>
  <c r="P43" i="107" s="1"/>
  <c r="Y42" i="107"/>
  <c r="X42" i="107"/>
  <c r="W42" i="107"/>
  <c r="O42" i="107"/>
  <c r="N42" i="107"/>
  <c r="P42" i="107" s="1"/>
  <c r="W41" i="107"/>
  <c r="X41" i="107" s="1"/>
  <c r="P41" i="107"/>
  <c r="O41" i="107"/>
  <c r="N41" i="107"/>
  <c r="Y40" i="107"/>
  <c r="X40" i="107"/>
  <c r="W40" i="107"/>
  <c r="O40" i="107"/>
  <c r="N40" i="107"/>
  <c r="P40" i="107" s="1"/>
  <c r="Y39" i="107"/>
  <c r="X39" i="107"/>
  <c r="W39" i="107"/>
  <c r="O39" i="107"/>
  <c r="N39" i="107"/>
  <c r="P39" i="107" s="1"/>
  <c r="X38" i="107"/>
  <c r="W38" i="107"/>
  <c r="Y38" i="107" s="1"/>
  <c r="N38" i="107"/>
  <c r="P38" i="107" s="1"/>
  <c r="X37" i="107"/>
  <c r="W37" i="107"/>
  <c r="Y37" i="107" s="1"/>
  <c r="N37" i="107"/>
  <c r="P37" i="107" s="1"/>
  <c r="W36" i="107"/>
  <c r="Y36" i="107" s="1"/>
  <c r="P36" i="107"/>
  <c r="O36" i="107"/>
  <c r="N36" i="107"/>
  <c r="Y35" i="107"/>
  <c r="X35" i="107"/>
  <c r="W35" i="107"/>
  <c r="P35" i="107"/>
  <c r="O35" i="107"/>
  <c r="N35" i="107"/>
  <c r="Y34" i="107"/>
  <c r="X34" i="107"/>
  <c r="W34" i="107"/>
  <c r="O34" i="107"/>
  <c r="N34" i="107"/>
  <c r="P34" i="107" s="1"/>
  <c r="C32" i="107"/>
  <c r="B32" i="107"/>
  <c r="C30" i="107"/>
  <c r="B30" i="107"/>
  <c r="C27" i="107"/>
  <c r="B27" i="107"/>
  <c r="C25" i="107"/>
  <c r="B25" i="107"/>
  <c r="B12" i="107"/>
  <c r="F12" i="107" s="1"/>
  <c r="D95" i="107" s="1"/>
  <c r="AG3" i="106"/>
  <c r="AB3" i="106"/>
  <c r="U3" i="106"/>
  <c r="T3" i="106"/>
  <c r="S3" i="106"/>
  <c r="R3" i="106"/>
  <c r="AG2" i="106"/>
  <c r="U2" i="106"/>
  <c r="T2" i="106"/>
  <c r="S2" i="106"/>
  <c r="R2" i="106"/>
  <c r="Q2" i="106"/>
  <c r="N129" i="106"/>
  <c r="O129" i="106" s="1"/>
  <c r="N128" i="106"/>
  <c r="P128" i="106" s="1"/>
  <c r="P127" i="106"/>
  <c r="O127" i="106"/>
  <c r="N127" i="106"/>
  <c r="N126" i="106"/>
  <c r="P126" i="106" s="1"/>
  <c r="N125" i="106"/>
  <c r="O125" i="106" s="1"/>
  <c r="N124" i="106"/>
  <c r="P124" i="106" s="1"/>
  <c r="P123" i="106"/>
  <c r="O123" i="106"/>
  <c r="N123" i="106"/>
  <c r="N122" i="106"/>
  <c r="P122" i="106" s="1"/>
  <c r="N121" i="106"/>
  <c r="O121" i="106" s="1"/>
  <c r="N120" i="106"/>
  <c r="P120" i="106" s="1"/>
  <c r="P119" i="106"/>
  <c r="O119" i="106"/>
  <c r="N119" i="106"/>
  <c r="N118" i="106"/>
  <c r="P118" i="106" s="1"/>
  <c r="N117" i="106"/>
  <c r="O117" i="106" s="1"/>
  <c r="N116" i="106"/>
  <c r="P116" i="106" s="1"/>
  <c r="P115" i="106"/>
  <c r="O115" i="106"/>
  <c r="N115" i="106"/>
  <c r="N114" i="106"/>
  <c r="P114" i="106" s="1"/>
  <c r="N113" i="106"/>
  <c r="O113" i="106" s="1"/>
  <c r="N112" i="106"/>
  <c r="P112" i="106" s="1"/>
  <c r="P111" i="106"/>
  <c r="O111" i="106"/>
  <c r="N111" i="106"/>
  <c r="N110" i="106"/>
  <c r="P110" i="106" s="1"/>
  <c r="N109" i="106"/>
  <c r="O109" i="106" s="1"/>
  <c r="N108" i="106"/>
  <c r="P108" i="106" s="1"/>
  <c r="P107" i="106"/>
  <c r="O107" i="106"/>
  <c r="N107" i="106"/>
  <c r="N106" i="106"/>
  <c r="P106" i="106" s="1"/>
  <c r="N105" i="106"/>
  <c r="O105" i="106" s="1"/>
  <c r="N104" i="106"/>
  <c r="P104" i="106" s="1"/>
  <c r="N103" i="106"/>
  <c r="P103" i="106" s="1"/>
  <c r="N102" i="106"/>
  <c r="O102" i="106" s="1"/>
  <c r="N101" i="106"/>
  <c r="P101" i="106" s="1"/>
  <c r="P100" i="106"/>
  <c r="O100" i="106"/>
  <c r="N100" i="106"/>
  <c r="N99" i="106"/>
  <c r="P99" i="106" s="1"/>
  <c r="P98" i="106"/>
  <c r="O98" i="106"/>
  <c r="N98" i="106"/>
  <c r="N97" i="106"/>
  <c r="P97" i="106" s="1"/>
  <c r="P96" i="106"/>
  <c r="O96" i="106"/>
  <c r="N96" i="106"/>
  <c r="B96" i="106"/>
  <c r="P95" i="106"/>
  <c r="O95" i="106"/>
  <c r="N95" i="106"/>
  <c r="N94" i="106"/>
  <c r="P94" i="106" s="1"/>
  <c r="H94" i="106"/>
  <c r="G94" i="106"/>
  <c r="F94" i="106"/>
  <c r="E94" i="106"/>
  <c r="D94" i="106"/>
  <c r="C94" i="106"/>
  <c r="B94" i="106"/>
  <c r="O93" i="106"/>
  <c r="N93" i="106"/>
  <c r="P93" i="106" s="1"/>
  <c r="P92" i="106"/>
  <c r="O92" i="106"/>
  <c r="N92" i="106"/>
  <c r="N91" i="106"/>
  <c r="O91" i="106" s="1"/>
  <c r="H91" i="106"/>
  <c r="G91" i="106"/>
  <c r="F91" i="106"/>
  <c r="E91" i="106"/>
  <c r="D91" i="106"/>
  <c r="C91" i="106"/>
  <c r="B91" i="106"/>
  <c r="N90" i="106"/>
  <c r="P90" i="106" s="1"/>
  <c r="N89" i="106"/>
  <c r="P89" i="106" s="1"/>
  <c r="H89" i="106"/>
  <c r="G89" i="106"/>
  <c r="F89" i="106"/>
  <c r="E89" i="106"/>
  <c r="D89" i="106"/>
  <c r="C89" i="106"/>
  <c r="B89" i="106"/>
  <c r="N88" i="106"/>
  <c r="N87" i="106"/>
  <c r="P86" i="106"/>
  <c r="O86" i="106"/>
  <c r="N86" i="106"/>
  <c r="N85" i="106"/>
  <c r="P84" i="106"/>
  <c r="O84" i="106"/>
  <c r="N84" i="106"/>
  <c r="P83" i="106"/>
  <c r="O83" i="106"/>
  <c r="N83" i="106"/>
  <c r="P82" i="106"/>
  <c r="O82" i="106"/>
  <c r="N82" i="106"/>
  <c r="Y81" i="106"/>
  <c r="X81" i="106"/>
  <c r="W81" i="106"/>
  <c r="N81" i="106"/>
  <c r="P81" i="106" s="1"/>
  <c r="W80" i="106"/>
  <c r="P80" i="106"/>
  <c r="N80" i="106"/>
  <c r="O80" i="106" s="1"/>
  <c r="Y79" i="106"/>
  <c r="W79" i="106"/>
  <c r="X79" i="106" s="1"/>
  <c r="P79" i="106"/>
  <c r="O79" i="106"/>
  <c r="N79" i="106"/>
  <c r="Y78" i="106"/>
  <c r="X78" i="106"/>
  <c r="W78" i="106"/>
  <c r="P78" i="106"/>
  <c r="N78" i="106"/>
  <c r="O78" i="106" s="1"/>
  <c r="W77" i="106"/>
  <c r="O77" i="106"/>
  <c r="N77" i="106"/>
  <c r="P77" i="106" s="1"/>
  <c r="Y76" i="106"/>
  <c r="X76" i="106"/>
  <c r="W76" i="106"/>
  <c r="P76" i="106"/>
  <c r="O76" i="106"/>
  <c r="N76" i="106"/>
  <c r="H76" i="106"/>
  <c r="G76" i="106"/>
  <c r="F76" i="106"/>
  <c r="E76" i="106"/>
  <c r="D76" i="106"/>
  <c r="C76" i="106"/>
  <c r="B76" i="106"/>
  <c r="X75" i="106"/>
  <c r="W75" i="106"/>
  <c r="Y75" i="106" s="1"/>
  <c r="O75" i="106"/>
  <c r="N75" i="106"/>
  <c r="P75" i="106" s="1"/>
  <c r="W74" i="106"/>
  <c r="P74" i="106"/>
  <c r="O74" i="106"/>
  <c r="N74" i="106"/>
  <c r="B74" i="106"/>
  <c r="Y73" i="106"/>
  <c r="W73" i="106"/>
  <c r="X73" i="106" s="1"/>
  <c r="N73" i="106"/>
  <c r="O73" i="106" s="1"/>
  <c r="X72" i="106"/>
  <c r="W72" i="106"/>
  <c r="Y72" i="106" s="1"/>
  <c r="P72" i="106"/>
  <c r="O72" i="106"/>
  <c r="N72" i="106"/>
  <c r="X71" i="106"/>
  <c r="W71" i="106"/>
  <c r="Y71" i="106" s="1"/>
  <c r="P71" i="106"/>
  <c r="N71" i="106"/>
  <c r="O71" i="106" s="1"/>
  <c r="H71" i="106"/>
  <c r="G71" i="106"/>
  <c r="F71" i="106"/>
  <c r="E71" i="106"/>
  <c r="D71" i="106"/>
  <c r="C71" i="106"/>
  <c r="B71" i="106"/>
  <c r="Y70" i="106"/>
  <c r="X70" i="106"/>
  <c r="W70" i="106"/>
  <c r="P70" i="106"/>
  <c r="N70" i="106"/>
  <c r="O70" i="106" s="1"/>
  <c r="Y69" i="106"/>
  <c r="W69" i="106"/>
  <c r="X69" i="106" s="1"/>
  <c r="P69" i="106"/>
  <c r="O69" i="106"/>
  <c r="N69" i="106"/>
  <c r="H69" i="106"/>
  <c r="G69" i="106"/>
  <c r="F69" i="106"/>
  <c r="E69" i="106"/>
  <c r="D69" i="106"/>
  <c r="C69" i="106"/>
  <c r="B69" i="106"/>
  <c r="Y68" i="106"/>
  <c r="W68" i="106"/>
  <c r="X68" i="106" s="1"/>
  <c r="O68" i="106"/>
  <c r="N68" i="106"/>
  <c r="P68" i="106" s="1"/>
  <c r="W67" i="106"/>
  <c r="X67" i="106" s="1"/>
  <c r="O67" i="106"/>
  <c r="N67" i="106"/>
  <c r="P67" i="106" s="1"/>
  <c r="X66" i="106"/>
  <c r="W66" i="106"/>
  <c r="Y66" i="106" s="1"/>
  <c r="N66" i="106"/>
  <c r="O66" i="106" s="1"/>
  <c r="Y65" i="106"/>
  <c r="W65" i="106"/>
  <c r="X65" i="106" s="1"/>
  <c r="P65" i="106"/>
  <c r="O65" i="106"/>
  <c r="N65" i="106"/>
  <c r="Y64" i="106"/>
  <c r="X64" i="106"/>
  <c r="W64" i="106"/>
  <c r="N64" i="106"/>
  <c r="O64" i="106" s="1"/>
  <c r="W63" i="106"/>
  <c r="X63" i="106" s="1"/>
  <c r="P63" i="106"/>
  <c r="O63" i="106"/>
  <c r="N63" i="106"/>
  <c r="X62" i="106"/>
  <c r="W62" i="106"/>
  <c r="Y62" i="106" s="1"/>
  <c r="P62" i="106"/>
  <c r="N62" i="106"/>
  <c r="O62" i="106" s="1"/>
  <c r="Y61" i="106"/>
  <c r="W61" i="106"/>
  <c r="X61" i="106" s="1"/>
  <c r="O61" i="106"/>
  <c r="N61" i="106"/>
  <c r="P61" i="106" s="1"/>
  <c r="X60" i="106"/>
  <c r="W60" i="106"/>
  <c r="Y60" i="106" s="1"/>
  <c r="P60" i="106"/>
  <c r="N60" i="106"/>
  <c r="O60" i="106" s="1"/>
  <c r="Y59" i="106"/>
  <c r="W59" i="106"/>
  <c r="X59" i="106" s="1"/>
  <c r="P59" i="106"/>
  <c r="O59" i="106"/>
  <c r="N59" i="106"/>
  <c r="Y58" i="106"/>
  <c r="X58" i="106"/>
  <c r="W58" i="106"/>
  <c r="P58" i="106"/>
  <c r="N58" i="106"/>
  <c r="O58" i="106" s="1"/>
  <c r="W57" i="106"/>
  <c r="X57" i="106" s="1"/>
  <c r="O57" i="106"/>
  <c r="N57" i="106"/>
  <c r="P57" i="106" s="1"/>
  <c r="X56" i="106"/>
  <c r="W56" i="106"/>
  <c r="Y56" i="106" s="1"/>
  <c r="P56" i="106"/>
  <c r="N56" i="106"/>
  <c r="O56" i="106" s="1"/>
  <c r="C56" i="106"/>
  <c r="B56" i="106"/>
  <c r="W55" i="106"/>
  <c r="X55" i="106" s="1"/>
  <c r="O55" i="106"/>
  <c r="N55" i="106"/>
  <c r="P55" i="106" s="1"/>
  <c r="Y54" i="106"/>
  <c r="X54" i="106"/>
  <c r="W54" i="106"/>
  <c r="P54" i="106"/>
  <c r="N54" i="106"/>
  <c r="O54" i="106" s="1"/>
  <c r="C54" i="106"/>
  <c r="B54" i="106"/>
  <c r="W53" i="106"/>
  <c r="X53" i="106" s="1"/>
  <c r="P53" i="106"/>
  <c r="O53" i="106"/>
  <c r="N53" i="106"/>
  <c r="Y52" i="106"/>
  <c r="W52" i="106"/>
  <c r="X52" i="106" s="1"/>
  <c r="P52" i="106"/>
  <c r="O52" i="106"/>
  <c r="N52" i="106"/>
  <c r="Y51" i="106"/>
  <c r="W51" i="106"/>
  <c r="X51" i="106" s="1"/>
  <c r="P51" i="106"/>
  <c r="O51" i="106"/>
  <c r="N51" i="106"/>
  <c r="C51" i="106"/>
  <c r="B51" i="106"/>
  <c r="X50" i="106"/>
  <c r="W50" i="106"/>
  <c r="Y50" i="106" s="1"/>
  <c r="P50" i="106"/>
  <c r="N50" i="106"/>
  <c r="O50" i="106" s="1"/>
  <c r="Y49" i="106"/>
  <c r="W49" i="106"/>
  <c r="X49" i="106" s="1"/>
  <c r="O49" i="106"/>
  <c r="N49" i="106"/>
  <c r="P49" i="106" s="1"/>
  <c r="C49" i="106"/>
  <c r="B49" i="106"/>
  <c r="X48" i="106"/>
  <c r="W48" i="106"/>
  <c r="Y48" i="106" s="1"/>
  <c r="N48" i="106"/>
  <c r="O48" i="106" s="1"/>
  <c r="Y47" i="106"/>
  <c r="W47" i="106"/>
  <c r="X47" i="106" s="1"/>
  <c r="O47" i="106"/>
  <c r="N47" i="106"/>
  <c r="P47" i="106" s="1"/>
  <c r="X46" i="106"/>
  <c r="W46" i="106"/>
  <c r="Y46" i="106" s="1"/>
  <c r="P46" i="106"/>
  <c r="N46" i="106"/>
  <c r="O46" i="106" s="1"/>
  <c r="Y45" i="106"/>
  <c r="W45" i="106"/>
  <c r="X45" i="106" s="1"/>
  <c r="P45" i="106"/>
  <c r="O45" i="106"/>
  <c r="N45" i="106"/>
  <c r="Y44" i="106"/>
  <c r="X44" i="106"/>
  <c r="W44" i="106"/>
  <c r="P44" i="106"/>
  <c r="N44" i="106"/>
  <c r="O44" i="106" s="1"/>
  <c r="Y43" i="106"/>
  <c r="W43" i="106"/>
  <c r="X43" i="106" s="1"/>
  <c r="P43" i="106"/>
  <c r="O43" i="106"/>
  <c r="N43" i="106"/>
  <c r="X42" i="106"/>
  <c r="W42" i="106"/>
  <c r="Y42" i="106" s="1"/>
  <c r="P42" i="106"/>
  <c r="N42" i="106"/>
  <c r="O42" i="106" s="1"/>
  <c r="Y41" i="106"/>
  <c r="W41" i="106"/>
  <c r="X41" i="106" s="1"/>
  <c r="O41" i="106"/>
  <c r="N41" i="106"/>
  <c r="P41" i="106" s="1"/>
  <c r="X40" i="106"/>
  <c r="W40" i="106"/>
  <c r="Y40" i="106" s="1"/>
  <c r="P40" i="106"/>
  <c r="N40" i="106"/>
  <c r="O40" i="106" s="1"/>
  <c r="X39" i="106"/>
  <c r="W39" i="106"/>
  <c r="Y39" i="106" s="1"/>
  <c r="P39" i="106"/>
  <c r="N39" i="106"/>
  <c r="O39" i="106" s="1"/>
  <c r="Y38" i="106"/>
  <c r="W38" i="106"/>
  <c r="X38" i="106" s="1"/>
  <c r="P38" i="106"/>
  <c r="O38" i="106"/>
  <c r="N38" i="106"/>
  <c r="Y37" i="106"/>
  <c r="W37" i="106"/>
  <c r="X37" i="106" s="1"/>
  <c r="P37" i="106"/>
  <c r="O37" i="106"/>
  <c r="N37" i="106"/>
  <c r="Y36" i="106"/>
  <c r="X36" i="106"/>
  <c r="W36" i="106"/>
  <c r="N36" i="106"/>
  <c r="O36" i="106" s="1"/>
  <c r="Y35" i="106"/>
  <c r="X35" i="106"/>
  <c r="W35" i="106"/>
  <c r="N35" i="106"/>
  <c r="P35" i="106" s="1"/>
  <c r="Y34" i="106"/>
  <c r="X34" i="106"/>
  <c r="W34" i="106"/>
  <c r="N34" i="106"/>
  <c r="P34" i="106" s="1"/>
  <c r="C32" i="106"/>
  <c r="B32" i="106"/>
  <c r="C30" i="106"/>
  <c r="B30" i="106"/>
  <c r="C27" i="106"/>
  <c r="B27" i="106"/>
  <c r="C25" i="106"/>
  <c r="B25" i="106"/>
  <c r="B12" i="106"/>
  <c r="F12" i="106" s="1"/>
  <c r="C31" i="106" s="1"/>
  <c r="E68" i="107" l="1"/>
  <c r="E88" i="107"/>
  <c r="B11" i="107"/>
  <c r="Y41" i="107"/>
  <c r="Y47" i="107"/>
  <c r="C55" i="107"/>
  <c r="X66" i="107"/>
  <c r="Y66" i="107"/>
  <c r="G75" i="107"/>
  <c r="C12" i="107"/>
  <c r="D12" i="107" s="1"/>
  <c r="X36" i="107"/>
  <c r="O37" i="107"/>
  <c r="O38" i="107"/>
  <c r="O43" i="107"/>
  <c r="X44" i="107"/>
  <c r="O45" i="107"/>
  <c r="O52" i="107"/>
  <c r="Y57" i="107"/>
  <c r="X57" i="107"/>
  <c r="X61" i="107"/>
  <c r="O69" i="107"/>
  <c r="B31" i="107"/>
  <c r="X71" i="107"/>
  <c r="Y71" i="107"/>
  <c r="G95" i="107"/>
  <c r="D75" i="107"/>
  <c r="C95" i="107"/>
  <c r="H75" i="107"/>
  <c r="B95" i="107"/>
  <c r="H95" i="107"/>
  <c r="B55" i="107"/>
  <c r="F95" i="107"/>
  <c r="E95" i="107"/>
  <c r="F75" i="107"/>
  <c r="E75" i="107"/>
  <c r="C75" i="107"/>
  <c r="B75" i="107"/>
  <c r="C31" i="107"/>
  <c r="O67" i="107"/>
  <c r="P67" i="107"/>
  <c r="O68" i="107"/>
  <c r="P68" i="107"/>
  <c r="D77" i="107"/>
  <c r="P81" i="107"/>
  <c r="O81" i="107"/>
  <c r="P85" i="107"/>
  <c r="O85" i="107"/>
  <c r="O51" i="107"/>
  <c r="P70" i="107"/>
  <c r="O70" i="107"/>
  <c r="G77" i="107"/>
  <c r="O48" i="107"/>
  <c r="Y50" i="107"/>
  <c r="P54" i="107"/>
  <c r="P61" i="107"/>
  <c r="Y62" i="107"/>
  <c r="O53" i="107"/>
  <c r="P58" i="107"/>
  <c r="O58" i="107"/>
  <c r="P64" i="107"/>
  <c r="O64" i="107"/>
  <c r="X73" i="107"/>
  <c r="P77" i="107"/>
  <c r="P88" i="107"/>
  <c r="O91" i="107"/>
  <c r="P91" i="107"/>
  <c r="P103" i="107"/>
  <c r="O103" i="107"/>
  <c r="P87" i="107"/>
  <c r="O87" i="107"/>
  <c r="Y78" i="107"/>
  <c r="O108" i="107"/>
  <c r="O124" i="107"/>
  <c r="P99" i="107"/>
  <c r="O99" i="107"/>
  <c r="P101" i="107"/>
  <c r="O101" i="107"/>
  <c r="O116" i="107"/>
  <c r="O75" i="107"/>
  <c r="P83" i="107"/>
  <c r="P94" i="107"/>
  <c r="O94" i="107"/>
  <c r="P102" i="107"/>
  <c r="P105" i="107"/>
  <c r="P109" i="107"/>
  <c r="P113" i="107"/>
  <c r="P117" i="107"/>
  <c r="P121" i="107"/>
  <c r="P125" i="107"/>
  <c r="P129" i="107"/>
  <c r="O128" i="107"/>
  <c r="E68" i="106"/>
  <c r="C12" i="106"/>
  <c r="D12" i="106" s="1"/>
  <c r="E88" i="106"/>
  <c r="P36" i="106"/>
  <c r="E75" i="106"/>
  <c r="G77" i="106"/>
  <c r="D77" i="106"/>
  <c r="B11" i="106"/>
  <c r="O35" i="106"/>
  <c r="Y55" i="106"/>
  <c r="P64" i="106"/>
  <c r="Y67" i="106"/>
  <c r="P73" i="106"/>
  <c r="B31" i="106"/>
  <c r="B55" i="106"/>
  <c r="Y77" i="106"/>
  <c r="X77" i="106"/>
  <c r="Y80" i="106"/>
  <c r="X80" i="106"/>
  <c r="O34" i="106"/>
  <c r="P48" i="106"/>
  <c r="Y53" i="106"/>
  <c r="Y57" i="106"/>
  <c r="Y63" i="106"/>
  <c r="P66" i="106"/>
  <c r="G95" i="106"/>
  <c r="D75" i="106"/>
  <c r="F95" i="106"/>
  <c r="E95" i="106"/>
  <c r="D95" i="106"/>
  <c r="C95" i="106"/>
  <c r="B95" i="106"/>
  <c r="H95" i="106"/>
  <c r="B75" i="106"/>
  <c r="C55" i="106"/>
  <c r="H75" i="106"/>
  <c r="G75" i="106"/>
  <c r="F75" i="106"/>
  <c r="C75" i="106"/>
  <c r="X74" i="106"/>
  <c r="Y74" i="106"/>
  <c r="O81" i="106"/>
  <c r="P85" i="106"/>
  <c r="O85" i="106"/>
  <c r="P88" i="106"/>
  <c r="O88" i="106"/>
  <c r="P87" i="106"/>
  <c r="O87" i="106"/>
  <c r="P91" i="106"/>
  <c r="P102" i="106"/>
  <c r="P105" i="106"/>
  <c r="P109" i="106"/>
  <c r="P113" i="106"/>
  <c r="P117" i="106"/>
  <c r="P121" i="106"/>
  <c r="P125" i="106"/>
  <c r="P129" i="106"/>
  <c r="O106" i="106"/>
  <c r="O110" i="106"/>
  <c r="O114" i="106"/>
  <c r="O118" i="106"/>
  <c r="O122" i="106"/>
  <c r="O126" i="106"/>
  <c r="O94" i="106"/>
  <c r="O99" i="106"/>
  <c r="O104" i="106"/>
  <c r="O108" i="106"/>
  <c r="O112" i="106"/>
  <c r="O116" i="106"/>
  <c r="O120" i="106"/>
  <c r="O124" i="106"/>
  <c r="O128" i="106"/>
  <c r="O89" i="106"/>
  <c r="O90" i="106"/>
  <c r="O97" i="106"/>
  <c r="O101" i="106"/>
  <c r="O103" i="106"/>
  <c r="X29" i="105" l="1"/>
  <c r="K25" i="105"/>
  <c r="K24" i="105"/>
  <c r="N15" i="105"/>
  <c r="K15" i="105"/>
  <c r="K12" i="105"/>
  <c r="H11" i="105"/>
  <c r="C11" i="105"/>
  <c r="N7" i="105"/>
  <c r="AG3" i="105"/>
  <c r="AB3" i="105"/>
  <c r="U3" i="105"/>
  <c r="T3" i="105"/>
  <c r="S3" i="105"/>
  <c r="C40" i="105" s="1"/>
  <c r="R3" i="105"/>
  <c r="E84" i="105" s="1"/>
  <c r="N3" i="105"/>
  <c r="J3" i="105"/>
  <c r="S14" i="105" s="1"/>
  <c r="AG2" i="105"/>
  <c r="U2" i="105"/>
  <c r="T2" i="105"/>
  <c r="S2" i="105"/>
  <c r="B38" i="105" s="1"/>
  <c r="R2" i="105"/>
  <c r="E102" i="105" s="1"/>
  <c r="Q2" i="105"/>
  <c r="N2" i="105"/>
  <c r="J2" i="105"/>
  <c r="N129" i="105"/>
  <c r="O129" i="105" s="1"/>
  <c r="N128" i="105"/>
  <c r="P128" i="105" s="1"/>
  <c r="P127" i="105"/>
  <c r="N127" i="105"/>
  <c r="O127" i="105" s="1"/>
  <c r="P126" i="105"/>
  <c r="O126" i="105"/>
  <c r="N126" i="105"/>
  <c r="N125" i="105"/>
  <c r="O125" i="105" s="1"/>
  <c r="N124" i="105"/>
  <c r="P124" i="105" s="1"/>
  <c r="P123" i="105"/>
  <c r="N123" i="105"/>
  <c r="O123" i="105" s="1"/>
  <c r="P122" i="105"/>
  <c r="O122" i="105"/>
  <c r="N122" i="105"/>
  <c r="N121" i="105"/>
  <c r="O121" i="105" s="1"/>
  <c r="N120" i="105"/>
  <c r="P120" i="105" s="1"/>
  <c r="P119" i="105"/>
  <c r="N119" i="105"/>
  <c r="O119" i="105" s="1"/>
  <c r="P118" i="105"/>
  <c r="O118" i="105"/>
  <c r="N118" i="105"/>
  <c r="N117" i="105"/>
  <c r="O117" i="105" s="1"/>
  <c r="N116" i="105"/>
  <c r="P116" i="105" s="1"/>
  <c r="P115" i="105"/>
  <c r="N115" i="105"/>
  <c r="O115" i="105" s="1"/>
  <c r="P114" i="105"/>
  <c r="O114" i="105"/>
  <c r="N114" i="105"/>
  <c r="N113" i="105"/>
  <c r="O113" i="105" s="1"/>
  <c r="N112" i="105"/>
  <c r="P111" i="105"/>
  <c r="N111" i="105"/>
  <c r="O111" i="105" s="1"/>
  <c r="P110" i="105"/>
  <c r="O110" i="105"/>
  <c r="N110" i="105"/>
  <c r="N109" i="105"/>
  <c r="N108" i="105"/>
  <c r="P108" i="105" s="1"/>
  <c r="P107" i="105"/>
  <c r="N107" i="105"/>
  <c r="O107" i="105" s="1"/>
  <c r="P106" i="105"/>
  <c r="O106" i="105"/>
  <c r="N106" i="105"/>
  <c r="N105" i="105"/>
  <c r="P104" i="105"/>
  <c r="N104" i="105"/>
  <c r="O104" i="105" s="1"/>
  <c r="O103" i="105"/>
  <c r="N103" i="105"/>
  <c r="P103" i="105" s="1"/>
  <c r="N102" i="105"/>
  <c r="O101" i="105"/>
  <c r="N101" i="105"/>
  <c r="P101" i="105" s="1"/>
  <c r="P100" i="105"/>
  <c r="O100" i="105"/>
  <c r="N100" i="105"/>
  <c r="N99" i="105"/>
  <c r="P98" i="105"/>
  <c r="N98" i="105"/>
  <c r="O98" i="105" s="1"/>
  <c r="O97" i="105"/>
  <c r="N97" i="105"/>
  <c r="P97" i="105" s="1"/>
  <c r="P96" i="105"/>
  <c r="O96" i="105"/>
  <c r="N96" i="105"/>
  <c r="B96" i="105"/>
  <c r="P95" i="105"/>
  <c r="N95" i="105"/>
  <c r="O95" i="105" s="1"/>
  <c r="N94" i="105"/>
  <c r="H94" i="105"/>
  <c r="G94" i="105"/>
  <c r="F94" i="105"/>
  <c r="E94" i="105"/>
  <c r="D94" i="105"/>
  <c r="C94" i="105"/>
  <c r="B94" i="105"/>
  <c r="P93" i="105"/>
  <c r="O93" i="105"/>
  <c r="N93" i="105"/>
  <c r="P92" i="105"/>
  <c r="N92" i="105"/>
  <c r="O92" i="105" s="1"/>
  <c r="N91" i="105"/>
  <c r="H91" i="105"/>
  <c r="G91" i="105"/>
  <c r="F91" i="105"/>
  <c r="E91" i="105"/>
  <c r="D91" i="105"/>
  <c r="C91" i="105"/>
  <c r="B91" i="105"/>
  <c r="O90" i="105"/>
  <c r="N90" i="105"/>
  <c r="P90" i="105" s="1"/>
  <c r="P89" i="105"/>
  <c r="N89" i="105"/>
  <c r="O89" i="105" s="1"/>
  <c r="H89" i="105"/>
  <c r="G89" i="105"/>
  <c r="F89" i="105"/>
  <c r="E89" i="105"/>
  <c r="D89" i="105"/>
  <c r="C89" i="105"/>
  <c r="B89" i="105"/>
  <c r="P88" i="105"/>
  <c r="O88" i="105"/>
  <c r="N88" i="105"/>
  <c r="O87" i="105"/>
  <c r="N87" i="105"/>
  <c r="P87" i="105" s="1"/>
  <c r="N86" i="105"/>
  <c r="N85" i="105"/>
  <c r="P84" i="105"/>
  <c r="O84" i="105"/>
  <c r="N84" i="105"/>
  <c r="N83" i="105"/>
  <c r="O83" i="105" s="1"/>
  <c r="P82" i="105"/>
  <c r="O82" i="105"/>
  <c r="N82" i="105"/>
  <c r="W81" i="105"/>
  <c r="X81" i="105" s="1"/>
  <c r="P81" i="105"/>
  <c r="O81" i="105"/>
  <c r="N81" i="105"/>
  <c r="Y80" i="105"/>
  <c r="X80" i="105"/>
  <c r="W80" i="105"/>
  <c r="O80" i="105"/>
  <c r="N80" i="105"/>
  <c r="P80" i="105" s="1"/>
  <c r="W79" i="105"/>
  <c r="N79" i="105"/>
  <c r="Y78" i="105"/>
  <c r="W78" i="105"/>
  <c r="X78" i="105" s="1"/>
  <c r="P78" i="105"/>
  <c r="O78" i="105"/>
  <c r="N78" i="105"/>
  <c r="Y77" i="105"/>
  <c r="X77" i="105"/>
  <c r="W77" i="105"/>
  <c r="P77" i="105"/>
  <c r="O77" i="105"/>
  <c r="N77" i="105"/>
  <c r="W76" i="105"/>
  <c r="P76" i="105"/>
  <c r="O76" i="105"/>
  <c r="N76" i="105"/>
  <c r="H76" i="105"/>
  <c r="G76" i="105"/>
  <c r="F76" i="105"/>
  <c r="E76" i="105"/>
  <c r="D76" i="105"/>
  <c r="C76" i="105"/>
  <c r="B76" i="105"/>
  <c r="Y75" i="105"/>
  <c r="X75" i="105"/>
  <c r="W75" i="105"/>
  <c r="P75" i="105"/>
  <c r="O75" i="105"/>
  <c r="N75" i="105"/>
  <c r="X74" i="105"/>
  <c r="W74" i="105"/>
  <c r="Y74" i="105" s="1"/>
  <c r="P74" i="105"/>
  <c r="N74" i="105"/>
  <c r="O74" i="105" s="1"/>
  <c r="B74" i="105"/>
  <c r="Y73" i="105"/>
  <c r="X73" i="105"/>
  <c r="W73" i="105"/>
  <c r="O73" i="105"/>
  <c r="N73" i="105"/>
  <c r="P73" i="105" s="1"/>
  <c r="Y72" i="105"/>
  <c r="W72" i="105"/>
  <c r="X72" i="105" s="1"/>
  <c r="P72" i="105"/>
  <c r="O72" i="105"/>
  <c r="N72" i="105"/>
  <c r="W71" i="105"/>
  <c r="N71" i="105"/>
  <c r="P71" i="105" s="1"/>
  <c r="H71" i="105"/>
  <c r="G71" i="105"/>
  <c r="F71" i="105"/>
  <c r="E71" i="105"/>
  <c r="D71" i="105"/>
  <c r="C71" i="105"/>
  <c r="B71" i="105"/>
  <c r="W70" i="105"/>
  <c r="N70" i="105"/>
  <c r="O70" i="105" s="1"/>
  <c r="W69" i="105"/>
  <c r="Y69" i="105" s="1"/>
  <c r="P69" i="105"/>
  <c r="O69" i="105"/>
  <c r="N69" i="105"/>
  <c r="H69" i="105"/>
  <c r="G69" i="105"/>
  <c r="F69" i="105"/>
  <c r="E69" i="105"/>
  <c r="D69" i="105"/>
  <c r="C69" i="105"/>
  <c r="B69" i="105"/>
  <c r="W68" i="105"/>
  <c r="Y68" i="105" s="1"/>
  <c r="N68" i="105"/>
  <c r="O68" i="105" s="1"/>
  <c r="W67" i="105"/>
  <c r="Y67" i="105" s="1"/>
  <c r="N67" i="105"/>
  <c r="O67" i="105" s="1"/>
  <c r="Y66" i="105"/>
  <c r="W66" i="105"/>
  <c r="X66" i="105" s="1"/>
  <c r="P66" i="105"/>
  <c r="O66" i="105"/>
  <c r="N66" i="105"/>
  <c r="Y65" i="105"/>
  <c r="X65" i="105"/>
  <c r="W65" i="105"/>
  <c r="O65" i="105"/>
  <c r="N65" i="105"/>
  <c r="P65" i="105" s="1"/>
  <c r="W64" i="105"/>
  <c r="Y64" i="105" s="1"/>
  <c r="N64" i="105"/>
  <c r="O64" i="105" s="1"/>
  <c r="Y63" i="105"/>
  <c r="X63" i="105"/>
  <c r="W63" i="105"/>
  <c r="O63" i="105"/>
  <c r="N63" i="105"/>
  <c r="P63" i="105" s="1"/>
  <c r="Y62" i="105"/>
  <c r="W62" i="105"/>
  <c r="X62" i="105" s="1"/>
  <c r="P62" i="105"/>
  <c r="O62" i="105"/>
  <c r="N62" i="105"/>
  <c r="W61" i="105"/>
  <c r="Y61" i="105" s="1"/>
  <c r="N61" i="105"/>
  <c r="O61" i="105" s="1"/>
  <c r="Y60" i="105"/>
  <c r="W60" i="105"/>
  <c r="X60" i="105" s="1"/>
  <c r="P60" i="105"/>
  <c r="O60" i="105"/>
  <c r="N60" i="105"/>
  <c r="Y59" i="105"/>
  <c r="X59" i="105"/>
  <c r="W59" i="105"/>
  <c r="N59" i="105"/>
  <c r="P59" i="105" s="1"/>
  <c r="W58" i="105"/>
  <c r="Y58" i="105" s="1"/>
  <c r="N58" i="105"/>
  <c r="O58" i="105" s="1"/>
  <c r="Y57" i="105"/>
  <c r="W57" i="105"/>
  <c r="X57" i="105" s="1"/>
  <c r="P57" i="105"/>
  <c r="O57" i="105"/>
  <c r="N57" i="105"/>
  <c r="Y56" i="105"/>
  <c r="X56" i="105"/>
  <c r="W56" i="105"/>
  <c r="O56" i="105"/>
  <c r="N56" i="105"/>
  <c r="P56" i="105" s="1"/>
  <c r="C56" i="105"/>
  <c r="B56" i="105"/>
  <c r="W55" i="105"/>
  <c r="X55" i="105" s="1"/>
  <c r="P55" i="105"/>
  <c r="O55" i="105"/>
  <c r="N55" i="105"/>
  <c r="X54" i="105"/>
  <c r="W54" i="105"/>
  <c r="Y54" i="105" s="1"/>
  <c r="N54" i="105"/>
  <c r="O54" i="105" s="1"/>
  <c r="C54" i="105"/>
  <c r="B54" i="105"/>
  <c r="Y53" i="105"/>
  <c r="X53" i="105"/>
  <c r="W53" i="105"/>
  <c r="O53" i="105"/>
  <c r="N53" i="105"/>
  <c r="P53" i="105" s="1"/>
  <c r="Y52" i="105"/>
  <c r="X52" i="105"/>
  <c r="W52" i="105"/>
  <c r="N52" i="105"/>
  <c r="P52" i="105" s="1"/>
  <c r="Y51" i="105"/>
  <c r="X51" i="105"/>
  <c r="W51" i="105"/>
  <c r="N51" i="105"/>
  <c r="P51" i="105" s="1"/>
  <c r="C51" i="105"/>
  <c r="B51" i="105"/>
  <c r="W50" i="105"/>
  <c r="X50" i="105" s="1"/>
  <c r="P50" i="105"/>
  <c r="O50" i="105"/>
  <c r="N50" i="105"/>
  <c r="X49" i="105"/>
  <c r="W49" i="105"/>
  <c r="Y49" i="105" s="1"/>
  <c r="P49" i="105"/>
  <c r="N49" i="105"/>
  <c r="O49" i="105" s="1"/>
  <c r="C49" i="105"/>
  <c r="B49" i="105"/>
  <c r="Y48" i="105"/>
  <c r="X48" i="105"/>
  <c r="W48" i="105"/>
  <c r="N48" i="105"/>
  <c r="P48" i="105" s="1"/>
  <c r="X47" i="105"/>
  <c r="W47" i="105"/>
  <c r="Y47" i="105" s="1"/>
  <c r="P47" i="105"/>
  <c r="N47" i="105"/>
  <c r="O47" i="105" s="1"/>
  <c r="W46" i="105"/>
  <c r="X46" i="105" s="1"/>
  <c r="P46" i="105"/>
  <c r="O46" i="105"/>
  <c r="N46" i="105"/>
  <c r="Y45" i="105"/>
  <c r="X45" i="105"/>
  <c r="W45" i="105"/>
  <c r="N45" i="105"/>
  <c r="P45" i="105" s="1"/>
  <c r="W44" i="105"/>
  <c r="Y44" i="105" s="1"/>
  <c r="P44" i="105"/>
  <c r="N44" i="105"/>
  <c r="O44" i="105" s="1"/>
  <c r="Y43" i="105"/>
  <c r="X43" i="105"/>
  <c r="W43" i="105"/>
  <c r="N43" i="105"/>
  <c r="P43" i="105" s="1"/>
  <c r="W42" i="105"/>
  <c r="X42" i="105" s="1"/>
  <c r="P42" i="105"/>
  <c r="O42" i="105"/>
  <c r="N42" i="105"/>
  <c r="W41" i="105"/>
  <c r="Y41" i="105" s="1"/>
  <c r="P41" i="105"/>
  <c r="N41" i="105"/>
  <c r="O41" i="105" s="1"/>
  <c r="W40" i="105"/>
  <c r="X40" i="105" s="1"/>
  <c r="P40" i="105"/>
  <c r="O40" i="105"/>
  <c r="N40" i="105"/>
  <c r="Y39" i="105"/>
  <c r="X39" i="105"/>
  <c r="W39" i="105"/>
  <c r="N39" i="105"/>
  <c r="P39" i="105" s="1"/>
  <c r="W38" i="105"/>
  <c r="X38" i="105" s="1"/>
  <c r="O38" i="105"/>
  <c r="N38" i="105"/>
  <c r="P38" i="105" s="1"/>
  <c r="X37" i="105"/>
  <c r="W37" i="105"/>
  <c r="Y37" i="105" s="1"/>
  <c r="N37" i="105"/>
  <c r="P37" i="105" s="1"/>
  <c r="X36" i="105"/>
  <c r="W36" i="105"/>
  <c r="Y36" i="105" s="1"/>
  <c r="N36" i="105"/>
  <c r="O36" i="105" s="1"/>
  <c r="W35" i="105"/>
  <c r="X35" i="105" s="1"/>
  <c r="P35" i="105"/>
  <c r="O35" i="105"/>
  <c r="N35" i="105"/>
  <c r="Y34" i="105"/>
  <c r="X34" i="105"/>
  <c r="W34" i="105"/>
  <c r="O34" i="105"/>
  <c r="N34" i="105"/>
  <c r="P34" i="105" s="1"/>
  <c r="C32" i="105"/>
  <c r="B32" i="105"/>
  <c r="C30" i="105"/>
  <c r="B30" i="105"/>
  <c r="C27" i="105"/>
  <c r="B27" i="105"/>
  <c r="C25" i="105"/>
  <c r="B25" i="105"/>
  <c r="B12" i="105"/>
  <c r="F12" i="105" s="1"/>
  <c r="B11" i="105"/>
  <c r="AG3" i="104"/>
  <c r="AB3" i="104"/>
  <c r="Z3" i="104"/>
  <c r="Y3" i="104"/>
  <c r="U3" i="104"/>
  <c r="T3" i="104"/>
  <c r="S3" i="104"/>
  <c r="R3" i="104"/>
  <c r="AG2" i="104"/>
  <c r="Z2" i="104"/>
  <c r="Y2" i="104"/>
  <c r="U2" i="104"/>
  <c r="T2" i="104"/>
  <c r="S2" i="104"/>
  <c r="R2" i="104"/>
  <c r="P2" i="104"/>
  <c r="O2" i="104"/>
  <c r="P129" i="104"/>
  <c r="N129" i="104"/>
  <c r="O129" i="104" s="1"/>
  <c r="P128" i="104"/>
  <c r="N128" i="104"/>
  <c r="O128" i="104" s="1"/>
  <c r="N127" i="104"/>
  <c r="P127" i="104" s="1"/>
  <c r="N126" i="104"/>
  <c r="P126" i="104" s="1"/>
  <c r="P125" i="104"/>
  <c r="N125" i="104"/>
  <c r="O125" i="104" s="1"/>
  <c r="P124" i="104"/>
  <c r="N124" i="104"/>
  <c r="O124" i="104" s="1"/>
  <c r="N123" i="104"/>
  <c r="P123" i="104" s="1"/>
  <c r="N122" i="104"/>
  <c r="P122" i="104" s="1"/>
  <c r="P121" i="104"/>
  <c r="N121" i="104"/>
  <c r="O121" i="104" s="1"/>
  <c r="P120" i="104"/>
  <c r="N120" i="104"/>
  <c r="O120" i="104" s="1"/>
  <c r="N119" i="104"/>
  <c r="P119" i="104" s="1"/>
  <c r="N118" i="104"/>
  <c r="P118" i="104" s="1"/>
  <c r="P117" i="104"/>
  <c r="N117" i="104"/>
  <c r="O117" i="104" s="1"/>
  <c r="P116" i="104"/>
  <c r="N116" i="104"/>
  <c r="O116" i="104" s="1"/>
  <c r="N115" i="104"/>
  <c r="P115" i="104" s="1"/>
  <c r="N114" i="104"/>
  <c r="P114" i="104" s="1"/>
  <c r="P113" i="104"/>
  <c r="N113" i="104"/>
  <c r="O113" i="104" s="1"/>
  <c r="P112" i="104"/>
  <c r="N112" i="104"/>
  <c r="O112" i="104" s="1"/>
  <c r="N111" i="104"/>
  <c r="P111" i="104" s="1"/>
  <c r="N110" i="104"/>
  <c r="P110" i="104" s="1"/>
  <c r="P109" i="104"/>
  <c r="N109" i="104"/>
  <c r="O109" i="104" s="1"/>
  <c r="P108" i="104"/>
  <c r="N108" i="104"/>
  <c r="O108" i="104" s="1"/>
  <c r="N107" i="104"/>
  <c r="P107" i="104" s="1"/>
  <c r="N106" i="104"/>
  <c r="P106" i="104" s="1"/>
  <c r="P105" i="104"/>
  <c r="N105" i="104"/>
  <c r="O105" i="104" s="1"/>
  <c r="P104" i="104"/>
  <c r="N104" i="104"/>
  <c r="O104" i="104" s="1"/>
  <c r="O103" i="104"/>
  <c r="N103" i="104"/>
  <c r="P103" i="104" s="1"/>
  <c r="P102" i="104"/>
  <c r="N102" i="104"/>
  <c r="O102" i="104" s="1"/>
  <c r="O101" i="104"/>
  <c r="N101" i="104"/>
  <c r="P101" i="104" s="1"/>
  <c r="O100" i="104"/>
  <c r="N100" i="104"/>
  <c r="P100" i="104" s="1"/>
  <c r="N99" i="104"/>
  <c r="P99" i="104" s="1"/>
  <c r="P98" i="104"/>
  <c r="O98" i="104"/>
  <c r="N98" i="104"/>
  <c r="O97" i="104"/>
  <c r="N97" i="104"/>
  <c r="P97" i="104" s="1"/>
  <c r="O96" i="104"/>
  <c r="N96" i="104"/>
  <c r="P96" i="104" s="1"/>
  <c r="B96" i="104"/>
  <c r="N95" i="104"/>
  <c r="P95" i="104" s="1"/>
  <c r="N94" i="104"/>
  <c r="P94" i="104" s="1"/>
  <c r="H94" i="104"/>
  <c r="G94" i="104"/>
  <c r="F94" i="104"/>
  <c r="E94" i="104"/>
  <c r="D94" i="104"/>
  <c r="C94" i="104"/>
  <c r="B94" i="104"/>
  <c r="O93" i="104"/>
  <c r="N93" i="104"/>
  <c r="P93" i="104" s="1"/>
  <c r="P92" i="104"/>
  <c r="O92" i="104"/>
  <c r="N92" i="104"/>
  <c r="P91" i="104"/>
  <c r="N91" i="104"/>
  <c r="O91" i="104" s="1"/>
  <c r="H91" i="104"/>
  <c r="G91" i="104"/>
  <c r="F91" i="104"/>
  <c r="E91" i="104"/>
  <c r="D91" i="104"/>
  <c r="C91" i="104"/>
  <c r="B91" i="104"/>
  <c r="O90" i="104"/>
  <c r="N90" i="104"/>
  <c r="P90" i="104" s="1"/>
  <c r="O89" i="104"/>
  <c r="N89" i="104"/>
  <c r="P89" i="104" s="1"/>
  <c r="H89" i="104"/>
  <c r="G89" i="104"/>
  <c r="F89" i="104"/>
  <c r="E89" i="104"/>
  <c r="D89" i="104"/>
  <c r="C89" i="104"/>
  <c r="B89" i="104"/>
  <c r="P88" i="104"/>
  <c r="N88" i="104"/>
  <c r="O88" i="104" s="1"/>
  <c r="O87" i="104"/>
  <c r="N87" i="104"/>
  <c r="P87" i="104" s="1"/>
  <c r="P86" i="104"/>
  <c r="O86" i="104"/>
  <c r="N86" i="104"/>
  <c r="O85" i="104"/>
  <c r="N85" i="104"/>
  <c r="P85" i="104" s="1"/>
  <c r="O84" i="104"/>
  <c r="N84" i="104"/>
  <c r="P84" i="104" s="1"/>
  <c r="N83" i="104"/>
  <c r="P83" i="104" s="1"/>
  <c r="O82" i="104"/>
  <c r="N82" i="104"/>
  <c r="P82" i="104" s="1"/>
  <c r="P81" i="104"/>
  <c r="N81" i="104"/>
  <c r="O81" i="104" s="1"/>
  <c r="O80" i="104"/>
  <c r="N80" i="104"/>
  <c r="P80" i="104" s="1"/>
  <c r="N79" i="104"/>
  <c r="O78" i="104"/>
  <c r="N78" i="104"/>
  <c r="P78" i="104" s="1"/>
  <c r="P77" i="104"/>
  <c r="N77" i="104"/>
  <c r="O77" i="104" s="1"/>
  <c r="O76" i="104"/>
  <c r="N76" i="104"/>
  <c r="P76" i="104" s="1"/>
  <c r="H76" i="104"/>
  <c r="G76" i="104"/>
  <c r="F76" i="104"/>
  <c r="E76" i="104"/>
  <c r="D76" i="104"/>
  <c r="C76" i="104"/>
  <c r="B76" i="104"/>
  <c r="O75" i="104"/>
  <c r="N75" i="104"/>
  <c r="P75" i="104" s="1"/>
  <c r="P74" i="104"/>
  <c r="O74" i="104"/>
  <c r="N74" i="104"/>
  <c r="B74" i="104"/>
  <c r="O73" i="104"/>
  <c r="N73" i="104"/>
  <c r="P73" i="104" s="1"/>
  <c r="O72" i="104"/>
  <c r="N72" i="104"/>
  <c r="P72" i="104" s="1"/>
  <c r="P71" i="104"/>
  <c r="N71" i="104"/>
  <c r="O71" i="104" s="1"/>
  <c r="H71" i="104"/>
  <c r="G71" i="104"/>
  <c r="F71" i="104"/>
  <c r="E71" i="104"/>
  <c r="D71" i="104"/>
  <c r="C71" i="104"/>
  <c r="B71" i="104"/>
  <c r="N70" i="104"/>
  <c r="P70" i="104" s="1"/>
  <c r="N69" i="104"/>
  <c r="P69" i="104" s="1"/>
  <c r="H69" i="104"/>
  <c r="G69" i="104"/>
  <c r="F69" i="104"/>
  <c r="E69" i="104"/>
  <c r="D69" i="104"/>
  <c r="C69" i="104"/>
  <c r="B69" i="104"/>
  <c r="P68" i="104"/>
  <c r="N68" i="104"/>
  <c r="O68" i="104" s="1"/>
  <c r="P67" i="104"/>
  <c r="N67" i="104"/>
  <c r="O67" i="104" s="1"/>
  <c r="P66" i="104"/>
  <c r="O66" i="104"/>
  <c r="N66" i="104"/>
  <c r="P65" i="104"/>
  <c r="O65" i="104"/>
  <c r="N65" i="104"/>
  <c r="N64" i="104"/>
  <c r="P64" i="104" s="1"/>
  <c r="P63" i="104"/>
  <c r="O63" i="104"/>
  <c r="N63" i="104"/>
  <c r="P62" i="104"/>
  <c r="O62" i="104"/>
  <c r="N62" i="104"/>
  <c r="P61" i="104"/>
  <c r="N61" i="104"/>
  <c r="O61" i="104" s="1"/>
  <c r="P60" i="104"/>
  <c r="O60" i="104"/>
  <c r="N60" i="104"/>
  <c r="O59" i="104"/>
  <c r="N59" i="104"/>
  <c r="P59" i="104" s="1"/>
  <c r="N58" i="104"/>
  <c r="P58" i="104" s="1"/>
  <c r="P57" i="104"/>
  <c r="O57" i="104"/>
  <c r="N57" i="104"/>
  <c r="O56" i="104"/>
  <c r="N56" i="104"/>
  <c r="P56" i="104" s="1"/>
  <c r="C56" i="104"/>
  <c r="B56" i="104"/>
  <c r="P55" i="104"/>
  <c r="O55" i="104"/>
  <c r="N55" i="104"/>
  <c r="N54" i="104"/>
  <c r="P54" i="104" s="1"/>
  <c r="C54" i="104"/>
  <c r="B54" i="104"/>
  <c r="O53" i="104"/>
  <c r="N53" i="104"/>
  <c r="P53" i="104" s="1"/>
  <c r="O52" i="104"/>
  <c r="N52" i="104"/>
  <c r="P52" i="104" s="1"/>
  <c r="O51" i="104"/>
  <c r="N51" i="104"/>
  <c r="P51" i="104" s="1"/>
  <c r="C51" i="104"/>
  <c r="B51" i="104"/>
  <c r="P50" i="104"/>
  <c r="O50" i="104"/>
  <c r="N50" i="104"/>
  <c r="P49" i="104"/>
  <c r="N49" i="104"/>
  <c r="O49" i="104" s="1"/>
  <c r="C49" i="104"/>
  <c r="B49" i="104"/>
  <c r="O48" i="104"/>
  <c r="N48" i="104"/>
  <c r="P48" i="104" s="1"/>
  <c r="P47" i="104"/>
  <c r="N47" i="104"/>
  <c r="O47" i="104" s="1"/>
  <c r="P46" i="104"/>
  <c r="O46" i="104"/>
  <c r="N46" i="104"/>
  <c r="O45" i="104"/>
  <c r="N45" i="104"/>
  <c r="P45" i="104" s="1"/>
  <c r="N44" i="104"/>
  <c r="P44" i="104" s="1"/>
  <c r="O43" i="104"/>
  <c r="N43" i="104"/>
  <c r="P43" i="104" s="1"/>
  <c r="P42" i="104"/>
  <c r="O42" i="104"/>
  <c r="N42" i="104"/>
  <c r="P41" i="104"/>
  <c r="N41" i="104"/>
  <c r="O41" i="104" s="1"/>
  <c r="P40" i="104"/>
  <c r="O40" i="104"/>
  <c r="N40" i="104"/>
  <c r="P39" i="104"/>
  <c r="O39" i="104"/>
  <c r="N39" i="104"/>
  <c r="O38" i="104"/>
  <c r="N38" i="104"/>
  <c r="P38" i="104" s="1"/>
  <c r="O37" i="104"/>
  <c r="N37" i="104"/>
  <c r="P37" i="104" s="1"/>
  <c r="N36" i="104"/>
  <c r="P35" i="104"/>
  <c r="O35" i="104"/>
  <c r="N35" i="104"/>
  <c r="O34" i="104"/>
  <c r="N34" i="104"/>
  <c r="P34" i="104" s="1"/>
  <c r="C32" i="104"/>
  <c r="B32" i="104"/>
  <c r="C30" i="104"/>
  <c r="B30" i="104"/>
  <c r="C27" i="104"/>
  <c r="B27" i="104"/>
  <c r="C25" i="104"/>
  <c r="B25" i="104"/>
  <c r="B12" i="104"/>
  <c r="C12" i="104" s="1"/>
  <c r="AG3" i="103"/>
  <c r="AB3" i="103"/>
  <c r="Y3" i="103"/>
  <c r="U3" i="103"/>
  <c r="T3" i="103"/>
  <c r="S3" i="103"/>
  <c r="R3" i="103"/>
  <c r="AG2" i="103"/>
  <c r="Y2" i="103"/>
  <c r="U2" i="103"/>
  <c r="T2" i="103"/>
  <c r="S2" i="103"/>
  <c r="R2" i="103"/>
  <c r="Q2" i="103"/>
  <c r="P129" i="103"/>
  <c r="O129" i="103"/>
  <c r="N129" i="103"/>
  <c r="N128" i="103"/>
  <c r="P128" i="103" s="1"/>
  <c r="P127" i="103"/>
  <c r="N127" i="103"/>
  <c r="O127" i="103" s="1"/>
  <c r="P126" i="103"/>
  <c r="N126" i="103"/>
  <c r="O126" i="103" s="1"/>
  <c r="P125" i="103"/>
  <c r="O125" i="103"/>
  <c r="N125" i="103"/>
  <c r="N124" i="103"/>
  <c r="P124" i="103" s="1"/>
  <c r="P123" i="103"/>
  <c r="N123" i="103"/>
  <c r="O123" i="103" s="1"/>
  <c r="P122" i="103"/>
  <c r="N122" i="103"/>
  <c r="O122" i="103" s="1"/>
  <c r="P121" i="103"/>
  <c r="O121" i="103"/>
  <c r="N121" i="103"/>
  <c r="N120" i="103"/>
  <c r="P119" i="103"/>
  <c r="N119" i="103"/>
  <c r="O119" i="103" s="1"/>
  <c r="P118" i="103"/>
  <c r="N118" i="103"/>
  <c r="O118" i="103" s="1"/>
  <c r="P117" i="103"/>
  <c r="O117" i="103"/>
  <c r="N117" i="103"/>
  <c r="N116" i="103"/>
  <c r="P116" i="103" s="1"/>
  <c r="P115" i="103"/>
  <c r="N115" i="103"/>
  <c r="O115" i="103" s="1"/>
  <c r="P114" i="103"/>
  <c r="N114" i="103"/>
  <c r="O114" i="103" s="1"/>
  <c r="P113" i="103"/>
  <c r="O113" i="103"/>
  <c r="N113" i="103"/>
  <c r="N112" i="103"/>
  <c r="P112" i="103" s="1"/>
  <c r="P111" i="103"/>
  <c r="N111" i="103"/>
  <c r="O111" i="103" s="1"/>
  <c r="P110" i="103"/>
  <c r="N110" i="103"/>
  <c r="O110" i="103" s="1"/>
  <c r="P109" i="103"/>
  <c r="O109" i="103"/>
  <c r="N109" i="103"/>
  <c r="N108" i="103"/>
  <c r="P108" i="103" s="1"/>
  <c r="P107" i="103"/>
  <c r="N107" i="103"/>
  <c r="O107" i="103" s="1"/>
  <c r="P106" i="103"/>
  <c r="N106" i="103"/>
  <c r="O106" i="103" s="1"/>
  <c r="P105" i="103"/>
  <c r="O105" i="103"/>
  <c r="N105" i="103"/>
  <c r="N104" i="103"/>
  <c r="P104" i="103" s="1"/>
  <c r="N103" i="103"/>
  <c r="P102" i="103"/>
  <c r="O102" i="103"/>
  <c r="N102" i="103"/>
  <c r="N101" i="103"/>
  <c r="P100" i="103"/>
  <c r="O100" i="103"/>
  <c r="N100" i="103"/>
  <c r="O99" i="103"/>
  <c r="N99" i="103"/>
  <c r="P99" i="103" s="1"/>
  <c r="N98" i="103"/>
  <c r="P98" i="103" s="1"/>
  <c r="N97" i="103"/>
  <c r="P96" i="103"/>
  <c r="O96" i="103"/>
  <c r="N96" i="103"/>
  <c r="B96" i="103"/>
  <c r="N95" i="103"/>
  <c r="O95" i="103" s="1"/>
  <c r="O94" i="103"/>
  <c r="N94" i="103"/>
  <c r="P94" i="103" s="1"/>
  <c r="H94" i="103"/>
  <c r="G94" i="103"/>
  <c r="F94" i="103"/>
  <c r="E94" i="103"/>
  <c r="D94" i="103"/>
  <c r="C94" i="103"/>
  <c r="B94" i="103"/>
  <c r="P93" i="103"/>
  <c r="N93" i="103"/>
  <c r="O93" i="103" s="1"/>
  <c r="N92" i="103"/>
  <c r="P91" i="103"/>
  <c r="O91" i="103"/>
  <c r="N91" i="103"/>
  <c r="H91" i="103"/>
  <c r="G91" i="103"/>
  <c r="F91" i="103"/>
  <c r="E91" i="103"/>
  <c r="D91" i="103"/>
  <c r="C91" i="103"/>
  <c r="B91" i="103"/>
  <c r="P90" i="103"/>
  <c r="N90" i="103"/>
  <c r="O90" i="103" s="1"/>
  <c r="P89" i="103"/>
  <c r="N89" i="103"/>
  <c r="O89" i="103" s="1"/>
  <c r="H89" i="103"/>
  <c r="G89" i="103"/>
  <c r="F89" i="103"/>
  <c r="E89" i="103"/>
  <c r="D89" i="103"/>
  <c r="C89" i="103"/>
  <c r="B89" i="103"/>
  <c r="O88" i="103"/>
  <c r="N88" i="103"/>
  <c r="P88" i="103" s="1"/>
  <c r="O87" i="103"/>
  <c r="N87" i="103"/>
  <c r="P87" i="103" s="1"/>
  <c r="N86" i="103"/>
  <c r="P85" i="103"/>
  <c r="N85" i="103"/>
  <c r="O85" i="103" s="1"/>
  <c r="P84" i="103"/>
  <c r="O84" i="103"/>
  <c r="N84" i="103"/>
  <c r="N83" i="103"/>
  <c r="O83" i="103" s="1"/>
  <c r="P82" i="103"/>
  <c r="O82" i="103"/>
  <c r="N82" i="103"/>
  <c r="P81" i="103"/>
  <c r="N81" i="103"/>
  <c r="O81" i="103" s="1"/>
  <c r="O80" i="103"/>
  <c r="N80" i="103"/>
  <c r="P80" i="103" s="1"/>
  <c r="N79" i="103"/>
  <c r="O79" i="103" s="1"/>
  <c r="P78" i="103"/>
  <c r="O78" i="103"/>
  <c r="N78" i="103"/>
  <c r="O77" i="103"/>
  <c r="N77" i="103"/>
  <c r="P77" i="103" s="1"/>
  <c r="P76" i="103"/>
  <c r="O76" i="103"/>
  <c r="N76" i="103"/>
  <c r="H76" i="103"/>
  <c r="G76" i="103"/>
  <c r="F76" i="103"/>
  <c r="E76" i="103"/>
  <c r="D76" i="103"/>
  <c r="C76" i="103"/>
  <c r="B76" i="103"/>
  <c r="P75" i="103"/>
  <c r="N75" i="103"/>
  <c r="O75" i="103" s="1"/>
  <c r="O74" i="103"/>
  <c r="N74" i="103"/>
  <c r="P74" i="103" s="1"/>
  <c r="B74" i="103"/>
  <c r="P73" i="103"/>
  <c r="O73" i="103"/>
  <c r="N73" i="103"/>
  <c r="P72" i="103"/>
  <c r="N72" i="103"/>
  <c r="O72" i="103" s="1"/>
  <c r="N71" i="103"/>
  <c r="O71" i="103" s="1"/>
  <c r="H71" i="103"/>
  <c r="G71" i="103"/>
  <c r="F71" i="103"/>
  <c r="E71" i="103"/>
  <c r="D71" i="103"/>
  <c r="C71" i="103"/>
  <c r="B71" i="103"/>
  <c r="P70" i="103"/>
  <c r="O70" i="103"/>
  <c r="N70" i="103"/>
  <c r="P69" i="103"/>
  <c r="O69" i="103"/>
  <c r="N69" i="103"/>
  <c r="H69" i="103"/>
  <c r="G69" i="103"/>
  <c r="F69" i="103"/>
  <c r="E69" i="103"/>
  <c r="D69" i="103"/>
  <c r="C69" i="103"/>
  <c r="B69" i="103"/>
  <c r="P68" i="103"/>
  <c r="O68" i="103"/>
  <c r="N68" i="103"/>
  <c r="P67" i="103"/>
  <c r="O67" i="103"/>
  <c r="N67" i="103"/>
  <c r="N66" i="103"/>
  <c r="P66" i="103" s="1"/>
  <c r="P65" i="103"/>
  <c r="N65" i="103"/>
  <c r="O65" i="103" s="1"/>
  <c r="P64" i="103"/>
  <c r="O64" i="103"/>
  <c r="N64" i="103"/>
  <c r="P63" i="103"/>
  <c r="N63" i="103"/>
  <c r="O63" i="103" s="1"/>
  <c r="O62" i="103"/>
  <c r="N62" i="103"/>
  <c r="P62" i="103" s="1"/>
  <c r="P61" i="103"/>
  <c r="O61" i="103"/>
  <c r="N61" i="103"/>
  <c r="N60" i="103"/>
  <c r="P60" i="103" s="1"/>
  <c r="N59" i="103"/>
  <c r="O59" i="103" s="1"/>
  <c r="P58" i="103"/>
  <c r="O58" i="103"/>
  <c r="N58" i="103"/>
  <c r="N57" i="103"/>
  <c r="P56" i="103"/>
  <c r="O56" i="103"/>
  <c r="N56" i="103"/>
  <c r="C56" i="103"/>
  <c r="B56" i="103"/>
  <c r="N55" i="103"/>
  <c r="P54" i="103"/>
  <c r="O54" i="103"/>
  <c r="N54" i="103"/>
  <c r="C54" i="103"/>
  <c r="B54" i="103"/>
  <c r="N53" i="103"/>
  <c r="O53" i="103" s="1"/>
  <c r="N52" i="103"/>
  <c r="O52" i="103" s="1"/>
  <c r="N51" i="103"/>
  <c r="O51" i="103" s="1"/>
  <c r="C51" i="103"/>
  <c r="B51" i="103"/>
  <c r="O50" i="103"/>
  <c r="N50" i="103"/>
  <c r="P50" i="103" s="1"/>
  <c r="P49" i="103"/>
  <c r="O49" i="103"/>
  <c r="N49" i="103"/>
  <c r="C49" i="103"/>
  <c r="B49" i="103"/>
  <c r="N48" i="103"/>
  <c r="O48" i="103" s="1"/>
  <c r="P47" i="103"/>
  <c r="O47" i="103"/>
  <c r="N47" i="103"/>
  <c r="O46" i="103"/>
  <c r="N46" i="103"/>
  <c r="P46" i="103" s="1"/>
  <c r="N45" i="103"/>
  <c r="O45" i="103" s="1"/>
  <c r="P44" i="103"/>
  <c r="O44" i="103"/>
  <c r="N44" i="103"/>
  <c r="N43" i="103"/>
  <c r="O43" i="103" s="1"/>
  <c r="O42" i="103"/>
  <c r="N42" i="103"/>
  <c r="P42" i="103" s="1"/>
  <c r="P41" i="103"/>
  <c r="N41" i="103"/>
  <c r="O41" i="103" s="1"/>
  <c r="O40" i="103"/>
  <c r="N40" i="103"/>
  <c r="P40" i="103" s="1"/>
  <c r="P39" i="103"/>
  <c r="O39" i="103"/>
  <c r="N39" i="103"/>
  <c r="O38" i="103"/>
  <c r="N38" i="103"/>
  <c r="P38" i="103" s="1"/>
  <c r="O37" i="103"/>
  <c r="N37" i="103"/>
  <c r="P37" i="103" s="1"/>
  <c r="N36" i="103"/>
  <c r="P36" i="103" s="1"/>
  <c r="P35" i="103"/>
  <c r="N35" i="103"/>
  <c r="O35" i="103" s="1"/>
  <c r="P34" i="103"/>
  <c r="O34" i="103"/>
  <c r="N34" i="103"/>
  <c r="C32" i="103"/>
  <c r="B32" i="103"/>
  <c r="C30" i="103"/>
  <c r="B30" i="103"/>
  <c r="C27" i="103"/>
  <c r="B27" i="103"/>
  <c r="C25" i="103"/>
  <c r="B25" i="103"/>
  <c r="B12" i="103"/>
  <c r="F12" i="103" s="1"/>
  <c r="B11" i="103" l="1"/>
  <c r="C12" i="103"/>
  <c r="D12" i="103" s="1"/>
  <c r="AK9" i="105"/>
  <c r="AJ9" i="105"/>
  <c r="AK7" i="105"/>
  <c r="AJ5" i="105"/>
  <c r="AJ7" i="105"/>
  <c r="AK4" i="105"/>
  <c r="AK6" i="105"/>
  <c r="AJ4" i="105"/>
  <c r="AJ6" i="105"/>
  <c r="AK8" i="105"/>
  <c r="AJ3" i="105"/>
  <c r="AJ8" i="105"/>
  <c r="AK5" i="105"/>
  <c r="AK3" i="105"/>
  <c r="S12" i="105"/>
  <c r="S11" i="105"/>
  <c r="E68" i="105"/>
  <c r="S13" i="105"/>
  <c r="E88" i="105"/>
  <c r="C12" i="105"/>
  <c r="D12" i="105" s="1"/>
  <c r="G95" i="105"/>
  <c r="C95" i="105"/>
  <c r="H75" i="105"/>
  <c r="B95" i="105"/>
  <c r="H95" i="105"/>
  <c r="E75" i="105"/>
  <c r="F95" i="105"/>
  <c r="C75" i="105"/>
  <c r="B31" i="105"/>
  <c r="E95" i="105"/>
  <c r="B75" i="105"/>
  <c r="D95" i="105"/>
  <c r="B55" i="105"/>
  <c r="D75" i="105"/>
  <c r="G75" i="105"/>
  <c r="C55" i="105"/>
  <c r="C31" i="105"/>
  <c r="F75" i="105"/>
  <c r="F11" i="105"/>
  <c r="D11" i="105"/>
  <c r="Y38" i="105"/>
  <c r="Y71" i="105"/>
  <c r="X71" i="105"/>
  <c r="P85" i="105"/>
  <c r="O85" i="105"/>
  <c r="Y79" i="105"/>
  <c r="X79" i="105"/>
  <c r="O86" i="105"/>
  <c r="P86" i="105"/>
  <c r="Y40" i="105"/>
  <c r="O43" i="105"/>
  <c r="Y55" i="105"/>
  <c r="P58" i="105"/>
  <c r="P67" i="105"/>
  <c r="D77" i="105"/>
  <c r="O37" i="105"/>
  <c r="Y42" i="105"/>
  <c r="O45" i="105"/>
  <c r="O52" i="105"/>
  <c r="X61" i="105"/>
  <c r="X64" i="105"/>
  <c r="X68" i="105"/>
  <c r="Y70" i="105"/>
  <c r="X70" i="105"/>
  <c r="G77" i="105"/>
  <c r="P83" i="105"/>
  <c r="X41" i="105"/>
  <c r="X44" i="105"/>
  <c r="O59" i="105"/>
  <c r="X69" i="105"/>
  <c r="O71" i="105"/>
  <c r="P36" i="105"/>
  <c r="O39" i="105"/>
  <c r="Y46" i="105"/>
  <c r="O51" i="105"/>
  <c r="P61" i="105"/>
  <c r="P64" i="105"/>
  <c r="P68" i="105"/>
  <c r="O79" i="105"/>
  <c r="P79" i="105"/>
  <c r="Y35" i="105"/>
  <c r="O48" i="105"/>
  <c r="Y50" i="105"/>
  <c r="P54" i="105"/>
  <c r="X58" i="105"/>
  <c r="X67" i="105"/>
  <c r="X76" i="105"/>
  <c r="Y76" i="105"/>
  <c r="Y81" i="105"/>
  <c r="P99" i="105"/>
  <c r="O99" i="105"/>
  <c r="O105" i="105"/>
  <c r="P105" i="105"/>
  <c r="O91" i="105"/>
  <c r="P91" i="105"/>
  <c r="O108" i="105"/>
  <c r="P70" i="105"/>
  <c r="P94" i="105"/>
  <c r="O94" i="105"/>
  <c r="O102" i="105"/>
  <c r="P102" i="105"/>
  <c r="O109" i="105"/>
  <c r="P109" i="105"/>
  <c r="P112" i="105"/>
  <c r="O112" i="105"/>
  <c r="P113" i="105"/>
  <c r="P117" i="105"/>
  <c r="P121" i="105"/>
  <c r="P125" i="105"/>
  <c r="P129" i="105"/>
  <c r="O116" i="105"/>
  <c r="O120" i="105"/>
  <c r="O124" i="105"/>
  <c r="O128" i="105"/>
  <c r="E68" i="104"/>
  <c r="E88" i="104"/>
  <c r="D77" i="104"/>
  <c r="G77" i="104"/>
  <c r="P36" i="104"/>
  <c r="O36" i="104"/>
  <c r="B11" i="104"/>
  <c r="F12" i="104"/>
  <c r="D12" i="104"/>
  <c r="O44" i="104"/>
  <c r="O54" i="104"/>
  <c r="O58" i="104"/>
  <c r="O64" i="104"/>
  <c r="O70" i="104"/>
  <c r="O69" i="104"/>
  <c r="P79" i="104"/>
  <c r="O79" i="104"/>
  <c r="O106" i="104"/>
  <c r="O110" i="104"/>
  <c r="O114" i="104"/>
  <c r="O118" i="104"/>
  <c r="O122" i="104"/>
  <c r="O126" i="104"/>
  <c r="O94" i="104"/>
  <c r="O99" i="104"/>
  <c r="O83" i="104"/>
  <c r="O95" i="104"/>
  <c r="O107" i="104"/>
  <c r="O111" i="104"/>
  <c r="O115" i="104"/>
  <c r="O119" i="104"/>
  <c r="O123" i="104"/>
  <c r="O127" i="104"/>
  <c r="E68" i="103"/>
  <c r="E88" i="103"/>
  <c r="F95" i="103"/>
  <c r="C75" i="103"/>
  <c r="C95" i="103"/>
  <c r="H75" i="103"/>
  <c r="F75" i="103"/>
  <c r="H95" i="103"/>
  <c r="E75" i="103"/>
  <c r="G95" i="103"/>
  <c r="E95" i="103"/>
  <c r="D75" i="103"/>
  <c r="B95" i="103"/>
  <c r="G75" i="103"/>
  <c r="B75" i="103"/>
  <c r="C31" i="103"/>
  <c r="B31" i="103"/>
  <c r="C55" i="103"/>
  <c r="D95" i="103"/>
  <c r="B55" i="103"/>
  <c r="O36" i="103"/>
  <c r="P55" i="103"/>
  <c r="O55" i="103"/>
  <c r="O60" i="103"/>
  <c r="P43" i="103"/>
  <c r="P59" i="103"/>
  <c r="P71" i="103"/>
  <c r="D77" i="103"/>
  <c r="G77" i="103"/>
  <c r="P45" i="103"/>
  <c r="P48" i="103"/>
  <c r="P51" i="103"/>
  <c r="P52" i="103"/>
  <c r="P53" i="103"/>
  <c r="P57" i="103"/>
  <c r="O57" i="103"/>
  <c r="O66" i="103"/>
  <c r="P83" i="103"/>
  <c r="P97" i="103"/>
  <c r="O97" i="103"/>
  <c r="P95" i="103"/>
  <c r="P120" i="103"/>
  <c r="O120" i="103"/>
  <c r="P92" i="103"/>
  <c r="O92" i="103"/>
  <c r="P103" i="103"/>
  <c r="O103" i="103"/>
  <c r="P79" i="103"/>
  <c r="P86" i="103"/>
  <c r="O86" i="103"/>
  <c r="O104" i="103"/>
  <c r="O108" i="103"/>
  <c r="O112" i="103"/>
  <c r="O116" i="103"/>
  <c r="P101" i="103"/>
  <c r="O101" i="103"/>
  <c r="O98" i="103"/>
  <c r="O124" i="103"/>
  <c r="O128" i="103"/>
  <c r="F22" i="106" l="1" a="1"/>
  <c r="F22" i="106" s="1"/>
  <c r="H90" i="105"/>
  <c r="D90" i="105"/>
  <c r="C90" i="105"/>
  <c r="B90" i="105"/>
  <c r="B70" i="105"/>
  <c r="F90" i="105"/>
  <c r="H70" i="105"/>
  <c r="C50" i="105"/>
  <c r="G70" i="105"/>
  <c r="B50" i="105"/>
  <c r="C26" i="105"/>
  <c r="F70" i="105"/>
  <c r="B26" i="105"/>
  <c r="D70" i="105"/>
  <c r="C70" i="105"/>
  <c r="G90" i="105"/>
  <c r="G95" i="104"/>
  <c r="D75" i="104"/>
  <c r="F95" i="104"/>
  <c r="E95" i="104"/>
  <c r="B75" i="104"/>
  <c r="D95" i="104"/>
  <c r="C95" i="104"/>
  <c r="H75" i="104"/>
  <c r="B95" i="104"/>
  <c r="H95" i="104"/>
  <c r="C75" i="104"/>
  <c r="C55" i="104"/>
  <c r="B55" i="104"/>
  <c r="G75" i="104"/>
  <c r="C31" i="104"/>
  <c r="F75" i="104"/>
  <c r="B31" i="104"/>
  <c r="E75" i="104"/>
  <c r="G32" i="15" a="1"/>
  <c r="G32" i="15" l="1"/>
  <c r="X29" i="102"/>
  <c r="K25" i="102"/>
  <c r="K24" i="102"/>
  <c r="N15" i="102"/>
  <c r="K15" i="102"/>
  <c r="K12" i="102"/>
  <c r="H11" i="102"/>
  <c r="C11" i="102"/>
  <c r="N7" i="102"/>
  <c r="AG3" i="102"/>
  <c r="AB3" i="102"/>
  <c r="U3" i="102"/>
  <c r="T3" i="102"/>
  <c r="S3" i="102"/>
  <c r="R3" i="102"/>
  <c r="N3" i="102"/>
  <c r="J3" i="102"/>
  <c r="S14" i="102" s="1"/>
  <c r="AG2" i="102"/>
  <c r="U2" i="102"/>
  <c r="T2" i="102"/>
  <c r="S2" i="102"/>
  <c r="B11" i="102" s="1"/>
  <c r="R2" i="102"/>
  <c r="Q2" i="102"/>
  <c r="N2" i="102"/>
  <c r="J2" i="102"/>
  <c r="N129" i="102"/>
  <c r="O129" i="102" s="1"/>
  <c r="P128" i="102"/>
  <c r="N128" i="102"/>
  <c r="O128" i="102" s="1"/>
  <c r="N127" i="102"/>
  <c r="P127" i="102" s="1"/>
  <c r="P126" i="102"/>
  <c r="O126" i="102"/>
  <c r="N126" i="102"/>
  <c r="N125" i="102"/>
  <c r="O125" i="102" s="1"/>
  <c r="P124" i="102"/>
  <c r="N124" i="102"/>
  <c r="O124" i="102" s="1"/>
  <c r="N123" i="102"/>
  <c r="P123" i="102" s="1"/>
  <c r="P122" i="102"/>
  <c r="O122" i="102"/>
  <c r="N122" i="102"/>
  <c r="N121" i="102"/>
  <c r="O121" i="102" s="1"/>
  <c r="P120" i="102"/>
  <c r="N120" i="102"/>
  <c r="O120" i="102" s="1"/>
  <c r="N119" i="102"/>
  <c r="P119" i="102" s="1"/>
  <c r="P118" i="102"/>
  <c r="O118" i="102"/>
  <c r="N118" i="102"/>
  <c r="N117" i="102"/>
  <c r="O117" i="102" s="1"/>
  <c r="P116" i="102"/>
  <c r="N116" i="102"/>
  <c r="O116" i="102" s="1"/>
  <c r="N115" i="102"/>
  <c r="P115" i="102" s="1"/>
  <c r="P114" i="102"/>
  <c r="O114" i="102"/>
  <c r="N114" i="102"/>
  <c r="N113" i="102"/>
  <c r="O113" i="102" s="1"/>
  <c r="P112" i="102"/>
  <c r="N112" i="102"/>
  <c r="O112" i="102" s="1"/>
  <c r="N111" i="102"/>
  <c r="P111" i="102" s="1"/>
  <c r="P110" i="102"/>
  <c r="O110" i="102"/>
  <c r="N110" i="102"/>
  <c r="N109" i="102"/>
  <c r="O109" i="102" s="1"/>
  <c r="P108" i="102"/>
  <c r="N108" i="102"/>
  <c r="O108" i="102" s="1"/>
  <c r="N107" i="102"/>
  <c r="P107" i="102" s="1"/>
  <c r="P106" i="102"/>
  <c r="O106" i="102"/>
  <c r="N106" i="102"/>
  <c r="N105" i="102"/>
  <c r="O105" i="102" s="1"/>
  <c r="P104" i="102"/>
  <c r="N104" i="102"/>
  <c r="O104" i="102" s="1"/>
  <c r="P103" i="102"/>
  <c r="O103" i="102"/>
  <c r="N103" i="102"/>
  <c r="N102" i="102"/>
  <c r="O102" i="102" s="1"/>
  <c r="P101" i="102"/>
  <c r="O101" i="102"/>
  <c r="N101" i="102"/>
  <c r="N100" i="102"/>
  <c r="P100" i="102" s="1"/>
  <c r="N99" i="102"/>
  <c r="P99" i="102" s="1"/>
  <c r="P98" i="102"/>
  <c r="N98" i="102"/>
  <c r="O98" i="102" s="1"/>
  <c r="P97" i="102"/>
  <c r="O97" i="102"/>
  <c r="N97" i="102"/>
  <c r="N96" i="102"/>
  <c r="P96" i="102" s="1"/>
  <c r="B96" i="102"/>
  <c r="N95" i="102"/>
  <c r="P95" i="102" s="1"/>
  <c r="N94" i="102"/>
  <c r="P94" i="102" s="1"/>
  <c r="H94" i="102"/>
  <c r="G94" i="102"/>
  <c r="F94" i="102"/>
  <c r="E94" i="102"/>
  <c r="D94" i="102"/>
  <c r="C94" i="102"/>
  <c r="B94" i="102"/>
  <c r="P93" i="102"/>
  <c r="O93" i="102"/>
  <c r="N93" i="102"/>
  <c r="P92" i="102"/>
  <c r="N92" i="102"/>
  <c r="O92" i="102" s="1"/>
  <c r="N91" i="102"/>
  <c r="O91" i="102" s="1"/>
  <c r="H91" i="102"/>
  <c r="G91" i="102"/>
  <c r="F91" i="102"/>
  <c r="E91" i="102"/>
  <c r="D91" i="102"/>
  <c r="C91" i="102"/>
  <c r="B91" i="102"/>
  <c r="P90" i="102"/>
  <c r="O90" i="102"/>
  <c r="N90" i="102"/>
  <c r="P89" i="102"/>
  <c r="O89" i="102"/>
  <c r="N89" i="102"/>
  <c r="H89" i="102"/>
  <c r="G89" i="102"/>
  <c r="F89" i="102"/>
  <c r="E89" i="102"/>
  <c r="D89" i="102"/>
  <c r="C89" i="102"/>
  <c r="B89" i="102"/>
  <c r="P88" i="102"/>
  <c r="N88" i="102"/>
  <c r="O88" i="102" s="1"/>
  <c r="N87" i="102"/>
  <c r="P87" i="102" s="1"/>
  <c r="P86" i="102"/>
  <c r="N86" i="102"/>
  <c r="O86" i="102" s="1"/>
  <c r="P85" i="102"/>
  <c r="O85" i="102"/>
  <c r="N85" i="102"/>
  <c r="N84" i="102"/>
  <c r="P84" i="102" s="1"/>
  <c r="N83" i="102"/>
  <c r="N82" i="102"/>
  <c r="P82" i="102" s="1"/>
  <c r="P81" i="102"/>
  <c r="O81" i="102"/>
  <c r="N81" i="102"/>
  <c r="O80" i="102"/>
  <c r="N80" i="102"/>
  <c r="P80" i="102" s="1"/>
  <c r="N79" i="102"/>
  <c r="N78" i="102"/>
  <c r="P78" i="102" s="1"/>
  <c r="P77" i="102"/>
  <c r="N77" i="102"/>
  <c r="O77" i="102" s="1"/>
  <c r="N76" i="102"/>
  <c r="P76" i="102" s="1"/>
  <c r="H76" i="102"/>
  <c r="G76" i="102"/>
  <c r="F76" i="102"/>
  <c r="E76" i="102"/>
  <c r="D76" i="102"/>
  <c r="C76" i="102"/>
  <c r="B76" i="102"/>
  <c r="P75" i="102"/>
  <c r="O75" i="102"/>
  <c r="N75" i="102"/>
  <c r="N74" i="102"/>
  <c r="P74" i="102" s="1"/>
  <c r="B74" i="102"/>
  <c r="N73" i="102"/>
  <c r="P73" i="102" s="1"/>
  <c r="N72" i="102"/>
  <c r="P71" i="102"/>
  <c r="O71" i="102"/>
  <c r="N71" i="102"/>
  <c r="H71" i="102"/>
  <c r="G71" i="102"/>
  <c r="F71" i="102"/>
  <c r="E71" i="102"/>
  <c r="D71" i="102"/>
  <c r="C71" i="102"/>
  <c r="B71" i="102"/>
  <c r="P70" i="102"/>
  <c r="N70" i="102"/>
  <c r="O70" i="102" s="1"/>
  <c r="N69" i="102"/>
  <c r="P69" i="102" s="1"/>
  <c r="H69" i="102"/>
  <c r="G69" i="102"/>
  <c r="F69" i="102"/>
  <c r="E69" i="102"/>
  <c r="D69" i="102"/>
  <c r="C69" i="102"/>
  <c r="B69" i="102"/>
  <c r="P68" i="102"/>
  <c r="O68" i="102"/>
  <c r="N68" i="102"/>
  <c r="P67" i="102"/>
  <c r="O67" i="102"/>
  <c r="N67" i="102"/>
  <c r="P66" i="102"/>
  <c r="O66" i="102"/>
  <c r="N66" i="102"/>
  <c r="N65" i="102"/>
  <c r="P64" i="102"/>
  <c r="N64" i="102"/>
  <c r="O64" i="102" s="1"/>
  <c r="N63" i="102"/>
  <c r="P62" i="102"/>
  <c r="O62" i="102"/>
  <c r="N62" i="102"/>
  <c r="P61" i="102"/>
  <c r="O61" i="102"/>
  <c r="N61" i="102"/>
  <c r="P60" i="102"/>
  <c r="O60" i="102"/>
  <c r="N60" i="102"/>
  <c r="N59" i="102"/>
  <c r="P58" i="102"/>
  <c r="N58" i="102"/>
  <c r="O58" i="102" s="1"/>
  <c r="P57" i="102"/>
  <c r="O57" i="102"/>
  <c r="N57" i="102"/>
  <c r="N56" i="102"/>
  <c r="C56" i="102"/>
  <c r="B56" i="102"/>
  <c r="P55" i="102"/>
  <c r="O55" i="102"/>
  <c r="N55" i="102"/>
  <c r="P54" i="102"/>
  <c r="N54" i="102"/>
  <c r="O54" i="102" s="1"/>
  <c r="C54" i="102"/>
  <c r="B54" i="102"/>
  <c r="N53" i="102"/>
  <c r="N52" i="102"/>
  <c r="N51" i="102"/>
  <c r="C51" i="102"/>
  <c r="B51" i="102"/>
  <c r="P50" i="102"/>
  <c r="O50" i="102"/>
  <c r="N50" i="102"/>
  <c r="P49" i="102"/>
  <c r="O49" i="102"/>
  <c r="N49" i="102"/>
  <c r="C49" i="102"/>
  <c r="B49" i="102"/>
  <c r="P48" i="102"/>
  <c r="O48" i="102"/>
  <c r="N48" i="102"/>
  <c r="P47" i="102"/>
  <c r="O47" i="102"/>
  <c r="N47" i="102"/>
  <c r="P46" i="102"/>
  <c r="O46" i="102"/>
  <c r="N46" i="102"/>
  <c r="N45" i="102"/>
  <c r="P45" i="102" s="1"/>
  <c r="N44" i="102"/>
  <c r="O44" i="102" s="1"/>
  <c r="N43" i="102"/>
  <c r="P43" i="102" s="1"/>
  <c r="O42" i="102"/>
  <c r="N42" i="102"/>
  <c r="P42" i="102" s="1"/>
  <c r="P41" i="102"/>
  <c r="O41" i="102"/>
  <c r="N41" i="102"/>
  <c r="O40" i="102"/>
  <c r="N40" i="102"/>
  <c r="P40" i="102" s="1"/>
  <c r="P39" i="102"/>
  <c r="N39" i="102"/>
  <c r="O39" i="102" s="1"/>
  <c r="N38" i="102"/>
  <c r="P38" i="102" s="1"/>
  <c r="N37" i="102"/>
  <c r="P37" i="102" s="1"/>
  <c r="P36" i="102"/>
  <c r="N36" i="102"/>
  <c r="O36" i="102" s="1"/>
  <c r="P35" i="102"/>
  <c r="O35" i="102"/>
  <c r="N35" i="102"/>
  <c r="N34" i="102"/>
  <c r="P34" i="102" s="1"/>
  <c r="C32" i="102"/>
  <c r="B32" i="102"/>
  <c r="C30" i="102"/>
  <c r="B30" i="102"/>
  <c r="C27" i="102"/>
  <c r="B27" i="102"/>
  <c r="C25" i="102"/>
  <c r="B25" i="102"/>
  <c r="B12" i="102"/>
  <c r="F12" i="102" s="1"/>
  <c r="AG3" i="101"/>
  <c r="AB3" i="101"/>
  <c r="Y3" i="101"/>
  <c r="U3" i="101"/>
  <c r="T3" i="101"/>
  <c r="S3" i="101"/>
  <c r="R3" i="101"/>
  <c r="AG2" i="101"/>
  <c r="Y2" i="101"/>
  <c r="U2" i="101"/>
  <c r="T2" i="101"/>
  <c r="S2" i="101"/>
  <c r="R2" i="101"/>
  <c r="Q2" i="101"/>
  <c r="P129" i="101"/>
  <c r="O129" i="101"/>
  <c r="N129" i="101"/>
  <c r="P128" i="101"/>
  <c r="O128" i="101"/>
  <c r="N128" i="101"/>
  <c r="N127" i="101"/>
  <c r="P127" i="101" s="1"/>
  <c r="N126" i="101"/>
  <c r="P126" i="101" s="1"/>
  <c r="P125" i="101"/>
  <c r="O125" i="101"/>
  <c r="N125" i="101"/>
  <c r="P124" i="101"/>
  <c r="O124" i="101"/>
  <c r="N124" i="101"/>
  <c r="N123" i="101"/>
  <c r="P123" i="101" s="1"/>
  <c r="N122" i="101"/>
  <c r="P122" i="101" s="1"/>
  <c r="P121" i="101"/>
  <c r="O121" i="101"/>
  <c r="N121" i="101"/>
  <c r="P120" i="101"/>
  <c r="O120" i="101"/>
  <c r="N120" i="101"/>
  <c r="N119" i="101"/>
  <c r="P119" i="101" s="1"/>
  <c r="N118" i="101"/>
  <c r="P118" i="101" s="1"/>
  <c r="P117" i="101"/>
  <c r="O117" i="101"/>
  <c r="N117" i="101"/>
  <c r="P116" i="101"/>
  <c r="O116" i="101"/>
  <c r="N116" i="101"/>
  <c r="N115" i="101"/>
  <c r="P115" i="101" s="1"/>
  <c r="N114" i="101"/>
  <c r="P114" i="101" s="1"/>
  <c r="P113" i="101"/>
  <c r="O113" i="101"/>
  <c r="N113" i="101"/>
  <c r="O112" i="101"/>
  <c r="N112" i="101"/>
  <c r="P112" i="101" s="1"/>
  <c r="N111" i="101"/>
  <c r="P111" i="101" s="1"/>
  <c r="N110" i="101"/>
  <c r="P110" i="101" s="1"/>
  <c r="P109" i="101"/>
  <c r="O109" i="101"/>
  <c r="N109" i="101"/>
  <c r="O108" i="101"/>
  <c r="N108" i="101"/>
  <c r="P108" i="101" s="1"/>
  <c r="N107" i="101"/>
  <c r="P107" i="101" s="1"/>
  <c r="N106" i="101"/>
  <c r="P106" i="101" s="1"/>
  <c r="P105" i="101"/>
  <c r="O105" i="101"/>
  <c r="N105" i="101"/>
  <c r="O104" i="101"/>
  <c r="N104" i="101"/>
  <c r="P104" i="101" s="1"/>
  <c r="N103" i="101"/>
  <c r="P103" i="101" s="1"/>
  <c r="P102" i="101"/>
  <c r="O102" i="101"/>
  <c r="N102" i="101"/>
  <c r="P101" i="101"/>
  <c r="N101" i="101"/>
  <c r="O101" i="101" s="1"/>
  <c r="P100" i="101"/>
  <c r="N100" i="101"/>
  <c r="O100" i="101" s="1"/>
  <c r="N99" i="101"/>
  <c r="P99" i="101" s="1"/>
  <c r="P98" i="101"/>
  <c r="O98" i="101"/>
  <c r="N98" i="101"/>
  <c r="P97" i="101"/>
  <c r="N97" i="101"/>
  <c r="O97" i="101" s="1"/>
  <c r="P96" i="101"/>
  <c r="N96" i="101"/>
  <c r="O96" i="101" s="1"/>
  <c r="B96" i="101"/>
  <c r="N95" i="101"/>
  <c r="P95" i="101" s="1"/>
  <c r="N94" i="101"/>
  <c r="P94" i="101" s="1"/>
  <c r="H94" i="101"/>
  <c r="G94" i="101"/>
  <c r="F94" i="101"/>
  <c r="E94" i="101"/>
  <c r="D94" i="101"/>
  <c r="C94" i="101"/>
  <c r="B94" i="101"/>
  <c r="N93" i="101"/>
  <c r="P93" i="101" s="1"/>
  <c r="P92" i="101"/>
  <c r="O92" i="101"/>
  <c r="N92" i="101"/>
  <c r="P91" i="101"/>
  <c r="O91" i="101"/>
  <c r="N91" i="101"/>
  <c r="H91" i="101"/>
  <c r="G91" i="101"/>
  <c r="F91" i="101"/>
  <c r="E91" i="101"/>
  <c r="D91" i="101"/>
  <c r="C91" i="101"/>
  <c r="B91" i="101"/>
  <c r="P90" i="101"/>
  <c r="N90" i="101"/>
  <c r="O90" i="101" s="1"/>
  <c r="P89" i="101"/>
  <c r="N89" i="101"/>
  <c r="O89" i="101" s="1"/>
  <c r="H89" i="101"/>
  <c r="G89" i="101"/>
  <c r="F89" i="101"/>
  <c r="E89" i="101"/>
  <c r="D89" i="101"/>
  <c r="C89" i="101"/>
  <c r="B89" i="101"/>
  <c r="P88" i="101"/>
  <c r="O88" i="101"/>
  <c r="N88" i="101"/>
  <c r="O87" i="101"/>
  <c r="N87" i="101"/>
  <c r="P87" i="101" s="1"/>
  <c r="P86" i="101"/>
  <c r="O86" i="101"/>
  <c r="N86" i="101"/>
  <c r="P85" i="101"/>
  <c r="N85" i="101"/>
  <c r="O85" i="101" s="1"/>
  <c r="P84" i="101"/>
  <c r="N84" i="101"/>
  <c r="O84" i="101" s="1"/>
  <c r="N83" i="101"/>
  <c r="P83" i="101" s="1"/>
  <c r="P82" i="101"/>
  <c r="N82" i="101"/>
  <c r="O82" i="101" s="1"/>
  <c r="N81" i="101"/>
  <c r="O80" i="101"/>
  <c r="N80" i="101"/>
  <c r="P80" i="101" s="1"/>
  <c r="N79" i="101"/>
  <c r="P78" i="101"/>
  <c r="N78" i="101"/>
  <c r="O78" i="101" s="1"/>
  <c r="P77" i="101"/>
  <c r="O77" i="101"/>
  <c r="N77" i="101"/>
  <c r="P76" i="101"/>
  <c r="N76" i="101"/>
  <c r="O76" i="101" s="1"/>
  <c r="H76" i="101"/>
  <c r="G76" i="101"/>
  <c r="F76" i="101"/>
  <c r="E76" i="101"/>
  <c r="D76" i="101"/>
  <c r="C76" i="101"/>
  <c r="B76" i="101"/>
  <c r="N75" i="101"/>
  <c r="O75" i="101" s="1"/>
  <c r="N74" i="101"/>
  <c r="P74" i="101" s="1"/>
  <c r="B74" i="101"/>
  <c r="N73" i="101"/>
  <c r="P73" i="101" s="1"/>
  <c r="N72" i="101"/>
  <c r="O72" i="101" s="1"/>
  <c r="P71" i="101"/>
  <c r="N71" i="101"/>
  <c r="O71" i="101" s="1"/>
  <c r="H71" i="101"/>
  <c r="G71" i="101"/>
  <c r="F71" i="101"/>
  <c r="E71" i="101"/>
  <c r="D71" i="101"/>
  <c r="C71" i="101"/>
  <c r="B71" i="101"/>
  <c r="P70" i="101"/>
  <c r="O70" i="101"/>
  <c r="N70" i="101"/>
  <c r="O69" i="101"/>
  <c r="N69" i="101"/>
  <c r="P69" i="101" s="1"/>
  <c r="H69" i="101"/>
  <c r="G69" i="101"/>
  <c r="F69" i="101"/>
  <c r="E69" i="101"/>
  <c r="D69" i="101"/>
  <c r="C69" i="101"/>
  <c r="B69" i="101"/>
  <c r="P68" i="101"/>
  <c r="O68" i="101"/>
  <c r="N68" i="101"/>
  <c r="P67" i="101"/>
  <c r="O67" i="101"/>
  <c r="N67" i="101"/>
  <c r="N66" i="101"/>
  <c r="P66" i="101" s="1"/>
  <c r="N65" i="101"/>
  <c r="O65" i="101" s="1"/>
  <c r="P64" i="101"/>
  <c r="O64" i="101"/>
  <c r="N64" i="101"/>
  <c r="N63" i="101"/>
  <c r="O63" i="101" s="1"/>
  <c r="N62" i="101"/>
  <c r="P62" i="101" s="1"/>
  <c r="P61" i="101"/>
  <c r="O61" i="101"/>
  <c r="N61" i="101"/>
  <c r="N60" i="101"/>
  <c r="P60" i="101" s="1"/>
  <c r="N59" i="101"/>
  <c r="O59" i="101" s="1"/>
  <c r="P58" i="101"/>
  <c r="O58" i="101"/>
  <c r="N58" i="101"/>
  <c r="O57" i="101"/>
  <c r="N57" i="101"/>
  <c r="P57" i="101" s="1"/>
  <c r="N56" i="101"/>
  <c r="C56" i="101"/>
  <c r="B56" i="101"/>
  <c r="O55" i="101"/>
  <c r="N55" i="101"/>
  <c r="P55" i="101" s="1"/>
  <c r="P54" i="101"/>
  <c r="O54" i="101"/>
  <c r="N54" i="101"/>
  <c r="C54" i="101"/>
  <c r="B54" i="101"/>
  <c r="N53" i="101"/>
  <c r="O53" i="101" s="1"/>
  <c r="N52" i="101"/>
  <c r="O52" i="101" s="1"/>
  <c r="N51" i="101"/>
  <c r="O51" i="101" s="1"/>
  <c r="C51" i="101"/>
  <c r="B51" i="101"/>
  <c r="N50" i="101"/>
  <c r="P50" i="101" s="1"/>
  <c r="P49" i="101"/>
  <c r="O49" i="101"/>
  <c r="N49" i="101"/>
  <c r="C49" i="101"/>
  <c r="B49" i="101"/>
  <c r="P48" i="101"/>
  <c r="N48" i="101"/>
  <c r="O48" i="101" s="1"/>
  <c r="P47" i="101"/>
  <c r="O47" i="101"/>
  <c r="N47" i="101"/>
  <c r="N46" i="101"/>
  <c r="P46" i="101" s="1"/>
  <c r="N45" i="101"/>
  <c r="O45" i="101" s="1"/>
  <c r="P44" i="101"/>
  <c r="O44" i="101"/>
  <c r="N44" i="101"/>
  <c r="N43" i="101"/>
  <c r="O43" i="101" s="1"/>
  <c r="N42" i="101"/>
  <c r="P42" i="101" s="1"/>
  <c r="P41" i="101"/>
  <c r="O41" i="101"/>
  <c r="N41" i="101"/>
  <c r="N40" i="101"/>
  <c r="N39" i="101"/>
  <c r="N38" i="101"/>
  <c r="O38" i="101" s="1"/>
  <c r="N37" i="101"/>
  <c r="O37" i="101" s="1"/>
  <c r="P36" i="101"/>
  <c r="O36" i="101"/>
  <c r="N36" i="101"/>
  <c r="O35" i="101"/>
  <c r="N35" i="101"/>
  <c r="P35" i="101" s="1"/>
  <c r="N34" i="101"/>
  <c r="C32" i="101"/>
  <c r="B32" i="101"/>
  <c r="C30" i="101"/>
  <c r="B30" i="101"/>
  <c r="C27" i="101"/>
  <c r="B27" i="101"/>
  <c r="C25" i="101"/>
  <c r="B25" i="101"/>
  <c r="B12" i="101"/>
  <c r="C12" i="101" s="1"/>
  <c r="B11" i="101"/>
  <c r="U5" i="102" l="1"/>
  <c r="E102" i="102"/>
  <c r="C40" i="102"/>
  <c r="E84" i="102"/>
  <c r="B38" i="102"/>
  <c r="AK9" i="102"/>
  <c r="AJ9" i="102"/>
  <c r="E88" i="102"/>
  <c r="AI17" i="102"/>
  <c r="S13" i="102"/>
  <c r="F11" i="102"/>
  <c r="G70" i="102" s="1"/>
  <c r="S11" i="102"/>
  <c r="AK8" i="102"/>
  <c r="AJ6" i="102"/>
  <c r="AJ8" i="102"/>
  <c r="AK5" i="102"/>
  <c r="AK3" i="102"/>
  <c r="AJ5" i="102"/>
  <c r="AJ3" i="102"/>
  <c r="AK7" i="102"/>
  <c r="AJ7" i="102"/>
  <c r="AK4" i="102"/>
  <c r="G77" i="102" s="1"/>
  <c r="AK6" i="102"/>
  <c r="AJ4" i="102"/>
  <c r="AJ16" i="102" s="1"/>
  <c r="S12" i="102"/>
  <c r="E68" i="102"/>
  <c r="G95" i="102"/>
  <c r="F95" i="102"/>
  <c r="E95" i="102"/>
  <c r="B75" i="102"/>
  <c r="D95" i="102"/>
  <c r="C95" i="102"/>
  <c r="H75" i="102"/>
  <c r="B95" i="102"/>
  <c r="H95" i="102"/>
  <c r="E75" i="102"/>
  <c r="G75" i="102"/>
  <c r="F75" i="102"/>
  <c r="D75" i="102"/>
  <c r="B55" i="102"/>
  <c r="C75" i="102"/>
  <c r="C55" i="102"/>
  <c r="C31" i="102"/>
  <c r="B31" i="102"/>
  <c r="D11" i="102"/>
  <c r="C12" i="102"/>
  <c r="D12" i="102" s="1"/>
  <c r="O51" i="102"/>
  <c r="P51" i="102"/>
  <c r="O34" i="102"/>
  <c r="O38" i="102"/>
  <c r="O43" i="102"/>
  <c r="O63" i="102"/>
  <c r="P63" i="102"/>
  <c r="P56" i="102"/>
  <c r="O56" i="102"/>
  <c r="O59" i="102"/>
  <c r="P59" i="102"/>
  <c r="P44" i="102"/>
  <c r="O45" i="102"/>
  <c r="O53" i="102"/>
  <c r="P53" i="102"/>
  <c r="O65" i="102"/>
  <c r="P65" i="102"/>
  <c r="O37" i="102"/>
  <c r="O52" i="102"/>
  <c r="P52" i="102"/>
  <c r="P72" i="102"/>
  <c r="O72" i="102"/>
  <c r="O87" i="102"/>
  <c r="O69" i="102"/>
  <c r="O73" i="102"/>
  <c r="O74" i="102"/>
  <c r="P83" i="102"/>
  <c r="O83" i="102"/>
  <c r="P79" i="102"/>
  <c r="O79" i="102"/>
  <c r="P91" i="102"/>
  <c r="P102" i="102"/>
  <c r="P105" i="102"/>
  <c r="P109" i="102"/>
  <c r="P113" i="102"/>
  <c r="P117" i="102"/>
  <c r="P121" i="102"/>
  <c r="P125" i="102"/>
  <c r="P129" i="102"/>
  <c r="O94" i="102"/>
  <c r="O99" i="102"/>
  <c r="O95" i="102"/>
  <c r="O107" i="102"/>
  <c r="O111" i="102"/>
  <c r="O115" i="102"/>
  <c r="O119" i="102"/>
  <c r="O123" i="102"/>
  <c r="O127" i="102"/>
  <c r="O76" i="102"/>
  <c r="O78" i="102"/>
  <c r="O82" i="102"/>
  <c r="O84" i="102"/>
  <c r="O96" i="102"/>
  <c r="O100" i="102"/>
  <c r="D12" i="101"/>
  <c r="E68" i="101"/>
  <c r="F12" i="101"/>
  <c r="C31" i="101" s="1"/>
  <c r="E88" i="101"/>
  <c r="P56" i="101"/>
  <c r="O56" i="101"/>
  <c r="P34" i="101"/>
  <c r="O34" i="101"/>
  <c r="G77" i="101"/>
  <c r="D77" i="101"/>
  <c r="P40" i="101"/>
  <c r="O40" i="101"/>
  <c r="P81" i="101"/>
  <c r="O81" i="101"/>
  <c r="P39" i="101"/>
  <c r="O39" i="101"/>
  <c r="P37" i="101"/>
  <c r="P38" i="101"/>
  <c r="P43" i="101"/>
  <c r="P45" i="101"/>
  <c r="P51" i="101"/>
  <c r="P52" i="101"/>
  <c r="P53" i="101"/>
  <c r="P59" i="101"/>
  <c r="P63" i="101"/>
  <c r="P65" i="101"/>
  <c r="O42" i="101"/>
  <c r="O46" i="101"/>
  <c r="O50" i="101"/>
  <c r="O60" i="101"/>
  <c r="O62" i="101"/>
  <c r="O66" i="101"/>
  <c r="P72" i="101"/>
  <c r="O73" i="101"/>
  <c r="O74" i="101"/>
  <c r="P75" i="101"/>
  <c r="P79" i="101"/>
  <c r="O79" i="101"/>
  <c r="O93" i="101"/>
  <c r="O106" i="101"/>
  <c r="O110" i="101"/>
  <c r="O114" i="101"/>
  <c r="O118" i="101"/>
  <c r="O122" i="101"/>
  <c r="O126" i="101"/>
  <c r="O94" i="101"/>
  <c r="O99" i="101"/>
  <c r="O83" i="101"/>
  <c r="O95" i="101"/>
  <c r="O107" i="101"/>
  <c r="O111" i="101"/>
  <c r="O115" i="101"/>
  <c r="O119" i="101"/>
  <c r="O123" i="101"/>
  <c r="O127" i="101"/>
  <c r="O103" i="101"/>
  <c r="AJ17" i="102" l="1"/>
  <c r="AI16" i="102"/>
  <c r="D77" i="102"/>
  <c r="F70" i="102"/>
  <c r="H70" i="102"/>
  <c r="B50" i="102"/>
  <c r="D90" i="102"/>
  <c r="C90" i="102"/>
  <c r="C50" i="102"/>
  <c r="B26" i="102"/>
  <c r="B70" i="102"/>
  <c r="G90" i="102"/>
  <c r="D70" i="102"/>
  <c r="C26" i="102"/>
  <c r="F90" i="102"/>
  <c r="C70" i="102"/>
  <c r="B90" i="102"/>
  <c r="H90" i="102"/>
  <c r="F75" i="101"/>
  <c r="G95" i="101"/>
  <c r="B55" i="101"/>
  <c r="G75" i="101"/>
  <c r="B75" i="101"/>
  <c r="H95" i="101"/>
  <c r="B95" i="101"/>
  <c r="C75" i="101"/>
  <c r="C95" i="101"/>
  <c r="B31" i="101"/>
  <c r="D95" i="101"/>
  <c r="E75" i="101"/>
  <c r="E95" i="101"/>
  <c r="C55" i="101"/>
  <c r="F95" i="101"/>
  <c r="D75" i="101"/>
  <c r="H75" i="101"/>
  <c r="AG3" i="100" l="1"/>
  <c r="AB3" i="100"/>
  <c r="Z3" i="100"/>
  <c r="Y3" i="100"/>
  <c r="U3" i="100"/>
  <c r="T3" i="100"/>
  <c r="S3" i="100"/>
  <c r="R3" i="100"/>
  <c r="E68" i="100" s="1"/>
  <c r="AG2" i="100"/>
  <c r="Z2" i="100"/>
  <c r="Y2" i="100"/>
  <c r="U2" i="100"/>
  <c r="T2" i="100"/>
  <c r="S2" i="100"/>
  <c r="R2" i="100"/>
  <c r="Q2" i="100"/>
  <c r="P2" i="100"/>
  <c r="O2" i="100"/>
  <c r="B12" i="100"/>
  <c r="F12" i="100" s="1"/>
  <c r="E95" i="100" s="1"/>
  <c r="B25" i="100"/>
  <c r="C25" i="100"/>
  <c r="B27" i="100"/>
  <c r="C27" i="100"/>
  <c r="B30" i="100"/>
  <c r="C30" i="100"/>
  <c r="B32" i="100"/>
  <c r="C32" i="100"/>
  <c r="N34" i="100"/>
  <c r="O34" i="100"/>
  <c r="P34" i="100"/>
  <c r="N35" i="100"/>
  <c r="N36" i="100"/>
  <c r="P36" i="100" s="1"/>
  <c r="O36" i="100"/>
  <c r="N37" i="100"/>
  <c r="O37" i="100" s="1"/>
  <c r="P37" i="100"/>
  <c r="N38" i="100"/>
  <c r="O38" i="100" s="1"/>
  <c r="P38" i="100"/>
  <c r="N39" i="100"/>
  <c r="O39" i="100" s="1"/>
  <c r="N40" i="100"/>
  <c r="O40" i="100" s="1"/>
  <c r="N41" i="100"/>
  <c r="P41" i="100" s="1"/>
  <c r="O41" i="100"/>
  <c r="N42" i="100"/>
  <c r="O42" i="100" s="1"/>
  <c r="N43" i="100"/>
  <c r="O43" i="100" s="1"/>
  <c r="P43" i="100"/>
  <c r="N44" i="100"/>
  <c r="O44" i="100"/>
  <c r="P44" i="100"/>
  <c r="N45" i="100"/>
  <c r="O45" i="100" s="1"/>
  <c r="P45" i="100"/>
  <c r="N46" i="100"/>
  <c r="O46" i="100" s="1"/>
  <c r="N47" i="100"/>
  <c r="O47" i="100"/>
  <c r="P47" i="100"/>
  <c r="N48" i="100"/>
  <c r="O48" i="100"/>
  <c r="P48" i="100"/>
  <c r="B49" i="100"/>
  <c r="C49" i="100"/>
  <c r="N49" i="100"/>
  <c r="O49" i="100"/>
  <c r="P49" i="100"/>
  <c r="N50" i="100"/>
  <c r="O50" i="100" s="1"/>
  <c r="B51" i="100"/>
  <c r="C51" i="100"/>
  <c r="N51" i="100"/>
  <c r="O51" i="100" s="1"/>
  <c r="P51" i="100"/>
  <c r="N52" i="100"/>
  <c r="O52" i="100" s="1"/>
  <c r="P52" i="100"/>
  <c r="N53" i="100"/>
  <c r="O53" i="100" s="1"/>
  <c r="P53" i="100"/>
  <c r="B54" i="100"/>
  <c r="C54" i="100"/>
  <c r="N54" i="100"/>
  <c r="O54" i="100"/>
  <c r="P54" i="100"/>
  <c r="N55" i="100"/>
  <c r="B56" i="100"/>
  <c r="C56" i="100"/>
  <c r="N56" i="100"/>
  <c r="O56" i="100" s="1"/>
  <c r="N57" i="100"/>
  <c r="N58" i="100"/>
  <c r="O58" i="100"/>
  <c r="P58" i="100"/>
  <c r="N59" i="100"/>
  <c r="O59" i="100" s="1"/>
  <c r="P59" i="100"/>
  <c r="N60" i="100"/>
  <c r="N61" i="100"/>
  <c r="O61" i="100"/>
  <c r="P61" i="100"/>
  <c r="N62" i="100"/>
  <c r="N63" i="100"/>
  <c r="O63" i="100" s="1"/>
  <c r="P63" i="100"/>
  <c r="N64" i="100"/>
  <c r="O64" i="100"/>
  <c r="P64" i="100"/>
  <c r="N65" i="100"/>
  <c r="O65" i="100" s="1"/>
  <c r="P65" i="100"/>
  <c r="N66" i="100"/>
  <c r="P66" i="100" s="1"/>
  <c r="N67" i="100"/>
  <c r="O67" i="100"/>
  <c r="P67" i="100"/>
  <c r="N68" i="100"/>
  <c r="O68" i="100"/>
  <c r="P68" i="100"/>
  <c r="B69" i="100"/>
  <c r="C69" i="100"/>
  <c r="D69" i="100"/>
  <c r="E69" i="100"/>
  <c r="F69" i="100"/>
  <c r="G69" i="100"/>
  <c r="H69" i="100"/>
  <c r="N69" i="100"/>
  <c r="N70" i="100"/>
  <c r="O70" i="100"/>
  <c r="P70" i="100"/>
  <c r="B71" i="100"/>
  <c r="C71" i="100"/>
  <c r="D71" i="100"/>
  <c r="E71" i="100"/>
  <c r="F71" i="100"/>
  <c r="G71" i="100"/>
  <c r="H71" i="100"/>
  <c r="N71" i="100"/>
  <c r="P71" i="100" s="1"/>
  <c r="N72" i="100"/>
  <c r="O72" i="100"/>
  <c r="P72" i="100"/>
  <c r="N73" i="100"/>
  <c r="P73" i="100" s="1"/>
  <c r="O73" i="100"/>
  <c r="B74" i="100"/>
  <c r="N74" i="100"/>
  <c r="O74" i="100"/>
  <c r="P74" i="100"/>
  <c r="N75" i="100"/>
  <c r="P75" i="100" s="1"/>
  <c r="B76" i="100"/>
  <c r="C76" i="100"/>
  <c r="D76" i="100"/>
  <c r="E76" i="100"/>
  <c r="F76" i="100"/>
  <c r="G76" i="100"/>
  <c r="H76" i="100"/>
  <c r="N76" i="100"/>
  <c r="O76" i="100"/>
  <c r="P76" i="100"/>
  <c r="D77" i="100"/>
  <c r="G77" i="100"/>
  <c r="N77" i="100"/>
  <c r="O77" i="100" s="1"/>
  <c r="N78" i="100"/>
  <c r="O78" i="100"/>
  <c r="P78" i="100"/>
  <c r="N79" i="100"/>
  <c r="O79" i="100"/>
  <c r="P79" i="100"/>
  <c r="N80" i="100"/>
  <c r="O80" i="100" s="1"/>
  <c r="P80" i="100"/>
  <c r="N81" i="100"/>
  <c r="O81" i="100"/>
  <c r="P81" i="100"/>
  <c r="N82" i="100"/>
  <c r="O82" i="100"/>
  <c r="P82" i="100"/>
  <c r="N83" i="100"/>
  <c r="O83" i="100"/>
  <c r="P83" i="100"/>
  <c r="N84" i="100"/>
  <c r="O84" i="100"/>
  <c r="P84" i="100"/>
  <c r="N85" i="100"/>
  <c r="O85" i="100" s="1"/>
  <c r="N86" i="100"/>
  <c r="O86" i="100" s="1"/>
  <c r="P86" i="100"/>
  <c r="N87" i="100"/>
  <c r="O87" i="100" s="1"/>
  <c r="P87" i="100"/>
  <c r="N88" i="100"/>
  <c r="B89" i="100"/>
  <c r="C89" i="100"/>
  <c r="D89" i="100"/>
  <c r="E89" i="100"/>
  <c r="F89" i="100"/>
  <c r="G89" i="100"/>
  <c r="H89" i="100"/>
  <c r="N89" i="100"/>
  <c r="O89" i="100" s="1"/>
  <c r="N90" i="100"/>
  <c r="O90" i="100" s="1"/>
  <c r="B91" i="100"/>
  <c r="C91" i="100"/>
  <c r="D91" i="100"/>
  <c r="E91" i="100"/>
  <c r="F91" i="100"/>
  <c r="G91" i="100"/>
  <c r="H91" i="100"/>
  <c r="N91" i="100"/>
  <c r="P91" i="100" s="1"/>
  <c r="O91" i="100"/>
  <c r="N92" i="100"/>
  <c r="O92" i="100" s="1"/>
  <c r="P92" i="100"/>
  <c r="N93" i="100"/>
  <c r="B94" i="100"/>
  <c r="C94" i="100"/>
  <c r="D94" i="100"/>
  <c r="E94" i="100"/>
  <c r="F94" i="100"/>
  <c r="G94" i="100"/>
  <c r="H94" i="100"/>
  <c r="N94" i="100"/>
  <c r="O94" i="100" s="1"/>
  <c r="P94" i="100"/>
  <c r="N95" i="100"/>
  <c r="O95" i="100"/>
  <c r="P95" i="100"/>
  <c r="B96" i="100"/>
  <c r="N96" i="100"/>
  <c r="O96" i="100"/>
  <c r="P96" i="100"/>
  <c r="N97" i="100"/>
  <c r="N98" i="100"/>
  <c r="O98" i="100"/>
  <c r="P98" i="100"/>
  <c r="N99" i="100"/>
  <c r="O99" i="100" s="1"/>
  <c r="P99" i="100"/>
  <c r="N100" i="100"/>
  <c r="O100" i="100"/>
  <c r="P100" i="100"/>
  <c r="N101" i="100"/>
  <c r="N102" i="100"/>
  <c r="O102" i="100"/>
  <c r="P102" i="100"/>
  <c r="N103" i="100"/>
  <c r="N104" i="100"/>
  <c r="P104" i="100" s="1"/>
  <c r="O104" i="100"/>
  <c r="N105" i="100"/>
  <c r="O105" i="100"/>
  <c r="P105" i="100"/>
  <c r="N106" i="100"/>
  <c r="N107" i="100"/>
  <c r="O107" i="100"/>
  <c r="P107" i="100"/>
  <c r="N108" i="100"/>
  <c r="P108" i="100" s="1"/>
  <c r="O108" i="100"/>
  <c r="N109" i="100"/>
  <c r="O109" i="100"/>
  <c r="P109" i="100"/>
  <c r="N110" i="100"/>
  <c r="N111" i="100"/>
  <c r="O111" i="100"/>
  <c r="P111" i="100"/>
  <c r="N112" i="100"/>
  <c r="P112" i="100" s="1"/>
  <c r="N113" i="100"/>
  <c r="O113" i="100" s="1"/>
  <c r="P113" i="100"/>
  <c r="N114" i="100"/>
  <c r="N115" i="100"/>
  <c r="O115" i="100"/>
  <c r="P115" i="100"/>
  <c r="N116" i="100"/>
  <c r="O116" i="100" s="1"/>
  <c r="N117" i="100"/>
  <c r="O117" i="100" s="1"/>
  <c r="N118" i="100"/>
  <c r="O118" i="100" s="1"/>
  <c r="N119" i="100"/>
  <c r="O119" i="100" s="1"/>
  <c r="N120" i="100"/>
  <c r="O120" i="100" s="1"/>
  <c r="P120" i="100"/>
  <c r="N121" i="100"/>
  <c r="O121" i="100"/>
  <c r="P121" i="100"/>
  <c r="N122" i="100"/>
  <c r="O122" i="100" s="1"/>
  <c r="N123" i="100"/>
  <c r="O123" i="100"/>
  <c r="P123" i="100"/>
  <c r="N124" i="100"/>
  <c r="O124" i="100" s="1"/>
  <c r="N125" i="100"/>
  <c r="O125" i="100"/>
  <c r="P125" i="100"/>
  <c r="N126" i="100"/>
  <c r="O126" i="100" s="1"/>
  <c r="N127" i="100"/>
  <c r="O127" i="100"/>
  <c r="P127" i="100"/>
  <c r="N128" i="100"/>
  <c r="O128" i="100" s="1"/>
  <c r="N129" i="100"/>
  <c r="O129" i="100"/>
  <c r="P129" i="100"/>
  <c r="X29" i="99"/>
  <c r="K25" i="99"/>
  <c r="K24" i="99"/>
  <c r="N15" i="99"/>
  <c r="K15" i="99"/>
  <c r="K12" i="99"/>
  <c r="H11" i="99"/>
  <c r="C11" i="99"/>
  <c r="N7" i="99"/>
  <c r="AG3" i="99"/>
  <c r="AB3" i="99"/>
  <c r="U3" i="99"/>
  <c r="T3" i="99"/>
  <c r="S3" i="99"/>
  <c r="C40" i="99" s="1"/>
  <c r="R3" i="99"/>
  <c r="E84" i="99" s="1"/>
  <c r="N3" i="99"/>
  <c r="J3" i="99"/>
  <c r="S14" i="99" s="1"/>
  <c r="AG2" i="99"/>
  <c r="U2" i="99"/>
  <c r="T2" i="99"/>
  <c r="S2" i="99"/>
  <c r="B38" i="99" s="1"/>
  <c r="R2" i="99"/>
  <c r="E102" i="99" s="1"/>
  <c r="Q2" i="99"/>
  <c r="N2" i="99"/>
  <c r="J2" i="99"/>
  <c r="N129" i="99"/>
  <c r="O129" i="99" s="1"/>
  <c r="P128" i="99"/>
  <c r="O128" i="99"/>
  <c r="N128" i="99"/>
  <c r="P127" i="99"/>
  <c r="N127" i="99"/>
  <c r="O127" i="99" s="1"/>
  <c r="O126" i="99"/>
  <c r="N126" i="99"/>
  <c r="P126" i="99" s="1"/>
  <c r="N125" i="99"/>
  <c r="O125" i="99" s="1"/>
  <c r="P124" i="99"/>
  <c r="O124" i="99"/>
  <c r="N124" i="99"/>
  <c r="P123" i="99"/>
  <c r="N123" i="99"/>
  <c r="O123" i="99" s="1"/>
  <c r="O122" i="99"/>
  <c r="N122" i="99"/>
  <c r="P122" i="99" s="1"/>
  <c r="N121" i="99"/>
  <c r="O121" i="99" s="1"/>
  <c r="P120" i="99"/>
  <c r="O120" i="99"/>
  <c r="N120" i="99"/>
  <c r="P119" i="99"/>
  <c r="N119" i="99"/>
  <c r="O119" i="99" s="1"/>
  <c r="O118" i="99"/>
  <c r="N118" i="99"/>
  <c r="P118" i="99" s="1"/>
  <c r="N117" i="99"/>
  <c r="O117" i="99" s="1"/>
  <c r="P116" i="99"/>
  <c r="O116" i="99"/>
  <c r="N116" i="99"/>
  <c r="P115" i="99"/>
  <c r="N115" i="99"/>
  <c r="O115" i="99" s="1"/>
  <c r="O114" i="99"/>
  <c r="N114" i="99"/>
  <c r="P114" i="99" s="1"/>
  <c r="N113" i="99"/>
  <c r="O113" i="99" s="1"/>
  <c r="P112" i="99"/>
  <c r="O112" i="99"/>
  <c r="N112" i="99"/>
  <c r="P111" i="99"/>
  <c r="N111" i="99"/>
  <c r="O111" i="99" s="1"/>
  <c r="O110" i="99"/>
  <c r="N110" i="99"/>
  <c r="P110" i="99" s="1"/>
  <c r="N109" i="99"/>
  <c r="O109" i="99" s="1"/>
  <c r="P108" i="99"/>
  <c r="O108" i="99"/>
  <c r="N108" i="99"/>
  <c r="P107" i="99"/>
  <c r="N107" i="99"/>
  <c r="O107" i="99" s="1"/>
  <c r="O106" i="99"/>
  <c r="N106" i="99"/>
  <c r="P106" i="99" s="1"/>
  <c r="N105" i="99"/>
  <c r="O105" i="99" s="1"/>
  <c r="P104" i="99"/>
  <c r="O104" i="99"/>
  <c r="N104" i="99"/>
  <c r="N103" i="99"/>
  <c r="N102" i="99"/>
  <c r="O102" i="99" s="1"/>
  <c r="N101" i="99"/>
  <c r="P100" i="99"/>
  <c r="O100" i="99"/>
  <c r="N100" i="99"/>
  <c r="N99" i="99"/>
  <c r="P99" i="99" s="1"/>
  <c r="P98" i="99"/>
  <c r="O98" i="99"/>
  <c r="N98" i="99"/>
  <c r="N97" i="99"/>
  <c r="P96" i="99"/>
  <c r="O96" i="99"/>
  <c r="N96" i="99"/>
  <c r="B96" i="99"/>
  <c r="P95" i="99"/>
  <c r="N95" i="99"/>
  <c r="O95" i="99" s="1"/>
  <c r="N94" i="99"/>
  <c r="P94" i="99" s="1"/>
  <c r="H94" i="99"/>
  <c r="G94" i="99"/>
  <c r="F94" i="99"/>
  <c r="E94" i="99"/>
  <c r="D94" i="99"/>
  <c r="C94" i="99"/>
  <c r="B94" i="99"/>
  <c r="O93" i="99"/>
  <c r="N93" i="99"/>
  <c r="P93" i="99" s="1"/>
  <c r="P92" i="99"/>
  <c r="O92" i="99"/>
  <c r="N92" i="99"/>
  <c r="N91" i="99"/>
  <c r="O91" i="99" s="1"/>
  <c r="H91" i="99"/>
  <c r="G91" i="99"/>
  <c r="F91" i="99"/>
  <c r="E91" i="99"/>
  <c r="D91" i="99"/>
  <c r="C91" i="99"/>
  <c r="B91" i="99"/>
  <c r="N90" i="99"/>
  <c r="N89" i="99"/>
  <c r="H89" i="99"/>
  <c r="G89" i="99"/>
  <c r="F89" i="99"/>
  <c r="E89" i="99"/>
  <c r="D89" i="99"/>
  <c r="C89" i="99"/>
  <c r="B89" i="99"/>
  <c r="O88" i="99"/>
  <c r="N88" i="99"/>
  <c r="P88" i="99" s="1"/>
  <c r="N87" i="99"/>
  <c r="P87" i="99" s="1"/>
  <c r="P86" i="99"/>
  <c r="O86" i="99"/>
  <c r="N86" i="99"/>
  <c r="N85" i="99"/>
  <c r="P84" i="99"/>
  <c r="O84" i="99"/>
  <c r="N84" i="99"/>
  <c r="P83" i="99"/>
  <c r="N83" i="99"/>
  <c r="O83" i="99" s="1"/>
  <c r="P82" i="99"/>
  <c r="O82" i="99"/>
  <c r="N82" i="99"/>
  <c r="P81" i="99"/>
  <c r="O81" i="99"/>
  <c r="N81" i="99"/>
  <c r="N80" i="99"/>
  <c r="P79" i="99"/>
  <c r="N79" i="99"/>
  <c r="O79" i="99" s="1"/>
  <c r="P78" i="99"/>
  <c r="O78" i="99"/>
  <c r="N78" i="99"/>
  <c r="N77" i="99"/>
  <c r="P77" i="99" s="1"/>
  <c r="P76" i="99"/>
  <c r="O76" i="99"/>
  <c r="N76" i="99"/>
  <c r="H76" i="99"/>
  <c r="G76" i="99"/>
  <c r="F76" i="99"/>
  <c r="E76" i="99"/>
  <c r="D76" i="99"/>
  <c r="C76" i="99"/>
  <c r="B76" i="99"/>
  <c r="N75" i="99"/>
  <c r="P75" i="99" s="1"/>
  <c r="P74" i="99"/>
  <c r="O74" i="99"/>
  <c r="N74" i="99"/>
  <c r="B74" i="99"/>
  <c r="O73" i="99"/>
  <c r="N73" i="99"/>
  <c r="P73" i="99" s="1"/>
  <c r="P72" i="99"/>
  <c r="O72" i="99"/>
  <c r="N72" i="99"/>
  <c r="P71" i="99"/>
  <c r="O71" i="99"/>
  <c r="N71" i="99"/>
  <c r="H71" i="99"/>
  <c r="G71" i="99"/>
  <c r="F71" i="99"/>
  <c r="E71" i="99"/>
  <c r="D71" i="99"/>
  <c r="C71" i="99"/>
  <c r="B71" i="99"/>
  <c r="P70" i="99"/>
  <c r="N70" i="99"/>
  <c r="O70" i="99" s="1"/>
  <c r="N69" i="99"/>
  <c r="P69" i="99" s="1"/>
  <c r="H69" i="99"/>
  <c r="G69" i="99"/>
  <c r="F69" i="99"/>
  <c r="E69" i="99"/>
  <c r="D69" i="99"/>
  <c r="C69" i="99"/>
  <c r="B69" i="99"/>
  <c r="P68" i="99"/>
  <c r="N68" i="99"/>
  <c r="O68" i="99" s="1"/>
  <c r="P67" i="99"/>
  <c r="N67" i="99"/>
  <c r="O67" i="99" s="1"/>
  <c r="P66" i="99"/>
  <c r="O66" i="99"/>
  <c r="N66" i="99"/>
  <c r="N65" i="99"/>
  <c r="O65" i="99" s="1"/>
  <c r="P64" i="99"/>
  <c r="N64" i="99"/>
  <c r="O64" i="99" s="1"/>
  <c r="N63" i="99"/>
  <c r="O63" i="99" s="1"/>
  <c r="P62" i="99"/>
  <c r="O62" i="99"/>
  <c r="N62" i="99"/>
  <c r="P61" i="99"/>
  <c r="N61" i="99"/>
  <c r="O61" i="99" s="1"/>
  <c r="P60" i="99"/>
  <c r="O60" i="99"/>
  <c r="N60" i="99"/>
  <c r="N59" i="99"/>
  <c r="O59" i="99" s="1"/>
  <c r="P58" i="99"/>
  <c r="N58" i="99"/>
  <c r="O58" i="99" s="1"/>
  <c r="P57" i="99"/>
  <c r="O57" i="99"/>
  <c r="N57" i="99"/>
  <c r="N56" i="99"/>
  <c r="P56" i="99" s="1"/>
  <c r="C56" i="99"/>
  <c r="B56" i="99"/>
  <c r="P55" i="99"/>
  <c r="O55" i="99"/>
  <c r="N55" i="99"/>
  <c r="P54" i="99"/>
  <c r="N54" i="99"/>
  <c r="O54" i="99" s="1"/>
  <c r="C54" i="99"/>
  <c r="B54" i="99"/>
  <c r="N53" i="99"/>
  <c r="O53" i="99" s="1"/>
  <c r="N52" i="99"/>
  <c r="N51" i="99"/>
  <c r="C51" i="99"/>
  <c r="B51" i="99"/>
  <c r="P50" i="99"/>
  <c r="O50" i="99"/>
  <c r="N50" i="99"/>
  <c r="P49" i="99"/>
  <c r="N49" i="99"/>
  <c r="O49" i="99" s="1"/>
  <c r="C49" i="99"/>
  <c r="B49" i="99"/>
  <c r="N48" i="99"/>
  <c r="P48" i="99" s="1"/>
  <c r="P47" i="99"/>
  <c r="N47" i="99"/>
  <c r="O47" i="99" s="1"/>
  <c r="P46" i="99"/>
  <c r="O46" i="99"/>
  <c r="N46" i="99"/>
  <c r="N45" i="99"/>
  <c r="P44" i="99"/>
  <c r="N44" i="99"/>
  <c r="O44" i="99" s="1"/>
  <c r="N43" i="99"/>
  <c r="P42" i="99"/>
  <c r="O42" i="99"/>
  <c r="N42" i="99"/>
  <c r="P41" i="99"/>
  <c r="N41" i="99"/>
  <c r="O41" i="99" s="1"/>
  <c r="P40" i="99"/>
  <c r="O40" i="99"/>
  <c r="N40" i="99"/>
  <c r="P39" i="99"/>
  <c r="O39" i="99"/>
  <c r="N39" i="99"/>
  <c r="O38" i="99"/>
  <c r="N38" i="99"/>
  <c r="P38" i="99" s="1"/>
  <c r="N37" i="99"/>
  <c r="P37" i="99" s="1"/>
  <c r="N36" i="99"/>
  <c r="O36" i="99" s="1"/>
  <c r="P35" i="99"/>
  <c r="O35" i="99"/>
  <c r="N35" i="99"/>
  <c r="N34" i="99"/>
  <c r="O34" i="99" s="1"/>
  <c r="C32" i="99"/>
  <c r="B32" i="99"/>
  <c r="C30" i="99"/>
  <c r="B30" i="99"/>
  <c r="C27" i="99"/>
  <c r="B27" i="99"/>
  <c r="C25" i="99"/>
  <c r="B25" i="99"/>
  <c r="B12" i="99"/>
  <c r="AG3" i="98"/>
  <c r="AB3" i="98"/>
  <c r="U3" i="98"/>
  <c r="T3" i="98"/>
  <c r="S3" i="98"/>
  <c r="R3" i="98"/>
  <c r="AG2" i="98"/>
  <c r="U2" i="98"/>
  <c r="T2" i="98"/>
  <c r="S2" i="98"/>
  <c r="R2" i="98"/>
  <c r="Q2" i="98"/>
  <c r="N129" i="98"/>
  <c r="O129" i="98" s="1"/>
  <c r="N128" i="98"/>
  <c r="P128" i="98" s="1"/>
  <c r="P127" i="98"/>
  <c r="O127" i="98"/>
  <c r="N127" i="98"/>
  <c r="O126" i="98"/>
  <c r="N126" i="98"/>
  <c r="P126" i="98" s="1"/>
  <c r="N125" i="98"/>
  <c r="O125" i="98" s="1"/>
  <c r="O124" i="98"/>
  <c r="N124" i="98"/>
  <c r="P124" i="98" s="1"/>
  <c r="P123" i="98"/>
  <c r="O123" i="98"/>
  <c r="N123" i="98"/>
  <c r="O122" i="98"/>
  <c r="N122" i="98"/>
  <c r="P122" i="98" s="1"/>
  <c r="N121" i="98"/>
  <c r="O121" i="98" s="1"/>
  <c r="O120" i="98"/>
  <c r="N120" i="98"/>
  <c r="P120" i="98" s="1"/>
  <c r="P119" i="98"/>
  <c r="O119" i="98"/>
  <c r="N119" i="98"/>
  <c r="O118" i="98"/>
  <c r="N118" i="98"/>
  <c r="P118" i="98" s="1"/>
  <c r="N117" i="98"/>
  <c r="O117" i="98" s="1"/>
  <c r="N116" i="98"/>
  <c r="P116" i="98" s="1"/>
  <c r="P115" i="98"/>
  <c r="O115" i="98"/>
  <c r="N115" i="98"/>
  <c r="O114" i="98"/>
  <c r="N114" i="98"/>
  <c r="P114" i="98" s="1"/>
  <c r="N113" i="98"/>
  <c r="O113" i="98" s="1"/>
  <c r="N112" i="98"/>
  <c r="P112" i="98" s="1"/>
  <c r="P111" i="98"/>
  <c r="O111" i="98"/>
  <c r="N111" i="98"/>
  <c r="O110" i="98"/>
  <c r="N110" i="98"/>
  <c r="P110" i="98" s="1"/>
  <c r="N109" i="98"/>
  <c r="O109" i="98" s="1"/>
  <c r="N108" i="98"/>
  <c r="P108" i="98" s="1"/>
  <c r="P107" i="98"/>
  <c r="O107" i="98"/>
  <c r="N107" i="98"/>
  <c r="O106" i="98"/>
  <c r="N106" i="98"/>
  <c r="P106" i="98" s="1"/>
  <c r="N105" i="98"/>
  <c r="N104" i="98"/>
  <c r="P104" i="98" s="1"/>
  <c r="N103" i="98"/>
  <c r="P103" i="98" s="1"/>
  <c r="N102" i="98"/>
  <c r="N101" i="98"/>
  <c r="P101" i="98" s="1"/>
  <c r="P100" i="98"/>
  <c r="O100" i="98"/>
  <c r="N100" i="98"/>
  <c r="N99" i="98"/>
  <c r="P98" i="98"/>
  <c r="O98" i="98"/>
  <c r="N98" i="98"/>
  <c r="O97" i="98"/>
  <c r="N97" i="98"/>
  <c r="P97" i="98" s="1"/>
  <c r="P96" i="98"/>
  <c r="O96" i="98"/>
  <c r="N96" i="98"/>
  <c r="B96" i="98"/>
  <c r="P95" i="98"/>
  <c r="N95" i="98"/>
  <c r="O95" i="98" s="1"/>
  <c r="N94" i="98"/>
  <c r="H94" i="98"/>
  <c r="G94" i="98"/>
  <c r="F94" i="98"/>
  <c r="E94" i="98"/>
  <c r="D94" i="98"/>
  <c r="C94" i="98"/>
  <c r="B94" i="98"/>
  <c r="O93" i="98"/>
  <c r="N93" i="98"/>
  <c r="P93" i="98" s="1"/>
  <c r="P92" i="98"/>
  <c r="O92" i="98"/>
  <c r="N92" i="98"/>
  <c r="N91" i="98"/>
  <c r="H91" i="98"/>
  <c r="G91" i="98"/>
  <c r="F91" i="98"/>
  <c r="E91" i="98"/>
  <c r="D91" i="98"/>
  <c r="C91" i="98"/>
  <c r="B91" i="98"/>
  <c r="O90" i="98"/>
  <c r="N90" i="98"/>
  <c r="P90" i="98" s="1"/>
  <c r="O89" i="98"/>
  <c r="N89" i="98"/>
  <c r="P89" i="98" s="1"/>
  <c r="H89" i="98"/>
  <c r="G89" i="98"/>
  <c r="F89" i="98"/>
  <c r="E89" i="98"/>
  <c r="D89" i="98"/>
  <c r="C89" i="98"/>
  <c r="B89" i="98"/>
  <c r="N88" i="98"/>
  <c r="P88" i="98" s="1"/>
  <c r="N87" i="98"/>
  <c r="P86" i="98"/>
  <c r="O86" i="98"/>
  <c r="N86" i="98"/>
  <c r="N85" i="98"/>
  <c r="P85" i="98" s="1"/>
  <c r="P84" i="98"/>
  <c r="O84" i="98"/>
  <c r="N84" i="98"/>
  <c r="P83" i="98"/>
  <c r="N83" i="98"/>
  <c r="O83" i="98" s="1"/>
  <c r="P82" i="98"/>
  <c r="O82" i="98"/>
  <c r="N82" i="98"/>
  <c r="P81" i="98"/>
  <c r="N81" i="98"/>
  <c r="O81" i="98" s="1"/>
  <c r="N80" i="98"/>
  <c r="P80" i="98" s="1"/>
  <c r="P79" i="98"/>
  <c r="N79" i="98"/>
  <c r="O79" i="98" s="1"/>
  <c r="P78" i="98"/>
  <c r="O78" i="98"/>
  <c r="N78" i="98"/>
  <c r="P77" i="98"/>
  <c r="O77" i="98"/>
  <c r="N77" i="98"/>
  <c r="P76" i="98"/>
  <c r="O76" i="98"/>
  <c r="N76" i="98"/>
  <c r="H76" i="98"/>
  <c r="G76" i="98"/>
  <c r="F76" i="98"/>
  <c r="E76" i="98"/>
  <c r="D76" i="98"/>
  <c r="C76" i="98"/>
  <c r="B76" i="98"/>
  <c r="O75" i="98"/>
  <c r="N75" i="98"/>
  <c r="P75" i="98" s="1"/>
  <c r="P74" i="98"/>
  <c r="O74" i="98"/>
  <c r="N74" i="98"/>
  <c r="B74" i="98"/>
  <c r="N73" i="98"/>
  <c r="O73" i="98" s="1"/>
  <c r="P72" i="98"/>
  <c r="O72" i="98"/>
  <c r="N72" i="98"/>
  <c r="N71" i="98"/>
  <c r="O71" i="98" s="1"/>
  <c r="H71" i="98"/>
  <c r="G71" i="98"/>
  <c r="F71" i="98"/>
  <c r="E71" i="98"/>
  <c r="D71" i="98"/>
  <c r="C71" i="98"/>
  <c r="B71" i="98"/>
  <c r="O70" i="98"/>
  <c r="N70" i="98"/>
  <c r="P70" i="98" s="1"/>
  <c r="P69" i="98"/>
  <c r="O69" i="98"/>
  <c r="N69" i="98"/>
  <c r="H69" i="98"/>
  <c r="G69" i="98"/>
  <c r="F69" i="98"/>
  <c r="E69" i="98"/>
  <c r="D69" i="98"/>
  <c r="C69" i="98"/>
  <c r="B69" i="98"/>
  <c r="N68" i="98"/>
  <c r="N67" i="98"/>
  <c r="N66" i="98"/>
  <c r="O66" i="98" s="1"/>
  <c r="P65" i="98"/>
  <c r="O65" i="98"/>
  <c r="N65" i="98"/>
  <c r="N64" i="98"/>
  <c r="P64" i="98" s="1"/>
  <c r="P63" i="98"/>
  <c r="O63" i="98"/>
  <c r="N63" i="98"/>
  <c r="P62" i="98"/>
  <c r="N62" i="98"/>
  <c r="O62" i="98" s="1"/>
  <c r="N61" i="98"/>
  <c r="P60" i="98"/>
  <c r="N60" i="98"/>
  <c r="O60" i="98" s="1"/>
  <c r="P59" i="98"/>
  <c r="O59" i="98"/>
  <c r="N59" i="98"/>
  <c r="N58" i="98"/>
  <c r="P57" i="98"/>
  <c r="N57" i="98"/>
  <c r="O57" i="98" s="1"/>
  <c r="P56" i="98"/>
  <c r="O56" i="98"/>
  <c r="N56" i="98"/>
  <c r="C56" i="98"/>
  <c r="B56" i="98"/>
  <c r="P55" i="98"/>
  <c r="N55" i="98"/>
  <c r="O55" i="98" s="1"/>
  <c r="N54" i="98"/>
  <c r="P54" i="98" s="1"/>
  <c r="C54" i="98"/>
  <c r="B54" i="98"/>
  <c r="P53" i="98"/>
  <c r="O53" i="98"/>
  <c r="N53" i="98"/>
  <c r="P52" i="98"/>
  <c r="O52" i="98"/>
  <c r="N52" i="98"/>
  <c r="P51" i="98"/>
  <c r="O51" i="98"/>
  <c r="N51" i="98"/>
  <c r="C51" i="98"/>
  <c r="B51" i="98"/>
  <c r="N50" i="98"/>
  <c r="O50" i="98" s="1"/>
  <c r="O49" i="98"/>
  <c r="N49" i="98"/>
  <c r="P49" i="98" s="1"/>
  <c r="C49" i="98"/>
  <c r="B49" i="98"/>
  <c r="P48" i="98"/>
  <c r="O48" i="98"/>
  <c r="N48" i="98"/>
  <c r="O47" i="98"/>
  <c r="N47" i="98"/>
  <c r="P47" i="98" s="1"/>
  <c r="P46" i="98"/>
  <c r="N46" i="98"/>
  <c r="O46" i="98" s="1"/>
  <c r="N45" i="98"/>
  <c r="P45" i="98" s="1"/>
  <c r="N44" i="98"/>
  <c r="P44" i="98" s="1"/>
  <c r="N43" i="98"/>
  <c r="P43" i="98" s="1"/>
  <c r="P42" i="98"/>
  <c r="O42" i="98"/>
  <c r="N42" i="98"/>
  <c r="P41" i="98"/>
  <c r="O41" i="98"/>
  <c r="N41" i="98"/>
  <c r="P40" i="98"/>
  <c r="O40" i="98"/>
  <c r="N40" i="98"/>
  <c r="P39" i="98"/>
  <c r="O39" i="98"/>
  <c r="N39" i="98"/>
  <c r="N38" i="98"/>
  <c r="P38" i="98" s="1"/>
  <c r="N37" i="98"/>
  <c r="P37" i="98" s="1"/>
  <c r="N36" i="98"/>
  <c r="P36" i="98" s="1"/>
  <c r="N35" i="98"/>
  <c r="O35" i="98" s="1"/>
  <c r="P34" i="98"/>
  <c r="O34" i="98"/>
  <c r="N34" i="98"/>
  <c r="C32" i="98"/>
  <c r="B32" i="98"/>
  <c r="C30" i="98"/>
  <c r="B30" i="98"/>
  <c r="C27" i="98"/>
  <c r="B27" i="98"/>
  <c r="C25" i="98"/>
  <c r="B25" i="98"/>
  <c r="B12" i="98"/>
  <c r="F12" i="98" s="1"/>
  <c r="B11" i="98"/>
  <c r="AG3" i="97"/>
  <c r="AB3" i="97"/>
  <c r="Z3" i="97"/>
  <c r="Y3" i="97"/>
  <c r="U3" i="97"/>
  <c r="T3" i="97"/>
  <c r="S3" i="97"/>
  <c r="R3" i="97"/>
  <c r="AG2" i="97"/>
  <c r="Z2" i="97"/>
  <c r="Y2" i="97"/>
  <c r="U2" i="97"/>
  <c r="T2" i="97"/>
  <c r="S2" i="97"/>
  <c r="R2" i="97"/>
  <c r="Q2" i="97"/>
  <c r="P2" i="97"/>
  <c r="O2" i="97"/>
  <c r="N129" i="97"/>
  <c r="O129" i="97" s="1"/>
  <c r="N128" i="97"/>
  <c r="P128" i="97" s="1"/>
  <c r="P127" i="97"/>
  <c r="O127" i="97"/>
  <c r="N127" i="97"/>
  <c r="P126" i="97"/>
  <c r="O126" i="97"/>
  <c r="N126" i="97"/>
  <c r="N125" i="97"/>
  <c r="O125" i="97" s="1"/>
  <c r="N124" i="97"/>
  <c r="P124" i="97" s="1"/>
  <c r="P123" i="97"/>
  <c r="O123" i="97"/>
  <c r="N123" i="97"/>
  <c r="P122" i="97"/>
  <c r="O122" i="97"/>
  <c r="N122" i="97"/>
  <c r="N121" i="97"/>
  <c r="O121" i="97" s="1"/>
  <c r="N120" i="97"/>
  <c r="P120" i="97" s="1"/>
  <c r="P119" i="97"/>
  <c r="O119" i="97"/>
  <c r="N119" i="97"/>
  <c r="P118" i="97"/>
  <c r="O118" i="97"/>
  <c r="N118" i="97"/>
  <c r="N117" i="97"/>
  <c r="O117" i="97" s="1"/>
  <c r="N116" i="97"/>
  <c r="P116" i="97" s="1"/>
  <c r="P115" i="97"/>
  <c r="O115" i="97"/>
  <c r="N115" i="97"/>
  <c r="P114" i="97"/>
  <c r="O114" i="97"/>
  <c r="N114" i="97"/>
  <c r="N113" i="97"/>
  <c r="O113" i="97" s="1"/>
  <c r="N112" i="97"/>
  <c r="P111" i="97"/>
  <c r="O111" i="97"/>
  <c r="N111" i="97"/>
  <c r="P110" i="97"/>
  <c r="O110" i="97"/>
  <c r="N110" i="97"/>
  <c r="N109" i="97"/>
  <c r="O109" i="97" s="1"/>
  <c r="N108" i="97"/>
  <c r="P107" i="97"/>
  <c r="O107" i="97"/>
  <c r="N107" i="97"/>
  <c r="O106" i="97"/>
  <c r="N106" i="97"/>
  <c r="P106" i="97" s="1"/>
  <c r="N105" i="97"/>
  <c r="O105" i="97" s="1"/>
  <c r="N104" i="97"/>
  <c r="P104" i="97" s="1"/>
  <c r="N103" i="97"/>
  <c r="N102" i="97"/>
  <c r="O102" i="97" s="1"/>
  <c r="N101" i="97"/>
  <c r="P101" i="97" s="1"/>
  <c r="P100" i="97"/>
  <c r="O100" i="97"/>
  <c r="N100" i="97"/>
  <c r="N99" i="97"/>
  <c r="P98" i="97"/>
  <c r="N98" i="97"/>
  <c r="O98" i="97" s="1"/>
  <c r="O97" i="97"/>
  <c r="N97" i="97"/>
  <c r="P97" i="97" s="1"/>
  <c r="P96" i="97"/>
  <c r="O96" i="97"/>
  <c r="N96" i="97"/>
  <c r="B96" i="97"/>
  <c r="P95" i="97"/>
  <c r="O95" i="97"/>
  <c r="N95" i="97"/>
  <c r="N94" i="97"/>
  <c r="H94" i="97"/>
  <c r="G94" i="97"/>
  <c r="F94" i="97"/>
  <c r="E94" i="97"/>
  <c r="D94" i="97"/>
  <c r="C94" i="97"/>
  <c r="B94" i="97"/>
  <c r="O93" i="97"/>
  <c r="N93" i="97"/>
  <c r="P93" i="97" s="1"/>
  <c r="P92" i="97"/>
  <c r="N92" i="97"/>
  <c r="O92" i="97" s="1"/>
  <c r="N91" i="97"/>
  <c r="H91" i="97"/>
  <c r="G91" i="97"/>
  <c r="F91" i="97"/>
  <c r="E91" i="97"/>
  <c r="D91" i="97"/>
  <c r="C91" i="97"/>
  <c r="B91" i="97"/>
  <c r="O90" i="97"/>
  <c r="N90" i="97"/>
  <c r="P90" i="97" s="1"/>
  <c r="O89" i="97"/>
  <c r="N89" i="97"/>
  <c r="P89" i="97" s="1"/>
  <c r="H89" i="97"/>
  <c r="G89" i="97"/>
  <c r="F89" i="97"/>
  <c r="E89" i="97"/>
  <c r="D89" i="97"/>
  <c r="C89" i="97"/>
  <c r="B89" i="97"/>
  <c r="N88" i="97"/>
  <c r="P88" i="97" s="1"/>
  <c r="N87" i="97"/>
  <c r="O87" i="97" s="1"/>
  <c r="P86" i="97"/>
  <c r="N86" i="97"/>
  <c r="O86" i="97" s="1"/>
  <c r="P85" i="97"/>
  <c r="O85" i="97"/>
  <c r="N85" i="97"/>
  <c r="P84" i="97"/>
  <c r="O84" i="97"/>
  <c r="N84" i="97"/>
  <c r="P83" i="97"/>
  <c r="O83" i="97"/>
  <c r="N83" i="97"/>
  <c r="N82" i="97"/>
  <c r="P82" i="97" s="1"/>
  <c r="P81" i="97"/>
  <c r="O81" i="97"/>
  <c r="N81" i="97"/>
  <c r="N80" i="97"/>
  <c r="O80" i="97" s="1"/>
  <c r="P79" i="97"/>
  <c r="O79" i="97"/>
  <c r="N79" i="97"/>
  <c r="P78" i="97"/>
  <c r="O78" i="97"/>
  <c r="N78" i="97"/>
  <c r="P77" i="97"/>
  <c r="O77" i="97"/>
  <c r="N77" i="97"/>
  <c r="P76" i="97"/>
  <c r="O76" i="97"/>
  <c r="N76" i="97"/>
  <c r="H76" i="97"/>
  <c r="G76" i="97"/>
  <c r="F76" i="97"/>
  <c r="E76" i="97"/>
  <c r="D76" i="97"/>
  <c r="C76" i="97"/>
  <c r="B76" i="97"/>
  <c r="N75" i="97"/>
  <c r="P75" i="97" s="1"/>
  <c r="N74" i="97"/>
  <c r="O74" i="97" s="1"/>
  <c r="B74" i="97"/>
  <c r="N73" i="97"/>
  <c r="O73" i="97" s="1"/>
  <c r="P72" i="97"/>
  <c r="O72" i="97"/>
  <c r="N72" i="97"/>
  <c r="P71" i="97"/>
  <c r="O71" i="97"/>
  <c r="N71" i="97"/>
  <c r="H71" i="97"/>
  <c r="G71" i="97"/>
  <c r="F71" i="97"/>
  <c r="E71" i="97"/>
  <c r="D71" i="97"/>
  <c r="C71" i="97"/>
  <c r="B71" i="97"/>
  <c r="N70" i="97"/>
  <c r="O70" i="97" s="1"/>
  <c r="P69" i="97"/>
  <c r="N69" i="97"/>
  <c r="O69" i="97" s="1"/>
  <c r="H69" i="97"/>
  <c r="G69" i="97"/>
  <c r="F69" i="97"/>
  <c r="E69" i="97"/>
  <c r="D69" i="97"/>
  <c r="C69" i="97"/>
  <c r="B69" i="97"/>
  <c r="N68" i="97"/>
  <c r="P68" i="97" s="1"/>
  <c r="N67" i="97"/>
  <c r="P67" i="97" s="1"/>
  <c r="P66" i="97"/>
  <c r="O66" i="97"/>
  <c r="N66" i="97"/>
  <c r="P65" i="97"/>
  <c r="O65" i="97"/>
  <c r="N65" i="97"/>
  <c r="P64" i="97"/>
  <c r="N64" i="97"/>
  <c r="O64" i="97" s="1"/>
  <c r="P63" i="97"/>
  <c r="O63" i="97"/>
  <c r="N63" i="97"/>
  <c r="P62" i="97"/>
  <c r="O62" i="97"/>
  <c r="N62" i="97"/>
  <c r="N61" i="97"/>
  <c r="P60" i="97"/>
  <c r="O60" i="97"/>
  <c r="N60" i="97"/>
  <c r="P59" i="97"/>
  <c r="O59" i="97"/>
  <c r="N59" i="97"/>
  <c r="N58" i="97"/>
  <c r="P58" i="97" s="1"/>
  <c r="O57" i="97"/>
  <c r="N57" i="97"/>
  <c r="P57" i="97" s="1"/>
  <c r="N56" i="97"/>
  <c r="C56" i="97"/>
  <c r="B56" i="97"/>
  <c r="N55" i="97"/>
  <c r="P55" i="97" s="1"/>
  <c r="P54" i="97"/>
  <c r="N54" i="97"/>
  <c r="O54" i="97" s="1"/>
  <c r="C54" i="97"/>
  <c r="B54" i="97"/>
  <c r="P53" i="97"/>
  <c r="O53" i="97"/>
  <c r="N53" i="97"/>
  <c r="P52" i="97"/>
  <c r="O52" i="97"/>
  <c r="N52" i="97"/>
  <c r="P51" i="97"/>
  <c r="N51" i="97"/>
  <c r="O51" i="97" s="1"/>
  <c r="C51" i="97"/>
  <c r="B51" i="97"/>
  <c r="P50" i="97"/>
  <c r="O50" i="97"/>
  <c r="N50" i="97"/>
  <c r="N49" i="97"/>
  <c r="O49" i="97" s="1"/>
  <c r="C49" i="97"/>
  <c r="B49" i="97"/>
  <c r="P48" i="97"/>
  <c r="O48" i="97"/>
  <c r="N48" i="97"/>
  <c r="N47" i="97"/>
  <c r="O47" i="97" s="1"/>
  <c r="P46" i="97"/>
  <c r="O46" i="97"/>
  <c r="N46" i="97"/>
  <c r="P45" i="97"/>
  <c r="O45" i="97"/>
  <c r="N45" i="97"/>
  <c r="P44" i="97"/>
  <c r="N44" i="97"/>
  <c r="O44" i="97" s="1"/>
  <c r="P43" i="97"/>
  <c r="N43" i="97"/>
  <c r="O43" i="97" s="1"/>
  <c r="P42" i="97"/>
  <c r="O42" i="97"/>
  <c r="N42" i="97"/>
  <c r="P41" i="97"/>
  <c r="N41" i="97"/>
  <c r="O41" i="97" s="1"/>
  <c r="P40" i="97"/>
  <c r="O40" i="97"/>
  <c r="N40" i="97"/>
  <c r="P39" i="97"/>
  <c r="O39" i="97"/>
  <c r="N39" i="97"/>
  <c r="P38" i="97"/>
  <c r="N38" i="97"/>
  <c r="O38" i="97" s="1"/>
  <c r="P37" i="97"/>
  <c r="O37" i="97"/>
  <c r="N37" i="97"/>
  <c r="P36" i="97"/>
  <c r="N36" i="97"/>
  <c r="O36" i="97" s="1"/>
  <c r="P35" i="97"/>
  <c r="N35" i="97"/>
  <c r="O35" i="97" s="1"/>
  <c r="N34" i="97"/>
  <c r="P34" i="97" s="1"/>
  <c r="C32" i="97"/>
  <c r="B32" i="97"/>
  <c r="C30" i="97"/>
  <c r="B30" i="97"/>
  <c r="C27" i="97"/>
  <c r="B27" i="97"/>
  <c r="C25" i="97"/>
  <c r="B25" i="97"/>
  <c r="B12" i="97"/>
  <c r="C12" i="97" s="1"/>
  <c r="D12" i="97" s="1"/>
  <c r="B11" i="97"/>
  <c r="B11" i="100" l="1"/>
  <c r="E88" i="100"/>
  <c r="AK9" i="99"/>
  <c r="AJ9" i="99"/>
  <c r="AJ7" i="99"/>
  <c r="AK4" i="99"/>
  <c r="AK6" i="99"/>
  <c r="AJ4" i="99"/>
  <c r="AJ6" i="99"/>
  <c r="AK8" i="99"/>
  <c r="AJ8" i="99"/>
  <c r="AK5" i="99"/>
  <c r="AK3" i="99"/>
  <c r="AJ5" i="99"/>
  <c r="AJ3" i="99"/>
  <c r="AK7" i="99"/>
  <c r="S12" i="99"/>
  <c r="C95" i="100"/>
  <c r="D95" i="100"/>
  <c r="B95" i="100"/>
  <c r="F75" i="100"/>
  <c r="B75" i="100"/>
  <c r="H95" i="100"/>
  <c r="G75" i="100"/>
  <c r="G95" i="100"/>
  <c r="F95" i="100"/>
  <c r="O110" i="100"/>
  <c r="P110" i="100"/>
  <c r="P88" i="100"/>
  <c r="O88" i="100"/>
  <c r="P128" i="100"/>
  <c r="P124" i="100"/>
  <c r="P119" i="100"/>
  <c r="O114" i="100"/>
  <c r="P114" i="100"/>
  <c r="O97" i="100"/>
  <c r="P97" i="100"/>
  <c r="P118" i="100"/>
  <c r="P116" i="100"/>
  <c r="O93" i="100"/>
  <c r="P93" i="100"/>
  <c r="P117" i="100"/>
  <c r="O112" i="100"/>
  <c r="P126" i="100"/>
  <c r="P122" i="100"/>
  <c r="O101" i="100"/>
  <c r="P101" i="100"/>
  <c r="O106" i="100"/>
  <c r="P106" i="100"/>
  <c r="O103" i="100"/>
  <c r="P103" i="100"/>
  <c r="O75" i="100"/>
  <c r="O71" i="100"/>
  <c r="O62" i="100"/>
  <c r="P62" i="100"/>
  <c r="C31" i="100"/>
  <c r="H75" i="100"/>
  <c r="C55" i="100"/>
  <c r="D75" i="100"/>
  <c r="O69" i="100"/>
  <c r="P69" i="100"/>
  <c r="O60" i="100"/>
  <c r="P60" i="100"/>
  <c r="O55" i="100"/>
  <c r="P55" i="100"/>
  <c r="E75" i="100"/>
  <c r="B55" i="100"/>
  <c r="O35" i="100"/>
  <c r="P35" i="100"/>
  <c r="B31" i="100"/>
  <c r="P90" i="100"/>
  <c r="P89" i="100"/>
  <c r="P85" i="100"/>
  <c r="P77" i="100"/>
  <c r="C75" i="100"/>
  <c r="O66" i="100"/>
  <c r="O57" i="100"/>
  <c r="P57" i="100"/>
  <c r="P50" i="100"/>
  <c r="P46" i="100"/>
  <c r="P42" i="100"/>
  <c r="P40" i="100"/>
  <c r="P39" i="100"/>
  <c r="C12" i="100"/>
  <c r="D12" i="100" s="1"/>
  <c r="P56" i="100"/>
  <c r="S11" i="99"/>
  <c r="E68" i="99"/>
  <c r="S13" i="99"/>
  <c r="E88" i="99"/>
  <c r="F12" i="99"/>
  <c r="P34" i="99"/>
  <c r="P36" i="99"/>
  <c r="O37" i="99"/>
  <c r="O43" i="99"/>
  <c r="P43" i="99"/>
  <c r="O51" i="99"/>
  <c r="P51" i="99"/>
  <c r="G77" i="99"/>
  <c r="D77" i="99"/>
  <c r="B11" i="99"/>
  <c r="O45" i="99"/>
  <c r="P45" i="99"/>
  <c r="C12" i="99"/>
  <c r="D12" i="99" s="1"/>
  <c r="O52" i="99"/>
  <c r="P52" i="99"/>
  <c r="P53" i="99"/>
  <c r="P59" i="99"/>
  <c r="P63" i="99"/>
  <c r="P65" i="99"/>
  <c r="P85" i="99"/>
  <c r="O85" i="99"/>
  <c r="P89" i="99"/>
  <c r="O89" i="99"/>
  <c r="O56" i="99"/>
  <c r="P97" i="99"/>
  <c r="O97" i="99"/>
  <c r="P103" i="99"/>
  <c r="O103" i="99"/>
  <c r="O69" i="99"/>
  <c r="P90" i="99"/>
  <c r="O90" i="99"/>
  <c r="O48" i="99"/>
  <c r="O77" i="99"/>
  <c r="P101" i="99"/>
  <c r="O101" i="99"/>
  <c r="O75" i="99"/>
  <c r="P80" i="99"/>
  <c r="O80" i="99"/>
  <c r="P91" i="99"/>
  <c r="P102" i="99"/>
  <c r="P105" i="99"/>
  <c r="P109" i="99"/>
  <c r="P113" i="99"/>
  <c r="P117" i="99"/>
  <c r="P121" i="99"/>
  <c r="P125" i="99"/>
  <c r="P129" i="99"/>
  <c r="O87" i="99"/>
  <c r="O94" i="99"/>
  <c r="O99" i="99"/>
  <c r="E68" i="98"/>
  <c r="E88" i="98"/>
  <c r="G95" i="98"/>
  <c r="D75" i="98"/>
  <c r="C95" i="98"/>
  <c r="B95" i="98"/>
  <c r="H95" i="98"/>
  <c r="C55" i="98"/>
  <c r="F95" i="98"/>
  <c r="H75" i="98"/>
  <c r="E95" i="98"/>
  <c r="D95" i="98"/>
  <c r="F75" i="98"/>
  <c r="E75" i="98"/>
  <c r="C75" i="98"/>
  <c r="B75" i="98"/>
  <c r="C31" i="98"/>
  <c r="B31" i="98"/>
  <c r="B55" i="98"/>
  <c r="G75" i="98"/>
  <c r="P35" i="98"/>
  <c r="P58" i="98"/>
  <c r="O58" i="98"/>
  <c r="C12" i="98"/>
  <c r="D12" i="98" s="1"/>
  <c r="O54" i="98"/>
  <c r="P68" i="98"/>
  <c r="O68" i="98"/>
  <c r="D77" i="98"/>
  <c r="G77" i="98"/>
  <c r="O37" i="98"/>
  <c r="O38" i="98"/>
  <c r="O43" i="98"/>
  <c r="O45" i="98"/>
  <c r="P61" i="98"/>
  <c r="O61" i="98"/>
  <c r="O36" i="98"/>
  <c r="O44" i="98"/>
  <c r="P50" i="98"/>
  <c r="P67" i="98"/>
  <c r="O67" i="98"/>
  <c r="P66" i="98"/>
  <c r="P71" i="98"/>
  <c r="P73" i="98"/>
  <c r="P87" i="98"/>
  <c r="O87" i="98"/>
  <c r="O64" i="98"/>
  <c r="O128" i="98"/>
  <c r="P99" i="98"/>
  <c r="O99" i="98"/>
  <c r="O105" i="98"/>
  <c r="P105" i="98"/>
  <c r="O85" i="98"/>
  <c r="O108" i="98"/>
  <c r="O116" i="98"/>
  <c r="O88" i="98"/>
  <c r="P94" i="98"/>
  <c r="O94" i="98"/>
  <c r="O104" i="98"/>
  <c r="O112" i="98"/>
  <c r="O80" i="98"/>
  <c r="O91" i="98"/>
  <c r="P91" i="98"/>
  <c r="O101" i="98"/>
  <c r="O102" i="98"/>
  <c r="P102" i="98"/>
  <c r="O103" i="98"/>
  <c r="P109" i="98"/>
  <c r="P113" i="98"/>
  <c r="P117" i="98"/>
  <c r="P121" i="98"/>
  <c r="P125" i="98"/>
  <c r="P129" i="98"/>
  <c r="F12" i="97"/>
  <c r="C31" i="97" s="1"/>
  <c r="E68" i="97"/>
  <c r="E88" i="97"/>
  <c r="G77" i="97"/>
  <c r="D77" i="97"/>
  <c r="O34" i="97"/>
  <c r="P47" i="97"/>
  <c r="O55" i="97"/>
  <c r="O58" i="97"/>
  <c r="O56" i="97"/>
  <c r="P56" i="97"/>
  <c r="P49" i="97"/>
  <c r="P61" i="97"/>
  <c r="O61" i="97"/>
  <c r="O91" i="97"/>
  <c r="P91" i="97"/>
  <c r="O104" i="97"/>
  <c r="O67" i="97"/>
  <c r="O68" i="97"/>
  <c r="P74" i="97"/>
  <c r="O75" i="97"/>
  <c r="O82" i="97"/>
  <c r="P87" i="97"/>
  <c r="O88" i="97"/>
  <c r="P99" i="97"/>
  <c r="O99" i="97"/>
  <c r="P108" i="97"/>
  <c r="O108" i="97"/>
  <c r="P103" i="97"/>
  <c r="O103" i="97"/>
  <c r="P70" i="97"/>
  <c r="P80" i="97"/>
  <c r="P94" i="97"/>
  <c r="O94" i="97"/>
  <c r="P112" i="97"/>
  <c r="O112" i="97"/>
  <c r="P73" i="97"/>
  <c r="O101" i="97"/>
  <c r="P102" i="97"/>
  <c r="P105" i="97"/>
  <c r="P109" i="97"/>
  <c r="P113" i="97"/>
  <c r="P117" i="97"/>
  <c r="P121" i="97"/>
  <c r="P125" i="97"/>
  <c r="P129" i="97"/>
  <c r="O116" i="97"/>
  <c r="O120" i="97"/>
  <c r="O124" i="97"/>
  <c r="O128" i="97"/>
  <c r="D95" i="97" l="1"/>
  <c r="G95" i="99"/>
  <c r="D75" i="99"/>
  <c r="F95" i="99"/>
  <c r="D95" i="99"/>
  <c r="C95" i="99"/>
  <c r="H75" i="99"/>
  <c r="B95" i="99"/>
  <c r="G75" i="99"/>
  <c r="H95" i="99"/>
  <c r="E75" i="99"/>
  <c r="C55" i="99"/>
  <c r="B55" i="99"/>
  <c r="F75" i="99"/>
  <c r="C75" i="99"/>
  <c r="B75" i="99"/>
  <c r="E95" i="99"/>
  <c r="B31" i="99"/>
  <c r="C31" i="99"/>
  <c r="F11" i="99"/>
  <c r="D11" i="99"/>
  <c r="H95" i="97"/>
  <c r="G75" i="97"/>
  <c r="E95" i="97"/>
  <c r="B95" i="97"/>
  <c r="C75" i="97"/>
  <c r="B31" i="97"/>
  <c r="D75" i="97"/>
  <c r="C95" i="97"/>
  <c r="F95" i="97"/>
  <c r="G95" i="97"/>
  <c r="B55" i="97"/>
  <c r="F75" i="97"/>
  <c r="C55" i="97"/>
  <c r="H75" i="97"/>
  <c r="B75" i="97"/>
  <c r="E75" i="97"/>
  <c r="C90" i="99" l="1"/>
  <c r="B90" i="99"/>
  <c r="H90" i="99"/>
  <c r="G90" i="99"/>
  <c r="F90" i="99"/>
  <c r="D90" i="99"/>
  <c r="H70" i="99"/>
  <c r="G70" i="99"/>
  <c r="F70" i="99"/>
  <c r="C50" i="99"/>
  <c r="D70" i="99"/>
  <c r="B50" i="99"/>
  <c r="C70" i="99"/>
  <c r="B70" i="99"/>
  <c r="C26" i="99"/>
  <c r="B26" i="99"/>
  <c r="F22" i="97" a="1"/>
  <c r="F22" i="97" s="1"/>
  <c r="F22" i="100" l="1" a="1"/>
  <c r="F22" i="100" s="1"/>
  <c r="G69" i="95" l="1"/>
  <c r="D69" i="95"/>
  <c r="F69" i="95"/>
  <c r="H69" i="95"/>
  <c r="G16" i="15" l="1"/>
  <c r="AK2" i="95"/>
  <c r="AH3" i="95"/>
  <c r="AI3" i="95"/>
  <c r="AG3" i="95"/>
  <c r="J3" i="106" l="1"/>
  <c r="J2" i="106"/>
  <c r="AK12" i="95"/>
  <c r="AJ12" i="95"/>
  <c r="AI12" i="95"/>
  <c r="AK11" i="95"/>
  <c r="AJ11" i="95"/>
  <c r="AI11" i="95"/>
  <c r="AK10" i="95"/>
  <c r="AJ10" i="95"/>
  <c r="AI10" i="95"/>
  <c r="AI9" i="95"/>
  <c r="AI8" i="95"/>
  <c r="AI7" i="95"/>
  <c r="AI6" i="95"/>
  <c r="AI5" i="95"/>
  <c r="AI4" i="95"/>
  <c r="AJ2" i="95"/>
  <c r="AK9" i="106" l="1"/>
  <c r="AJ9" i="106"/>
  <c r="AJ6" i="106"/>
  <c r="AK8" i="106"/>
  <c r="AJ8" i="106"/>
  <c r="AK5" i="106"/>
  <c r="AK3" i="106"/>
  <c r="AJ4" i="106"/>
  <c r="AJ5" i="106"/>
  <c r="AJ3" i="106"/>
  <c r="AK7" i="106"/>
  <c r="AJ7" i="106"/>
  <c r="AK6" i="106"/>
  <c r="AK4" i="106"/>
  <c r="S12" i="106"/>
  <c r="S11" i="106"/>
  <c r="S14" i="106"/>
  <c r="S13" i="106"/>
  <c r="E78" i="6" l="1"/>
  <c r="E71" i="6"/>
  <c r="E72" i="6"/>
  <c r="E73" i="6"/>
  <c r="M78" i="12"/>
  <c r="M77" i="12"/>
  <c r="AH5" i="95"/>
  <c r="AH4" i="95"/>
  <c r="X29" i="95" l="1"/>
  <c r="K25" i="95"/>
  <c r="K24" i="95"/>
  <c r="N15" i="95"/>
  <c r="K15" i="95"/>
  <c r="K12" i="95"/>
  <c r="H11" i="95"/>
  <c r="C11" i="95"/>
  <c r="N7" i="95"/>
  <c r="U3" i="95"/>
  <c r="T3" i="95"/>
  <c r="S3" i="95"/>
  <c r="R3" i="95"/>
  <c r="N3" i="95"/>
  <c r="J3" i="95"/>
  <c r="S14" i="95" s="1"/>
  <c r="AG2" i="95"/>
  <c r="U2" i="95"/>
  <c r="T2" i="95"/>
  <c r="S2" i="95"/>
  <c r="B11" i="95" s="1"/>
  <c r="R2" i="95"/>
  <c r="Q2" i="95"/>
  <c r="N2" i="95"/>
  <c r="J2" i="95"/>
  <c r="P129" i="95"/>
  <c r="N129" i="95"/>
  <c r="O129" i="95" s="1"/>
  <c r="N128" i="95"/>
  <c r="O128" i="95" s="1"/>
  <c r="N127" i="95"/>
  <c r="P127" i="95" s="1"/>
  <c r="N126" i="95"/>
  <c r="P126" i="95" s="1"/>
  <c r="N125" i="95"/>
  <c r="O125" i="95" s="1"/>
  <c r="N124" i="95"/>
  <c r="O124" i="95" s="1"/>
  <c r="N123" i="95"/>
  <c r="P123" i="95" s="1"/>
  <c r="O122" i="95"/>
  <c r="N122" i="95"/>
  <c r="P122" i="95" s="1"/>
  <c r="N121" i="95"/>
  <c r="O121" i="95" s="1"/>
  <c r="N120" i="95"/>
  <c r="O120" i="95" s="1"/>
  <c r="N119" i="95"/>
  <c r="P119" i="95" s="1"/>
  <c r="N118" i="95"/>
  <c r="P118" i="95" s="1"/>
  <c r="N117" i="95"/>
  <c r="O117" i="95" s="1"/>
  <c r="N116" i="95"/>
  <c r="P116" i="95" s="1"/>
  <c r="N115" i="95"/>
  <c r="P115" i="95" s="1"/>
  <c r="N114" i="95"/>
  <c r="P114" i="95" s="1"/>
  <c r="P113" i="95"/>
  <c r="N113" i="95"/>
  <c r="O113" i="95" s="1"/>
  <c r="O112" i="95"/>
  <c r="N112" i="95"/>
  <c r="P112" i="95" s="1"/>
  <c r="N111" i="95"/>
  <c r="P111" i="95" s="1"/>
  <c r="N110" i="95"/>
  <c r="P110" i="95" s="1"/>
  <c r="N109" i="95"/>
  <c r="O109" i="95" s="1"/>
  <c r="N108" i="95"/>
  <c r="P108" i="95" s="1"/>
  <c r="N107" i="95"/>
  <c r="P107" i="95" s="1"/>
  <c r="N106" i="95"/>
  <c r="P106" i="95" s="1"/>
  <c r="N105" i="95"/>
  <c r="O105" i="95" s="1"/>
  <c r="N104" i="95"/>
  <c r="P104" i="95" s="1"/>
  <c r="N103" i="95"/>
  <c r="P103" i="95" s="1"/>
  <c r="N102" i="95"/>
  <c r="O102" i="95" s="1"/>
  <c r="N101" i="95"/>
  <c r="P101" i="95" s="1"/>
  <c r="N100" i="95"/>
  <c r="O100" i="95" s="1"/>
  <c r="N99" i="95"/>
  <c r="N98" i="95"/>
  <c r="P98" i="95" s="1"/>
  <c r="N97" i="95"/>
  <c r="P97" i="95" s="1"/>
  <c r="N96" i="95"/>
  <c r="O96" i="95" s="1"/>
  <c r="B96" i="95"/>
  <c r="N95" i="95"/>
  <c r="P95" i="95" s="1"/>
  <c r="N94" i="95"/>
  <c r="H94" i="95"/>
  <c r="G94" i="95"/>
  <c r="F94" i="95"/>
  <c r="E94" i="95"/>
  <c r="D94" i="95"/>
  <c r="C94" i="95"/>
  <c r="B94" i="95"/>
  <c r="N93" i="95"/>
  <c r="N92" i="95"/>
  <c r="O92" i="95" s="1"/>
  <c r="N91" i="95"/>
  <c r="O91" i="95" s="1"/>
  <c r="H91" i="95"/>
  <c r="G91" i="95"/>
  <c r="F91" i="95"/>
  <c r="E91" i="95"/>
  <c r="D91" i="95"/>
  <c r="C91" i="95"/>
  <c r="B91" i="95"/>
  <c r="N90" i="95"/>
  <c r="P90" i="95" s="1"/>
  <c r="N89" i="95"/>
  <c r="P89" i="95" s="1"/>
  <c r="H89" i="95"/>
  <c r="G89" i="95"/>
  <c r="F89" i="95"/>
  <c r="E89" i="95"/>
  <c r="D89" i="95"/>
  <c r="C89" i="95"/>
  <c r="B89" i="95"/>
  <c r="P88" i="95"/>
  <c r="O88" i="95"/>
  <c r="N88" i="95"/>
  <c r="N87" i="95"/>
  <c r="P87" i="95" s="1"/>
  <c r="N86" i="95"/>
  <c r="P86" i="95" s="1"/>
  <c r="N85" i="95"/>
  <c r="P85" i="95" s="1"/>
  <c r="N84" i="95"/>
  <c r="O84" i="95" s="1"/>
  <c r="N83" i="95"/>
  <c r="P82" i="95"/>
  <c r="N82" i="95"/>
  <c r="O82" i="95" s="1"/>
  <c r="N81" i="95"/>
  <c r="P81" i="95" s="1"/>
  <c r="N80" i="95"/>
  <c r="P80" i="95" s="1"/>
  <c r="N79" i="95"/>
  <c r="N78" i="95"/>
  <c r="O78" i="95" s="1"/>
  <c r="P77" i="95"/>
  <c r="O77" i="95"/>
  <c r="N77" i="95"/>
  <c r="N76" i="95"/>
  <c r="P76" i="95" s="1"/>
  <c r="H76" i="95"/>
  <c r="G76" i="95"/>
  <c r="F76" i="95"/>
  <c r="E76" i="95"/>
  <c r="D76" i="95"/>
  <c r="C76" i="95"/>
  <c r="B76" i="95"/>
  <c r="N75" i="95"/>
  <c r="P75" i="95" s="1"/>
  <c r="O74" i="95"/>
  <c r="N74" i="95"/>
  <c r="P74" i="95" s="1"/>
  <c r="B74" i="95"/>
  <c r="N73" i="95"/>
  <c r="O73" i="95" s="1"/>
  <c r="N72" i="95"/>
  <c r="P72" i="95" s="1"/>
  <c r="N71" i="95"/>
  <c r="P71" i="95" s="1"/>
  <c r="H71" i="95"/>
  <c r="G71" i="95"/>
  <c r="F71" i="95"/>
  <c r="E71" i="95"/>
  <c r="D71" i="95"/>
  <c r="C71" i="95"/>
  <c r="B71" i="95"/>
  <c r="P70" i="95"/>
  <c r="N70" i="95"/>
  <c r="O70" i="95" s="1"/>
  <c r="N69" i="95"/>
  <c r="P69" i="95" s="1"/>
  <c r="E69" i="95"/>
  <c r="C69" i="95"/>
  <c r="B69" i="95"/>
  <c r="N68" i="95"/>
  <c r="N67" i="95"/>
  <c r="P66" i="95"/>
  <c r="O66" i="95"/>
  <c r="N66" i="95"/>
  <c r="N65" i="95"/>
  <c r="P65" i="95" s="1"/>
  <c r="N64" i="95"/>
  <c r="P64" i="95" s="1"/>
  <c r="N63" i="95"/>
  <c r="O63" i="95" s="1"/>
  <c r="P62" i="95"/>
  <c r="N62" i="95"/>
  <c r="O62" i="95" s="1"/>
  <c r="N61" i="95"/>
  <c r="P60" i="95"/>
  <c r="O60" i="95"/>
  <c r="N60" i="95"/>
  <c r="N59" i="95"/>
  <c r="P59" i="95" s="1"/>
  <c r="N58" i="95"/>
  <c r="P58" i="95" s="1"/>
  <c r="N57" i="95"/>
  <c r="P57" i="95" s="1"/>
  <c r="N56" i="95"/>
  <c r="C56" i="95"/>
  <c r="B56" i="95"/>
  <c r="N55" i="95"/>
  <c r="P55" i="95" s="1"/>
  <c r="N54" i="95"/>
  <c r="P54" i="95" s="1"/>
  <c r="C54" i="95"/>
  <c r="B54" i="95"/>
  <c r="N53" i="95"/>
  <c r="P53" i="95" s="1"/>
  <c r="N52" i="95"/>
  <c r="P52" i="95" s="1"/>
  <c r="N51" i="95"/>
  <c r="P51" i="95" s="1"/>
  <c r="C51" i="95"/>
  <c r="B51" i="95"/>
  <c r="N50" i="95"/>
  <c r="P50" i="95" s="1"/>
  <c r="N49" i="95"/>
  <c r="O49" i="95" s="1"/>
  <c r="C49" i="95"/>
  <c r="B49" i="95"/>
  <c r="N48" i="95"/>
  <c r="P48" i="95" s="1"/>
  <c r="N47" i="95"/>
  <c r="O47" i="95" s="1"/>
  <c r="P46" i="95"/>
  <c r="N46" i="95"/>
  <c r="O46" i="95" s="1"/>
  <c r="N45" i="95"/>
  <c r="P45" i="95" s="1"/>
  <c r="N44" i="95"/>
  <c r="P44" i="95" s="1"/>
  <c r="N43" i="95"/>
  <c r="O43" i="95" s="1"/>
  <c r="N42" i="95"/>
  <c r="O42" i="95" s="1"/>
  <c r="N41" i="95"/>
  <c r="O41" i="95" s="1"/>
  <c r="N40" i="95"/>
  <c r="P40" i="95" s="1"/>
  <c r="N39" i="95"/>
  <c r="P39" i="95" s="1"/>
  <c r="N38" i="95"/>
  <c r="P38" i="95" s="1"/>
  <c r="N37" i="95"/>
  <c r="P37" i="95" s="1"/>
  <c r="N36" i="95"/>
  <c r="O36" i="95" s="1"/>
  <c r="P35" i="95"/>
  <c r="N35" i="95"/>
  <c r="O35" i="95" s="1"/>
  <c r="N34" i="95"/>
  <c r="P34" i="95" s="1"/>
  <c r="C32" i="95"/>
  <c r="B32" i="95"/>
  <c r="C30" i="95"/>
  <c r="B30" i="95"/>
  <c r="C27" i="95"/>
  <c r="B27" i="95"/>
  <c r="C25" i="95"/>
  <c r="B25" i="95"/>
  <c r="B12" i="95"/>
  <c r="F12" i="95" s="1"/>
  <c r="AJ9" i="95" l="1"/>
  <c r="AK9" i="95"/>
  <c r="O40" i="95"/>
  <c r="P42" i="95"/>
  <c r="P73" i="95"/>
  <c r="O97" i="95"/>
  <c r="O69" i="95"/>
  <c r="P120" i="95"/>
  <c r="O48" i="95"/>
  <c r="P63" i="95"/>
  <c r="O71" i="95"/>
  <c r="O76" i="95"/>
  <c r="O86" i="95"/>
  <c r="P92" i="95"/>
  <c r="O116" i="95"/>
  <c r="O126" i="95"/>
  <c r="E102" i="95"/>
  <c r="C40" i="95"/>
  <c r="O75" i="95"/>
  <c r="P84" i="95"/>
  <c r="O103" i="95"/>
  <c r="P109" i="95"/>
  <c r="O52" i="95"/>
  <c r="P78" i="95"/>
  <c r="P105" i="95"/>
  <c r="O34" i="95"/>
  <c r="P47" i="95"/>
  <c r="AK3" i="95"/>
  <c r="O65" i="95"/>
  <c r="P124" i="95"/>
  <c r="O72" i="95"/>
  <c r="O101" i="95"/>
  <c r="P117" i="95"/>
  <c r="O39" i="95"/>
  <c r="O45" i="95"/>
  <c r="O50" i="95"/>
  <c r="O53" i="95"/>
  <c r="O54" i="95"/>
  <c r="P91" i="95"/>
  <c r="P96" i="95"/>
  <c r="P100" i="95"/>
  <c r="O104" i="95"/>
  <c r="O108" i="95"/>
  <c r="P121" i="95"/>
  <c r="P125" i="95"/>
  <c r="E84" i="95"/>
  <c r="O59" i="95"/>
  <c r="O80" i="95"/>
  <c r="O98" i="95"/>
  <c r="P102" i="95"/>
  <c r="B38" i="95"/>
  <c r="O106" i="95"/>
  <c r="P128" i="95"/>
  <c r="S11" i="95"/>
  <c r="AK6" i="95"/>
  <c r="D77" i="95"/>
  <c r="AJ6" i="95"/>
  <c r="AK8" i="95"/>
  <c r="AK5" i="95"/>
  <c r="AJ8" i="95"/>
  <c r="AJ5" i="95"/>
  <c r="AJ7" i="95"/>
  <c r="AK7" i="95"/>
  <c r="AK4" i="95"/>
  <c r="G77" i="95" s="1"/>
  <c r="E68" i="95"/>
  <c r="S12" i="95"/>
  <c r="C12" i="95"/>
  <c r="D12" i="95" s="1"/>
  <c r="S13" i="95"/>
  <c r="E88" i="95"/>
  <c r="G95" i="95"/>
  <c r="B75" i="95"/>
  <c r="F95" i="95"/>
  <c r="E95" i="95"/>
  <c r="D95" i="95"/>
  <c r="G75" i="95"/>
  <c r="C95" i="95"/>
  <c r="F75" i="95"/>
  <c r="B95" i="95"/>
  <c r="H75" i="95"/>
  <c r="H95" i="95"/>
  <c r="C75" i="95"/>
  <c r="C55" i="95"/>
  <c r="B55" i="95"/>
  <c r="B31" i="95"/>
  <c r="E75" i="95"/>
  <c r="D75" i="95"/>
  <c r="C31" i="95"/>
  <c r="F11" i="95"/>
  <c r="D11" i="95"/>
  <c r="P36" i="95"/>
  <c r="P43" i="95"/>
  <c r="P41" i="95"/>
  <c r="P49" i="95"/>
  <c r="O51" i="95"/>
  <c r="P61" i="95"/>
  <c r="O61" i="95"/>
  <c r="O64" i="95"/>
  <c r="P93" i="95"/>
  <c r="O93" i="95"/>
  <c r="O44" i="95"/>
  <c r="O87" i="95"/>
  <c r="O37" i="95"/>
  <c r="O38" i="95"/>
  <c r="O55" i="95"/>
  <c r="O58" i="95"/>
  <c r="P67" i="95"/>
  <c r="O67" i="95"/>
  <c r="O56" i="95"/>
  <c r="P56" i="95"/>
  <c r="O57" i="95"/>
  <c r="P68" i="95"/>
  <c r="O68" i="95"/>
  <c r="P94" i="95"/>
  <c r="O94" i="95"/>
  <c r="P79" i="95"/>
  <c r="O79" i="95"/>
  <c r="O81" i="95"/>
  <c r="O118" i="95"/>
  <c r="P83" i="95"/>
  <c r="O83" i="95"/>
  <c r="O114" i="95"/>
  <c r="P99" i="95"/>
  <c r="O99" i="95"/>
  <c r="O110" i="95"/>
  <c r="O95" i="95"/>
  <c r="O107" i="95"/>
  <c r="O111" i="95"/>
  <c r="O115" i="95"/>
  <c r="O119" i="95"/>
  <c r="O123" i="95"/>
  <c r="O127" i="95"/>
  <c r="O85" i="95"/>
  <c r="O89" i="95"/>
  <c r="O90" i="95"/>
  <c r="C90" i="95" l="1"/>
  <c r="B90" i="95"/>
  <c r="H90" i="95"/>
  <c r="G90" i="95"/>
  <c r="D90" i="95"/>
  <c r="D70" i="95"/>
  <c r="B50" i="95"/>
  <c r="H70" i="95"/>
  <c r="F90" i="95"/>
  <c r="F70" i="95"/>
  <c r="C50" i="95"/>
  <c r="B70" i="95"/>
  <c r="C26" i="95"/>
  <c r="G70" i="95"/>
  <c r="B26" i="95"/>
  <c r="C70" i="95"/>
  <c r="E58" i="15" l="1"/>
  <c r="Z2" i="109" s="1"/>
  <c r="E47" i="15"/>
  <c r="Z3" i="109" s="1"/>
  <c r="S11" i="15" l="1"/>
  <c r="P24" i="15"/>
  <c r="C11" i="101" s="1"/>
  <c r="K12" i="101" l="1"/>
  <c r="S104" i="15"/>
  <c r="K21" i="114" s="1"/>
  <c r="F11" i="101"/>
  <c r="D11" i="101"/>
  <c r="C11" i="106" l="1"/>
  <c r="F24" i="15"/>
  <c r="C11" i="107" s="1"/>
  <c r="F11" i="107" l="1"/>
  <c r="D11" i="107"/>
  <c r="F11" i="106"/>
  <c r="D11" i="106"/>
  <c r="T25" i="15"/>
  <c r="H11" i="115" l="1"/>
  <c r="X29" i="115"/>
  <c r="U99" i="15"/>
  <c r="P3" i="116" s="1"/>
  <c r="V99" i="15"/>
  <c r="P3" i="117" s="1"/>
  <c r="Q99" i="15"/>
  <c r="Q98" i="15"/>
  <c r="P97" i="15"/>
  <c r="N3" i="101" s="1"/>
  <c r="O97" i="15"/>
  <c r="N3" i="100" s="1"/>
  <c r="N99" i="15"/>
  <c r="N98" i="15"/>
  <c r="M97" i="15"/>
  <c r="N3" i="98" s="1"/>
  <c r="L97" i="15"/>
  <c r="N3" i="97" s="1"/>
  <c r="K99" i="15"/>
  <c r="K98" i="15"/>
  <c r="J97" i="15"/>
  <c r="N3" i="103" s="1"/>
  <c r="I97" i="15"/>
  <c r="N3" i="104" s="1"/>
  <c r="G97" i="15"/>
  <c r="N3" i="106" s="1"/>
  <c r="F97" i="15"/>
  <c r="N3" i="107" s="1"/>
  <c r="T23" i="15" a="1"/>
  <c r="T23" i="15" l="1"/>
  <c r="F96" i="117"/>
  <c r="E96" i="117"/>
  <c r="C96" i="117"/>
  <c r="G96" i="117"/>
  <c r="F96" i="116"/>
  <c r="C96" i="116"/>
  <c r="E96" i="116"/>
  <c r="G96" i="116"/>
  <c r="O98" i="15"/>
  <c r="O3" i="100" s="1"/>
  <c r="H96" i="100" s="1"/>
  <c r="O3" i="102"/>
  <c r="M98" i="15"/>
  <c r="O3" i="98" s="1"/>
  <c r="D96" i="98" s="1"/>
  <c r="O3" i="99"/>
  <c r="P99" i="15"/>
  <c r="P3" i="101" s="1"/>
  <c r="F96" i="101" s="1"/>
  <c r="P3" i="102"/>
  <c r="M99" i="15"/>
  <c r="P3" i="98" s="1"/>
  <c r="E96" i="98" s="1"/>
  <c r="P3" i="99"/>
  <c r="H90" i="115"/>
  <c r="C26" i="115"/>
  <c r="B26" i="115"/>
  <c r="D70" i="115"/>
  <c r="F70" i="115"/>
  <c r="H70" i="115"/>
  <c r="D90" i="115"/>
  <c r="G70" i="115"/>
  <c r="B50" i="115"/>
  <c r="F90" i="115"/>
  <c r="C50" i="115"/>
  <c r="C70" i="115"/>
  <c r="B70" i="115"/>
  <c r="G90" i="115"/>
  <c r="B90" i="115"/>
  <c r="C90" i="115"/>
  <c r="J99" i="15"/>
  <c r="P3" i="103" s="1"/>
  <c r="G96" i="103" s="1"/>
  <c r="P3" i="95"/>
  <c r="J98" i="15"/>
  <c r="O3" i="103" s="1"/>
  <c r="D96" i="103" s="1"/>
  <c r="O3" i="95"/>
  <c r="I99" i="15"/>
  <c r="P3" i="104" s="1"/>
  <c r="E96" i="104" s="1"/>
  <c r="L98" i="15"/>
  <c r="O3" i="97" s="1"/>
  <c r="H96" i="97" s="1"/>
  <c r="I98" i="15"/>
  <c r="O3" i="104" s="1"/>
  <c r="D96" i="104" s="1"/>
  <c r="P98" i="15"/>
  <c r="O3" i="101" s="1"/>
  <c r="H96" i="101" s="1"/>
  <c r="O99" i="15"/>
  <c r="P3" i="100" s="1"/>
  <c r="G96" i="100" s="1"/>
  <c r="L99" i="15"/>
  <c r="P3" i="97" s="1"/>
  <c r="E96" i="97" s="1"/>
  <c r="C96" i="97" l="1"/>
  <c r="H96" i="98"/>
  <c r="E96" i="103"/>
  <c r="C96" i="103"/>
  <c r="G96" i="104"/>
  <c r="G96" i="101"/>
  <c r="C96" i="104"/>
  <c r="H96" i="103"/>
  <c r="G96" i="98"/>
  <c r="F96" i="104"/>
  <c r="E96" i="101"/>
  <c r="F96" i="97"/>
  <c r="C96" i="100"/>
  <c r="H96" i="104"/>
  <c r="F96" i="100"/>
  <c r="C96" i="98"/>
  <c r="D96" i="97"/>
  <c r="F96" i="98"/>
  <c r="G96" i="97"/>
  <c r="E96" i="100"/>
  <c r="H96" i="102"/>
  <c r="D96" i="102"/>
  <c r="D96" i="101"/>
  <c r="G96" i="102"/>
  <c r="C96" i="102"/>
  <c r="F96" i="102"/>
  <c r="E96" i="102"/>
  <c r="H96" i="99"/>
  <c r="D96" i="99"/>
  <c r="F96" i="103"/>
  <c r="D96" i="100"/>
  <c r="E96" i="99"/>
  <c r="F96" i="99"/>
  <c r="C96" i="99"/>
  <c r="G96" i="99"/>
  <c r="C96" i="101"/>
  <c r="D96" i="95"/>
  <c r="H96" i="95"/>
  <c r="F96" i="95"/>
  <c r="E96" i="95"/>
  <c r="C96" i="95"/>
  <c r="G96" i="95"/>
  <c r="E86" i="15"/>
  <c r="AE2" i="109" s="1"/>
  <c r="F86" i="15"/>
  <c r="AE2" i="107" s="1"/>
  <c r="G86" i="15"/>
  <c r="AE2" i="106" s="1"/>
  <c r="H86" i="15"/>
  <c r="AE2" i="105" s="1"/>
  <c r="I86" i="15"/>
  <c r="AE2" i="104" s="1"/>
  <c r="J86" i="15"/>
  <c r="AE2" i="103" s="1"/>
  <c r="K86" i="15"/>
  <c r="AE2" i="95" s="1"/>
  <c r="L86" i="15"/>
  <c r="AE2" i="97" s="1"/>
  <c r="M86" i="15"/>
  <c r="AE2" i="98" s="1"/>
  <c r="N86" i="15"/>
  <c r="AE2" i="99" s="1"/>
  <c r="O86" i="15"/>
  <c r="AE2" i="100" s="1"/>
  <c r="P86" i="15"/>
  <c r="AE2" i="101" s="1"/>
  <c r="Q86" i="15"/>
  <c r="AE2" i="102" s="1"/>
  <c r="E87" i="15"/>
  <c r="F87" i="15"/>
  <c r="AF2" i="107" s="1"/>
  <c r="G87" i="15"/>
  <c r="AF2" i="106" s="1"/>
  <c r="H87" i="15"/>
  <c r="I87" i="15"/>
  <c r="AF2" i="104" s="1"/>
  <c r="J87" i="15"/>
  <c r="AF2" i="103" s="1"/>
  <c r="K87" i="15"/>
  <c r="L87" i="15"/>
  <c r="AF2" i="97" s="1"/>
  <c r="M87" i="15"/>
  <c r="AF2" i="98" s="1"/>
  <c r="N87" i="15"/>
  <c r="O87" i="15"/>
  <c r="AF2" i="100" s="1"/>
  <c r="P87" i="15"/>
  <c r="AF2" i="101" s="1"/>
  <c r="Q87" i="15"/>
  <c r="D87" i="15"/>
  <c r="D86" i="15"/>
  <c r="AE2" i="121" s="1"/>
  <c r="E84" i="15"/>
  <c r="F84" i="15"/>
  <c r="G84" i="15"/>
  <c r="H84" i="15"/>
  <c r="H103" i="15" s="1"/>
  <c r="K22" i="105" s="1"/>
  <c r="I84" i="15"/>
  <c r="J84" i="15"/>
  <c r="K84" i="15"/>
  <c r="L84" i="15"/>
  <c r="M84" i="15"/>
  <c r="N84" i="15"/>
  <c r="N103" i="15" s="1"/>
  <c r="K22" i="99" s="1"/>
  <c r="O84" i="15"/>
  <c r="P84" i="15"/>
  <c r="Q84" i="15"/>
  <c r="AC2" i="109"/>
  <c r="F83" i="15"/>
  <c r="AC2" i="107" s="1"/>
  <c r="G83" i="15"/>
  <c r="AC2" i="106" s="1"/>
  <c r="H83" i="15"/>
  <c r="AC2" i="105" s="1"/>
  <c r="I83" i="15"/>
  <c r="AC2" i="104" s="1"/>
  <c r="J83" i="15"/>
  <c r="AC2" i="103" s="1"/>
  <c r="K83" i="15"/>
  <c r="AC2" i="95" s="1"/>
  <c r="L83" i="15"/>
  <c r="AC2" i="97" s="1"/>
  <c r="M83" i="15"/>
  <c r="AC2" i="98" s="1"/>
  <c r="N83" i="15"/>
  <c r="AC2" i="99" s="1"/>
  <c r="O83" i="15"/>
  <c r="AC2" i="100" s="1"/>
  <c r="P83" i="15"/>
  <c r="AC2" i="101" s="1"/>
  <c r="Q83" i="15"/>
  <c r="AC2" i="102" s="1"/>
  <c r="E81" i="15"/>
  <c r="F81" i="15"/>
  <c r="AB2" i="107" s="1"/>
  <c r="G81" i="15"/>
  <c r="AB2" i="106" s="1"/>
  <c r="H81" i="15"/>
  <c r="I81" i="15"/>
  <c r="AB2" i="104" s="1"/>
  <c r="J81" i="15"/>
  <c r="AB2" i="103" s="1"/>
  <c r="K81" i="15"/>
  <c r="L81" i="15"/>
  <c r="AB2" i="97" s="1"/>
  <c r="M81" i="15"/>
  <c r="AB2" i="98" s="1"/>
  <c r="N81" i="15"/>
  <c r="O81" i="15"/>
  <c r="AB2" i="100" s="1"/>
  <c r="P81" i="15"/>
  <c r="AB2" i="101" s="1"/>
  <c r="Q81" i="15"/>
  <c r="N12" i="106" l="1"/>
  <c r="N12" i="100"/>
  <c r="N12" i="101"/>
  <c r="E103" i="15"/>
  <c r="K22" i="109" s="1"/>
  <c r="G93" i="109" s="1"/>
  <c r="N12" i="98"/>
  <c r="AF2" i="121"/>
  <c r="H72" i="99"/>
  <c r="G72" i="99"/>
  <c r="H93" i="99"/>
  <c r="G93" i="99"/>
  <c r="G72" i="105"/>
  <c r="H93" i="105"/>
  <c r="G93" i="105"/>
  <c r="H72" i="105"/>
  <c r="H73" i="105" s="1"/>
  <c r="H102" i="15"/>
  <c r="H101" i="15"/>
  <c r="K19" i="105" s="1"/>
  <c r="AB2" i="105"/>
  <c r="N12" i="105" s="1"/>
  <c r="O18" i="105" s="1"/>
  <c r="N12" i="97"/>
  <c r="Q103" i="15"/>
  <c r="K22" i="102" s="1"/>
  <c r="AF2" i="105"/>
  <c r="H104" i="15"/>
  <c r="K21" i="105" s="1"/>
  <c r="AB2" i="95"/>
  <c r="K101" i="15"/>
  <c r="K19" i="95" s="1"/>
  <c r="K102" i="15"/>
  <c r="AF2" i="95"/>
  <c r="K104" i="15"/>
  <c r="K21" i="95" s="1"/>
  <c r="N101" i="15"/>
  <c r="K19" i="99" s="1"/>
  <c r="N102" i="15"/>
  <c r="AB2" i="99"/>
  <c r="N12" i="99" s="1"/>
  <c r="O18" i="99" s="1"/>
  <c r="K103" i="15"/>
  <c r="K22" i="95" s="1"/>
  <c r="AF2" i="102"/>
  <c r="Q104" i="15"/>
  <c r="K21" i="102" s="1"/>
  <c r="E101" i="15"/>
  <c r="K19" i="109" s="1"/>
  <c r="E102" i="15"/>
  <c r="AB2" i="109"/>
  <c r="N12" i="109" s="1"/>
  <c r="O18" i="109" s="1"/>
  <c r="N12" i="103"/>
  <c r="AF2" i="99"/>
  <c r="N104" i="15"/>
  <c r="K21" i="99" s="1"/>
  <c r="Q101" i="15"/>
  <c r="K19" i="102" s="1"/>
  <c r="Q102" i="15"/>
  <c r="AB2" i="102"/>
  <c r="N12" i="102" s="1"/>
  <c r="O18" i="102" s="1"/>
  <c r="D104" i="15"/>
  <c r="K21" i="121" s="1"/>
  <c r="N12" i="104"/>
  <c r="AF2" i="109"/>
  <c r="E104" i="15"/>
  <c r="K21" i="109" s="1"/>
  <c r="N12" i="107"/>
  <c r="AD2" i="102"/>
  <c r="P12" i="102"/>
  <c r="AD2" i="103"/>
  <c r="P12" i="103"/>
  <c r="P12" i="105"/>
  <c r="AD2" i="105"/>
  <c r="AD2" i="100"/>
  <c r="P12" i="100"/>
  <c r="AD2" i="109"/>
  <c r="P12" i="109"/>
  <c r="AD2" i="106"/>
  <c r="P12" i="106"/>
  <c r="AD2" i="99"/>
  <c r="P12" i="99"/>
  <c r="AD2" i="97"/>
  <c r="P12" i="97"/>
  <c r="AD2" i="104"/>
  <c r="P12" i="104"/>
  <c r="AD2" i="101"/>
  <c r="P12" i="101"/>
  <c r="P12" i="107"/>
  <c r="AD2" i="107"/>
  <c r="P12" i="98"/>
  <c r="AD2" i="98"/>
  <c r="P12" i="95"/>
  <c r="AD2" i="95"/>
  <c r="K18" i="102" l="1"/>
  <c r="K18" i="99"/>
  <c r="K18" i="95"/>
  <c r="K18" i="105"/>
  <c r="H72" i="109"/>
  <c r="H73" i="109" s="1"/>
  <c r="K18" i="109"/>
  <c r="H93" i="109"/>
  <c r="G72" i="109"/>
  <c r="G73" i="109" s="1"/>
  <c r="H92" i="105"/>
  <c r="H92" i="99"/>
  <c r="H18" i="99" s="1"/>
  <c r="H73" i="99"/>
  <c r="H72" i="102"/>
  <c r="H93" i="102"/>
  <c r="G93" i="102"/>
  <c r="G72" i="102"/>
  <c r="G92" i="99"/>
  <c r="AA122" i="99" s="1"/>
  <c r="G73" i="99"/>
  <c r="H93" i="95"/>
  <c r="G93" i="95"/>
  <c r="G72" i="95"/>
  <c r="H72" i="95"/>
  <c r="H73" i="95" s="1"/>
  <c r="G73" i="105"/>
  <c r="G92" i="105"/>
  <c r="G92" i="109"/>
  <c r="AA36" i="109" s="1"/>
  <c r="B28" i="121"/>
  <c r="D93" i="121"/>
  <c r="B52" i="121"/>
  <c r="C93" i="121"/>
  <c r="B72" i="121"/>
  <c r="B93" i="121"/>
  <c r="D72" i="121"/>
  <c r="E72" i="121"/>
  <c r="C72" i="121"/>
  <c r="C73" i="121" s="1"/>
  <c r="F93" i="121"/>
  <c r="C29" i="121"/>
  <c r="E93" i="121"/>
  <c r="E92" i="121" s="1"/>
  <c r="C53" i="121"/>
  <c r="F72" i="121"/>
  <c r="W99" i="15"/>
  <c r="P3" i="118" s="1"/>
  <c r="W92" i="15"/>
  <c r="W91" i="15"/>
  <c r="W89" i="15"/>
  <c r="P2" i="118" s="1"/>
  <c r="W88" i="15"/>
  <c r="O2" i="118" s="1"/>
  <c r="W84" i="15"/>
  <c r="W83" i="15"/>
  <c r="AC2" i="118" s="1"/>
  <c r="W81" i="15"/>
  <c r="AB2" i="118" s="1"/>
  <c r="W13" i="15"/>
  <c r="K24" i="118" s="1"/>
  <c r="W12" i="15"/>
  <c r="W11" i="15"/>
  <c r="V92" i="15"/>
  <c r="V91" i="15"/>
  <c r="V89" i="15"/>
  <c r="P2" i="117" s="1"/>
  <c r="V88" i="15"/>
  <c r="O2" i="117" s="1"/>
  <c r="V84" i="15"/>
  <c r="V83" i="15"/>
  <c r="AC2" i="117" s="1"/>
  <c r="V81" i="15"/>
  <c r="AB2" i="117" s="1"/>
  <c r="V14" i="15"/>
  <c r="K25" i="117" s="1"/>
  <c r="V13" i="15"/>
  <c r="K24" i="117" s="1"/>
  <c r="V12" i="15"/>
  <c r="V11" i="15"/>
  <c r="AA49" i="99" l="1"/>
  <c r="AA77" i="99"/>
  <c r="AA89" i="99"/>
  <c r="AA90" i="99"/>
  <c r="AA62" i="99"/>
  <c r="AA82" i="99"/>
  <c r="AA47" i="99"/>
  <c r="AA72" i="99"/>
  <c r="AA56" i="99"/>
  <c r="AA64" i="99"/>
  <c r="AA52" i="99"/>
  <c r="AA69" i="99"/>
  <c r="AA76" i="99"/>
  <c r="AA53" i="99"/>
  <c r="H92" i="109"/>
  <c r="H18" i="109" s="1"/>
  <c r="AA92" i="99"/>
  <c r="AA98" i="99"/>
  <c r="AA39" i="99"/>
  <c r="AA60" i="99"/>
  <c r="AA119" i="99"/>
  <c r="AA100" i="99"/>
  <c r="AA36" i="99"/>
  <c r="AA42" i="99"/>
  <c r="AA85" i="99"/>
  <c r="AA124" i="99"/>
  <c r="AA50" i="99"/>
  <c r="AA71" i="99"/>
  <c r="AA79" i="99"/>
  <c r="AA75" i="99"/>
  <c r="AA37" i="99"/>
  <c r="AA99" i="99"/>
  <c r="AA68" i="99"/>
  <c r="AA93" i="99"/>
  <c r="AA44" i="99"/>
  <c r="AA55" i="99"/>
  <c r="AA40" i="99"/>
  <c r="AA96" i="99"/>
  <c r="AA58" i="99"/>
  <c r="AA84" i="99"/>
  <c r="N12" i="118"/>
  <c r="O18" i="118" s="1"/>
  <c r="N12" i="117"/>
  <c r="O18" i="117" s="1"/>
  <c r="AA73" i="99"/>
  <c r="AA46" i="99"/>
  <c r="AA83" i="99"/>
  <c r="AA45" i="99"/>
  <c r="AA128" i="99"/>
  <c r="AA59" i="99"/>
  <c r="AA102" i="109"/>
  <c r="AA69" i="109"/>
  <c r="AA114" i="109"/>
  <c r="AA105" i="109"/>
  <c r="H92" i="95"/>
  <c r="H18" i="95" s="1"/>
  <c r="AA127" i="109"/>
  <c r="AA129" i="109"/>
  <c r="AA87" i="99"/>
  <c r="AA34" i="99"/>
  <c r="AA121" i="99"/>
  <c r="AA122" i="109"/>
  <c r="AA76" i="109"/>
  <c r="AA94" i="99"/>
  <c r="AA35" i="99"/>
  <c r="AA91" i="99"/>
  <c r="AA70" i="99"/>
  <c r="AA126" i="99"/>
  <c r="AA54" i="99"/>
  <c r="AA43" i="99"/>
  <c r="AA65" i="99"/>
  <c r="AA74" i="99"/>
  <c r="AA67" i="99"/>
  <c r="AA95" i="99"/>
  <c r="AA63" i="99"/>
  <c r="AA115" i="99"/>
  <c r="AA80" i="99"/>
  <c r="AA51" i="99"/>
  <c r="AA61" i="99"/>
  <c r="AA57" i="99"/>
  <c r="AA86" i="99"/>
  <c r="AA78" i="99"/>
  <c r="AA81" i="99"/>
  <c r="AA97" i="99"/>
  <c r="AA66" i="99"/>
  <c r="AA117" i="99"/>
  <c r="H92" i="102"/>
  <c r="H18" i="102" s="1"/>
  <c r="H73" i="102"/>
  <c r="AA101" i="99"/>
  <c r="AA129" i="99"/>
  <c r="AA88" i="99"/>
  <c r="AA103" i="99"/>
  <c r="AA102" i="99"/>
  <c r="AA41" i="99"/>
  <c r="AA105" i="99"/>
  <c r="AA104" i="99"/>
  <c r="AA38" i="99"/>
  <c r="AA48" i="99"/>
  <c r="AA113" i="99"/>
  <c r="AA106" i="99"/>
  <c r="AA108" i="99"/>
  <c r="AA107" i="99"/>
  <c r="AA123" i="99"/>
  <c r="AA110" i="99"/>
  <c r="AA109" i="99"/>
  <c r="AA125" i="99"/>
  <c r="AA112" i="99"/>
  <c r="AA111" i="99"/>
  <c r="AA127" i="99"/>
  <c r="AA114" i="99"/>
  <c r="AA116" i="99"/>
  <c r="AA118" i="99"/>
  <c r="AA120" i="99"/>
  <c r="G73" i="102"/>
  <c r="G92" i="102"/>
  <c r="AA126" i="102" s="1"/>
  <c r="G73" i="95"/>
  <c r="G92" i="95"/>
  <c r="AA34" i="95" s="1"/>
  <c r="AA94" i="109"/>
  <c r="AA107" i="109"/>
  <c r="AA106" i="109"/>
  <c r="AA64" i="109"/>
  <c r="AA123" i="109"/>
  <c r="AA78" i="109"/>
  <c r="AA74" i="109"/>
  <c r="AA97" i="109"/>
  <c r="AA61" i="109"/>
  <c r="AA55" i="109"/>
  <c r="AA115" i="109"/>
  <c r="AA86" i="109"/>
  <c r="AA108" i="109"/>
  <c r="AA60" i="109"/>
  <c r="AA90" i="109"/>
  <c r="AA119" i="109"/>
  <c r="AA112" i="109"/>
  <c r="AA111" i="109"/>
  <c r="AA62" i="109"/>
  <c r="AA54" i="109"/>
  <c r="AA93" i="109"/>
  <c r="AA57" i="109"/>
  <c r="AA39" i="109"/>
  <c r="AA99" i="109"/>
  <c r="AA70" i="109"/>
  <c r="AA96" i="109"/>
  <c r="AA56" i="109"/>
  <c r="AA101" i="109"/>
  <c r="AA46" i="109"/>
  <c r="AA49" i="109"/>
  <c r="AA58" i="109"/>
  <c r="AA103" i="109"/>
  <c r="AA121" i="109"/>
  <c r="AA81" i="109"/>
  <c r="AA45" i="109"/>
  <c r="AA110" i="109"/>
  <c r="AA79" i="109"/>
  <c r="AA128" i="109"/>
  <c r="AA88" i="109"/>
  <c r="AA48" i="109"/>
  <c r="AA95" i="109"/>
  <c r="AA89" i="109"/>
  <c r="AA91" i="109"/>
  <c r="AA92" i="109"/>
  <c r="AA75" i="109"/>
  <c r="AA59" i="109"/>
  <c r="AA83" i="109"/>
  <c r="AA113" i="109"/>
  <c r="AA77" i="109"/>
  <c r="AA41" i="109"/>
  <c r="AA98" i="109"/>
  <c r="AA67" i="109"/>
  <c r="AA124" i="109"/>
  <c r="AA84" i="109"/>
  <c r="AA44" i="109"/>
  <c r="AA116" i="109"/>
  <c r="AA65" i="109"/>
  <c r="AA38" i="109"/>
  <c r="AA126" i="109"/>
  <c r="AA52" i="109"/>
  <c r="AA43" i="109"/>
  <c r="AA47" i="109"/>
  <c r="AA109" i="109"/>
  <c r="AA73" i="109"/>
  <c r="AA37" i="109"/>
  <c r="AA82" i="109"/>
  <c r="AA34" i="109"/>
  <c r="AA120" i="109"/>
  <c r="AA80" i="109"/>
  <c r="AA35" i="109"/>
  <c r="AA87" i="109"/>
  <c r="AA66" i="109"/>
  <c r="AA50" i="109"/>
  <c r="AA104" i="109"/>
  <c r="AA72" i="109"/>
  <c r="AA40" i="109"/>
  <c r="AA118" i="109"/>
  <c r="AA63" i="109"/>
  <c r="AA117" i="109"/>
  <c r="AA85" i="109"/>
  <c r="AA53" i="109"/>
  <c r="AA71" i="109"/>
  <c r="AA42" i="109"/>
  <c r="AA51" i="109"/>
  <c r="AA125" i="109"/>
  <c r="AA100" i="109"/>
  <c r="AA68" i="109"/>
  <c r="C64" i="121"/>
  <c r="B19" i="121" s="1"/>
  <c r="C63" i="121"/>
  <c r="C62" i="121"/>
  <c r="C92" i="121"/>
  <c r="C102" i="121" s="1"/>
  <c r="E18" i="121" s="1"/>
  <c r="B73" i="121"/>
  <c r="B82" i="121" s="1"/>
  <c r="F92" i="121"/>
  <c r="F102" i="121" s="1"/>
  <c r="B63" i="121"/>
  <c r="B62" i="121"/>
  <c r="B18" i="121" s="1"/>
  <c r="B64" i="121"/>
  <c r="F73" i="121"/>
  <c r="B92" i="121"/>
  <c r="B102" i="121" s="1"/>
  <c r="D18" i="121" s="1"/>
  <c r="C8" i="121"/>
  <c r="C43" i="121"/>
  <c r="C44" i="121"/>
  <c r="C19" i="121" s="1"/>
  <c r="C42" i="121"/>
  <c r="C7" i="121"/>
  <c r="D73" i="121"/>
  <c r="D92" i="121"/>
  <c r="D7" i="121"/>
  <c r="E104" i="121"/>
  <c r="E103" i="121"/>
  <c r="E73" i="121"/>
  <c r="B43" i="121"/>
  <c r="B7" i="121"/>
  <c r="B42" i="121"/>
  <c r="C18" i="121" s="1"/>
  <c r="B44" i="121"/>
  <c r="B8" i="121"/>
  <c r="D74" i="117"/>
  <c r="H74" i="117"/>
  <c r="V103" i="15"/>
  <c r="K22" i="117" s="1"/>
  <c r="V104" i="15"/>
  <c r="K21" i="117" s="1"/>
  <c r="B93" i="117" s="1"/>
  <c r="G74" i="118"/>
  <c r="F74" i="118"/>
  <c r="C74" i="118"/>
  <c r="E74" i="118"/>
  <c r="V102" i="15"/>
  <c r="V101" i="15"/>
  <c r="K19" i="117" s="1"/>
  <c r="W103" i="15"/>
  <c r="K22" i="118" s="1"/>
  <c r="W104" i="15"/>
  <c r="K21" i="118" s="1"/>
  <c r="C74" i="117"/>
  <c r="G74" i="117"/>
  <c r="F74" i="117"/>
  <c r="E74" i="117"/>
  <c r="H74" i="118"/>
  <c r="D74" i="118"/>
  <c r="W101" i="15"/>
  <c r="K19" i="118" s="1"/>
  <c r="W102" i="15"/>
  <c r="F96" i="118"/>
  <c r="E96" i="118"/>
  <c r="C96" i="118"/>
  <c r="G96" i="118"/>
  <c r="AD2" i="117"/>
  <c r="P12" i="117"/>
  <c r="AD2" i="118"/>
  <c r="P12" i="118"/>
  <c r="E76" i="15" a="1"/>
  <c r="H21" i="109" l="1"/>
  <c r="K18" i="118"/>
  <c r="I8" i="118" s="1"/>
  <c r="K18" i="117"/>
  <c r="M18" i="117" s="1"/>
  <c r="E76" i="15"/>
  <c r="AA48" i="95"/>
  <c r="H72" i="118"/>
  <c r="H73" i="118" s="1"/>
  <c r="G72" i="118"/>
  <c r="H93" i="118"/>
  <c r="H92" i="118" s="1"/>
  <c r="G93" i="118"/>
  <c r="D72" i="117"/>
  <c r="D73" i="117" s="1"/>
  <c r="C72" i="117"/>
  <c r="C73" i="117" s="1"/>
  <c r="C82" i="117" s="1"/>
  <c r="B28" i="117"/>
  <c r="B7" i="117" s="1"/>
  <c r="E72" i="117"/>
  <c r="E73" i="117" s="1"/>
  <c r="E82" i="117" s="1"/>
  <c r="C29" i="117"/>
  <c r="C44" i="117" s="1"/>
  <c r="C19" i="117" s="1"/>
  <c r="H72" i="117"/>
  <c r="H73" i="117" s="1"/>
  <c r="H84" i="117" s="1"/>
  <c r="G72" i="117"/>
  <c r="G93" i="117"/>
  <c r="G92" i="117" s="1"/>
  <c r="H93" i="117"/>
  <c r="H92" i="117" s="1"/>
  <c r="F72" i="117"/>
  <c r="F73" i="117" s="1"/>
  <c r="F84" i="117" s="1"/>
  <c r="C93" i="117"/>
  <c r="C92" i="117" s="1"/>
  <c r="C102" i="117" s="1"/>
  <c r="E18" i="117" s="1"/>
  <c r="E93" i="117"/>
  <c r="E92" i="117" s="1"/>
  <c r="D7" i="117" s="1"/>
  <c r="F93" i="117"/>
  <c r="F92" i="117" s="1"/>
  <c r="B52" i="117"/>
  <c r="B63" i="117" s="1"/>
  <c r="B72" i="117"/>
  <c r="B73" i="117" s="1"/>
  <c r="B82" i="117" s="1"/>
  <c r="C53" i="117"/>
  <c r="C63" i="117" s="1"/>
  <c r="AA110" i="95"/>
  <c r="AA49" i="102"/>
  <c r="AA48" i="102"/>
  <c r="AA58" i="102"/>
  <c r="AA97" i="102"/>
  <c r="AA121" i="102"/>
  <c r="AA84" i="102"/>
  <c r="AA96" i="102"/>
  <c r="AA123" i="102"/>
  <c r="AA102" i="102"/>
  <c r="AA66" i="102"/>
  <c r="AA59" i="102"/>
  <c r="AA53" i="102"/>
  <c r="AA119" i="102"/>
  <c r="AA42" i="102"/>
  <c r="AA57" i="102"/>
  <c r="AA111" i="102"/>
  <c r="AA113" i="102"/>
  <c r="AA100" i="102"/>
  <c r="AA35" i="102"/>
  <c r="AA85" i="102"/>
  <c r="AA127" i="102"/>
  <c r="AA64" i="102"/>
  <c r="AA104" i="102"/>
  <c r="AA91" i="102"/>
  <c r="AA117" i="102"/>
  <c r="AA36" i="102"/>
  <c r="AA76" i="102"/>
  <c r="AA116" i="102"/>
  <c r="AA107" i="102"/>
  <c r="AA38" i="102"/>
  <c r="AA52" i="102"/>
  <c r="AA69" i="102"/>
  <c r="AA120" i="102"/>
  <c r="AA115" i="102"/>
  <c r="AA79" i="102"/>
  <c r="AA56" i="102"/>
  <c r="AA82" i="102"/>
  <c r="AA128" i="102"/>
  <c r="AA122" i="102"/>
  <c r="AA39" i="102"/>
  <c r="AA93" i="102"/>
  <c r="AA40" i="102"/>
  <c r="AA86" i="102"/>
  <c r="AA62" i="102"/>
  <c r="AA45" i="102"/>
  <c r="AA34" i="102"/>
  <c r="AA101" i="102"/>
  <c r="AA55" i="102"/>
  <c r="AA43" i="102"/>
  <c r="AA81" i="102"/>
  <c r="AA77" i="102"/>
  <c r="AA88" i="102"/>
  <c r="AA112" i="102"/>
  <c r="AA68" i="102"/>
  <c r="AA51" i="102"/>
  <c r="AA74" i="102"/>
  <c r="AA60" i="102"/>
  <c r="AA71" i="102"/>
  <c r="AA106" i="102"/>
  <c r="AA83" i="102"/>
  <c r="AA41" i="102"/>
  <c r="AA109" i="102"/>
  <c r="AA50" i="102"/>
  <c r="AA47" i="102"/>
  <c r="AA89" i="102"/>
  <c r="AA70" i="102"/>
  <c r="AA90" i="102"/>
  <c r="AA114" i="102"/>
  <c r="AA75" i="102"/>
  <c r="AA99" i="102"/>
  <c r="AA54" i="102"/>
  <c r="AA125" i="102"/>
  <c r="AA87" i="102"/>
  <c r="AA46" i="102"/>
  <c r="AA105" i="102"/>
  <c r="AA73" i="102"/>
  <c r="AA98" i="102"/>
  <c r="AA118" i="102"/>
  <c r="AA37" i="102"/>
  <c r="AA95" i="102"/>
  <c r="AA61" i="102"/>
  <c r="AA65" i="102"/>
  <c r="AA129" i="102"/>
  <c r="AA80" i="102"/>
  <c r="AA92" i="102"/>
  <c r="AA108" i="102"/>
  <c r="AA124" i="102"/>
  <c r="AA44" i="102"/>
  <c r="AA103" i="102"/>
  <c r="AA67" i="102"/>
  <c r="AA72" i="102"/>
  <c r="AA78" i="102"/>
  <c r="AA63" i="102"/>
  <c r="AA94" i="102"/>
  <c r="AA110" i="102"/>
  <c r="AA92" i="95"/>
  <c r="AA58" i="95"/>
  <c r="AA61" i="95"/>
  <c r="AA95" i="95"/>
  <c r="AA113" i="95"/>
  <c r="AA112" i="95"/>
  <c r="AA126" i="95"/>
  <c r="AA128" i="95"/>
  <c r="AA90" i="95"/>
  <c r="AA44" i="95"/>
  <c r="AA66" i="95"/>
  <c r="AA81" i="95"/>
  <c r="AA99" i="95"/>
  <c r="AA117" i="95"/>
  <c r="AA73" i="95"/>
  <c r="AA38" i="95"/>
  <c r="AA78" i="95"/>
  <c r="AA84" i="95"/>
  <c r="AA98" i="95"/>
  <c r="AA51" i="95"/>
  <c r="AA77" i="95"/>
  <c r="AA83" i="95"/>
  <c r="AA101" i="95"/>
  <c r="AA119" i="95"/>
  <c r="AA35" i="95"/>
  <c r="AA45" i="95"/>
  <c r="AA116" i="95"/>
  <c r="AA97" i="95"/>
  <c r="AA100" i="95"/>
  <c r="AA67" i="95"/>
  <c r="AA108" i="95"/>
  <c r="AA106" i="95"/>
  <c r="AA63" i="95"/>
  <c r="AA36" i="95"/>
  <c r="AA85" i="95"/>
  <c r="AA103" i="95"/>
  <c r="AA123" i="95"/>
  <c r="AA39" i="95"/>
  <c r="AA49" i="95"/>
  <c r="AA79" i="95"/>
  <c r="AA76" i="95"/>
  <c r="AA86" i="95"/>
  <c r="AA88" i="95"/>
  <c r="AA52" i="95"/>
  <c r="AA114" i="95"/>
  <c r="AA70" i="95"/>
  <c r="AA43" i="95"/>
  <c r="AA87" i="95"/>
  <c r="AA107" i="95"/>
  <c r="AA125" i="95"/>
  <c r="AA42" i="95"/>
  <c r="AA60" i="95"/>
  <c r="AA72" i="95"/>
  <c r="AA120" i="95"/>
  <c r="AA69" i="95"/>
  <c r="AA115" i="95"/>
  <c r="AA94" i="95"/>
  <c r="AA96" i="95"/>
  <c r="AA41" i="95"/>
  <c r="AA122" i="95"/>
  <c r="AA74" i="95"/>
  <c r="AA47" i="95"/>
  <c r="AA91" i="95"/>
  <c r="AA109" i="95"/>
  <c r="AA127" i="95"/>
  <c r="AA57" i="95"/>
  <c r="AA64" i="95"/>
  <c r="AA46" i="95"/>
  <c r="AA118" i="95"/>
  <c r="AA62" i="95"/>
  <c r="AA53" i="95"/>
  <c r="AA102" i="95"/>
  <c r="AA104" i="95"/>
  <c r="AA59" i="95"/>
  <c r="AA124" i="95"/>
  <c r="AA40" i="95"/>
  <c r="AA54" i="95"/>
  <c r="AA93" i="95"/>
  <c r="AA111" i="95"/>
  <c r="AA129" i="95"/>
  <c r="AA65" i="95"/>
  <c r="AA68" i="95"/>
  <c r="AA75" i="95"/>
  <c r="AA56" i="95"/>
  <c r="AA37" i="95"/>
  <c r="AA82" i="95"/>
  <c r="AA71" i="95"/>
  <c r="AA55" i="95"/>
  <c r="AA50" i="95"/>
  <c r="AA89" i="95"/>
  <c r="AA105" i="95"/>
  <c r="AA121" i="95"/>
  <c r="AA80" i="95"/>
  <c r="B83" i="121"/>
  <c r="B84" i="121"/>
  <c r="D19" i="121" s="1"/>
  <c r="D102" i="121"/>
  <c r="C103" i="121"/>
  <c r="C104" i="121"/>
  <c r="B103" i="121"/>
  <c r="B104" i="121"/>
  <c r="D104" i="121"/>
  <c r="D103" i="121"/>
  <c r="F104" i="121"/>
  <c r="F103" i="121"/>
  <c r="D93" i="117"/>
  <c r="C29" i="118"/>
  <c r="B72" i="118"/>
  <c r="D93" i="118"/>
  <c r="C93" i="118"/>
  <c r="C92" i="118" s="1"/>
  <c r="B93" i="118"/>
  <c r="F93" i="118"/>
  <c r="B52" i="118"/>
  <c r="E72" i="118"/>
  <c r="E73" i="118" s="1"/>
  <c r="D72" i="118"/>
  <c r="F72" i="118"/>
  <c r="B28" i="118"/>
  <c r="C53" i="118"/>
  <c r="E93" i="118"/>
  <c r="E92" i="118" s="1"/>
  <c r="C72" i="118"/>
  <c r="B92" i="117"/>
  <c r="B102" i="117" s="1"/>
  <c r="D18" i="117" s="1"/>
  <c r="E8" i="118" l="1"/>
  <c r="H8" i="118"/>
  <c r="M18" i="118"/>
  <c r="F8" i="118"/>
  <c r="F8" i="117"/>
  <c r="I8" i="117"/>
  <c r="H8" i="117"/>
  <c r="C64" i="117"/>
  <c r="B19" i="117" s="1"/>
  <c r="E8" i="117"/>
  <c r="C62" i="117"/>
  <c r="B64" i="117"/>
  <c r="B62" i="117"/>
  <c r="B18" i="117" s="1"/>
  <c r="C43" i="117"/>
  <c r="C8" i="117"/>
  <c r="C42" i="117"/>
  <c r="E104" i="117"/>
  <c r="C7" i="117"/>
  <c r="E103" i="117"/>
  <c r="H102" i="117"/>
  <c r="H18" i="117" s="1"/>
  <c r="B43" i="117"/>
  <c r="B42" i="117"/>
  <c r="C18" i="117" s="1"/>
  <c r="B8" i="117"/>
  <c r="B44" i="117"/>
  <c r="G92" i="118"/>
  <c r="AA75" i="118" s="1"/>
  <c r="D92" i="118"/>
  <c r="D103" i="118" s="1"/>
  <c r="G73" i="118"/>
  <c r="R73" i="118" s="1"/>
  <c r="D92" i="117"/>
  <c r="AB77" i="117" s="1"/>
  <c r="G73" i="117"/>
  <c r="G84" i="117" s="1"/>
  <c r="AA80" i="117"/>
  <c r="AA69" i="117"/>
  <c r="AA65" i="117"/>
  <c r="AA50" i="117"/>
  <c r="AA47" i="117"/>
  <c r="AA35" i="117"/>
  <c r="AA77" i="117"/>
  <c r="AA73" i="117"/>
  <c r="AA62" i="117"/>
  <c r="AA58" i="117"/>
  <c r="AA55" i="117"/>
  <c r="AA51" i="117"/>
  <c r="AA43" i="117"/>
  <c r="AA36" i="117"/>
  <c r="AA129" i="117"/>
  <c r="AA127" i="117"/>
  <c r="AA125" i="117"/>
  <c r="AA123" i="117"/>
  <c r="AA121" i="117"/>
  <c r="AA119" i="117"/>
  <c r="AA117" i="117"/>
  <c r="AA115" i="117"/>
  <c r="AA113" i="117"/>
  <c r="AA111" i="117"/>
  <c r="AA109" i="117"/>
  <c r="AA107" i="117"/>
  <c r="AA105" i="117"/>
  <c r="AA103" i="117"/>
  <c r="AA101" i="117"/>
  <c r="AA99" i="117"/>
  <c r="AA97" i="117"/>
  <c r="AA95" i="117"/>
  <c r="AA93" i="117"/>
  <c r="AA91" i="117"/>
  <c r="AA89" i="117"/>
  <c r="AA87" i="117"/>
  <c r="AA85" i="117"/>
  <c r="AA83" i="117"/>
  <c r="AA81" i="117"/>
  <c r="AA70" i="117"/>
  <c r="AA52" i="117"/>
  <c r="AA44" i="117"/>
  <c r="AA40" i="117"/>
  <c r="AA78" i="117"/>
  <c r="AA66" i="117"/>
  <c r="AA63" i="117"/>
  <c r="AA59" i="117"/>
  <c r="AA48" i="117"/>
  <c r="AA74" i="117"/>
  <c r="AA71" i="117"/>
  <c r="AA67" i="117"/>
  <c r="AA60" i="117"/>
  <c r="AA56" i="117"/>
  <c r="AA41" i="117"/>
  <c r="AA37" i="117"/>
  <c r="AA79" i="117"/>
  <c r="AA75" i="117"/>
  <c r="AA68" i="117"/>
  <c r="AA53" i="117"/>
  <c r="AA49" i="117"/>
  <c r="AA45" i="117"/>
  <c r="AA128" i="117"/>
  <c r="AA126" i="117"/>
  <c r="AA124" i="117"/>
  <c r="AA122" i="117"/>
  <c r="AA120" i="117"/>
  <c r="AA118" i="117"/>
  <c r="AA116" i="117"/>
  <c r="AA114" i="117"/>
  <c r="AA112" i="117"/>
  <c r="AA110" i="117"/>
  <c r="AA108" i="117"/>
  <c r="AA106" i="117"/>
  <c r="AA104" i="117"/>
  <c r="AA102" i="117"/>
  <c r="AA100" i="117"/>
  <c r="AA98" i="117"/>
  <c r="AA96" i="117"/>
  <c r="AA94" i="117"/>
  <c r="AA92" i="117"/>
  <c r="AA90" i="117"/>
  <c r="AA88" i="117"/>
  <c r="AA86" i="117"/>
  <c r="AA84" i="117"/>
  <c r="AA82" i="117"/>
  <c r="AA76" i="117"/>
  <c r="AA64" i="117"/>
  <c r="AA57" i="117"/>
  <c r="AA38" i="117"/>
  <c r="AA34" i="117"/>
  <c r="AA72" i="117"/>
  <c r="AA61" i="117"/>
  <c r="AA54" i="117"/>
  <c r="AA46" i="117"/>
  <c r="AA42" i="117"/>
  <c r="AA39" i="117"/>
  <c r="S79" i="117"/>
  <c r="S67" i="117"/>
  <c r="S64" i="117"/>
  <c r="S60" i="117"/>
  <c r="S49" i="117"/>
  <c r="S34" i="117"/>
  <c r="S75" i="117"/>
  <c r="S72" i="117"/>
  <c r="S68" i="117"/>
  <c r="S61" i="117"/>
  <c r="S57" i="117"/>
  <c r="S42" i="117"/>
  <c r="S38" i="117"/>
  <c r="S80" i="117"/>
  <c r="S76" i="117"/>
  <c r="S69" i="117"/>
  <c r="S54" i="117"/>
  <c r="S50" i="117"/>
  <c r="S46" i="117"/>
  <c r="S129" i="117"/>
  <c r="S127" i="117"/>
  <c r="S125" i="117"/>
  <c r="S123" i="117"/>
  <c r="S121" i="117"/>
  <c r="S119" i="117"/>
  <c r="S117" i="117"/>
  <c r="S115" i="117"/>
  <c r="S113" i="117"/>
  <c r="S111" i="117"/>
  <c r="S109" i="117"/>
  <c r="S107" i="117"/>
  <c r="S105" i="117"/>
  <c r="S103" i="117"/>
  <c r="S101" i="117"/>
  <c r="S99" i="117"/>
  <c r="S97" i="117"/>
  <c r="S95" i="117"/>
  <c r="S93" i="117"/>
  <c r="S91" i="117"/>
  <c r="S89" i="117"/>
  <c r="S87" i="117"/>
  <c r="S85" i="117"/>
  <c r="S83" i="117"/>
  <c r="S77" i="117"/>
  <c r="S65" i="117"/>
  <c r="S58" i="117"/>
  <c r="S39" i="117"/>
  <c r="S35" i="117"/>
  <c r="S73" i="117"/>
  <c r="S62" i="117"/>
  <c r="S55" i="117"/>
  <c r="S47" i="117"/>
  <c r="S43" i="117"/>
  <c r="S40" i="117"/>
  <c r="S81" i="117"/>
  <c r="S70" i="117"/>
  <c r="S66" i="117"/>
  <c r="S51" i="117"/>
  <c r="S48" i="117"/>
  <c r="S36" i="117"/>
  <c r="S78" i="117"/>
  <c r="S74" i="117"/>
  <c r="S63" i="117"/>
  <c r="S59" i="117"/>
  <c r="S56" i="117"/>
  <c r="S52" i="117"/>
  <c r="S44" i="117"/>
  <c r="S37" i="117"/>
  <c r="S128" i="117"/>
  <c r="S126" i="117"/>
  <c r="S124" i="117"/>
  <c r="S122" i="117"/>
  <c r="S120" i="117"/>
  <c r="S118" i="117"/>
  <c r="S116" i="117"/>
  <c r="S114" i="117"/>
  <c r="S112" i="117"/>
  <c r="S110" i="117"/>
  <c r="S108" i="117"/>
  <c r="S106" i="117"/>
  <c r="S104" i="117"/>
  <c r="S102" i="117"/>
  <c r="S100" i="117"/>
  <c r="S98" i="117"/>
  <c r="S96" i="117"/>
  <c r="S94" i="117"/>
  <c r="S92" i="117"/>
  <c r="S90" i="117"/>
  <c r="S88" i="117"/>
  <c r="S86" i="117"/>
  <c r="S84" i="117"/>
  <c r="S82" i="117"/>
  <c r="S71" i="117"/>
  <c r="S53" i="117"/>
  <c r="S45" i="117"/>
  <c r="S41" i="117"/>
  <c r="F19" i="118"/>
  <c r="D73" i="118"/>
  <c r="S114" i="118" s="1"/>
  <c r="G19" i="117"/>
  <c r="F18" i="117"/>
  <c r="AD129" i="117"/>
  <c r="F73" i="118"/>
  <c r="F84" i="118" s="1"/>
  <c r="AD50" i="117"/>
  <c r="AD42" i="117"/>
  <c r="AD98" i="117"/>
  <c r="AD35" i="117"/>
  <c r="AD67" i="117"/>
  <c r="AD99" i="117"/>
  <c r="AD36" i="117"/>
  <c r="AD68" i="117"/>
  <c r="AD100" i="117"/>
  <c r="AD37" i="117"/>
  <c r="AD69" i="117"/>
  <c r="AD101" i="117"/>
  <c r="AD54" i="117"/>
  <c r="AD74" i="117"/>
  <c r="AD102" i="117"/>
  <c r="AD39" i="117"/>
  <c r="AD71" i="117"/>
  <c r="AD103" i="117"/>
  <c r="AD40" i="117"/>
  <c r="AD72" i="117"/>
  <c r="AD104" i="117"/>
  <c r="AD41" i="117"/>
  <c r="AD73" i="117"/>
  <c r="AD105" i="117"/>
  <c r="AD58" i="117"/>
  <c r="AD46" i="117"/>
  <c r="AD106" i="117"/>
  <c r="AD43" i="117"/>
  <c r="AD75" i="117"/>
  <c r="AD107" i="117"/>
  <c r="AD44" i="117"/>
  <c r="AD76" i="117"/>
  <c r="AD108" i="117"/>
  <c r="AD45" i="117"/>
  <c r="AD77" i="117"/>
  <c r="AD109" i="117"/>
  <c r="AD62" i="117"/>
  <c r="AD78" i="117"/>
  <c r="AD110" i="117"/>
  <c r="AD47" i="117"/>
  <c r="AD79" i="117"/>
  <c r="AD111" i="117"/>
  <c r="AD48" i="117"/>
  <c r="AD80" i="117"/>
  <c r="AD112" i="117"/>
  <c r="AD49" i="117"/>
  <c r="AD81" i="117"/>
  <c r="AD113" i="117"/>
  <c r="AD34" i="117"/>
  <c r="AD82" i="117"/>
  <c r="AD114" i="117"/>
  <c r="AD51" i="117"/>
  <c r="AD83" i="117"/>
  <c r="AD115" i="117"/>
  <c r="AD52" i="117"/>
  <c r="AD84" i="117"/>
  <c r="AD116" i="117"/>
  <c r="AD53" i="117"/>
  <c r="AD85" i="117"/>
  <c r="AD117" i="117"/>
  <c r="AD66" i="117"/>
  <c r="AD86" i="117"/>
  <c r="AD118" i="117"/>
  <c r="AD55" i="117"/>
  <c r="AD87" i="117"/>
  <c r="AD119" i="117"/>
  <c r="AD56" i="117"/>
  <c r="AD88" i="117"/>
  <c r="AD120" i="117"/>
  <c r="AD57" i="117"/>
  <c r="AD89" i="117"/>
  <c r="AD121" i="117"/>
  <c r="AD38" i="117"/>
  <c r="AD90" i="117"/>
  <c r="AD122" i="117"/>
  <c r="AD59" i="117"/>
  <c r="AD91" i="117"/>
  <c r="AD123" i="117"/>
  <c r="AD60" i="117"/>
  <c r="AD92" i="117"/>
  <c r="AD124" i="117"/>
  <c r="AD61" i="117"/>
  <c r="AD93" i="117"/>
  <c r="AD125" i="117"/>
  <c r="AD70" i="117"/>
  <c r="AD94" i="117"/>
  <c r="AD126" i="117"/>
  <c r="AD63" i="117"/>
  <c r="AD95" i="117"/>
  <c r="AD127" i="117"/>
  <c r="AD64" i="117"/>
  <c r="AD96" i="117"/>
  <c r="AD128" i="117"/>
  <c r="AD65" i="117"/>
  <c r="AD97" i="117"/>
  <c r="C83" i="117"/>
  <c r="E83" i="117"/>
  <c r="E7" i="117"/>
  <c r="C103" i="118"/>
  <c r="C104" i="118"/>
  <c r="B64" i="118"/>
  <c r="B63" i="118"/>
  <c r="B62" i="118"/>
  <c r="B18" i="118" s="1"/>
  <c r="B73" i="118"/>
  <c r="B82" i="118" s="1"/>
  <c r="D7" i="118"/>
  <c r="E103" i="118"/>
  <c r="E104" i="118"/>
  <c r="F92" i="118"/>
  <c r="F102" i="118" s="1"/>
  <c r="C7" i="118"/>
  <c r="C8" i="118"/>
  <c r="C44" i="118"/>
  <c r="C19" i="118" s="1"/>
  <c r="C43" i="118"/>
  <c r="C42" i="118"/>
  <c r="C62" i="118"/>
  <c r="C64" i="118"/>
  <c r="B19" i="118" s="1"/>
  <c r="C63" i="118"/>
  <c r="B7" i="118"/>
  <c r="B8" i="118"/>
  <c r="B42" i="118"/>
  <c r="C18" i="118" s="1"/>
  <c r="B44" i="118"/>
  <c r="B43" i="118"/>
  <c r="E83" i="118"/>
  <c r="E82" i="118"/>
  <c r="B92" i="118"/>
  <c r="B102" i="118" s="1"/>
  <c r="D18" i="118" s="1"/>
  <c r="G84" i="118"/>
  <c r="H102" i="118"/>
  <c r="C102" i="118"/>
  <c r="E18" i="118" s="1"/>
  <c r="C73" i="118"/>
  <c r="C82" i="118" s="1"/>
  <c r="E7" i="118"/>
  <c r="C103" i="117"/>
  <c r="C104" i="117"/>
  <c r="D83" i="117"/>
  <c r="B104" i="117"/>
  <c r="B103" i="117"/>
  <c r="F104" i="117"/>
  <c r="F103" i="117"/>
  <c r="F102" i="117"/>
  <c r="I18" i="117" s="1"/>
  <c r="D82" i="117"/>
  <c r="B84" i="117"/>
  <c r="D19" i="117" s="1"/>
  <c r="C84" i="117"/>
  <c r="E19" i="117" s="1"/>
  <c r="B83" i="117"/>
  <c r="D84" i="117"/>
  <c r="F19" i="117" l="1"/>
  <c r="AA106" i="118"/>
  <c r="K8" i="117"/>
  <c r="D103" i="117"/>
  <c r="D102" i="117"/>
  <c r="D104" i="117"/>
  <c r="AB46" i="117"/>
  <c r="AB56" i="117"/>
  <c r="AB58" i="117"/>
  <c r="G18" i="118"/>
  <c r="AB54" i="117"/>
  <c r="AA56" i="118"/>
  <c r="AA46" i="118"/>
  <c r="AB99" i="117"/>
  <c r="AA78" i="118"/>
  <c r="AA44" i="118"/>
  <c r="AA61" i="118"/>
  <c r="AA87" i="118"/>
  <c r="AA103" i="118"/>
  <c r="AB104" i="117"/>
  <c r="R76" i="118"/>
  <c r="AA119" i="118"/>
  <c r="D83" i="118"/>
  <c r="AB112" i="117"/>
  <c r="AA84" i="118"/>
  <c r="AA71" i="118"/>
  <c r="AB101" i="117"/>
  <c r="AB71" i="117"/>
  <c r="R35" i="118"/>
  <c r="R83" i="118"/>
  <c r="AA116" i="118"/>
  <c r="AA124" i="118"/>
  <c r="AA77" i="118"/>
  <c r="AA111" i="118"/>
  <c r="AA110" i="118"/>
  <c r="AA122" i="118"/>
  <c r="S87" i="118"/>
  <c r="R101" i="118"/>
  <c r="AA42" i="118"/>
  <c r="AA92" i="118"/>
  <c r="AA85" i="118"/>
  <c r="AA117" i="118"/>
  <c r="AA48" i="118"/>
  <c r="AA51" i="118"/>
  <c r="S110" i="118"/>
  <c r="R50" i="118"/>
  <c r="AA50" i="118"/>
  <c r="AA126" i="118"/>
  <c r="AA89" i="118"/>
  <c r="AA121" i="118"/>
  <c r="AA64" i="118"/>
  <c r="R98" i="118"/>
  <c r="AA62" i="118"/>
  <c r="AA45" i="118"/>
  <c r="AA95" i="118"/>
  <c r="AA127" i="118"/>
  <c r="AA82" i="118"/>
  <c r="AB112" i="118"/>
  <c r="R61" i="118"/>
  <c r="AA74" i="118"/>
  <c r="AA57" i="118"/>
  <c r="AA101" i="118"/>
  <c r="AA63" i="118"/>
  <c r="AA120" i="118"/>
  <c r="R64" i="118"/>
  <c r="AA94" i="118"/>
  <c r="AA88" i="118"/>
  <c r="AA65" i="118"/>
  <c r="AA105" i="118"/>
  <c r="AA79" i="118"/>
  <c r="AA114" i="118"/>
  <c r="R40" i="118"/>
  <c r="R103" i="118"/>
  <c r="R39" i="118"/>
  <c r="R54" i="118"/>
  <c r="R100" i="118"/>
  <c r="R34" i="118"/>
  <c r="R109" i="118"/>
  <c r="R51" i="118"/>
  <c r="R66" i="118"/>
  <c r="R106" i="118"/>
  <c r="R57" i="118"/>
  <c r="R115" i="118"/>
  <c r="R63" i="118"/>
  <c r="R78" i="118"/>
  <c r="R112" i="118"/>
  <c r="R81" i="118"/>
  <c r="S45" i="118"/>
  <c r="R37" i="118"/>
  <c r="R85" i="118"/>
  <c r="R117" i="118"/>
  <c r="R67" i="118"/>
  <c r="R82" i="118"/>
  <c r="R114" i="118"/>
  <c r="AA36" i="118"/>
  <c r="R45" i="118"/>
  <c r="R87" i="118"/>
  <c r="R119" i="118"/>
  <c r="R71" i="118"/>
  <c r="R84" i="118"/>
  <c r="R116" i="118"/>
  <c r="S127" i="118"/>
  <c r="R44" i="118"/>
  <c r="R93" i="118"/>
  <c r="R125" i="118"/>
  <c r="R53" i="118"/>
  <c r="R90" i="118"/>
  <c r="R122" i="118"/>
  <c r="AA68" i="118"/>
  <c r="S54" i="118"/>
  <c r="R68" i="118"/>
  <c r="R99" i="118"/>
  <c r="R77" i="118"/>
  <c r="R46" i="118"/>
  <c r="R96" i="118"/>
  <c r="R128" i="118"/>
  <c r="AA102" i="118"/>
  <c r="AB47" i="117"/>
  <c r="AB96" i="117"/>
  <c r="AB68" i="117"/>
  <c r="AB85" i="117"/>
  <c r="AB36" i="117"/>
  <c r="G18" i="117"/>
  <c r="AB69" i="117"/>
  <c r="AB98" i="117"/>
  <c r="AB41" i="117"/>
  <c r="AB91" i="117"/>
  <c r="AB43" i="117"/>
  <c r="AB34" i="117"/>
  <c r="AB114" i="117"/>
  <c r="AB63" i="117"/>
  <c r="AB107" i="117"/>
  <c r="AB76" i="117"/>
  <c r="AB120" i="117"/>
  <c r="AB66" i="117"/>
  <c r="AB115" i="117"/>
  <c r="AB82" i="117"/>
  <c r="AB128" i="117"/>
  <c r="AB44" i="117"/>
  <c r="AB117" i="117"/>
  <c r="AB35" i="117"/>
  <c r="AB88" i="117"/>
  <c r="AB45" i="117"/>
  <c r="AB83" i="117"/>
  <c r="AB123" i="117"/>
  <c r="AB50" i="117"/>
  <c r="AB61" i="117"/>
  <c r="AB84" i="117"/>
  <c r="AB100" i="117"/>
  <c r="AB116" i="117"/>
  <c r="AB49" i="117"/>
  <c r="AB60" i="117"/>
  <c r="AB78" i="117"/>
  <c r="AB87" i="117"/>
  <c r="AB103" i="117"/>
  <c r="AB119" i="117"/>
  <c r="AB51" i="117"/>
  <c r="S53" i="118"/>
  <c r="S93" i="118"/>
  <c r="S81" i="118"/>
  <c r="S58" i="118"/>
  <c r="S116" i="118"/>
  <c r="G19" i="118"/>
  <c r="AB65" i="117"/>
  <c r="AB72" i="117"/>
  <c r="AB86" i="117"/>
  <c r="AB102" i="117"/>
  <c r="AB118" i="117"/>
  <c r="AB53" i="117"/>
  <c r="AB67" i="117"/>
  <c r="AB40" i="117"/>
  <c r="AB89" i="117"/>
  <c r="AB105" i="117"/>
  <c r="AB121" i="117"/>
  <c r="AB55" i="117"/>
  <c r="S36" i="118"/>
  <c r="S95" i="118"/>
  <c r="S39" i="118"/>
  <c r="S74" i="118"/>
  <c r="S118" i="118"/>
  <c r="S60" i="118"/>
  <c r="S103" i="118"/>
  <c r="S43" i="118"/>
  <c r="S84" i="118"/>
  <c r="AB80" i="117"/>
  <c r="AB38" i="117"/>
  <c r="AB90" i="117"/>
  <c r="AB106" i="117"/>
  <c r="AB122" i="117"/>
  <c r="AB75" i="117"/>
  <c r="AB74" i="117"/>
  <c r="AB52" i="117"/>
  <c r="AB93" i="117"/>
  <c r="AB109" i="117"/>
  <c r="AB125" i="117"/>
  <c r="AB62" i="117"/>
  <c r="S68" i="118"/>
  <c r="S109" i="118"/>
  <c r="S59" i="118"/>
  <c r="S86" i="118"/>
  <c r="AB39" i="117"/>
  <c r="AB57" i="117"/>
  <c r="AB92" i="117"/>
  <c r="AB108" i="117"/>
  <c r="AB124" i="117"/>
  <c r="AB79" i="117"/>
  <c r="AB48" i="117"/>
  <c r="AB70" i="117"/>
  <c r="AB95" i="117"/>
  <c r="AB111" i="117"/>
  <c r="AB127" i="117"/>
  <c r="AB73" i="117"/>
  <c r="S40" i="118"/>
  <c r="S111" i="118"/>
  <c r="S71" i="118"/>
  <c r="S94" i="118"/>
  <c r="AB42" i="117"/>
  <c r="AB64" i="117"/>
  <c r="AB94" i="117"/>
  <c r="AB110" i="117"/>
  <c r="AB126" i="117"/>
  <c r="AB37" i="117"/>
  <c r="AB59" i="117"/>
  <c r="AB81" i="117"/>
  <c r="AB97" i="117"/>
  <c r="AB113" i="117"/>
  <c r="AB129" i="117"/>
  <c r="S64" i="118"/>
  <c r="S119" i="118"/>
  <c r="S75" i="118"/>
  <c r="S100" i="118"/>
  <c r="S72" i="118"/>
  <c r="S125" i="118"/>
  <c r="S42" i="118"/>
  <c r="S102" i="118"/>
  <c r="AB59" i="118"/>
  <c r="AB98" i="118"/>
  <c r="AB34" i="118"/>
  <c r="AB53" i="118"/>
  <c r="AB115" i="118"/>
  <c r="D104" i="118"/>
  <c r="S61" i="118"/>
  <c r="S80" i="118"/>
  <c r="S97" i="118"/>
  <c r="S129" i="118"/>
  <c r="S79" i="118"/>
  <c r="S62" i="118"/>
  <c r="S104" i="118"/>
  <c r="S120" i="118"/>
  <c r="AB84" i="118"/>
  <c r="AB100" i="118"/>
  <c r="AB38" i="118"/>
  <c r="AB70" i="118"/>
  <c r="AB57" i="118"/>
  <c r="AB101" i="118"/>
  <c r="AB117" i="118"/>
  <c r="AB43" i="118"/>
  <c r="AB51" i="118"/>
  <c r="S69" i="118"/>
  <c r="S49" i="118"/>
  <c r="S83" i="118"/>
  <c r="S99" i="118"/>
  <c r="S115" i="118"/>
  <c r="S65" i="118"/>
  <c r="S51" i="118"/>
  <c r="S34" i="118"/>
  <c r="S66" i="118"/>
  <c r="S90" i="118"/>
  <c r="S106" i="118"/>
  <c r="S122" i="118"/>
  <c r="AB39" i="118"/>
  <c r="AB86" i="118"/>
  <c r="AB102" i="118"/>
  <c r="AB118" i="118"/>
  <c r="AB42" i="118"/>
  <c r="AB74" i="118"/>
  <c r="AB61" i="118"/>
  <c r="AB87" i="118"/>
  <c r="AB103" i="118"/>
  <c r="AB119" i="118"/>
  <c r="AB67" i="118"/>
  <c r="AB36" i="118"/>
  <c r="R69" i="118"/>
  <c r="R48" i="118"/>
  <c r="R89" i="118"/>
  <c r="R105" i="118"/>
  <c r="R121" i="118"/>
  <c r="R43" i="118"/>
  <c r="R75" i="118"/>
  <c r="R58" i="118"/>
  <c r="R86" i="118"/>
  <c r="R102" i="118"/>
  <c r="R118" i="118"/>
  <c r="R41" i="118"/>
  <c r="AA104" i="118"/>
  <c r="AA54" i="118"/>
  <c r="AA100" i="118"/>
  <c r="AA37" i="118"/>
  <c r="AA69" i="118"/>
  <c r="AA91" i="118"/>
  <c r="AA107" i="118"/>
  <c r="AA123" i="118"/>
  <c r="AA86" i="118"/>
  <c r="AA72" i="118"/>
  <c r="AA52" i="118"/>
  <c r="AA35" i="118"/>
  <c r="AB82" i="118"/>
  <c r="AB114" i="118"/>
  <c r="AB66" i="118"/>
  <c r="AB83" i="118"/>
  <c r="AB99" i="118"/>
  <c r="AB35" i="118"/>
  <c r="AB80" i="118"/>
  <c r="S76" i="118"/>
  <c r="S113" i="118"/>
  <c r="S47" i="118"/>
  <c r="S88" i="118"/>
  <c r="AB75" i="118"/>
  <c r="AB116" i="118"/>
  <c r="AB85" i="118"/>
  <c r="D82" i="118"/>
  <c r="S77" i="118"/>
  <c r="S57" i="118"/>
  <c r="S85" i="118"/>
  <c r="S101" i="118"/>
  <c r="S117" i="118"/>
  <c r="S73" i="118"/>
  <c r="S55" i="118"/>
  <c r="S38" i="118"/>
  <c r="S70" i="118"/>
  <c r="S92" i="118"/>
  <c r="S108" i="118"/>
  <c r="S124" i="118"/>
  <c r="AB47" i="118"/>
  <c r="AB88" i="118"/>
  <c r="AB104" i="118"/>
  <c r="AB120" i="118"/>
  <c r="AB46" i="118"/>
  <c r="AB78" i="118"/>
  <c r="AB65" i="118"/>
  <c r="AB89" i="118"/>
  <c r="AB105" i="118"/>
  <c r="AB121" i="118"/>
  <c r="AB40" i="118"/>
  <c r="AB44" i="118"/>
  <c r="R36" i="118"/>
  <c r="R56" i="118"/>
  <c r="R91" i="118"/>
  <c r="R107" i="118"/>
  <c r="R123" i="118"/>
  <c r="R47" i="118"/>
  <c r="R79" i="118"/>
  <c r="R62" i="118"/>
  <c r="R88" i="118"/>
  <c r="R104" i="118"/>
  <c r="R120" i="118"/>
  <c r="R49" i="118"/>
  <c r="AA118" i="118"/>
  <c r="AA58" i="118"/>
  <c r="AA112" i="118"/>
  <c r="AA41" i="118"/>
  <c r="AA73" i="118"/>
  <c r="AA93" i="118"/>
  <c r="AA109" i="118"/>
  <c r="AA125" i="118"/>
  <c r="AA98" i="118"/>
  <c r="AA80" i="118"/>
  <c r="AA60" i="118"/>
  <c r="AA43" i="118"/>
  <c r="S44" i="118"/>
  <c r="S48" i="118"/>
  <c r="S89" i="118"/>
  <c r="S105" i="118"/>
  <c r="S121" i="118"/>
  <c r="S41" i="118"/>
  <c r="S63" i="118"/>
  <c r="S46" i="118"/>
  <c r="S78" i="118"/>
  <c r="S96" i="118"/>
  <c r="S112" i="118"/>
  <c r="S128" i="118"/>
  <c r="AB63" i="118"/>
  <c r="AB92" i="118"/>
  <c r="AB108" i="118"/>
  <c r="AB124" i="118"/>
  <c r="AB54" i="118"/>
  <c r="AB41" i="118"/>
  <c r="AB73" i="118"/>
  <c r="AB93" i="118"/>
  <c r="AB109" i="118"/>
  <c r="AB125" i="118"/>
  <c r="AB56" i="118"/>
  <c r="AB60" i="118"/>
  <c r="R52" i="118"/>
  <c r="R72" i="118"/>
  <c r="R95" i="118"/>
  <c r="R111" i="118"/>
  <c r="R127" i="118"/>
  <c r="R55" i="118"/>
  <c r="R38" i="118"/>
  <c r="R70" i="118"/>
  <c r="R92" i="118"/>
  <c r="R108" i="118"/>
  <c r="R124" i="118"/>
  <c r="R65" i="118"/>
  <c r="AA34" i="118"/>
  <c r="AA66" i="118"/>
  <c r="AA39" i="118"/>
  <c r="AA49" i="118"/>
  <c r="AA81" i="118"/>
  <c r="AA97" i="118"/>
  <c r="AA113" i="118"/>
  <c r="AA129" i="118"/>
  <c r="AA128" i="118"/>
  <c r="AA96" i="118"/>
  <c r="AA76" i="118"/>
  <c r="AA59" i="118"/>
  <c r="S126" i="118"/>
  <c r="AB55" i="118"/>
  <c r="AB90" i="118"/>
  <c r="AB106" i="118"/>
  <c r="AB122" i="118"/>
  <c r="AB50" i="118"/>
  <c r="AB37" i="118"/>
  <c r="AB69" i="118"/>
  <c r="AB91" i="118"/>
  <c r="AB107" i="118"/>
  <c r="AB123" i="118"/>
  <c r="AB48" i="118"/>
  <c r="AB52" i="118"/>
  <c r="D84" i="118"/>
  <c r="S37" i="118"/>
  <c r="S52" i="118"/>
  <c r="S56" i="118"/>
  <c r="S91" i="118"/>
  <c r="S107" i="118"/>
  <c r="S123" i="118"/>
  <c r="S35" i="118"/>
  <c r="S67" i="118"/>
  <c r="S50" i="118"/>
  <c r="S82" i="118"/>
  <c r="S98" i="118"/>
  <c r="AB71" i="118"/>
  <c r="AB94" i="118"/>
  <c r="AB110" i="118"/>
  <c r="AB126" i="118"/>
  <c r="AB58" i="118"/>
  <c r="AB45" i="118"/>
  <c r="AB77" i="118"/>
  <c r="AB95" i="118"/>
  <c r="AB111" i="118"/>
  <c r="AB127" i="118"/>
  <c r="AB64" i="118"/>
  <c r="AB68" i="118"/>
  <c r="R60" i="118"/>
  <c r="R80" i="118"/>
  <c r="R97" i="118"/>
  <c r="R113" i="118"/>
  <c r="R129" i="118"/>
  <c r="R59" i="118"/>
  <c r="R42" i="118"/>
  <c r="R74" i="118"/>
  <c r="R94" i="118"/>
  <c r="R110" i="118"/>
  <c r="R126" i="118"/>
  <c r="AA38" i="118"/>
  <c r="AA70" i="118"/>
  <c r="AA55" i="118"/>
  <c r="AA53" i="118"/>
  <c r="AA83" i="118"/>
  <c r="AA99" i="118"/>
  <c r="AA115" i="118"/>
  <c r="AA47" i="118"/>
  <c r="AA40" i="118"/>
  <c r="AA108" i="118"/>
  <c r="AA90" i="118"/>
  <c r="AA67" i="118"/>
  <c r="AB79" i="118"/>
  <c r="AB96" i="118"/>
  <c r="AB128" i="118"/>
  <c r="AB62" i="118"/>
  <c r="AB49" i="118"/>
  <c r="AB81" i="118"/>
  <c r="AB97" i="118"/>
  <c r="AB113" i="118"/>
  <c r="AB129" i="118"/>
  <c r="AB72" i="118"/>
  <c r="AB76" i="118"/>
  <c r="D102" i="118"/>
  <c r="R37" i="117"/>
  <c r="R36" i="117"/>
  <c r="R47" i="117"/>
  <c r="R77" i="117"/>
  <c r="R97" i="117"/>
  <c r="R113" i="117"/>
  <c r="R129" i="117"/>
  <c r="R42" i="117"/>
  <c r="R60" i="117"/>
  <c r="R82" i="117"/>
  <c r="R98" i="117"/>
  <c r="R114" i="117"/>
  <c r="R44" i="117"/>
  <c r="R48" i="117"/>
  <c r="R55" i="117"/>
  <c r="R83" i="117"/>
  <c r="R99" i="117"/>
  <c r="R115" i="117"/>
  <c r="R46" i="117"/>
  <c r="R57" i="117"/>
  <c r="R64" i="117"/>
  <c r="R84" i="117"/>
  <c r="R100" i="117"/>
  <c r="R116" i="117"/>
  <c r="R52" i="117"/>
  <c r="R51" i="117"/>
  <c r="R62" i="117"/>
  <c r="R85" i="117"/>
  <c r="R101" i="117"/>
  <c r="R117" i="117"/>
  <c r="R50" i="117"/>
  <c r="R61" i="117"/>
  <c r="R67" i="117"/>
  <c r="R86" i="117"/>
  <c r="R102" i="117"/>
  <c r="R118" i="117"/>
  <c r="R56" i="117"/>
  <c r="R66" i="117"/>
  <c r="R73" i="117"/>
  <c r="R87" i="117"/>
  <c r="R103" i="117"/>
  <c r="R119" i="117"/>
  <c r="R54" i="117"/>
  <c r="R68" i="117"/>
  <c r="R79" i="117"/>
  <c r="R88" i="117"/>
  <c r="R104" i="117"/>
  <c r="R120" i="117"/>
  <c r="R59" i="117"/>
  <c r="R70" i="117"/>
  <c r="R35" i="117"/>
  <c r="R89" i="117"/>
  <c r="R105" i="117"/>
  <c r="R121" i="117"/>
  <c r="R69" i="117"/>
  <c r="R72" i="117"/>
  <c r="R41" i="117"/>
  <c r="R90" i="117"/>
  <c r="R106" i="117"/>
  <c r="R122" i="117"/>
  <c r="R63" i="117"/>
  <c r="R81" i="117"/>
  <c r="R39" i="117"/>
  <c r="R91" i="117"/>
  <c r="R107" i="117"/>
  <c r="R123" i="117"/>
  <c r="R76" i="117"/>
  <c r="R75" i="117"/>
  <c r="R45" i="117"/>
  <c r="R92" i="117"/>
  <c r="R108" i="117"/>
  <c r="R124" i="117"/>
  <c r="R74" i="117"/>
  <c r="R40" i="117"/>
  <c r="R58" i="117"/>
  <c r="R93" i="117"/>
  <c r="R109" i="117"/>
  <c r="R125" i="117"/>
  <c r="R80" i="117"/>
  <c r="R34" i="117"/>
  <c r="R53" i="117"/>
  <c r="R94" i="117"/>
  <c r="R110" i="117"/>
  <c r="R126" i="117"/>
  <c r="R78" i="117"/>
  <c r="R43" i="117"/>
  <c r="R65" i="117"/>
  <c r="R95" i="117"/>
  <c r="R111" i="117"/>
  <c r="R127" i="117"/>
  <c r="R38" i="117"/>
  <c r="R49" i="117"/>
  <c r="R71" i="117"/>
  <c r="R96" i="117"/>
  <c r="R112" i="117"/>
  <c r="R128" i="117"/>
  <c r="F18" i="118"/>
  <c r="G102" i="117"/>
  <c r="B84" i="118"/>
  <c r="D19" i="118" s="1"/>
  <c r="AC98" i="118" s="1"/>
  <c r="AC91" i="117"/>
  <c r="AC59" i="117"/>
  <c r="AC87" i="117"/>
  <c r="AC55" i="117"/>
  <c r="AC84" i="117"/>
  <c r="AC52" i="117"/>
  <c r="AC115" i="117"/>
  <c r="AC83" i="117"/>
  <c r="AC51" i="117"/>
  <c r="AC112" i="117"/>
  <c r="AC80" i="117"/>
  <c r="AC48" i="117"/>
  <c r="AC111" i="117"/>
  <c r="AC79" i="117"/>
  <c r="AC47" i="117"/>
  <c r="AC45" i="117"/>
  <c r="AC108" i="117"/>
  <c r="AC76" i="117"/>
  <c r="AC44" i="117"/>
  <c r="AC107" i="117"/>
  <c r="AC75" i="117"/>
  <c r="AC43" i="117"/>
  <c r="AC41" i="117"/>
  <c r="AC104" i="117"/>
  <c r="AC72" i="117"/>
  <c r="AC40" i="117"/>
  <c r="AC103" i="117"/>
  <c r="AC71" i="117"/>
  <c r="AC39" i="117"/>
  <c r="AC68" i="117"/>
  <c r="AC96" i="117"/>
  <c r="AC61" i="117"/>
  <c r="AD38" i="118"/>
  <c r="AD70" i="118"/>
  <c r="AD102" i="118"/>
  <c r="AD39" i="118"/>
  <c r="AD71" i="118"/>
  <c r="AD103" i="118"/>
  <c r="AD40" i="118"/>
  <c r="AD72" i="118"/>
  <c r="AD104" i="118"/>
  <c r="AD41" i="118"/>
  <c r="AD73" i="118"/>
  <c r="AD105" i="118"/>
  <c r="AC57" i="117"/>
  <c r="AC81" i="117"/>
  <c r="AC74" i="117"/>
  <c r="AC98" i="117"/>
  <c r="AC36" i="117"/>
  <c r="AC126" i="117"/>
  <c r="AC64" i="117"/>
  <c r="AC124" i="117"/>
  <c r="AD42" i="118"/>
  <c r="AD74" i="118"/>
  <c r="AD106" i="118"/>
  <c r="AD43" i="118"/>
  <c r="AD75" i="118"/>
  <c r="AD107" i="118"/>
  <c r="AD44" i="118"/>
  <c r="AD76" i="118"/>
  <c r="AD108" i="118"/>
  <c r="AD45" i="118"/>
  <c r="AD77" i="118"/>
  <c r="AD109" i="118"/>
  <c r="AC120" i="117"/>
  <c r="AC114" i="117"/>
  <c r="AC49" i="117"/>
  <c r="AC42" i="117"/>
  <c r="AC102" i="117"/>
  <c r="AC66" i="117"/>
  <c r="AC99" i="117"/>
  <c r="AC94" i="117"/>
  <c r="AC127" i="117"/>
  <c r="AC92" i="117"/>
  <c r="AD46" i="118"/>
  <c r="AD78" i="118"/>
  <c r="AD110" i="118"/>
  <c r="AD47" i="118"/>
  <c r="AD79" i="118"/>
  <c r="AD111" i="118"/>
  <c r="AD48" i="118"/>
  <c r="AD80" i="118"/>
  <c r="AD112" i="118"/>
  <c r="AD49" i="118"/>
  <c r="AD81" i="118"/>
  <c r="AD113" i="118"/>
  <c r="AC88" i="117"/>
  <c r="AC82" i="117"/>
  <c r="AC109" i="117"/>
  <c r="AC70" i="117"/>
  <c r="AC34" i="117"/>
  <c r="AC67" i="117"/>
  <c r="AC62" i="117"/>
  <c r="AC95" i="117"/>
  <c r="AC122" i="117"/>
  <c r="AC60" i="117"/>
  <c r="AD50" i="118"/>
  <c r="AD82" i="118"/>
  <c r="AD114" i="118"/>
  <c r="AD51" i="118"/>
  <c r="AD83" i="118"/>
  <c r="AD115" i="118"/>
  <c r="AD52" i="118"/>
  <c r="AD84" i="118"/>
  <c r="AD116" i="118"/>
  <c r="AD53" i="118"/>
  <c r="AD85" i="118"/>
  <c r="AD117" i="118"/>
  <c r="AC118" i="117"/>
  <c r="AC56" i="117"/>
  <c r="AC50" i="117"/>
  <c r="AC77" i="117"/>
  <c r="AC38" i="117"/>
  <c r="AC101" i="117"/>
  <c r="AC35" i="117"/>
  <c r="AC129" i="117"/>
  <c r="AC63" i="117"/>
  <c r="AC90" i="117"/>
  <c r="AC123" i="117"/>
  <c r="AD54" i="118"/>
  <c r="AD86" i="118"/>
  <c r="AD118" i="118"/>
  <c r="AD55" i="118"/>
  <c r="AD87" i="118"/>
  <c r="AD119" i="118"/>
  <c r="AD56" i="118"/>
  <c r="AD88" i="118"/>
  <c r="AD120" i="118"/>
  <c r="AD57" i="118"/>
  <c r="AD89" i="118"/>
  <c r="AD121" i="118"/>
  <c r="AC86" i="117"/>
  <c r="AC119" i="117"/>
  <c r="AC117" i="117"/>
  <c r="AC110" i="117"/>
  <c r="H18" i="118"/>
  <c r="AC105" i="117"/>
  <c r="AC69" i="117"/>
  <c r="AC97" i="117"/>
  <c r="I19" i="117"/>
  <c r="AC58" i="117"/>
  <c r="H19" i="117"/>
  <c r="AD58" i="118"/>
  <c r="AD90" i="118"/>
  <c r="AD122" i="118"/>
  <c r="AD59" i="118"/>
  <c r="AD91" i="118"/>
  <c r="AD123" i="118"/>
  <c r="AD60" i="118"/>
  <c r="AD92" i="118"/>
  <c r="AD124" i="118"/>
  <c r="AD61" i="118"/>
  <c r="AD93" i="118"/>
  <c r="AD125" i="118"/>
  <c r="AC54" i="117"/>
  <c r="AC85" i="117"/>
  <c r="AC78" i="117"/>
  <c r="AC73" i="117"/>
  <c r="AC37" i="117"/>
  <c r="AC65" i="117"/>
  <c r="AC125" i="117"/>
  <c r="I18" i="118"/>
  <c r="AD62" i="118"/>
  <c r="AD94" i="118"/>
  <c r="AD126" i="118"/>
  <c r="AD63" i="118"/>
  <c r="AD95" i="118"/>
  <c r="AD127" i="118"/>
  <c r="AD64" i="118"/>
  <c r="AD96" i="118"/>
  <c r="AD128" i="118"/>
  <c r="AD65" i="118"/>
  <c r="AD97" i="118"/>
  <c r="AD129" i="118"/>
  <c r="AC121" i="117"/>
  <c r="AC53" i="117"/>
  <c r="AC46" i="117"/>
  <c r="AC100" i="117"/>
  <c r="AC128" i="117"/>
  <c r="AC93" i="117"/>
  <c r="AD34" i="118"/>
  <c r="AD66" i="118"/>
  <c r="AD98" i="118"/>
  <c r="AD35" i="118"/>
  <c r="AD67" i="118"/>
  <c r="AD99" i="118"/>
  <c r="AD36" i="118"/>
  <c r="AD68" i="118"/>
  <c r="AD100" i="118"/>
  <c r="AD37" i="118"/>
  <c r="AD69" i="118"/>
  <c r="AD101" i="118"/>
  <c r="AC89" i="117"/>
  <c r="AC116" i="117"/>
  <c r="AC113" i="117"/>
  <c r="AC106" i="117"/>
  <c r="B83" i="118"/>
  <c r="K8" i="118"/>
  <c r="C83" i="118"/>
  <c r="C84" i="118"/>
  <c r="E19" i="118" s="1"/>
  <c r="H84" i="118"/>
  <c r="B103" i="118"/>
  <c r="B104" i="118"/>
  <c r="F104" i="118"/>
  <c r="F103" i="118"/>
  <c r="G102" i="118"/>
  <c r="F22" i="117" a="1"/>
  <c r="F22" i="117" s="1"/>
  <c r="G7" i="117"/>
  <c r="AC117" i="118" l="1"/>
  <c r="AC39" i="118"/>
  <c r="AC34" i="118"/>
  <c r="AC35" i="118"/>
  <c r="AC61" i="118"/>
  <c r="AC115" i="118"/>
  <c r="AC113" i="118"/>
  <c r="AC89" i="118"/>
  <c r="AC101" i="118"/>
  <c r="AC97" i="118"/>
  <c r="AC124" i="118"/>
  <c r="AC57" i="118"/>
  <c r="AC47" i="118"/>
  <c r="AC69" i="118"/>
  <c r="AC65" i="118"/>
  <c r="AC60" i="118"/>
  <c r="AC88" i="118"/>
  <c r="H19" i="118"/>
  <c r="AC100" i="118"/>
  <c r="AC96" i="118"/>
  <c r="AC114" i="118"/>
  <c r="AC67" i="118"/>
  <c r="AC82" i="118"/>
  <c r="AC122" i="118"/>
  <c r="AC51" i="118"/>
  <c r="AC110" i="118"/>
  <c r="AC108" i="118"/>
  <c r="AC68" i="118"/>
  <c r="AC126" i="118"/>
  <c r="AC64" i="118"/>
  <c r="AC90" i="118"/>
  <c r="AC123" i="118"/>
  <c r="AC118" i="118"/>
  <c r="AC56" i="118"/>
  <c r="AC85" i="118"/>
  <c r="AC81" i="118"/>
  <c r="AC36" i="118"/>
  <c r="AC94" i="118"/>
  <c r="AC127" i="118"/>
  <c r="AC58" i="118"/>
  <c r="AC91" i="118"/>
  <c r="AC86" i="118"/>
  <c r="AC119" i="118"/>
  <c r="AC53" i="118"/>
  <c r="AC49" i="118"/>
  <c r="AC66" i="118"/>
  <c r="AC99" i="118"/>
  <c r="AC62" i="118"/>
  <c r="AC95" i="118"/>
  <c r="AC125" i="118"/>
  <c r="AC59" i="118"/>
  <c r="AC54" i="118"/>
  <c r="AC87" i="118"/>
  <c r="AC116" i="118"/>
  <c r="AC80" i="118"/>
  <c r="AC42" i="118"/>
  <c r="AC129" i="118"/>
  <c r="AC63" i="118"/>
  <c r="AC93" i="118"/>
  <c r="AC121" i="118"/>
  <c r="AC55" i="118"/>
  <c r="AC84" i="118"/>
  <c r="AC79" i="118"/>
  <c r="AC109" i="118"/>
  <c r="AC105" i="118"/>
  <c r="AC73" i="118"/>
  <c r="AC37" i="118"/>
  <c r="AC128" i="118"/>
  <c r="AC92" i="118"/>
  <c r="AC120" i="118"/>
  <c r="AC50" i="118"/>
  <c r="AC46" i="118"/>
  <c r="AC77" i="118"/>
  <c r="AC72" i="118"/>
  <c r="AC45" i="118"/>
  <c r="AC40" i="118"/>
  <c r="AC52" i="118"/>
  <c r="AC112" i="118"/>
  <c r="AC107" i="118"/>
  <c r="AC75" i="118"/>
  <c r="AC102" i="118"/>
  <c r="AC83" i="118"/>
  <c r="AC48" i="118"/>
  <c r="AC74" i="118"/>
  <c r="AC43" i="118"/>
  <c r="AC38" i="118"/>
  <c r="F7" i="117"/>
  <c r="AC71" i="118"/>
  <c r="F7" i="118"/>
  <c r="G7" i="118"/>
  <c r="AC76" i="118"/>
  <c r="AC41" i="118"/>
  <c r="AC78" i="118"/>
  <c r="AC111" i="118"/>
  <c r="AC106" i="118"/>
  <c r="AC44" i="118"/>
  <c r="AC104" i="118"/>
  <c r="AC70" i="118"/>
  <c r="AC103" i="118"/>
  <c r="H7" i="117"/>
  <c r="I19" i="118"/>
  <c r="H7" i="118"/>
  <c r="I7" i="117"/>
  <c r="K15" i="100"/>
  <c r="K15" i="98"/>
  <c r="K15" i="97"/>
  <c r="K15" i="103"/>
  <c r="K15" i="104"/>
  <c r="K15" i="106"/>
  <c r="K15" i="107"/>
  <c r="I7" i="118" l="1"/>
  <c r="K7" i="118" s="1"/>
  <c r="Z75" i="117"/>
  <c r="Z67" i="117"/>
  <c r="Z51" i="117"/>
  <c r="Z38" i="117"/>
  <c r="Z71" i="117"/>
  <c r="Z62" i="117"/>
  <c r="Z46" i="117"/>
  <c r="Z57" i="117"/>
  <c r="Z78" i="117"/>
  <c r="Z81" i="117"/>
  <c r="Z54" i="117"/>
  <c r="Z68" i="117"/>
  <c r="Z44" i="117"/>
  <c r="Z35" i="117"/>
  <c r="Z65" i="117"/>
  <c r="Z49" i="117"/>
  <c r="Z52" i="117"/>
  <c r="Z47" i="117"/>
  <c r="Z60" i="117"/>
  <c r="Z63" i="117"/>
  <c r="Z55" i="117"/>
  <c r="Z79" i="117"/>
  <c r="Z70" i="117"/>
  <c r="Z73" i="117"/>
  <c r="Z41" i="117"/>
  <c r="Z36" i="117"/>
  <c r="Z76" i="117"/>
  <c r="Z59" i="117"/>
  <c r="Z43" i="117"/>
  <c r="Z39" i="117"/>
  <c r="Z37" i="117"/>
  <c r="Z48" i="117"/>
  <c r="Z45" i="117"/>
  <c r="Z72" i="117"/>
  <c r="Z69" i="117"/>
  <c r="Z80" i="117"/>
  <c r="Z74" i="117"/>
  <c r="Z50" i="117"/>
  <c r="Z40" i="117"/>
  <c r="Z42" i="117"/>
  <c r="Z53" i="117"/>
  <c r="Z64" i="117"/>
  <c r="Z66" i="117"/>
  <c r="Z61" i="117"/>
  <c r="Z56" i="117"/>
  <c r="Z77" i="117"/>
  <c r="Z34" i="117"/>
  <c r="Z58" i="117"/>
  <c r="Q49" i="117"/>
  <c r="K15" i="101"/>
  <c r="Q80" i="117"/>
  <c r="Q110" i="117"/>
  <c r="Q35" i="117"/>
  <c r="Q52" i="117"/>
  <c r="Q38" i="117"/>
  <c r="Q65" i="117"/>
  <c r="Q113" i="117"/>
  <c r="Q115" i="117"/>
  <c r="Q85" i="117"/>
  <c r="Q88" i="117"/>
  <c r="Q77" i="117"/>
  <c r="Q71" i="117"/>
  <c r="Q126" i="117"/>
  <c r="Q67" i="117"/>
  <c r="Q73" i="117"/>
  <c r="Q69" i="117"/>
  <c r="Q72" i="117"/>
  <c r="Q79" i="117"/>
  <c r="Q37" i="117"/>
  <c r="Q128" i="117"/>
  <c r="Q107" i="117"/>
  <c r="Q61" i="117"/>
  <c r="Q68" i="117"/>
  <c r="Q42" i="117"/>
  <c r="Q109" i="117"/>
  <c r="Q63" i="117"/>
  <c r="Q59" i="117"/>
  <c r="Q94" i="117"/>
  <c r="Q102" i="117"/>
  <c r="Q36" i="117"/>
  <c r="Q76" i="117"/>
  <c r="Q127" i="117"/>
  <c r="Q39" i="117"/>
  <c r="Q53" i="117"/>
  <c r="Q64" i="117"/>
  <c r="Q98" i="117"/>
  <c r="Q96" i="117"/>
  <c r="Q44" i="117"/>
  <c r="Q66" i="117"/>
  <c r="Q95" i="117"/>
  <c r="Q89" i="117"/>
  <c r="Q51" i="117"/>
  <c r="Q46" i="117"/>
  <c r="Q100" i="117"/>
  <c r="Q119" i="117"/>
  <c r="Q40" i="117"/>
  <c r="Q104" i="117"/>
  <c r="Q58" i="117"/>
  <c r="Q99" i="117"/>
  <c r="Q87" i="117"/>
  <c r="Q43" i="117"/>
  <c r="Q106" i="117"/>
  <c r="Q124" i="117"/>
  <c r="Q75" i="117"/>
  <c r="Q34" i="117"/>
  <c r="M34" i="117" s="1"/>
  <c r="Q47" i="117"/>
  <c r="Q84" i="117"/>
  <c r="Q93" i="117"/>
  <c r="Q120" i="117"/>
  <c r="Q108" i="117"/>
  <c r="K7" i="117"/>
  <c r="Q45" i="117"/>
  <c r="Q129" i="117"/>
  <c r="Q111" i="117"/>
  <c r="Q92" i="117"/>
  <c r="Q41" i="117"/>
  <c r="Q70" i="117"/>
  <c r="Q90" i="117"/>
  <c r="Q50" i="117"/>
  <c r="Q82" i="117"/>
  <c r="Q57" i="117"/>
  <c r="Q125" i="117"/>
  <c r="Q97" i="117"/>
  <c r="Q114" i="117"/>
  <c r="Q112" i="117"/>
  <c r="Q123" i="117"/>
  <c r="Q55" i="117"/>
  <c r="Q62" i="117"/>
  <c r="Q121" i="117"/>
  <c r="Q116" i="117"/>
  <c r="Q48" i="117"/>
  <c r="Q105" i="117"/>
  <c r="Q86" i="117"/>
  <c r="Q81" i="117"/>
  <c r="Q91" i="117"/>
  <c r="Q103" i="117"/>
  <c r="Q101" i="117"/>
  <c r="Q78" i="117"/>
  <c r="Q122" i="117"/>
  <c r="Q118" i="117"/>
  <c r="Q117" i="117"/>
  <c r="Q74" i="117"/>
  <c r="Q83" i="117"/>
  <c r="Q60" i="117"/>
  <c r="Q56" i="117"/>
  <c r="Q54" i="117"/>
  <c r="I24" i="15"/>
  <c r="C11" i="104" s="1"/>
  <c r="J24" i="15"/>
  <c r="C11" i="103" s="1"/>
  <c r="L24" i="15"/>
  <c r="C11" i="97" s="1"/>
  <c r="M24" i="15"/>
  <c r="C11" i="98" s="1"/>
  <c r="O24" i="15"/>
  <c r="C11" i="100" s="1"/>
  <c r="Q43" i="118" l="1"/>
  <c r="Q72" i="118"/>
  <c r="Q48" i="118"/>
  <c r="Q113" i="118"/>
  <c r="Q87" i="118"/>
  <c r="Q78" i="118"/>
  <c r="Q114" i="118"/>
  <c r="Q112" i="118"/>
  <c r="Q57" i="118"/>
  <c r="Z40" i="118"/>
  <c r="Q66" i="118"/>
  <c r="Q83" i="118"/>
  <c r="Q96" i="118"/>
  <c r="Q37" i="118"/>
  <c r="Q62" i="118"/>
  <c r="Q94" i="118"/>
  <c r="Z50" i="118"/>
  <c r="Q111" i="118"/>
  <c r="Q67" i="118"/>
  <c r="Q123" i="118"/>
  <c r="Q60" i="118"/>
  <c r="Q70" i="118"/>
  <c r="Q107" i="118"/>
  <c r="Q97" i="118"/>
  <c r="Q68" i="118"/>
  <c r="Q120" i="118"/>
  <c r="Q85" i="118"/>
  <c r="Q82" i="118"/>
  <c r="Q92" i="118"/>
  <c r="Z56" i="118"/>
  <c r="Z78" i="118"/>
  <c r="Q49" i="118"/>
  <c r="Q45" i="118"/>
  <c r="Q54" i="118"/>
  <c r="Q95" i="118"/>
  <c r="Q71" i="118"/>
  <c r="Q102" i="118"/>
  <c r="Q121" i="118"/>
  <c r="Q103" i="118"/>
  <c r="Q89" i="118"/>
  <c r="Q116" i="118"/>
  <c r="Q104" i="118"/>
  <c r="Z67" i="118"/>
  <c r="Z79" i="118"/>
  <c r="Q77" i="118"/>
  <c r="Q108" i="118"/>
  <c r="Z72" i="118"/>
  <c r="Q100" i="118"/>
  <c r="Q42" i="118"/>
  <c r="Q81" i="118"/>
  <c r="Q53" i="118"/>
  <c r="Q39" i="118"/>
  <c r="Q117" i="118"/>
  <c r="Q84" i="118"/>
  <c r="Q75" i="118"/>
  <c r="Q46" i="118"/>
  <c r="Q125" i="118"/>
  <c r="Q50" i="118"/>
  <c r="Q109" i="118"/>
  <c r="Q56" i="118"/>
  <c r="Q128" i="118"/>
  <c r="Z55" i="118"/>
  <c r="Z62" i="118"/>
  <c r="Q55" i="118"/>
  <c r="Q91" i="118"/>
  <c r="Q119" i="118"/>
  <c r="Q88" i="118"/>
  <c r="Q41" i="118"/>
  <c r="Q63" i="118"/>
  <c r="Q101" i="118"/>
  <c r="Q36" i="118"/>
  <c r="Q118" i="118"/>
  <c r="Q44" i="118"/>
  <c r="Q115" i="118"/>
  <c r="Q98" i="118"/>
  <c r="Z34" i="118"/>
  <c r="V34" i="118" s="1"/>
  <c r="Z73" i="118"/>
  <c r="Z74" i="118"/>
  <c r="Q51" i="118"/>
  <c r="Q126" i="118"/>
  <c r="Q124" i="118"/>
  <c r="Q80" i="118"/>
  <c r="Q73" i="118"/>
  <c r="Q110" i="118"/>
  <c r="Q86" i="118"/>
  <c r="Q90" i="118"/>
  <c r="Q40" i="118"/>
  <c r="Q65" i="118"/>
  <c r="Q79" i="118"/>
  <c r="Q74" i="118"/>
  <c r="Q99" i="118"/>
  <c r="Q93" i="118"/>
  <c r="Q52" i="118"/>
  <c r="Q69" i="118"/>
  <c r="Z64" i="118"/>
  <c r="Z58" i="118"/>
  <c r="Z39" i="118"/>
  <c r="Q59" i="118"/>
  <c r="Z68" i="118"/>
  <c r="Q34" i="118"/>
  <c r="M34" i="118" s="1"/>
  <c r="Q122" i="118"/>
  <c r="Q58" i="118"/>
  <c r="Q129" i="118"/>
  <c r="Q35" i="118"/>
  <c r="Q61" i="118"/>
  <c r="Q105" i="118"/>
  <c r="Q127" i="118"/>
  <c r="Q64" i="118"/>
  <c r="Q76" i="118"/>
  <c r="Q106" i="118"/>
  <c r="Q47" i="118"/>
  <c r="Q38" i="118"/>
  <c r="Z35" i="118"/>
  <c r="Z47" i="118"/>
  <c r="Z45" i="118"/>
  <c r="Z43" i="118"/>
  <c r="Z75" i="118"/>
  <c r="Z65" i="118"/>
  <c r="Z41" i="118"/>
  <c r="Z52" i="118"/>
  <c r="Z61" i="118"/>
  <c r="Z48" i="118"/>
  <c r="Z59" i="118"/>
  <c r="Z81" i="118"/>
  <c r="Z38" i="118"/>
  <c r="Z57" i="118"/>
  <c r="Z37" i="118"/>
  <c r="Z71" i="118"/>
  <c r="Z76" i="118"/>
  <c r="Z42" i="118"/>
  <c r="Z63" i="118"/>
  <c r="Z77" i="118"/>
  <c r="Z51" i="118"/>
  <c r="Z36" i="118"/>
  <c r="Z49" i="118"/>
  <c r="Z70" i="118"/>
  <c r="Z46" i="118"/>
  <c r="Z53" i="118"/>
  <c r="Z80" i="118"/>
  <c r="Z66" i="118"/>
  <c r="Z54" i="118"/>
  <c r="Z60" i="118"/>
  <c r="Z44" i="118"/>
  <c r="Z69" i="118"/>
  <c r="V34" i="117"/>
  <c r="V35" i="117" s="1"/>
  <c r="V36" i="117" s="1"/>
  <c r="V37" i="117" s="1"/>
  <c r="V38" i="117" s="1"/>
  <c r="V39" i="117" s="1"/>
  <c r="V40" i="117" s="1"/>
  <c r="V41" i="117" s="1"/>
  <c r="V42" i="117" s="1"/>
  <c r="V43" i="117" s="1"/>
  <c r="V44" i="117" s="1"/>
  <c r="V45" i="117" s="1"/>
  <c r="V46" i="117" s="1"/>
  <c r="V47" i="117" s="1"/>
  <c r="V48" i="117" s="1"/>
  <c r="V49" i="117" s="1"/>
  <c r="V50" i="117" s="1"/>
  <c r="V51" i="117" s="1"/>
  <c r="V52" i="117" s="1"/>
  <c r="V53" i="117" s="1"/>
  <c r="V54" i="117" s="1"/>
  <c r="V55" i="117" s="1"/>
  <c r="V56" i="117" s="1"/>
  <c r="V57" i="117" s="1"/>
  <c r="V58" i="117" s="1"/>
  <c r="V59" i="117" s="1"/>
  <c r="V60" i="117" s="1"/>
  <c r="V61" i="117" s="1"/>
  <c r="V62" i="117" s="1"/>
  <c r="V63" i="117" s="1"/>
  <c r="V64" i="117" s="1"/>
  <c r="V65" i="117" s="1"/>
  <c r="V66" i="117" s="1"/>
  <c r="V67" i="117" s="1"/>
  <c r="V68" i="117" s="1"/>
  <c r="V69" i="117" s="1"/>
  <c r="V70" i="117" s="1"/>
  <c r="V71" i="117" s="1"/>
  <c r="V72" i="117" s="1"/>
  <c r="V73" i="117" s="1"/>
  <c r="V74" i="117" s="1"/>
  <c r="V75" i="117" s="1"/>
  <c r="V76" i="117" s="1"/>
  <c r="V77" i="117" s="1"/>
  <c r="V78" i="117" s="1"/>
  <c r="V79" i="117" s="1"/>
  <c r="V80" i="117" s="1"/>
  <c r="V81" i="117" s="1"/>
  <c r="V82" i="117" s="1"/>
  <c r="M35" i="117"/>
  <c r="M36" i="117" s="1"/>
  <c r="M37" i="117" s="1"/>
  <c r="M38" i="117" s="1"/>
  <c r="M39" i="117" s="1"/>
  <c r="M40" i="117" s="1"/>
  <c r="M41" i="117" s="1"/>
  <c r="M42" i="117" s="1"/>
  <c r="M43" i="117" s="1"/>
  <c r="M44" i="117" s="1"/>
  <c r="M45" i="117" s="1"/>
  <c r="M46" i="117" s="1"/>
  <c r="M47" i="117" s="1"/>
  <c r="M48" i="117" s="1"/>
  <c r="M49" i="117" s="1"/>
  <c r="M50" i="117" s="1"/>
  <c r="M51" i="117" s="1"/>
  <c r="M52" i="117" s="1"/>
  <c r="M53" i="117" s="1"/>
  <c r="M54" i="117" s="1"/>
  <c r="M55" i="117" s="1"/>
  <c r="M56" i="117" s="1"/>
  <c r="M57" i="117" s="1"/>
  <c r="M58" i="117" s="1"/>
  <c r="M59" i="117" s="1"/>
  <c r="M60" i="117" s="1"/>
  <c r="M61" i="117" s="1"/>
  <c r="M62" i="117" s="1"/>
  <c r="M63" i="117" s="1"/>
  <c r="M64" i="117" s="1"/>
  <c r="M65" i="117" s="1"/>
  <c r="M66" i="117" s="1"/>
  <c r="M67" i="117" s="1"/>
  <c r="M68" i="117" s="1"/>
  <c r="M69" i="117" s="1"/>
  <c r="M70" i="117" s="1"/>
  <c r="M71" i="117" s="1"/>
  <c r="M72" i="117" s="1"/>
  <c r="M73" i="117" s="1"/>
  <c r="M74" i="117" s="1"/>
  <c r="M75" i="117" s="1"/>
  <c r="M76" i="117" s="1"/>
  <c r="M77" i="117" s="1"/>
  <c r="M78" i="117" s="1"/>
  <c r="M79" i="117" s="1"/>
  <c r="M80" i="117" s="1"/>
  <c r="M81" i="117" s="1"/>
  <c r="M82" i="117" s="1"/>
  <c r="M83" i="117" s="1"/>
  <c r="M84" i="117" s="1"/>
  <c r="M85" i="117" s="1"/>
  <c r="M86" i="117" s="1"/>
  <c r="M87" i="117" s="1"/>
  <c r="M88" i="117" s="1"/>
  <c r="M89" i="117" s="1"/>
  <c r="M90" i="117" s="1"/>
  <c r="M91" i="117" s="1"/>
  <c r="M92" i="117" s="1"/>
  <c r="M93" i="117" s="1"/>
  <c r="M94" i="117" s="1"/>
  <c r="M95" i="117" s="1"/>
  <c r="M96" i="117" s="1"/>
  <c r="M97" i="117" s="1"/>
  <c r="M98" i="117" s="1"/>
  <c r="M99" i="117" s="1"/>
  <c r="M100" i="117" s="1"/>
  <c r="M101" i="117" s="1"/>
  <c r="M102" i="117" s="1"/>
  <c r="M103" i="117" s="1"/>
  <c r="M104" i="117" s="1"/>
  <c r="M105" i="117" s="1"/>
  <c r="M106" i="117" s="1"/>
  <c r="M107" i="117" s="1"/>
  <c r="M108" i="117" s="1"/>
  <c r="M109" i="117" s="1"/>
  <c r="M110" i="117" s="1"/>
  <c r="M111" i="117" s="1"/>
  <c r="M112" i="117" s="1"/>
  <c r="M113" i="117" s="1"/>
  <c r="M114" i="117" s="1"/>
  <c r="M115" i="117" s="1"/>
  <c r="M116" i="117" s="1"/>
  <c r="M117" i="117" s="1"/>
  <c r="M118" i="117" s="1"/>
  <c r="M119" i="117" s="1"/>
  <c r="M120" i="117" s="1"/>
  <c r="M121" i="117" s="1"/>
  <c r="M122" i="117" s="1"/>
  <c r="M123" i="117" s="1"/>
  <c r="M124" i="117" s="1"/>
  <c r="M125" i="117" s="1"/>
  <c r="M126" i="117" s="1"/>
  <c r="M127" i="117" s="1"/>
  <c r="M128" i="117" s="1"/>
  <c r="M129" i="117" s="1"/>
  <c r="M130" i="117" s="1"/>
  <c r="F11" i="100"/>
  <c r="D11" i="100"/>
  <c r="F11" i="98"/>
  <c r="D11" i="98"/>
  <c r="D11" i="97"/>
  <c r="F11" i="97"/>
  <c r="F11" i="103"/>
  <c r="D11" i="103"/>
  <c r="D11" i="104"/>
  <c r="F11" i="104"/>
  <c r="M35" i="118" l="1"/>
  <c r="M36" i="118" s="1"/>
  <c r="M37" i="118" s="1"/>
  <c r="M38" i="118" s="1"/>
  <c r="M39" i="118" s="1"/>
  <c r="M40" i="118" s="1"/>
  <c r="M41" i="118" s="1"/>
  <c r="M42" i="118" s="1"/>
  <c r="M43" i="118" s="1"/>
  <c r="M44" i="118" s="1"/>
  <c r="M45" i="118" s="1"/>
  <c r="M46" i="118" s="1"/>
  <c r="M47" i="118" s="1"/>
  <c r="M48" i="118" s="1"/>
  <c r="M49" i="118" s="1"/>
  <c r="M50" i="118" s="1"/>
  <c r="M51" i="118" s="1"/>
  <c r="M52" i="118" s="1"/>
  <c r="M53" i="118" s="1"/>
  <c r="M54" i="118" s="1"/>
  <c r="M55" i="118" s="1"/>
  <c r="M56" i="118" s="1"/>
  <c r="M57" i="118" s="1"/>
  <c r="M58" i="118" s="1"/>
  <c r="M59" i="118" s="1"/>
  <c r="M60" i="118" s="1"/>
  <c r="M61" i="118" s="1"/>
  <c r="M62" i="118" s="1"/>
  <c r="M63" i="118" s="1"/>
  <c r="M64" i="118" s="1"/>
  <c r="M65" i="118" s="1"/>
  <c r="M66" i="118" s="1"/>
  <c r="M67" i="118" s="1"/>
  <c r="M68" i="118" s="1"/>
  <c r="M69" i="118" s="1"/>
  <c r="M70" i="118" s="1"/>
  <c r="M71" i="118" s="1"/>
  <c r="M72" i="118" s="1"/>
  <c r="M73" i="118" s="1"/>
  <c r="M74" i="118" s="1"/>
  <c r="M75" i="118" s="1"/>
  <c r="M76" i="118" s="1"/>
  <c r="M77" i="118" s="1"/>
  <c r="M78" i="118" s="1"/>
  <c r="M79" i="118" s="1"/>
  <c r="M80" i="118" s="1"/>
  <c r="M81" i="118" s="1"/>
  <c r="M82" i="118" s="1"/>
  <c r="M83" i="118" s="1"/>
  <c r="M84" i="118" s="1"/>
  <c r="M85" i="118" s="1"/>
  <c r="M86" i="118" s="1"/>
  <c r="M87" i="118" s="1"/>
  <c r="M88" i="118" s="1"/>
  <c r="M89" i="118" s="1"/>
  <c r="M90" i="118" s="1"/>
  <c r="M91" i="118" s="1"/>
  <c r="M92" i="118" s="1"/>
  <c r="M93" i="118" s="1"/>
  <c r="M94" i="118" s="1"/>
  <c r="M95" i="118" s="1"/>
  <c r="M96" i="118" s="1"/>
  <c r="M97" i="118" s="1"/>
  <c r="M98" i="118" s="1"/>
  <c r="M99" i="118" s="1"/>
  <c r="M100" i="118" s="1"/>
  <c r="M101" i="118" s="1"/>
  <c r="M102" i="118" s="1"/>
  <c r="M103" i="118" s="1"/>
  <c r="M104" i="118" s="1"/>
  <c r="M105" i="118" s="1"/>
  <c r="M106" i="118" s="1"/>
  <c r="M107" i="118" s="1"/>
  <c r="M108" i="118" s="1"/>
  <c r="M109" i="118" s="1"/>
  <c r="M110" i="118" s="1"/>
  <c r="M111" i="118" s="1"/>
  <c r="M112" i="118" s="1"/>
  <c r="M113" i="118" s="1"/>
  <c r="M114" i="118" s="1"/>
  <c r="M115" i="118" s="1"/>
  <c r="M116" i="118" s="1"/>
  <c r="M117" i="118" s="1"/>
  <c r="M118" i="118" s="1"/>
  <c r="M119" i="118" s="1"/>
  <c r="M120" i="118" s="1"/>
  <c r="M121" i="118" s="1"/>
  <c r="M122" i="118" s="1"/>
  <c r="M123" i="118" s="1"/>
  <c r="M124" i="118" s="1"/>
  <c r="M125" i="118" s="1"/>
  <c r="M126" i="118" s="1"/>
  <c r="M127" i="118" s="1"/>
  <c r="M128" i="118" s="1"/>
  <c r="M129" i="118" s="1"/>
  <c r="M130" i="118" s="1"/>
  <c r="V35" i="118"/>
  <c r="V36" i="118" s="1"/>
  <c r="V37" i="118" s="1"/>
  <c r="V38" i="118" s="1"/>
  <c r="V39" i="118" s="1"/>
  <c r="V40" i="118" s="1"/>
  <c r="V41" i="118" s="1"/>
  <c r="V42" i="118" s="1"/>
  <c r="V43" i="118" s="1"/>
  <c r="V44" i="118" s="1"/>
  <c r="V45" i="118" s="1"/>
  <c r="V46" i="118" s="1"/>
  <c r="V47" i="118" s="1"/>
  <c r="V48" i="118" s="1"/>
  <c r="V49" i="118" s="1"/>
  <c r="V50" i="118" s="1"/>
  <c r="V51" i="118" s="1"/>
  <c r="V52" i="118" s="1"/>
  <c r="V53" i="118" s="1"/>
  <c r="V54" i="118" s="1"/>
  <c r="V55" i="118" s="1"/>
  <c r="V56" i="118" s="1"/>
  <c r="V57" i="118" s="1"/>
  <c r="V58" i="118" s="1"/>
  <c r="V59" i="118" s="1"/>
  <c r="V60" i="118" s="1"/>
  <c r="V61" i="118" s="1"/>
  <c r="V62" i="118" s="1"/>
  <c r="V63" i="118" s="1"/>
  <c r="V64" i="118" s="1"/>
  <c r="V65" i="118" s="1"/>
  <c r="V66" i="118" s="1"/>
  <c r="V67" i="118" s="1"/>
  <c r="V68" i="118" s="1"/>
  <c r="V69" i="118" s="1"/>
  <c r="V70" i="118" s="1"/>
  <c r="V71" i="118" s="1"/>
  <c r="V72" i="118" s="1"/>
  <c r="V73" i="118" s="1"/>
  <c r="V74" i="118" s="1"/>
  <c r="V75" i="118" s="1"/>
  <c r="V76" i="118" s="1"/>
  <c r="V77" i="118" s="1"/>
  <c r="V78" i="118" s="1"/>
  <c r="V79" i="118" s="1"/>
  <c r="V80" i="118" s="1"/>
  <c r="V81" i="118" s="1"/>
  <c r="V82" i="118" s="1"/>
  <c r="Z31" i="117" a="1"/>
  <c r="Z31" i="117" s="1"/>
  <c r="U30" i="117" s="1"/>
  <c r="V29" i="117"/>
  <c r="Q31" i="117" a="1"/>
  <c r="Q31" i="117" s="1"/>
  <c r="L30" i="117" s="1"/>
  <c r="U29" i="117" s="1"/>
  <c r="W29" i="117" s="1"/>
  <c r="F10" i="15"/>
  <c r="AA92" i="15"/>
  <c r="AA91" i="15"/>
  <c r="AA89" i="15"/>
  <c r="AA88" i="15"/>
  <c r="AA84" i="15"/>
  <c r="AA83" i="15"/>
  <c r="AA81" i="15"/>
  <c r="AA59" i="15"/>
  <c r="AA58" i="15"/>
  <c r="AA57" i="15"/>
  <c r="AA41" i="15"/>
  <c r="AA40" i="15"/>
  <c r="AA14" i="15"/>
  <c r="AA13" i="15"/>
  <c r="AA12" i="15"/>
  <c r="AA23" i="15" a="1"/>
  <c r="V22" i="15" a="1"/>
  <c r="Q31" i="118" l="1" a="1"/>
  <c r="Q31" i="118" s="1"/>
  <c r="L30" i="118" s="1"/>
  <c r="U29" i="118" s="1"/>
  <c r="W29" i="118" s="1"/>
  <c r="V29" i="118"/>
  <c r="K12" i="107"/>
  <c r="AA102" i="15"/>
  <c r="AA101" i="15"/>
  <c r="AA104" i="15"/>
  <c r="V22" i="15"/>
  <c r="Z31" i="118" a="1"/>
  <c r="Z31" i="118" s="1"/>
  <c r="U30" i="118" s="1"/>
  <c r="AA103" i="15"/>
  <c r="AA23" i="15"/>
  <c r="Y68" i="15" a="1"/>
  <c r="Y68" i="15" s="1"/>
  <c r="F23" i="118" l="1"/>
  <c r="Y67" i="15" a="1"/>
  <c r="Y67" i="15" s="1"/>
  <c r="Y66" i="15" l="1" a="1"/>
  <c r="Y66" i="15" s="1"/>
  <c r="AA70" i="15" a="1"/>
  <c r="AA77" i="15" a="1"/>
  <c r="AA78" i="15" a="1"/>
  <c r="AA69" i="15" a="1"/>
  <c r="AA78" i="15" l="1"/>
  <c r="AA77" i="15"/>
  <c r="AA69" i="15"/>
  <c r="AA70" i="15"/>
  <c r="Y65" i="15" a="1"/>
  <c r="Y65" i="15" s="1"/>
  <c r="H47" i="15"/>
  <c r="Z3" i="105" s="1"/>
  <c r="K47" i="15"/>
  <c r="Z3" i="95" s="1"/>
  <c r="N47" i="15"/>
  <c r="Z3" i="99" s="1"/>
  <c r="Q47" i="15"/>
  <c r="Z3" i="102" s="1"/>
  <c r="X47" i="15"/>
  <c r="Z3" i="119" s="1"/>
  <c r="G46" i="15"/>
  <c r="Y3" i="106" s="1"/>
  <c r="H46" i="15"/>
  <c r="Y3" i="105" s="1"/>
  <c r="K46" i="15"/>
  <c r="Y3" i="95" s="1"/>
  <c r="M46" i="15"/>
  <c r="Y3" i="98" s="1"/>
  <c r="N46" i="15"/>
  <c r="Y3" i="99" s="1"/>
  <c r="Q46" i="15"/>
  <c r="Y3" i="102" s="1"/>
  <c r="S46" i="15"/>
  <c r="Y3" i="114" s="1"/>
  <c r="X46" i="15"/>
  <c r="Y3" i="119" s="1"/>
  <c r="C45" i="15"/>
  <c r="W3" i="111" s="1"/>
  <c r="E45" i="15"/>
  <c r="W3" i="109" s="1"/>
  <c r="F45" i="15"/>
  <c r="W3" i="107" s="1"/>
  <c r="G45" i="15"/>
  <c r="W3" i="106" s="1"/>
  <c r="H45" i="15"/>
  <c r="W3" i="105" s="1"/>
  <c r="I45" i="15"/>
  <c r="W3" i="104" s="1"/>
  <c r="J45" i="15"/>
  <c r="W3" i="103" s="1"/>
  <c r="K45" i="15"/>
  <c r="W3" i="95" s="1"/>
  <c r="L45" i="15"/>
  <c r="W3" i="97" s="1"/>
  <c r="M45" i="15"/>
  <c r="W3" i="98" s="1"/>
  <c r="N45" i="15"/>
  <c r="W3" i="99" s="1"/>
  <c r="O45" i="15"/>
  <c r="W3" i="100" s="1"/>
  <c r="P45" i="15"/>
  <c r="W3" i="101" s="1"/>
  <c r="Q45" i="15"/>
  <c r="W3" i="102" s="1"/>
  <c r="C44" i="15"/>
  <c r="V3" i="111" s="1"/>
  <c r="X3" i="111" s="1"/>
  <c r="E44" i="15"/>
  <c r="V3" i="109" s="1"/>
  <c r="X3" i="109" s="1"/>
  <c r="F44" i="15"/>
  <c r="V3" i="107" s="1"/>
  <c r="X3" i="107" s="1"/>
  <c r="G44" i="15"/>
  <c r="V3" i="106" s="1"/>
  <c r="X3" i="106" s="1"/>
  <c r="H44" i="15"/>
  <c r="V3" i="105" s="1"/>
  <c r="X3" i="105" s="1"/>
  <c r="I44" i="15"/>
  <c r="V3" i="104" s="1"/>
  <c r="X3" i="104" s="1"/>
  <c r="J44" i="15"/>
  <c r="V3" i="103" s="1"/>
  <c r="X3" i="103" s="1"/>
  <c r="K44" i="15"/>
  <c r="V3" i="95" s="1"/>
  <c r="X3" i="95" s="1"/>
  <c r="L44" i="15"/>
  <c r="V3" i="97" s="1"/>
  <c r="X3" i="97" s="1"/>
  <c r="M44" i="15"/>
  <c r="V3" i="98" s="1"/>
  <c r="X3" i="98" s="1"/>
  <c r="N44" i="15"/>
  <c r="V3" i="99" s="1"/>
  <c r="X3" i="99" s="1"/>
  <c r="O44" i="15"/>
  <c r="V3" i="100" s="1"/>
  <c r="X3" i="100" s="1"/>
  <c r="P44" i="15"/>
  <c r="V3" i="101" s="1"/>
  <c r="X3" i="101" s="1"/>
  <c r="Q44" i="15"/>
  <c r="V3" i="102" s="1"/>
  <c r="X3" i="102" s="1"/>
  <c r="Y98" i="15"/>
  <c r="Z92" i="15"/>
  <c r="Z91" i="15"/>
  <c r="Z89" i="15"/>
  <c r="Z88" i="15"/>
  <c r="Z84" i="15"/>
  <c r="Z83" i="15"/>
  <c r="Z81" i="15"/>
  <c r="Z59" i="15"/>
  <c r="Z58" i="15"/>
  <c r="Z57" i="15"/>
  <c r="Z41" i="15"/>
  <c r="Z40" i="15"/>
  <c r="Z14" i="15"/>
  <c r="Z13" i="15"/>
  <c r="Z12" i="15"/>
  <c r="Z23" i="15" a="1"/>
  <c r="Z102" i="15" l="1"/>
  <c r="Z101" i="15"/>
  <c r="Z104" i="15"/>
  <c r="Z103" i="15"/>
  <c r="Z23" i="15"/>
  <c r="Y99" i="15"/>
  <c r="Y23" i="15" a="1"/>
  <c r="Y23" i="15" l="1"/>
  <c r="Y92" i="15" l="1"/>
  <c r="Y91" i="15"/>
  <c r="Y89" i="15"/>
  <c r="Y88" i="15"/>
  <c r="Y84" i="15"/>
  <c r="Y83" i="15"/>
  <c r="Y81" i="15"/>
  <c r="Y59" i="15"/>
  <c r="Y58" i="15"/>
  <c r="Y57" i="15"/>
  <c r="Y14" i="15"/>
  <c r="Y13" i="15"/>
  <c r="Y12" i="15"/>
  <c r="Z78" i="15" a="1"/>
  <c r="Z69" i="15" a="1"/>
  <c r="Z70" i="15" a="1"/>
  <c r="Z77" i="15" a="1"/>
  <c r="Y104" i="15" l="1"/>
  <c r="Y101" i="15"/>
  <c r="Y102" i="15"/>
  <c r="Z69" i="15"/>
  <c r="Z70" i="15"/>
  <c r="Z78" i="15"/>
  <c r="Z77" i="15"/>
  <c r="Y103" i="15"/>
  <c r="Y32" i="15" a="1"/>
  <c r="Y32" i="15" l="1"/>
  <c r="Y70" i="15" a="1"/>
  <c r="Y69" i="15" a="1"/>
  <c r="Y78" i="15" a="1"/>
  <c r="Y77" i="15" a="1"/>
  <c r="Y69" i="15" l="1"/>
  <c r="Y78" i="15"/>
  <c r="Y77" i="15"/>
  <c r="Y70" i="15"/>
  <c r="Y33" i="15" l="1" a="1"/>
  <c r="Y33" i="15" l="1"/>
  <c r="X58" i="15" l="1"/>
  <c r="Z2" i="119" s="1"/>
  <c r="X57" i="15"/>
  <c r="Y2" i="119" s="1"/>
  <c r="X56" i="15"/>
  <c r="W2" i="119" s="1"/>
  <c r="X55" i="15"/>
  <c r="V2" i="119" s="1"/>
  <c r="X2" i="119" s="1"/>
  <c r="AA3" i="119" l="1"/>
  <c r="AA2" i="119"/>
  <c r="C40" i="15"/>
  <c r="E40" i="15"/>
  <c r="F40" i="15"/>
  <c r="G40" i="15"/>
  <c r="H40" i="15"/>
  <c r="I40" i="15"/>
  <c r="J40" i="15"/>
  <c r="K40" i="15"/>
  <c r="L40" i="15"/>
  <c r="M40" i="15"/>
  <c r="N40" i="15"/>
  <c r="O40" i="15"/>
  <c r="P40" i="15"/>
  <c r="Q40" i="15"/>
  <c r="C41" i="15"/>
  <c r="E41" i="15"/>
  <c r="F41" i="15"/>
  <c r="G41" i="15"/>
  <c r="H41" i="15"/>
  <c r="I41" i="15"/>
  <c r="J41" i="15"/>
  <c r="K41" i="15"/>
  <c r="L41" i="15"/>
  <c r="M41" i="15"/>
  <c r="N41" i="15"/>
  <c r="O41" i="15"/>
  <c r="P41" i="15"/>
  <c r="Q41" i="15"/>
  <c r="V32" i="15" a="1"/>
  <c r="W32" i="15" a="1"/>
  <c r="W32" i="15" l="1"/>
  <c r="V32" i="15"/>
  <c r="G62" i="15" l="1"/>
  <c r="N7" i="106" s="1"/>
  <c r="F62" i="15"/>
  <c r="N7" i="107" s="1"/>
  <c r="J62" i="15"/>
  <c r="N7" i="103" s="1"/>
  <c r="I62" i="15"/>
  <c r="N7" i="104" s="1"/>
  <c r="P62" i="15"/>
  <c r="N7" i="101" s="1"/>
  <c r="O62" i="15"/>
  <c r="N7" i="100" s="1"/>
  <c r="M62" i="15"/>
  <c r="N7" i="98" s="1"/>
  <c r="L62" i="15"/>
  <c r="N7" i="97" s="1"/>
  <c r="O15" i="15"/>
  <c r="P15" i="15"/>
  <c r="L15" i="15"/>
  <c r="M15" i="15"/>
  <c r="I15" i="15"/>
  <c r="J15" i="15"/>
  <c r="G15" i="15"/>
  <c r="F15" i="15"/>
  <c r="E102" i="98" l="1"/>
  <c r="E84" i="98"/>
  <c r="B38" i="98"/>
  <c r="C40" i="98"/>
  <c r="E102" i="100"/>
  <c r="B38" i="100"/>
  <c r="E84" i="100"/>
  <c r="C40" i="100"/>
  <c r="B38" i="104"/>
  <c r="C40" i="104"/>
  <c r="E102" i="104"/>
  <c r="E84" i="104"/>
  <c r="E84" i="97"/>
  <c r="E102" i="97"/>
  <c r="B38" i="97"/>
  <c r="C40" i="97"/>
  <c r="B38" i="103"/>
  <c r="E84" i="103"/>
  <c r="C40" i="103"/>
  <c r="E102" i="103"/>
  <c r="E102" i="101"/>
  <c r="E84" i="101"/>
  <c r="C40" i="101"/>
  <c r="B38" i="101"/>
  <c r="B38" i="107"/>
  <c r="C40" i="107"/>
  <c r="E84" i="107"/>
  <c r="E102" i="107"/>
  <c r="B38" i="106"/>
  <c r="E84" i="106"/>
  <c r="C40" i="106"/>
  <c r="E102" i="106"/>
  <c r="G26" i="15"/>
  <c r="N2" i="106" s="1"/>
  <c r="F26" i="15"/>
  <c r="N2" i="107" s="1"/>
  <c r="F16" i="15"/>
  <c r="G25" i="15"/>
  <c r="F25" i="15"/>
  <c r="P26" i="15"/>
  <c r="N2" i="101" s="1"/>
  <c r="O26" i="15"/>
  <c r="N2" i="100" s="1"/>
  <c r="P16" i="15"/>
  <c r="O16" i="15"/>
  <c r="P25" i="15"/>
  <c r="O25" i="15"/>
  <c r="M26" i="15"/>
  <c r="N2" i="98" s="1"/>
  <c r="L26" i="15"/>
  <c r="N2" i="97" s="1"/>
  <c r="M16" i="15"/>
  <c r="L16" i="15"/>
  <c r="M25" i="15"/>
  <c r="L25" i="15"/>
  <c r="J25" i="15"/>
  <c r="J16" i="15"/>
  <c r="J26" i="15"/>
  <c r="N2" i="103" s="1"/>
  <c r="I25" i="15"/>
  <c r="I16" i="15"/>
  <c r="I26" i="15"/>
  <c r="N2" i="104" s="1"/>
  <c r="P14" i="15"/>
  <c r="K25" i="101" s="1"/>
  <c r="O14" i="15"/>
  <c r="K25" i="100" s="1"/>
  <c r="P13" i="15"/>
  <c r="K24" i="101" s="1"/>
  <c r="O13" i="15"/>
  <c r="K24" i="100" s="1"/>
  <c r="P12" i="15"/>
  <c r="O12" i="15"/>
  <c r="P11" i="15"/>
  <c r="O11" i="15"/>
  <c r="N15" i="100"/>
  <c r="O10" i="15"/>
  <c r="N15" i="98"/>
  <c r="M11" i="15"/>
  <c r="M12" i="15"/>
  <c r="M13" i="15"/>
  <c r="K24" i="98" s="1"/>
  <c r="M14" i="15"/>
  <c r="K25" i="98" s="1"/>
  <c r="N15" i="97"/>
  <c r="L11" i="15"/>
  <c r="L12" i="15"/>
  <c r="L13" i="15"/>
  <c r="K24" i="97" s="1"/>
  <c r="L14" i="15"/>
  <c r="K25" i="97" s="1"/>
  <c r="M10" i="15"/>
  <c r="L10" i="15"/>
  <c r="G14" i="15"/>
  <c r="K25" i="106" s="1"/>
  <c r="G13" i="15"/>
  <c r="K24" i="106" s="1"/>
  <c r="G12" i="15"/>
  <c r="G11" i="15"/>
  <c r="N15" i="106"/>
  <c r="G10" i="15"/>
  <c r="F12" i="15"/>
  <c r="F13" i="15"/>
  <c r="K24" i="107" s="1"/>
  <c r="F14" i="15"/>
  <c r="K25" i="107" s="1"/>
  <c r="N15" i="107" l="1"/>
  <c r="O18" i="107" s="1"/>
  <c r="F102" i="15"/>
  <c r="F101" i="15"/>
  <c r="K19" i="107" s="1"/>
  <c r="K12" i="98"/>
  <c r="O18" i="98" s="1"/>
  <c r="M103" i="15"/>
  <c r="K22" i="98" s="1"/>
  <c r="M101" i="15"/>
  <c r="K19" i="98" s="1"/>
  <c r="M102" i="15"/>
  <c r="M104" i="15"/>
  <c r="K21" i="98" s="1"/>
  <c r="H11" i="104"/>
  <c r="X29" i="104"/>
  <c r="X29" i="107"/>
  <c r="H11" i="107"/>
  <c r="F104" i="15"/>
  <c r="K21" i="107" s="1"/>
  <c r="F103" i="15"/>
  <c r="K22" i="107" s="1"/>
  <c r="K12" i="97"/>
  <c r="O18" i="97" s="1"/>
  <c r="L101" i="15"/>
  <c r="K19" i="97" s="1"/>
  <c r="L102" i="15"/>
  <c r="L103" i="15"/>
  <c r="K22" i="97" s="1"/>
  <c r="L104" i="15"/>
  <c r="K21" i="97" s="1"/>
  <c r="P104" i="15"/>
  <c r="K21" i="101" s="1"/>
  <c r="P103" i="15"/>
  <c r="K22" i="101" s="1"/>
  <c r="K12" i="106"/>
  <c r="O18" i="106" s="1"/>
  <c r="G103" i="15"/>
  <c r="K22" i="106" s="1"/>
  <c r="G104" i="15"/>
  <c r="K21" i="106" s="1"/>
  <c r="G101" i="15"/>
  <c r="K19" i="106" s="1"/>
  <c r="G102" i="15"/>
  <c r="X29" i="106"/>
  <c r="H11" i="106"/>
  <c r="K12" i="100"/>
  <c r="O18" i="100" s="1"/>
  <c r="O103" i="15"/>
  <c r="K22" i="100" s="1"/>
  <c r="O104" i="15"/>
  <c r="K21" i="100" s="1"/>
  <c r="O101" i="15"/>
  <c r="K19" i="100" s="1"/>
  <c r="O102" i="15"/>
  <c r="X29" i="103"/>
  <c r="H11" i="103"/>
  <c r="N15" i="101"/>
  <c r="O18" i="101" s="1"/>
  <c r="P102" i="15"/>
  <c r="P101" i="15"/>
  <c r="K19" i="101" s="1"/>
  <c r="X29" i="98"/>
  <c r="H11" i="98"/>
  <c r="H11" i="97"/>
  <c r="X29" i="97"/>
  <c r="D74" i="107"/>
  <c r="F74" i="107"/>
  <c r="G74" i="107"/>
  <c r="E74" i="107"/>
  <c r="C74" i="107"/>
  <c r="H74" i="107"/>
  <c r="H11" i="100"/>
  <c r="X29" i="100"/>
  <c r="X29" i="101"/>
  <c r="H11" i="101"/>
  <c r="H74" i="100"/>
  <c r="F74" i="100"/>
  <c r="C74" i="100"/>
  <c r="G74" i="100"/>
  <c r="E74" i="100"/>
  <c r="D74" i="100"/>
  <c r="P47" i="15"/>
  <c r="Z3" i="101" s="1"/>
  <c r="J2" i="101"/>
  <c r="J3" i="101"/>
  <c r="J2" i="100"/>
  <c r="J3" i="100"/>
  <c r="J2" i="97"/>
  <c r="J3" i="97"/>
  <c r="M47" i="15"/>
  <c r="Z3" i="98" s="1"/>
  <c r="J2" i="98"/>
  <c r="J3" i="98"/>
  <c r="E74" i="97"/>
  <c r="G74" i="97"/>
  <c r="C74" i="97"/>
  <c r="H74" i="97"/>
  <c r="F74" i="97"/>
  <c r="D74" i="97"/>
  <c r="J2" i="104"/>
  <c r="J3" i="104"/>
  <c r="J2" i="103"/>
  <c r="J3" i="103"/>
  <c r="E74" i="104"/>
  <c r="G74" i="104"/>
  <c r="D74" i="104"/>
  <c r="C74" i="104"/>
  <c r="F74" i="104"/>
  <c r="H74" i="104"/>
  <c r="J2" i="107"/>
  <c r="J3" i="107"/>
  <c r="J47" i="15"/>
  <c r="Z3" i="103" s="1"/>
  <c r="G47" i="15"/>
  <c r="Z3" i="106" s="1"/>
  <c r="K18" i="101" l="1"/>
  <c r="K18" i="100"/>
  <c r="K18" i="98"/>
  <c r="K18" i="97"/>
  <c r="K18" i="107"/>
  <c r="K18" i="106"/>
  <c r="H72" i="101"/>
  <c r="H93" i="101"/>
  <c r="G72" i="101"/>
  <c r="G73" i="101" s="1"/>
  <c r="G93" i="101"/>
  <c r="G93" i="100"/>
  <c r="H72" i="100"/>
  <c r="G72" i="100"/>
  <c r="G73" i="100" s="1"/>
  <c r="H93" i="100"/>
  <c r="H72" i="98"/>
  <c r="H73" i="98" s="1"/>
  <c r="G72" i="98"/>
  <c r="G73" i="98" s="1"/>
  <c r="H93" i="98"/>
  <c r="G93" i="98"/>
  <c r="G72" i="97"/>
  <c r="H93" i="97"/>
  <c r="G93" i="97"/>
  <c r="H72" i="97"/>
  <c r="H93" i="106"/>
  <c r="G93" i="106"/>
  <c r="H72" i="106"/>
  <c r="H73" i="106" s="1"/>
  <c r="G72" i="106"/>
  <c r="G73" i="106" s="1"/>
  <c r="F72" i="106"/>
  <c r="F73" i="106" s="1"/>
  <c r="H72" i="107"/>
  <c r="H73" i="107" s="1"/>
  <c r="G72" i="107"/>
  <c r="G73" i="107" s="1"/>
  <c r="H93" i="107"/>
  <c r="G93" i="107"/>
  <c r="B90" i="98"/>
  <c r="C50" i="98"/>
  <c r="G90" i="98"/>
  <c r="H70" i="98"/>
  <c r="F90" i="98"/>
  <c r="D90" i="98"/>
  <c r="B50" i="98"/>
  <c r="C26" i="98"/>
  <c r="G70" i="98"/>
  <c r="C90" i="98"/>
  <c r="H90" i="98"/>
  <c r="F70" i="98"/>
  <c r="D70" i="98"/>
  <c r="C70" i="98"/>
  <c r="B70" i="98"/>
  <c r="B26" i="98"/>
  <c r="AJ9" i="100"/>
  <c r="AK9" i="100"/>
  <c r="AK9" i="101"/>
  <c r="AJ9" i="101"/>
  <c r="G90" i="106"/>
  <c r="D70" i="106"/>
  <c r="B90" i="106"/>
  <c r="F70" i="106"/>
  <c r="H90" i="106"/>
  <c r="C70" i="106"/>
  <c r="H70" i="106"/>
  <c r="C50" i="106"/>
  <c r="B50" i="106"/>
  <c r="F90" i="106"/>
  <c r="C26" i="106"/>
  <c r="G70" i="106"/>
  <c r="C90" i="106"/>
  <c r="D90" i="106"/>
  <c r="B26" i="106"/>
  <c r="B70" i="106"/>
  <c r="G70" i="107"/>
  <c r="D90" i="107"/>
  <c r="F70" i="107"/>
  <c r="G90" i="107"/>
  <c r="C50" i="107"/>
  <c r="C26" i="107"/>
  <c r="F90" i="107"/>
  <c r="H70" i="107"/>
  <c r="B70" i="107"/>
  <c r="D70" i="107"/>
  <c r="C70" i="107"/>
  <c r="B50" i="107"/>
  <c r="B90" i="107"/>
  <c r="B26" i="107"/>
  <c r="C90" i="107"/>
  <c r="H90" i="107"/>
  <c r="AK9" i="97"/>
  <c r="AJ9" i="97"/>
  <c r="AK9" i="103"/>
  <c r="AJ9" i="103"/>
  <c r="AJ9" i="98"/>
  <c r="AK9" i="98"/>
  <c r="H90" i="103"/>
  <c r="B90" i="103"/>
  <c r="G70" i="103"/>
  <c r="C70" i="103"/>
  <c r="F90" i="103"/>
  <c r="C26" i="103"/>
  <c r="D90" i="103"/>
  <c r="C50" i="103"/>
  <c r="H70" i="103"/>
  <c r="F70" i="103"/>
  <c r="B50" i="103"/>
  <c r="D70" i="103"/>
  <c r="B70" i="103"/>
  <c r="B26" i="103"/>
  <c r="C90" i="103"/>
  <c r="G90" i="103"/>
  <c r="AK9" i="107"/>
  <c r="AJ9" i="107"/>
  <c r="AK9" i="104"/>
  <c r="AJ9" i="104"/>
  <c r="B70" i="97"/>
  <c r="C70" i="97"/>
  <c r="F90" i="97"/>
  <c r="B26" i="97"/>
  <c r="D70" i="97"/>
  <c r="B50" i="97"/>
  <c r="F70" i="97"/>
  <c r="B90" i="97"/>
  <c r="C26" i="97"/>
  <c r="C90" i="97"/>
  <c r="D90" i="97"/>
  <c r="G70" i="97"/>
  <c r="C50" i="97"/>
  <c r="G90" i="97"/>
  <c r="H70" i="97"/>
  <c r="H90" i="97"/>
  <c r="G70" i="104"/>
  <c r="B70" i="104"/>
  <c r="D70" i="104"/>
  <c r="B26" i="104"/>
  <c r="F90" i="104"/>
  <c r="C90" i="104"/>
  <c r="B50" i="104"/>
  <c r="B90" i="104"/>
  <c r="C50" i="104"/>
  <c r="C26" i="104"/>
  <c r="D90" i="104"/>
  <c r="G90" i="104"/>
  <c r="F70" i="104"/>
  <c r="C70" i="104"/>
  <c r="H70" i="104"/>
  <c r="H90" i="104"/>
  <c r="AK7" i="107"/>
  <c r="AJ5" i="107"/>
  <c r="AJ7" i="107"/>
  <c r="AK4" i="107"/>
  <c r="AK6" i="107"/>
  <c r="AJ4" i="107"/>
  <c r="AJ6" i="107"/>
  <c r="AK8" i="107"/>
  <c r="AJ8" i="107"/>
  <c r="AK5" i="107"/>
  <c r="AK3" i="107"/>
  <c r="AJ3" i="107"/>
  <c r="AJ7" i="97"/>
  <c r="AK6" i="97"/>
  <c r="AJ4" i="97"/>
  <c r="AK8" i="97"/>
  <c r="AJ6" i="97"/>
  <c r="AK4" i="97"/>
  <c r="AJ8" i="97"/>
  <c r="AK5" i="97"/>
  <c r="AK3" i="97"/>
  <c r="AK7" i="97"/>
  <c r="AJ5" i="97"/>
  <c r="AJ3" i="97"/>
  <c r="AK8" i="98"/>
  <c r="AJ8" i="98"/>
  <c r="AJ5" i="98"/>
  <c r="AJ3" i="98"/>
  <c r="AK7" i="98"/>
  <c r="AJ7" i="98"/>
  <c r="AK4" i="98"/>
  <c r="AK3" i="98"/>
  <c r="AK6" i="98"/>
  <c r="AJ4" i="98"/>
  <c r="AJ6" i="98"/>
  <c r="AK5" i="98"/>
  <c r="C90" i="101"/>
  <c r="F90" i="101"/>
  <c r="F70" i="101"/>
  <c r="G90" i="101"/>
  <c r="C26" i="101"/>
  <c r="G70" i="101"/>
  <c r="B90" i="101"/>
  <c r="D70" i="101"/>
  <c r="B70" i="101"/>
  <c r="H70" i="101"/>
  <c r="B50" i="101"/>
  <c r="C70" i="101"/>
  <c r="D90" i="101"/>
  <c r="H90" i="101"/>
  <c r="C50" i="101"/>
  <c r="B26" i="101"/>
  <c r="F70" i="100"/>
  <c r="G90" i="100"/>
  <c r="C70" i="100"/>
  <c r="F90" i="100"/>
  <c r="B26" i="100"/>
  <c r="B90" i="100"/>
  <c r="H70" i="100"/>
  <c r="G70" i="100"/>
  <c r="C50" i="100"/>
  <c r="D90" i="100"/>
  <c r="B70" i="100"/>
  <c r="C90" i="100"/>
  <c r="H90" i="100"/>
  <c r="B50" i="100"/>
  <c r="D70" i="100"/>
  <c r="C26" i="100"/>
  <c r="AK8" i="100"/>
  <c r="AJ8" i="100"/>
  <c r="AK5" i="100"/>
  <c r="AK3" i="100"/>
  <c r="AJ5" i="100"/>
  <c r="AJ3" i="100"/>
  <c r="AK7" i="100"/>
  <c r="AJ7" i="100"/>
  <c r="AJ6" i="100"/>
  <c r="AK4" i="100"/>
  <c r="AK6" i="100"/>
  <c r="AJ4" i="100"/>
  <c r="AJ7" i="101"/>
  <c r="AK4" i="101"/>
  <c r="AK6" i="101"/>
  <c r="AJ4" i="101"/>
  <c r="AJ6" i="101"/>
  <c r="AK8" i="101"/>
  <c r="AJ8" i="101"/>
  <c r="AK5" i="101"/>
  <c r="AK3" i="101"/>
  <c r="AJ5" i="101"/>
  <c r="AJ3" i="101"/>
  <c r="AK7" i="101"/>
  <c r="AJ6" i="103"/>
  <c r="AK4" i="103"/>
  <c r="AK8" i="103"/>
  <c r="AK6" i="103"/>
  <c r="AJ8" i="103"/>
  <c r="AK5" i="103"/>
  <c r="AK3" i="103"/>
  <c r="AJ5" i="103"/>
  <c r="AJ3" i="103"/>
  <c r="AK7" i="103"/>
  <c r="AJ7" i="103"/>
  <c r="AJ4" i="103"/>
  <c r="AK7" i="104"/>
  <c r="AJ7" i="104"/>
  <c r="AK4" i="104"/>
  <c r="AK6" i="104"/>
  <c r="AJ4" i="104"/>
  <c r="AJ3" i="104"/>
  <c r="AJ6" i="104"/>
  <c r="AK8" i="104"/>
  <c r="AJ8" i="104"/>
  <c r="AK5" i="104"/>
  <c r="AK3" i="104"/>
  <c r="AJ5" i="104"/>
  <c r="S11" i="100"/>
  <c r="S12" i="100"/>
  <c r="S13" i="100"/>
  <c r="S14" i="100"/>
  <c r="S14" i="101"/>
  <c r="S13" i="101"/>
  <c r="S11" i="101"/>
  <c r="S12" i="101"/>
  <c r="S11" i="98"/>
  <c r="S12" i="98"/>
  <c r="S14" i="98"/>
  <c r="S13" i="98"/>
  <c r="S14" i="97"/>
  <c r="S13" i="97"/>
  <c r="S12" i="97"/>
  <c r="S11" i="97"/>
  <c r="S14" i="103"/>
  <c r="S13" i="103"/>
  <c r="S12" i="103"/>
  <c r="S11" i="103"/>
  <c r="S14" i="104"/>
  <c r="S13" i="104"/>
  <c r="S12" i="104"/>
  <c r="S11" i="104"/>
  <c r="S14" i="107"/>
  <c r="S13" i="107"/>
  <c r="S12" i="107"/>
  <c r="S11" i="107"/>
  <c r="P92" i="15"/>
  <c r="P91" i="15"/>
  <c r="P89" i="15"/>
  <c r="P2" i="101" s="1"/>
  <c r="P88" i="15"/>
  <c r="O2" i="101" s="1"/>
  <c r="P56" i="15"/>
  <c r="W2" i="101" s="1"/>
  <c r="O56" i="15"/>
  <c r="W2" i="100" s="1"/>
  <c r="P55" i="15"/>
  <c r="V2" i="101" s="1"/>
  <c r="X2" i="101" s="1"/>
  <c r="O55" i="15"/>
  <c r="V2" i="100" s="1"/>
  <c r="X2" i="100" s="1"/>
  <c r="M92" i="15"/>
  <c r="M91" i="15"/>
  <c r="M89" i="15"/>
  <c r="P2" i="98" s="1"/>
  <c r="M88" i="15"/>
  <c r="O2" i="98" s="1"/>
  <c r="M57" i="15"/>
  <c r="Y2" i="98" s="1"/>
  <c r="M56" i="15"/>
  <c r="W2" i="98" s="1"/>
  <c r="L56" i="15"/>
  <c r="W2" i="97" s="1"/>
  <c r="M55" i="15"/>
  <c r="V2" i="98" s="1"/>
  <c r="X2" i="98" s="1"/>
  <c r="L55" i="15"/>
  <c r="V2" i="97" s="1"/>
  <c r="X2" i="97" s="1"/>
  <c r="E23" i="15" a="1"/>
  <c r="L23" i="15" a="1"/>
  <c r="O23" i="15" a="1"/>
  <c r="P23" i="15" a="1"/>
  <c r="M23" i="15" a="1"/>
  <c r="H92" i="107" l="1"/>
  <c r="H92" i="106"/>
  <c r="H19" i="107"/>
  <c r="H92" i="98"/>
  <c r="H18" i="98" s="1"/>
  <c r="H92" i="97"/>
  <c r="H18" i="97" s="1"/>
  <c r="H73" i="97"/>
  <c r="H19" i="97" s="1"/>
  <c r="H92" i="101"/>
  <c r="H18" i="101" s="1"/>
  <c r="H92" i="100"/>
  <c r="H18" i="100" s="1"/>
  <c r="H73" i="100"/>
  <c r="H19" i="100" s="1"/>
  <c r="H73" i="101"/>
  <c r="G92" i="100"/>
  <c r="AA74" i="100" s="1"/>
  <c r="G92" i="101"/>
  <c r="AA127" i="101" s="1"/>
  <c r="R69" i="100"/>
  <c r="R65" i="100"/>
  <c r="R54" i="100"/>
  <c r="R50" i="100"/>
  <c r="R47" i="100"/>
  <c r="R129" i="100"/>
  <c r="R127" i="100"/>
  <c r="R125" i="100"/>
  <c r="R123" i="100"/>
  <c r="R121" i="100"/>
  <c r="R119" i="100"/>
  <c r="R117" i="100"/>
  <c r="R115" i="100"/>
  <c r="R113" i="100"/>
  <c r="R111" i="100"/>
  <c r="R109" i="100"/>
  <c r="R107" i="100"/>
  <c r="R105" i="100"/>
  <c r="R103" i="100"/>
  <c r="R101" i="100"/>
  <c r="R99" i="100"/>
  <c r="R97" i="100"/>
  <c r="R95" i="100"/>
  <c r="R93" i="100"/>
  <c r="R91" i="100"/>
  <c r="R89" i="100"/>
  <c r="R87" i="100"/>
  <c r="R85" i="100"/>
  <c r="R83" i="100"/>
  <c r="R77" i="100"/>
  <c r="R73" i="100"/>
  <c r="R62" i="100"/>
  <c r="R58" i="100"/>
  <c r="R55" i="100"/>
  <c r="R35" i="100"/>
  <c r="R81" i="100"/>
  <c r="R70" i="100"/>
  <c r="R66" i="100"/>
  <c r="R63" i="100"/>
  <c r="R43" i="100"/>
  <c r="R40" i="100"/>
  <c r="R78" i="100"/>
  <c r="R74" i="100"/>
  <c r="R71" i="100"/>
  <c r="R51" i="100"/>
  <c r="R48" i="100"/>
  <c r="R44" i="100"/>
  <c r="R79" i="100"/>
  <c r="R59" i="100"/>
  <c r="R56" i="100"/>
  <c r="R52" i="100"/>
  <c r="R128" i="100"/>
  <c r="R126" i="100"/>
  <c r="R124" i="100"/>
  <c r="R122" i="100"/>
  <c r="R120" i="100"/>
  <c r="R118" i="100"/>
  <c r="R116" i="100"/>
  <c r="R114" i="100"/>
  <c r="R112" i="100"/>
  <c r="R110" i="100"/>
  <c r="R108" i="100"/>
  <c r="R106" i="100"/>
  <c r="R104" i="100"/>
  <c r="R102" i="100"/>
  <c r="R100" i="100"/>
  <c r="R98" i="100"/>
  <c r="R96" i="100"/>
  <c r="R94" i="100"/>
  <c r="R92" i="100"/>
  <c r="R90" i="100"/>
  <c r="R88" i="100"/>
  <c r="R75" i="100"/>
  <c r="R72" i="100"/>
  <c r="R68" i="100"/>
  <c r="R53" i="100"/>
  <c r="R49" i="100"/>
  <c r="R38" i="100"/>
  <c r="R34" i="100"/>
  <c r="R82" i="100"/>
  <c r="R45" i="100"/>
  <c r="R39" i="100"/>
  <c r="R37" i="100"/>
  <c r="R64" i="100"/>
  <c r="R61" i="100"/>
  <c r="R42" i="100"/>
  <c r="R67" i="100"/>
  <c r="R86" i="100"/>
  <c r="R80" i="100"/>
  <c r="R84" i="100"/>
  <c r="R57" i="100"/>
  <c r="R46" i="100"/>
  <c r="R60" i="100"/>
  <c r="R41" i="100"/>
  <c r="R36" i="100"/>
  <c r="R76" i="100"/>
  <c r="G92" i="98"/>
  <c r="AA74" i="98" s="1"/>
  <c r="G73" i="97"/>
  <c r="R70" i="97" s="1"/>
  <c r="G92" i="97"/>
  <c r="AA43" i="97" s="1"/>
  <c r="G92" i="106"/>
  <c r="G92" i="107"/>
  <c r="R69" i="107"/>
  <c r="R40" i="107"/>
  <c r="R106" i="107"/>
  <c r="R77" i="107"/>
  <c r="R48" i="107"/>
  <c r="R114" i="107"/>
  <c r="R85" i="107"/>
  <c r="R56" i="107"/>
  <c r="R122" i="107"/>
  <c r="R93" i="107"/>
  <c r="R64" i="107"/>
  <c r="R34" i="107"/>
  <c r="R76" i="107"/>
  <c r="R55" i="107"/>
  <c r="R129" i="107"/>
  <c r="R74" i="107"/>
  <c r="R90" i="107"/>
  <c r="R35" i="107"/>
  <c r="R101" i="107"/>
  <c r="R72" i="107"/>
  <c r="R43" i="107"/>
  <c r="R109" i="107"/>
  <c r="R80" i="107"/>
  <c r="R51" i="107"/>
  <c r="R117" i="107"/>
  <c r="R88" i="107"/>
  <c r="R59" i="107"/>
  <c r="R125" i="107"/>
  <c r="R96" i="107"/>
  <c r="R105" i="107"/>
  <c r="R121" i="107"/>
  <c r="R53" i="107"/>
  <c r="R67" i="107"/>
  <c r="R38" i="107"/>
  <c r="R104" i="107"/>
  <c r="R75" i="107"/>
  <c r="R46" i="107"/>
  <c r="R112" i="107"/>
  <c r="R83" i="107"/>
  <c r="R54" i="107"/>
  <c r="R120" i="107"/>
  <c r="R91" i="107"/>
  <c r="R62" i="107"/>
  <c r="R128" i="107"/>
  <c r="R39" i="107"/>
  <c r="R84" i="107"/>
  <c r="R45" i="107"/>
  <c r="R61" i="107"/>
  <c r="R99" i="107"/>
  <c r="R70" i="107"/>
  <c r="R41" i="107"/>
  <c r="R107" i="107"/>
  <c r="R78" i="107"/>
  <c r="R49" i="107"/>
  <c r="R115" i="107"/>
  <c r="R86" i="107"/>
  <c r="R57" i="107"/>
  <c r="R123" i="107"/>
  <c r="R94" i="107"/>
  <c r="R65" i="107"/>
  <c r="R68" i="107"/>
  <c r="R113" i="107"/>
  <c r="R63" i="107"/>
  <c r="R103" i="107"/>
  <c r="R119" i="107"/>
  <c r="R36" i="107"/>
  <c r="R102" i="107"/>
  <c r="R73" i="107"/>
  <c r="R44" i="107"/>
  <c r="R110" i="107"/>
  <c r="R81" i="107"/>
  <c r="R52" i="107"/>
  <c r="R118" i="107"/>
  <c r="R89" i="107"/>
  <c r="R60" i="107"/>
  <c r="R126" i="107"/>
  <c r="R97" i="107"/>
  <c r="R47" i="107"/>
  <c r="R92" i="107"/>
  <c r="R82" i="107"/>
  <c r="R98" i="107"/>
  <c r="R100" i="107"/>
  <c r="R71" i="107"/>
  <c r="R42" i="107"/>
  <c r="R108" i="107"/>
  <c r="R79" i="107"/>
  <c r="R50" i="107"/>
  <c r="R116" i="107"/>
  <c r="R87" i="107"/>
  <c r="R58" i="107"/>
  <c r="R124" i="107"/>
  <c r="R95" i="107"/>
  <c r="R66" i="107"/>
  <c r="R37" i="107"/>
  <c r="R111" i="107"/>
  <c r="R127" i="107"/>
  <c r="AA3" i="97"/>
  <c r="AA2" i="97"/>
  <c r="G74" i="98"/>
  <c r="R75" i="98" s="1"/>
  <c r="C74" i="98"/>
  <c r="E74" i="98"/>
  <c r="F74" i="98"/>
  <c r="AA2" i="101"/>
  <c r="AA3" i="101"/>
  <c r="AA2" i="98"/>
  <c r="AA3" i="98"/>
  <c r="H74" i="98"/>
  <c r="H19" i="98" s="1"/>
  <c r="D74" i="98"/>
  <c r="H74" i="101"/>
  <c r="H19" i="101" s="1"/>
  <c r="D74" i="101"/>
  <c r="AA2" i="100"/>
  <c r="AA3" i="100"/>
  <c r="F74" i="101"/>
  <c r="E74" i="101"/>
  <c r="C74" i="101"/>
  <c r="G74" i="101"/>
  <c r="R68" i="101" s="1"/>
  <c r="C29" i="100"/>
  <c r="F72" i="100"/>
  <c r="E72" i="100"/>
  <c r="E73" i="100" s="1"/>
  <c r="E82" i="100" s="1"/>
  <c r="B28" i="100"/>
  <c r="B93" i="100"/>
  <c r="D93" i="100"/>
  <c r="D72" i="100"/>
  <c r="B52" i="100"/>
  <c r="E93" i="100"/>
  <c r="E92" i="100" s="1"/>
  <c r="B72" i="100"/>
  <c r="B73" i="100" s="1"/>
  <c r="B82" i="100" s="1"/>
  <c r="C93" i="100"/>
  <c r="C92" i="100" s="1"/>
  <c r="C72" i="100"/>
  <c r="C53" i="100"/>
  <c r="F93" i="100"/>
  <c r="C29" i="97"/>
  <c r="D93" i="97"/>
  <c r="D72" i="97"/>
  <c r="B52" i="97"/>
  <c r="C72" i="97"/>
  <c r="C73" i="97" s="1"/>
  <c r="C82" i="97" s="1"/>
  <c r="B93" i="97"/>
  <c r="B92" i="97" s="1"/>
  <c r="F72" i="97"/>
  <c r="C93" i="97"/>
  <c r="C53" i="97"/>
  <c r="B72" i="97"/>
  <c r="B28" i="97"/>
  <c r="F93" i="97"/>
  <c r="E72" i="97"/>
  <c r="E93" i="97"/>
  <c r="E92" i="97" s="1"/>
  <c r="E23" i="15"/>
  <c r="O23" i="15"/>
  <c r="P23" i="15"/>
  <c r="L23" i="15"/>
  <c r="M23" i="15"/>
  <c r="P58" i="15"/>
  <c r="Z2" i="101" s="1"/>
  <c r="M58" i="15"/>
  <c r="Z2" i="98" s="1"/>
  <c r="N15" i="103"/>
  <c r="J11" i="15"/>
  <c r="J12" i="15"/>
  <c r="J13" i="15"/>
  <c r="K24" i="103" s="1"/>
  <c r="J14" i="15"/>
  <c r="K25" i="103" s="1"/>
  <c r="J10" i="15"/>
  <c r="N15" i="104"/>
  <c r="I11" i="15"/>
  <c r="I12" i="15"/>
  <c r="I13" i="15"/>
  <c r="K24" i="104" s="1"/>
  <c r="I14" i="15"/>
  <c r="K25" i="104" s="1"/>
  <c r="I10" i="15"/>
  <c r="J92" i="15"/>
  <c r="J91" i="15"/>
  <c r="J89" i="15"/>
  <c r="P2" i="103" s="1"/>
  <c r="J88" i="15"/>
  <c r="O2" i="103" s="1"/>
  <c r="J56" i="15"/>
  <c r="W2" i="103" s="1"/>
  <c r="I56" i="15"/>
  <c r="W2" i="104" s="1"/>
  <c r="J55" i="15"/>
  <c r="V2" i="103" s="1"/>
  <c r="X2" i="103" s="1"/>
  <c r="I55" i="15"/>
  <c r="V2" i="104" s="1"/>
  <c r="X2" i="104" s="1"/>
  <c r="J23" i="15" a="1"/>
  <c r="F23" i="15" a="1"/>
  <c r="I23" i="15" a="1"/>
  <c r="G23" i="15" a="1"/>
  <c r="N23" i="15"/>
  <c r="AA63" i="98" l="1"/>
  <c r="AA110" i="98"/>
  <c r="AA92" i="97"/>
  <c r="R49" i="98"/>
  <c r="R40" i="98"/>
  <c r="R72" i="98"/>
  <c r="R42" i="98"/>
  <c r="R121" i="98"/>
  <c r="R69" i="98"/>
  <c r="R87" i="98"/>
  <c r="R76" i="98"/>
  <c r="R83" i="98"/>
  <c r="R45" i="98"/>
  <c r="R56" i="98"/>
  <c r="R125" i="98"/>
  <c r="AA85" i="100"/>
  <c r="AA121" i="100"/>
  <c r="AA93" i="100"/>
  <c r="AA84" i="97"/>
  <c r="AA77" i="97"/>
  <c r="AA125" i="98"/>
  <c r="AA79" i="98"/>
  <c r="AA72" i="98"/>
  <c r="AA90" i="98"/>
  <c r="AA81" i="98"/>
  <c r="AA78" i="98"/>
  <c r="AA65" i="98"/>
  <c r="AA113" i="98"/>
  <c r="AA107" i="98"/>
  <c r="AA56" i="98"/>
  <c r="AA109" i="98"/>
  <c r="AA112" i="98"/>
  <c r="AA61" i="98"/>
  <c r="AA117" i="98"/>
  <c r="AA45" i="98"/>
  <c r="AA84" i="98"/>
  <c r="AA80" i="98"/>
  <c r="AA49" i="98"/>
  <c r="AA111" i="98"/>
  <c r="R88" i="98"/>
  <c r="R70" i="98"/>
  <c r="R91" i="98"/>
  <c r="R77" i="98"/>
  <c r="R48" i="98"/>
  <c r="R129" i="98"/>
  <c r="R84" i="98"/>
  <c r="R46" i="98"/>
  <c r="R95" i="98"/>
  <c r="R82" i="98"/>
  <c r="R62" i="98"/>
  <c r="R57" i="98"/>
  <c r="R35" i="98"/>
  <c r="R112" i="98"/>
  <c r="R99" i="98"/>
  <c r="R86" i="98"/>
  <c r="R58" i="98"/>
  <c r="R34" i="98"/>
  <c r="R92" i="98"/>
  <c r="R50" i="98"/>
  <c r="R103" i="98"/>
  <c r="R90" i="98"/>
  <c r="R79" i="98"/>
  <c r="R65" i="98"/>
  <c r="R61" i="98"/>
  <c r="R104" i="98"/>
  <c r="R107" i="98"/>
  <c r="R94" i="98"/>
  <c r="R64" i="98"/>
  <c r="R39" i="98"/>
  <c r="R100" i="98"/>
  <c r="R54" i="98"/>
  <c r="R111" i="98"/>
  <c r="R98" i="98"/>
  <c r="R85" i="98"/>
  <c r="R73" i="98"/>
  <c r="R96" i="98"/>
  <c r="R44" i="98"/>
  <c r="R115" i="98"/>
  <c r="R102" i="98"/>
  <c r="R89" i="98"/>
  <c r="R47" i="98"/>
  <c r="R108" i="98"/>
  <c r="R63" i="98"/>
  <c r="R119" i="98"/>
  <c r="R106" i="98"/>
  <c r="R93" i="98"/>
  <c r="R81" i="98"/>
  <c r="R120" i="98"/>
  <c r="R52" i="98"/>
  <c r="R123" i="98"/>
  <c r="R110" i="98"/>
  <c r="R97" i="98"/>
  <c r="R55" i="98"/>
  <c r="R116" i="98"/>
  <c r="R68" i="98"/>
  <c r="R127" i="98"/>
  <c r="R114" i="98"/>
  <c r="R101" i="98"/>
  <c r="R59" i="98"/>
  <c r="R36" i="98"/>
  <c r="R128" i="98"/>
  <c r="R43" i="98"/>
  <c r="R118" i="98"/>
  <c r="R105" i="98"/>
  <c r="R60" i="98"/>
  <c r="R124" i="98"/>
  <c r="R74" i="98"/>
  <c r="R53" i="98"/>
  <c r="R122" i="98"/>
  <c r="R109" i="98"/>
  <c r="R67" i="98"/>
  <c r="R41" i="98"/>
  <c r="R78" i="98"/>
  <c r="R51" i="98"/>
  <c r="R126" i="98"/>
  <c r="R113" i="98"/>
  <c r="R66" i="98"/>
  <c r="R38" i="98"/>
  <c r="R80" i="98"/>
  <c r="R71" i="98"/>
  <c r="R37" i="98"/>
  <c r="R117" i="98"/>
  <c r="AA80" i="97"/>
  <c r="AA37" i="97"/>
  <c r="AA85" i="97"/>
  <c r="AA49" i="97"/>
  <c r="AA110" i="97"/>
  <c r="AA95" i="97"/>
  <c r="AA102" i="97"/>
  <c r="AA52" i="97"/>
  <c r="AA101" i="97"/>
  <c r="AA69" i="98"/>
  <c r="AA62" i="97"/>
  <c r="AA104" i="97"/>
  <c r="AA111" i="97"/>
  <c r="AA96" i="97"/>
  <c r="AA65" i="97"/>
  <c r="AA117" i="97"/>
  <c r="AA66" i="97"/>
  <c r="AA57" i="97"/>
  <c r="AA127" i="97"/>
  <c r="AA116" i="98"/>
  <c r="AA106" i="97"/>
  <c r="AA41" i="97"/>
  <c r="AA47" i="97"/>
  <c r="AA68" i="98"/>
  <c r="AA57" i="100"/>
  <c r="AA82" i="100"/>
  <c r="AA69" i="100"/>
  <c r="AA99" i="100"/>
  <c r="AA108" i="100"/>
  <c r="AA59" i="100"/>
  <c r="AA114" i="100"/>
  <c r="AA105" i="100"/>
  <c r="AA124" i="100"/>
  <c r="R74" i="101"/>
  <c r="R113" i="101"/>
  <c r="R122" i="101"/>
  <c r="R89" i="101"/>
  <c r="R70" i="101"/>
  <c r="R129" i="101"/>
  <c r="R100" i="101"/>
  <c r="R50" i="101"/>
  <c r="R37" i="101"/>
  <c r="R88" i="101"/>
  <c r="R82" i="101"/>
  <c r="R75" i="101"/>
  <c r="R128" i="101"/>
  <c r="R80" i="101"/>
  <c r="R109" i="101"/>
  <c r="R126" i="101"/>
  <c r="R105" i="101"/>
  <c r="R40" i="101"/>
  <c r="R102" i="101"/>
  <c r="R79" i="101"/>
  <c r="R39" i="101"/>
  <c r="R103" i="101"/>
  <c r="R55" i="101"/>
  <c r="R45" i="101"/>
  <c r="R91" i="101"/>
  <c r="R85" i="101"/>
  <c r="R77" i="101"/>
  <c r="R69" i="101"/>
  <c r="R65" i="101"/>
  <c r="R49" i="101"/>
  <c r="R118" i="101"/>
  <c r="R43" i="101"/>
  <c r="R63" i="101"/>
  <c r="R83" i="101"/>
  <c r="R47" i="101"/>
  <c r="R116" i="101"/>
  <c r="R59" i="101"/>
  <c r="R54" i="101"/>
  <c r="R104" i="101"/>
  <c r="R98" i="101"/>
  <c r="R92" i="101"/>
  <c r="R73" i="101"/>
  <c r="R87" i="101"/>
  <c r="R72" i="101"/>
  <c r="R93" i="101"/>
  <c r="R86" i="101"/>
  <c r="R44" i="101"/>
  <c r="R96" i="101"/>
  <c r="R51" i="101"/>
  <c r="R119" i="101"/>
  <c r="R61" i="101"/>
  <c r="R58" i="101"/>
  <c r="R107" i="101"/>
  <c r="R101" i="101"/>
  <c r="R95" i="101"/>
  <c r="R81" i="101"/>
  <c r="R106" i="101"/>
  <c r="R48" i="101"/>
  <c r="R57" i="101"/>
  <c r="R99" i="101"/>
  <c r="R56" i="101"/>
  <c r="R34" i="101"/>
  <c r="R94" i="101"/>
  <c r="R64" i="101"/>
  <c r="R120" i="101"/>
  <c r="R114" i="101"/>
  <c r="R108" i="101"/>
  <c r="R60" i="101"/>
  <c r="R46" i="101"/>
  <c r="R78" i="101"/>
  <c r="R121" i="101"/>
  <c r="R36" i="101"/>
  <c r="R90" i="101"/>
  <c r="R112" i="101"/>
  <c r="R67" i="101"/>
  <c r="R38" i="101"/>
  <c r="R97" i="101"/>
  <c r="R66" i="101"/>
  <c r="R123" i="101"/>
  <c r="R117" i="101"/>
  <c r="R111" i="101"/>
  <c r="R76" i="101"/>
  <c r="R125" i="101"/>
  <c r="R53" i="101"/>
  <c r="R35" i="101"/>
  <c r="R62" i="101"/>
  <c r="R52" i="101"/>
  <c r="R115" i="101"/>
  <c r="R84" i="101"/>
  <c r="R42" i="101"/>
  <c r="R110" i="101"/>
  <c r="R71" i="101"/>
  <c r="R127" i="101"/>
  <c r="R41" i="101"/>
  <c r="R124" i="101"/>
  <c r="AA67" i="101"/>
  <c r="AA107" i="101"/>
  <c r="AA47" i="101"/>
  <c r="AA128" i="101"/>
  <c r="AA100" i="101"/>
  <c r="AA82" i="101"/>
  <c r="AA110" i="101"/>
  <c r="AA121" i="101"/>
  <c r="AA80" i="101"/>
  <c r="AA63" i="101"/>
  <c r="AA108" i="101"/>
  <c r="AA74" i="101"/>
  <c r="AA54" i="101"/>
  <c r="AA96" i="101"/>
  <c r="AA85" i="101"/>
  <c r="AA68" i="101"/>
  <c r="AA90" i="101"/>
  <c r="AA89" i="101"/>
  <c r="AA34" i="101"/>
  <c r="AA72" i="101"/>
  <c r="AA103" i="101"/>
  <c r="AA60" i="101"/>
  <c r="AA45" i="101"/>
  <c r="AA114" i="101"/>
  <c r="AA92" i="101"/>
  <c r="AA112" i="101"/>
  <c r="AA84" i="101"/>
  <c r="AA51" i="101"/>
  <c r="AA70" i="101"/>
  <c r="AA87" i="101"/>
  <c r="AA105" i="101"/>
  <c r="AA129" i="101"/>
  <c r="AA118" i="101"/>
  <c r="AA58" i="101"/>
  <c r="AA64" i="101"/>
  <c r="AA44" i="101"/>
  <c r="AA106" i="101"/>
  <c r="AA116" i="101"/>
  <c r="AA69" i="101"/>
  <c r="AA78" i="101"/>
  <c r="AA91" i="101"/>
  <c r="AA109" i="101"/>
  <c r="AA37" i="101"/>
  <c r="AA98" i="101"/>
  <c r="AA38" i="101"/>
  <c r="AA53" i="101"/>
  <c r="AA122" i="101"/>
  <c r="AA35" i="101"/>
  <c r="AA88" i="101"/>
  <c r="AA62" i="101"/>
  <c r="AA93" i="101"/>
  <c r="AA113" i="101"/>
  <c r="AA39" i="101"/>
  <c r="AA124" i="101"/>
  <c r="AA46" i="101"/>
  <c r="AA57" i="101"/>
  <c r="AA126" i="101"/>
  <c r="AA43" i="101"/>
  <c r="AA104" i="101"/>
  <c r="AA66" i="101"/>
  <c r="AA97" i="101"/>
  <c r="AA115" i="101"/>
  <c r="AA41" i="101"/>
  <c r="AA42" i="101"/>
  <c r="AA61" i="101"/>
  <c r="AA50" i="101"/>
  <c r="AA65" i="101"/>
  <c r="AA40" i="101"/>
  <c r="AA56" i="101"/>
  <c r="AA120" i="101"/>
  <c r="AA81" i="101"/>
  <c r="AA99" i="101"/>
  <c r="AA117" i="101"/>
  <c r="AA49" i="101"/>
  <c r="AA71" i="101"/>
  <c r="AA86" i="101"/>
  <c r="AA55" i="101"/>
  <c r="AA77" i="101"/>
  <c r="AA48" i="101"/>
  <c r="AA79" i="101"/>
  <c r="AA75" i="101"/>
  <c r="AA83" i="101"/>
  <c r="AA101" i="101"/>
  <c r="AA119" i="101"/>
  <c r="AA40" i="100"/>
  <c r="AA107" i="100"/>
  <c r="AA61" i="100"/>
  <c r="AA122" i="100"/>
  <c r="AA113" i="100"/>
  <c r="AA109" i="100"/>
  <c r="AA90" i="100"/>
  <c r="AA46" i="100"/>
  <c r="AA117" i="100"/>
  <c r="AA51" i="100"/>
  <c r="AA92" i="100"/>
  <c r="AA38" i="100"/>
  <c r="AA63" i="100"/>
  <c r="AA39" i="100"/>
  <c r="AA98" i="100"/>
  <c r="AA41" i="100"/>
  <c r="AA83" i="100"/>
  <c r="AA119" i="100"/>
  <c r="AA42" i="100"/>
  <c r="AA106" i="100"/>
  <c r="AA75" i="100"/>
  <c r="AA95" i="100"/>
  <c r="AA73" i="100"/>
  <c r="AA87" i="100"/>
  <c r="AA81" i="100"/>
  <c r="AA125" i="100"/>
  <c r="AA62" i="100"/>
  <c r="AA72" i="100"/>
  <c r="AA94" i="100"/>
  <c r="AA110" i="100"/>
  <c r="AA126" i="100"/>
  <c r="AA45" i="100"/>
  <c r="AA43" i="100"/>
  <c r="AA97" i="100"/>
  <c r="AA103" i="100"/>
  <c r="AA91" i="100"/>
  <c r="AA36" i="100"/>
  <c r="AA65" i="100"/>
  <c r="AA76" i="100"/>
  <c r="AA96" i="100"/>
  <c r="AA112" i="100"/>
  <c r="AA128" i="100"/>
  <c r="AA56" i="100"/>
  <c r="AA70" i="100"/>
  <c r="AA129" i="100"/>
  <c r="AA44" i="100"/>
  <c r="AA123" i="100"/>
  <c r="AA55" i="100"/>
  <c r="AA80" i="100"/>
  <c r="AA84" i="100"/>
  <c r="AA100" i="100"/>
  <c r="AA116" i="100"/>
  <c r="AA53" i="100"/>
  <c r="AA79" i="100"/>
  <c r="AA115" i="100"/>
  <c r="AA111" i="100"/>
  <c r="AA66" i="100"/>
  <c r="AA77" i="100"/>
  <c r="AA47" i="100"/>
  <c r="AA58" i="100"/>
  <c r="AA34" i="100"/>
  <c r="AA86" i="100"/>
  <c r="AA102" i="100"/>
  <c r="AA118" i="100"/>
  <c r="AA64" i="100"/>
  <c r="AA48" i="100"/>
  <c r="AA127" i="100"/>
  <c r="AA35" i="100"/>
  <c r="AA101" i="100"/>
  <c r="AA89" i="100"/>
  <c r="AA50" i="100"/>
  <c r="AA78" i="100"/>
  <c r="AA54" i="100"/>
  <c r="AA88" i="100"/>
  <c r="AA104" i="100"/>
  <c r="AA120" i="100"/>
  <c r="AA68" i="100"/>
  <c r="AA71" i="100"/>
  <c r="AA37" i="100"/>
  <c r="AA52" i="100"/>
  <c r="AA67" i="100"/>
  <c r="AA49" i="100"/>
  <c r="AA60" i="100"/>
  <c r="AA125" i="101"/>
  <c r="AA123" i="101"/>
  <c r="AA102" i="101"/>
  <c r="AA36" i="101"/>
  <c r="AA52" i="101"/>
  <c r="AA76" i="101"/>
  <c r="AA94" i="101"/>
  <c r="AA59" i="101"/>
  <c r="AA73" i="101"/>
  <c r="AA95" i="101"/>
  <c r="AA111" i="101"/>
  <c r="AA124" i="97"/>
  <c r="AA118" i="97"/>
  <c r="AA112" i="97"/>
  <c r="AA122" i="97"/>
  <c r="AA50" i="97"/>
  <c r="AA59" i="97"/>
  <c r="AA82" i="97"/>
  <c r="AA44" i="97"/>
  <c r="AA87" i="97"/>
  <c r="AA103" i="97"/>
  <c r="AA119" i="97"/>
  <c r="AA54" i="97"/>
  <c r="AA36" i="97"/>
  <c r="AA38" i="97"/>
  <c r="AA128" i="97"/>
  <c r="AA35" i="97"/>
  <c r="AA55" i="97"/>
  <c r="AA74" i="97"/>
  <c r="AA98" i="97"/>
  <c r="AA48" i="97"/>
  <c r="AA89" i="97"/>
  <c r="AA105" i="97"/>
  <c r="AA121" i="97"/>
  <c r="AA58" i="97"/>
  <c r="AA78" i="97"/>
  <c r="AA51" i="97"/>
  <c r="AA40" i="97"/>
  <c r="AA42" i="97"/>
  <c r="AA79" i="97"/>
  <c r="AA76" i="97"/>
  <c r="AA114" i="97"/>
  <c r="AA63" i="97"/>
  <c r="AA91" i="97"/>
  <c r="AA107" i="97"/>
  <c r="AA123" i="97"/>
  <c r="AA61" i="97"/>
  <c r="AA108" i="97"/>
  <c r="AA53" i="97"/>
  <c r="AA46" i="97"/>
  <c r="AA68" i="97"/>
  <c r="AA94" i="97"/>
  <c r="AA88" i="97"/>
  <c r="AA34" i="97"/>
  <c r="AA70" i="97"/>
  <c r="AA93" i="97"/>
  <c r="AA109" i="97"/>
  <c r="AA125" i="97"/>
  <c r="AA72" i="97"/>
  <c r="AA69" i="97"/>
  <c r="AA56" i="97"/>
  <c r="AA64" i="97"/>
  <c r="AA75" i="97"/>
  <c r="AA100" i="97"/>
  <c r="AA126" i="97"/>
  <c r="AA120" i="97"/>
  <c r="AA60" i="97"/>
  <c r="AA81" i="97"/>
  <c r="AA97" i="97"/>
  <c r="AA113" i="97"/>
  <c r="AA129" i="97"/>
  <c r="AA67" i="97"/>
  <c r="AA86" i="97"/>
  <c r="AA73" i="97"/>
  <c r="AA90" i="97"/>
  <c r="AA116" i="97"/>
  <c r="AA45" i="97"/>
  <c r="AA39" i="97"/>
  <c r="AA71" i="97"/>
  <c r="AA83" i="97"/>
  <c r="AA99" i="97"/>
  <c r="AA115" i="97"/>
  <c r="AA39" i="98"/>
  <c r="AA50" i="98"/>
  <c r="AA46" i="98"/>
  <c r="AA99" i="98"/>
  <c r="AA37" i="98"/>
  <c r="AA52" i="98"/>
  <c r="AA102" i="98"/>
  <c r="AA36" i="98"/>
  <c r="AA60" i="98"/>
  <c r="AA103" i="98"/>
  <c r="AA43" i="98"/>
  <c r="AA62" i="98"/>
  <c r="R110" i="97"/>
  <c r="AA47" i="98"/>
  <c r="AA82" i="98"/>
  <c r="AA54" i="98"/>
  <c r="AA104" i="98"/>
  <c r="AA41" i="98"/>
  <c r="AA67" i="98"/>
  <c r="AA105" i="98"/>
  <c r="AA44" i="98"/>
  <c r="AA64" i="98"/>
  <c r="AA108" i="98"/>
  <c r="AA51" i="98"/>
  <c r="AA70" i="98"/>
  <c r="R56" i="97"/>
  <c r="R40" i="97"/>
  <c r="AA42" i="98"/>
  <c r="AA98" i="98"/>
  <c r="AA76" i="98"/>
  <c r="AA83" i="98"/>
  <c r="AA115" i="98"/>
  <c r="AA53" i="98"/>
  <c r="AA86" i="98"/>
  <c r="AA118" i="98"/>
  <c r="AA75" i="98"/>
  <c r="AA87" i="98"/>
  <c r="AA119" i="98"/>
  <c r="AA77" i="98"/>
  <c r="R86" i="97"/>
  <c r="R87" i="97"/>
  <c r="AA55" i="98"/>
  <c r="AA57" i="98"/>
  <c r="AA85" i="98"/>
  <c r="AA88" i="98"/>
  <c r="AA120" i="98"/>
  <c r="AA59" i="98"/>
  <c r="AA89" i="98"/>
  <c r="AA121" i="98"/>
  <c r="AA35" i="98"/>
  <c r="AA92" i="98"/>
  <c r="AA124" i="98"/>
  <c r="AA58" i="98"/>
  <c r="R81" i="97"/>
  <c r="R103" i="97"/>
  <c r="R53" i="97"/>
  <c r="AA93" i="98"/>
  <c r="AA101" i="98"/>
  <c r="AA106" i="98"/>
  <c r="AA91" i="98"/>
  <c r="AA123" i="98"/>
  <c r="AA71" i="98"/>
  <c r="AA94" i="98"/>
  <c r="AA126" i="98"/>
  <c r="AA40" i="98"/>
  <c r="AA95" i="98"/>
  <c r="AA127" i="98"/>
  <c r="AA66" i="98"/>
  <c r="R90" i="97"/>
  <c r="R119" i="97"/>
  <c r="AA114" i="98"/>
  <c r="AA122" i="98"/>
  <c r="AA38" i="98"/>
  <c r="AA96" i="98"/>
  <c r="AA128" i="98"/>
  <c r="AA73" i="98"/>
  <c r="AA97" i="98"/>
  <c r="AA129" i="98"/>
  <c r="AA48" i="98"/>
  <c r="AA100" i="98"/>
  <c r="AA34" i="98"/>
  <c r="R74" i="97"/>
  <c r="R61" i="97"/>
  <c r="R118" i="97"/>
  <c r="R96" i="97"/>
  <c r="R106" i="97"/>
  <c r="R84" i="97"/>
  <c r="R126" i="97"/>
  <c r="R62" i="97"/>
  <c r="R71" i="97"/>
  <c r="R47" i="97"/>
  <c r="R89" i="97"/>
  <c r="R105" i="97"/>
  <c r="R121" i="97"/>
  <c r="R72" i="97"/>
  <c r="R102" i="97"/>
  <c r="R112" i="97"/>
  <c r="R122" i="97"/>
  <c r="R100" i="97"/>
  <c r="R43" i="97"/>
  <c r="R73" i="97"/>
  <c r="R75" i="97"/>
  <c r="R51" i="97"/>
  <c r="R91" i="97"/>
  <c r="R107" i="97"/>
  <c r="R123" i="97"/>
  <c r="R34" i="97"/>
  <c r="R64" i="97"/>
  <c r="R128" i="97"/>
  <c r="R39" i="97"/>
  <c r="R116" i="97"/>
  <c r="R49" i="97"/>
  <c r="R80" i="97"/>
  <c r="R77" i="97"/>
  <c r="R54" i="97"/>
  <c r="R93" i="97"/>
  <c r="R109" i="97"/>
  <c r="R125" i="97"/>
  <c r="R37" i="97"/>
  <c r="R44" i="97"/>
  <c r="R42" i="97"/>
  <c r="R52" i="97"/>
  <c r="R45" i="97"/>
  <c r="R88" i="97"/>
  <c r="R82" i="97"/>
  <c r="R92" i="97"/>
  <c r="R66" i="97"/>
  <c r="R95" i="97"/>
  <c r="R111" i="97"/>
  <c r="R127" i="97"/>
  <c r="R41" i="97"/>
  <c r="R55" i="97"/>
  <c r="R48" i="97"/>
  <c r="R59" i="97"/>
  <c r="R76" i="97"/>
  <c r="R104" i="97"/>
  <c r="R98" i="97"/>
  <c r="R108" i="97"/>
  <c r="R69" i="97"/>
  <c r="R97" i="97"/>
  <c r="R113" i="97"/>
  <c r="R129" i="97"/>
  <c r="R60" i="97"/>
  <c r="R68" i="97"/>
  <c r="R50" i="97"/>
  <c r="R63" i="97"/>
  <c r="R78" i="97"/>
  <c r="R120" i="97"/>
  <c r="R114" i="97"/>
  <c r="R124" i="97"/>
  <c r="R83" i="97"/>
  <c r="R99" i="97"/>
  <c r="R115" i="97"/>
  <c r="R35" i="97"/>
  <c r="R67" i="97"/>
  <c r="R79" i="97"/>
  <c r="R57" i="97"/>
  <c r="R65" i="97"/>
  <c r="R94" i="97"/>
  <c r="R38" i="97"/>
  <c r="R46" i="97"/>
  <c r="R36" i="97"/>
  <c r="R85" i="97"/>
  <c r="R101" i="97"/>
  <c r="R117" i="97"/>
  <c r="R58" i="97"/>
  <c r="K12" i="104"/>
  <c r="O18" i="104" s="1"/>
  <c r="I102" i="15"/>
  <c r="I104" i="15"/>
  <c r="K21" i="104" s="1"/>
  <c r="I103" i="15"/>
  <c r="K22" i="104" s="1"/>
  <c r="I101" i="15"/>
  <c r="K19" i="104" s="1"/>
  <c r="AA2" i="104"/>
  <c r="AA3" i="104"/>
  <c r="AA3" i="103"/>
  <c r="AA2" i="103"/>
  <c r="F74" i="103"/>
  <c r="G74" i="103"/>
  <c r="C74" i="103"/>
  <c r="E74" i="103"/>
  <c r="H74" i="103"/>
  <c r="D74" i="103"/>
  <c r="K12" i="103"/>
  <c r="O18" i="103" s="1"/>
  <c r="J104" i="15"/>
  <c r="K21" i="103" s="1"/>
  <c r="J101" i="15"/>
  <c r="K19" i="103" s="1"/>
  <c r="J102" i="15"/>
  <c r="J103" i="15"/>
  <c r="K22" i="103" s="1"/>
  <c r="D73" i="97"/>
  <c r="D82" i="97" s="1"/>
  <c r="G84" i="97"/>
  <c r="D73" i="100"/>
  <c r="D82" i="100" s="1"/>
  <c r="H84" i="100"/>
  <c r="F73" i="100"/>
  <c r="F84" i="100" s="1"/>
  <c r="F92" i="100"/>
  <c r="F104" i="100" s="1"/>
  <c r="F92" i="97"/>
  <c r="F103" i="97" s="1"/>
  <c r="F73" i="97"/>
  <c r="F84" i="97" s="1"/>
  <c r="H84" i="97"/>
  <c r="C62" i="100"/>
  <c r="C64" i="100"/>
  <c r="B19" i="100" s="1"/>
  <c r="C63" i="100"/>
  <c r="C102" i="100"/>
  <c r="E18" i="100" s="1"/>
  <c r="B7" i="100"/>
  <c r="B42" i="100"/>
  <c r="C18" i="100" s="1"/>
  <c r="B8" i="100"/>
  <c r="B44" i="100"/>
  <c r="B43" i="100"/>
  <c r="C104" i="100"/>
  <c r="C103" i="100"/>
  <c r="B84" i="100"/>
  <c r="D19" i="100" s="1"/>
  <c r="B83" i="100"/>
  <c r="E83" i="100"/>
  <c r="E7" i="100"/>
  <c r="B92" i="100"/>
  <c r="B102" i="100" s="1"/>
  <c r="D18" i="100" s="1"/>
  <c r="D92" i="100"/>
  <c r="AB38" i="100" s="1"/>
  <c r="E104" i="100"/>
  <c r="E103" i="100"/>
  <c r="D7" i="100"/>
  <c r="F93" i="101"/>
  <c r="C53" i="101"/>
  <c r="F72" i="101"/>
  <c r="B52" i="101"/>
  <c r="E93" i="101"/>
  <c r="E92" i="101" s="1"/>
  <c r="C93" i="101"/>
  <c r="D72" i="101"/>
  <c r="B93" i="101"/>
  <c r="E72" i="101"/>
  <c r="E73" i="101" s="1"/>
  <c r="E82" i="101" s="1"/>
  <c r="B72" i="101"/>
  <c r="B28" i="101"/>
  <c r="C29" i="101"/>
  <c r="C72" i="101"/>
  <c r="D93" i="101"/>
  <c r="C73" i="100"/>
  <c r="C82" i="100" s="1"/>
  <c r="B64" i="100"/>
  <c r="B63" i="100"/>
  <c r="B62" i="100"/>
  <c r="B18" i="100" s="1"/>
  <c r="F18" i="100"/>
  <c r="H8" i="100"/>
  <c r="M18" i="100"/>
  <c r="F8" i="100"/>
  <c r="E8" i="100"/>
  <c r="I8" i="100"/>
  <c r="H102" i="100"/>
  <c r="F19" i="100"/>
  <c r="C7" i="100"/>
  <c r="C44" i="100"/>
  <c r="C19" i="100" s="1"/>
  <c r="C43" i="100"/>
  <c r="C42" i="100"/>
  <c r="C8" i="100"/>
  <c r="B102" i="97"/>
  <c r="D18" i="97" s="1"/>
  <c r="E103" i="97"/>
  <c r="E104" i="97"/>
  <c r="D7" i="97"/>
  <c r="C62" i="97"/>
  <c r="C63" i="97"/>
  <c r="C64" i="97"/>
  <c r="B19" i="97" s="1"/>
  <c r="E73" i="97"/>
  <c r="E82" i="97" s="1"/>
  <c r="I8" i="97"/>
  <c r="M18" i="97"/>
  <c r="H8" i="97"/>
  <c r="E8" i="97"/>
  <c r="F8" i="97"/>
  <c r="B104" i="97"/>
  <c r="B103" i="97"/>
  <c r="B63" i="97"/>
  <c r="B64" i="97"/>
  <c r="B62" i="97"/>
  <c r="B18" i="97" s="1"/>
  <c r="C92" i="97"/>
  <c r="C102" i="97" s="1"/>
  <c r="E18" i="97" s="1"/>
  <c r="G102" i="97"/>
  <c r="D84" i="97"/>
  <c r="H102" i="97"/>
  <c r="B8" i="97"/>
  <c r="B7" i="97"/>
  <c r="B44" i="97"/>
  <c r="B42" i="97"/>
  <c r="C18" i="97" s="1"/>
  <c r="B43" i="97"/>
  <c r="B73" i="97"/>
  <c r="B82" i="97" s="1"/>
  <c r="D92" i="97"/>
  <c r="AB80" i="97" s="1"/>
  <c r="C29" i="98"/>
  <c r="B28" i="98"/>
  <c r="B52" i="98"/>
  <c r="B93" i="98"/>
  <c r="F93" i="98"/>
  <c r="E72" i="98"/>
  <c r="E73" i="98" s="1"/>
  <c r="E82" i="98" s="1"/>
  <c r="B72" i="98"/>
  <c r="C72" i="98"/>
  <c r="C93" i="98"/>
  <c r="F72" i="98"/>
  <c r="E93" i="98"/>
  <c r="E92" i="98" s="1"/>
  <c r="D72" i="98"/>
  <c r="D93" i="98"/>
  <c r="C53" i="98"/>
  <c r="C83" i="97"/>
  <c r="C84" i="97"/>
  <c r="E19" i="97" s="1"/>
  <c r="C43" i="97"/>
  <c r="C42" i="97"/>
  <c r="C7" i="97"/>
  <c r="C44" i="97"/>
  <c r="C19" i="97" s="1"/>
  <c r="C8" i="97"/>
  <c r="F72" i="107"/>
  <c r="C93" i="107"/>
  <c r="D93" i="107"/>
  <c r="C72" i="107"/>
  <c r="E72" i="107"/>
  <c r="D72" i="107"/>
  <c r="B72" i="107"/>
  <c r="B73" i="107" s="1"/>
  <c r="B82" i="107" s="1"/>
  <c r="B52" i="107"/>
  <c r="C29" i="107"/>
  <c r="B28" i="107"/>
  <c r="B93" i="107"/>
  <c r="B92" i="107" s="1"/>
  <c r="C53" i="107"/>
  <c r="F93" i="107"/>
  <c r="E93" i="107"/>
  <c r="E92" i="107" s="1"/>
  <c r="Q23" i="15"/>
  <c r="J58" i="15"/>
  <c r="Z2" i="103" s="1"/>
  <c r="F23" i="15"/>
  <c r="G23" i="15"/>
  <c r="J23" i="15"/>
  <c r="I23" i="15"/>
  <c r="G92" i="15"/>
  <c r="G91" i="15"/>
  <c r="G89" i="15"/>
  <c r="P2" i="106" s="1"/>
  <c r="G88" i="15"/>
  <c r="O2" i="106" s="1"/>
  <c r="G57" i="15"/>
  <c r="Y2" i="106" s="1"/>
  <c r="G56" i="15"/>
  <c r="W2" i="106" s="1"/>
  <c r="F56" i="15"/>
  <c r="W2" i="107" s="1"/>
  <c r="G55" i="15"/>
  <c r="V2" i="106" s="1"/>
  <c r="X2" i="106" s="1"/>
  <c r="F55" i="15"/>
  <c r="V2" i="107" s="1"/>
  <c r="X2" i="107" s="1"/>
  <c r="X25" i="15"/>
  <c r="H23" i="15"/>
  <c r="K18" i="103" l="1"/>
  <c r="K18" i="104"/>
  <c r="M18" i="104" s="1"/>
  <c r="I19" i="97"/>
  <c r="I18" i="97"/>
  <c r="I19" i="100"/>
  <c r="I18" i="100"/>
  <c r="AB70" i="97"/>
  <c r="AB101" i="97"/>
  <c r="S125" i="97"/>
  <c r="S92" i="97"/>
  <c r="AB48" i="100"/>
  <c r="AB72" i="100"/>
  <c r="AB94" i="100"/>
  <c r="AB52" i="100"/>
  <c r="AB110" i="100"/>
  <c r="AB83" i="100"/>
  <c r="AB126" i="100"/>
  <c r="AB99" i="100"/>
  <c r="AB41" i="100"/>
  <c r="F103" i="100"/>
  <c r="AD57" i="100"/>
  <c r="AB115" i="100"/>
  <c r="AB43" i="100"/>
  <c r="AB42" i="100"/>
  <c r="S41" i="100"/>
  <c r="S120" i="100"/>
  <c r="S55" i="100"/>
  <c r="S121" i="100"/>
  <c r="AB76" i="100"/>
  <c r="S39" i="100"/>
  <c r="S90" i="100"/>
  <c r="S122" i="100"/>
  <c r="S40" i="100"/>
  <c r="S91" i="100"/>
  <c r="S123" i="100"/>
  <c r="AB51" i="100"/>
  <c r="AB87" i="100"/>
  <c r="AB119" i="100"/>
  <c r="AB50" i="100"/>
  <c r="AB65" i="100"/>
  <c r="AB82" i="100"/>
  <c r="AB98" i="100"/>
  <c r="AB46" i="100"/>
  <c r="AB56" i="100"/>
  <c r="S69" i="100"/>
  <c r="S42" i="100"/>
  <c r="S60" i="100"/>
  <c r="S92" i="100"/>
  <c r="S108" i="100"/>
  <c r="S124" i="100"/>
  <c r="S44" i="100"/>
  <c r="S43" i="100"/>
  <c r="S62" i="100"/>
  <c r="S93" i="100"/>
  <c r="S109" i="100"/>
  <c r="S125" i="100"/>
  <c r="AB74" i="100"/>
  <c r="AB44" i="100"/>
  <c r="AB89" i="100"/>
  <c r="AB105" i="100"/>
  <c r="AB121" i="100"/>
  <c r="AB70" i="100"/>
  <c r="AB69" i="100"/>
  <c r="AB84" i="100"/>
  <c r="AB100" i="100"/>
  <c r="AB116" i="100"/>
  <c r="AB49" i="100"/>
  <c r="AB60" i="100"/>
  <c r="S34" i="100"/>
  <c r="S45" i="100"/>
  <c r="S106" i="100"/>
  <c r="S79" i="100"/>
  <c r="S58" i="100"/>
  <c r="S107" i="100"/>
  <c r="AB40" i="100"/>
  <c r="AB103" i="100"/>
  <c r="AB114" i="100"/>
  <c r="S75" i="100"/>
  <c r="S46" i="100"/>
  <c r="S64" i="100"/>
  <c r="S94" i="100"/>
  <c r="S110" i="100"/>
  <c r="S126" i="100"/>
  <c r="S48" i="100"/>
  <c r="S63" i="100"/>
  <c r="S73" i="100"/>
  <c r="S95" i="100"/>
  <c r="S111" i="100"/>
  <c r="S127" i="100"/>
  <c r="AB71" i="100"/>
  <c r="AB59" i="100"/>
  <c r="AB91" i="100"/>
  <c r="AB107" i="100"/>
  <c r="AB123" i="100"/>
  <c r="AB73" i="100"/>
  <c r="AB80" i="100"/>
  <c r="AB86" i="100"/>
  <c r="AB102" i="100"/>
  <c r="AB118" i="100"/>
  <c r="AB53" i="100"/>
  <c r="AB75" i="100"/>
  <c r="D84" i="100"/>
  <c r="S47" i="100"/>
  <c r="S57" i="100"/>
  <c r="S67" i="100"/>
  <c r="S96" i="100"/>
  <c r="S112" i="100"/>
  <c r="S128" i="100"/>
  <c r="S51" i="100"/>
  <c r="S66" i="100"/>
  <c r="S77" i="100"/>
  <c r="S97" i="100"/>
  <c r="S113" i="100"/>
  <c r="S129" i="100"/>
  <c r="AB34" i="100"/>
  <c r="AB63" i="100"/>
  <c r="AB93" i="100"/>
  <c r="AB109" i="100"/>
  <c r="AB125" i="100"/>
  <c r="AB77" i="100"/>
  <c r="AB54" i="100"/>
  <c r="AB88" i="100"/>
  <c r="AB104" i="100"/>
  <c r="AB120" i="100"/>
  <c r="AB64" i="100"/>
  <c r="AB79" i="100"/>
  <c r="S53" i="100"/>
  <c r="S86" i="100"/>
  <c r="S118" i="100"/>
  <c r="S78" i="100"/>
  <c r="S87" i="100"/>
  <c r="S119" i="100"/>
  <c r="S68" i="100"/>
  <c r="S88" i="100"/>
  <c r="S59" i="100"/>
  <c r="S89" i="100"/>
  <c r="AB78" i="100"/>
  <c r="AB85" i="100"/>
  <c r="AB117" i="100"/>
  <c r="AB62" i="100"/>
  <c r="AB112" i="100"/>
  <c r="AB128" i="100"/>
  <c r="S49" i="100"/>
  <c r="S50" i="100"/>
  <c r="S61" i="100"/>
  <c r="S82" i="100"/>
  <c r="S98" i="100"/>
  <c r="S114" i="100"/>
  <c r="S37" i="100"/>
  <c r="S71" i="100"/>
  <c r="S70" i="100"/>
  <c r="S83" i="100"/>
  <c r="S99" i="100"/>
  <c r="S115" i="100"/>
  <c r="AB67" i="100"/>
  <c r="AB36" i="100"/>
  <c r="AB66" i="100"/>
  <c r="AB95" i="100"/>
  <c r="AB111" i="100"/>
  <c r="AB127" i="100"/>
  <c r="AB35" i="100"/>
  <c r="AB57" i="100"/>
  <c r="AB90" i="100"/>
  <c r="AB106" i="100"/>
  <c r="AB122" i="100"/>
  <c r="AB68" i="100"/>
  <c r="S54" i="100"/>
  <c r="S80" i="100"/>
  <c r="S102" i="100"/>
  <c r="S56" i="100"/>
  <c r="S35" i="100"/>
  <c r="S103" i="100"/>
  <c r="S65" i="100"/>
  <c r="S104" i="100"/>
  <c r="S36" i="100"/>
  <c r="S105" i="100"/>
  <c r="AB55" i="100"/>
  <c r="AB101" i="100"/>
  <c r="AB47" i="100"/>
  <c r="AB96" i="100"/>
  <c r="AB45" i="100"/>
  <c r="S38" i="100"/>
  <c r="S72" i="100"/>
  <c r="S76" i="100"/>
  <c r="S84" i="100"/>
  <c r="S100" i="100"/>
  <c r="S116" i="100"/>
  <c r="S52" i="100"/>
  <c r="S74" i="100"/>
  <c r="S81" i="100"/>
  <c r="S85" i="100"/>
  <c r="S101" i="100"/>
  <c r="S117" i="100"/>
  <c r="AB37" i="100"/>
  <c r="AB58" i="100"/>
  <c r="AB81" i="100"/>
  <c r="AB97" i="100"/>
  <c r="AB113" i="100"/>
  <c r="AB129" i="100"/>
  <c r="AB39" i="100"/>
  <c r="AB61" i="100"/>
  <c r="AB92" i="100"/>
  <c r="AB108" i="100"/>
  <c r="AB124" i="100"/>
  <c r="AB110" i="97"/>
  <c r="S85" i="97"/>
  <c r="AB83" i="97"/>
  <c r="AB105" i="97"/>
  <c r="AB77" i="97"/>
  <c r="AB86" i="97"/>
  <c r="AB59" i="97"/>
  <c r="S127" i="97"/>
  <c r="AB46" i="97"/>
  <c r="AB75" i="97"/>
  <c r="S108" i="97"/>
  <c r="AB114" i="97"/>
  <c r="AB103" i="97"/>
  <c r="AB74" i="97"/>
  <c r="AB65" i="97"/>
  <c r="AB122" i="97"/>
  <c r="AB78" i="97"/>
  <c r="AB127" i="97"/>
  <c r="AB81" i="97"/>
  <c r="S115" i="97"/>
  <c r="AB111" i="97"/>
  <c r="AB58" i="97"/>
  <c r="AB48" i="97"/>
  <c r="AB107" i="97"/>
  <c r="AB52" i="97"/>
  <c r="S70" i="97"/>
  <c r="S38" i="97"/>
  <c r="S98" i="97"/>
  <c r="S61" i="97"/>
  <c r="S55" i="97"/>
  <c r="S114" i="97"/>
  <c r="AB43" i="97"/>
  <c r="AB118" i="97"/>
  <c r="AB35" i="97"/>
  <c r="AB88" i="97"/>
  <c r="AB73" i="97"/>
  <c r="S52" i="97"/>
  <c r="S43" i="97"/>
  <c r="S124" i="97"/>
  <c r="S77" i="97"/>
  <c r="S74" i="97"/>
  <c r="S76" i="97"/>
  <c r="F104" i="97"/>
  <c r="AB47" i="97"/>
  <c r="AB93" i="97"/>
  <c r="AB100" i="97"/>
  <c r="AB38" i="97"/>
  <c r="S75" i="97"/>
  <c r="S47" i="97"/>
  <c r="S64" i="97"/>
  <c r="D83" i="97"/>
  <c r="AB92" i="97"/>
  <c r="AB125" i="97"/>
  <c r="AB113" i="97"/>
  <c r="AB64" i="97"/>
  <c r="S35" i="97"/>
  <c r="S107" i="97"/>
  <c r="S82" i="97"/>
  <c r="S58" i="97"/>
  <c r="S40" i="97"/>
  <c r="S79" i="97"/>
  <c r="S72" i="97"/>
  <c r="S97" i="97"/>
  <c r="S123" i="97"/>
  <c r="S51" i="97"/>
  <c r="S59" i="97"/>
  <c r="S80" i="97"/>
  <c r="S84" i="97"/>
  <c r="S100" i="97"/>
  <c r="S116" i="97"/>
  <c r="AB54" i="97"/>
  <c r="AB82" i="97"/>
  <c r="AB108" i="97"/>
  <c r="AB99" i="97"/>
  <c r="AB96" i="97"/>
  <c r="AB66" i="97"/>
  <c r="AB61" i="97"/>
  <c r="AB116" i="97"/>
  <c r="AB123" i="97"/>
  <c r="AB104" i="97"/>
  <c r="AB79" i="97"/>
  <c r="AB51" i="97"/>
  <c r="S121" i="97"/>
  <c r="S66" i="97"/>
  <c r="S81" i="97"/>
  <c r="S87" i="97"/>
  <c r="S113" i="97"/>
  <c r="S34" i="97"/>
  <c r="S56" i="97"/>
  <c r="S62" i="97"/>
  <c r="S42" i="97"/>
  <c r="S86" i="97"/>
  <c r="S102" i="97"/>
  <c r="S118" i="97"/>
  <c r="AB95" i="97"/>
  <c r="AB36" i="97"/>
  <c r="AB121" i="97"/>
  <c r="AB102" i="97"/>
  <c r="AB109" i="97"/>
  <c r="AB87" i="97"/>
  <c r="AB68" i="97"/>
  <c r="AB129" i="97"/>
  <c r="AB126" i="97"/>
  <c r="AB117" i="97"/>
  <c r="AB37" i="97"/>
  <c r="AB55" i="97"/>
  <c r="S89" i="97"/>
  <c r="S83" i="97"/>
  <c r="S93" i="97"/>
  <c r="S103" i="97"/>
  <c r="S129" i="97"/>
  <c r="S36" i="97"/>
  <c r="S95" i="97"/>
  <c r="S73" i="97"/>
  <c r="S45" i="97"/>
  <c r="S88" i="97"/>
  <c r="S104" i="97"/>
  <c r="S120" i="97"/>
  <c r="AB34" i="97"/>
  <c r="AB41" i="97"/>
  <c r="AB124" i="97"/>
  <c r="AB115" i="97"/>
  <c r="AB112" i="97"/>
  <c r="AB90" i="97"/>
  <c r="AB72" i="97"/>
  <c r="AB50" i="97"/>
  <c r="AB57" i="97"/>
  <c r="AB120" i="97"/>
  <c r="AB49" i="97"/>
  <c r="AB62" i="97"/>
  <c r="S53" i="97"/>
  <c r="S99" i="97"/>
  <c r="S109" i="97"/>
  <c r="S119" i="97"/>
  <c r="S41" i="97"/>
  <c r="S69" i="97"/>
  <c r="S111" i="97"/>
  <c r="S39" i="97"/>
  <c r="S49" i="97"/>
  <c r="S90" i="97"/>
  <c r="S106" i="97"/>
  <c r="S122" i="97"/>
  <c r="AB98" i="97"/>
  <c r="AB69" i="97"/>
  <c r="AB60" i="97"/>
  <c r="AB44" i="97"/>
  <c r="AB128" i="97"/>
  <c r="AB106" i="97"/>
  <c r="AB84" i="97"/>
  <c r="AB91" i="97"/>
  <c r="AB63" i="97"/>
  <c r="AB42" i="97"/>
  <c r="AB56" i="97"/>
  <c r="AB76" i="97"/>
  <c r="S105" i="97"/>
  <c r="S37" i="97"/>
  <c r="S50" i="97"/>
  <c r="S54" i="97"/>
  <c r="S67" i="97"/>
  <c r="S101" i="97"/>
  <c r="S44" i="97"/>
  <c r="S46" i="97"/>
  <c r="S71" i="97"/>
  <c r="S94" i="97"/>
  <c r="S110" i="97"/>
  <c r="S126" i="97"/>
  <c r="AB39" i="97"/>
  <c r="AB89" i="97"/>
  <c r="AB71" i="97"/>
  <c r="AB53" i="97"/>
  <c r="AB40" i="97"/>
  <c r="AB119" i="97"/>
  <c r="AB97" i="97"/>
  <c r="AB94" i="97"/>
  <c r="AB85" i="97"/>
  <c r="AB45" i="97"/>
  <c r="AB67" i="97"/>
  <c r="S60" i="97"/>
  <c r="S68" i="97"/>
  <c r="S57" i="97"/>
  <c r="S63" i="97"/>
  <c r="S91" i="97"/>
  <c r="S117" i="97"/>
  <c r="S48" i="97"/>
  <c r="S65" i="97"/>
  <c r="S78" i="97"/>
  <c r="S96" i="97"/>
  <c r="S112" i="97"/>
  <c r="S128" i="97"/>
  <c r="G93" i="103"/>
  <c r="H72" i="103"/>
  <c r="H73" i="103" s="1"/>
  <c r="G72" i="103"/>
  <c r="H93" i="103"/>
  <c r="H72" i="104"/>
  <c r="H93" i="104"/>
  <c r="G72" i="104"/>
  <c r="G73" i="104" s="1"/>
  <c r="G93" i="104"/>
  <c r="D83" i="100"/>
  <c r="G18" i="97"/>
  <c r="F19" i="97"/>
  <c r="G74" i="106"/>
  <c r="F74" i="106"/>
  <c r="I19" i="106" s="1"/>
  <c r="E74" i="106"/>
  <c r="C74" i="106"/>
  <c r="F18" i="97"/>
  <c r="AA3" i="106"/>
  <c r="AA2" i="106"/>
  <c r="X29" i="119"/>
  <c r="H11" i="119"/>
  <c r="D74" i="106"/>
  <c r="H74" i="106"/>
  <c r="H19" i="106" s="1"/>
  <c r="AA2" i="107"/>
  <c r="AA3" i="107"/>
  <c r="G19" i="97"/>
  <c r="G84" i="107"/>
  <c r="G19" i="100"/>
  <c r="D92" i="101"/>
  <c r="AB79" i="101" s="1"/>
  <c r="G18" i="100"/>
  <c r="F102" i="100"/>
  <c r="AD101" i="97"/>
  <c r="F102" i="97"/>
  <c r="AC49" i="100"/>
  <c r="AD34" i="100"/>
  <c r="AD90" i="100"/>
  <c r="AD94" i="100"/>
  <c r="AD126" i="100"/>
  <c r="AD63" i="100"/>
  <c r="AD46" i="100"/>
  <c r="AD95" i="100"/>
  <c r="AD58" i="100"/>
  <c r="AD121" i="100"/>
  <c r="AD62" i="100"/>
  <c r="AC113" i="100"/>
  <c r="AD78" i="100"/>
  <c r="AD122" i="100"/>
  <c r="AD59" i="100"/>
  <c r="AD91" i="100"/>
  <c r="AD123" i="100"/>
  <c r="AD60" i="100"/>
  <c r="AD92" i="100"/>
  <c r="AD124" i="100"/>
  <c r="AD61" i="100"/>
  <c r="AD93" i="100"/>
  <c r="AD125" i="100"/>
  <c r="AC50" i="100"/>
  <c r="AC82" i="100"/>
  <c r="AC114" i="100"/>
  <c r="AC51" i="100"/>
  <c r="AC83" i="100"/>
  <c r="AC115" i="100"/>
  <c r="AC52" i="100"/>
  <c r="AC84" i="100"/>
  <c r="AC116" i="100"/>
  <c r="AC53" i="100"/>
  <c r="AC85" i="100"/>
  <c r="AC117" i="100"/>
  <c r="AD127" i="100"/>
  <c r="AD64" i="100"/>
  <c r="AD96" i="100"/>
  <c r="AD128" i="100"/>
  <c r="AD65" i="100"/>
  <c r="AD97" i="100"/>
  <c r="AD129" i="100"/>
  <c r="AC54" i="100"/>
  <c r="AC86" i="100"/>
  <c r="AC118" i="100"/>
  <c r="AC55" i="100"/>
  <c r="AC87" i="100"/>
  <c r="AC119" i="100"/>
  <c r="AC56" i="100"/>
  <c r="AC88" i="100"/>
  <c r="AC120" i="100"/>
  <c r="AC57" i="100"/>
  <c r="AC89" i="100"/>
  <c r="AC121" i="100"/>
  <c r="AD66" i="100"/>
  <c r="AD98" i="100"/>
  <c r="AD35" i="100"/>
  <c r="AD67" i="100"/>
  <c r="AD99" i="100"/>
  <c r="AD36" i="100"/>
  <c r="AD68" i="100"/>
  <c r="AD100" i="100"/>
  <c r="AD37" i="100"/>
  <c r="AD69" i="100"/>
  <c r="AD101" i="100"/>
  <c r="AC58" i="100"/>
  <c r="AC90" i="100"/>
  <c r="AC122" i="100"/>
  <c r="AC59" i="100"/>
  <c r="AC91" i="100"/>
  <c r="AC123" i="100"/>
  <c r="AC60" i="100"/>
  <c r="AC92" i="100"/>
  <c r="AC124" i="100"/>
  <c r="AC61" i="100"/>
  <c r="AC93" i="100"/>
  <c r="AC125" i="100"/>
  <c r="AD38" i="100"/>
  <c r="AD70" i="100"/>
  <c r="AD102" i="100"/>
  <c r="AD39" i="100"/>
  <c r="AD71" i="100"/>
  <c r="AD103" i="100"/>
  <c r="AD40" i="100"/>
  <c r="AD72" i="100"/>
  <c r="AD104" i="100"/>
  <c r="AD41" i="100"/>
  <c r="AD73" i="100"/>
  <c r="AD105" i="100"/>
  <c r="AC62" i="100"/>
  <c r="AC94" i="100"/>
  <c r="AC126" i="100"/>
  <c r="AC63" i="100"/>
  <c r="AC95" i="100"/>
  <c r="AC127" i="100"/>
  <c r="AC64" i="100"/>
  <c r="AC96" i="100"/>
  <c r="AC128" i="100"/>
  <c r="AC65" i="100"/>
  <c r="AC97" i="100"/>
  <c r="AC129" i="100"/>
  <c r="AD42" i="100"/>
  <c r="AD74" i="100"/>
  <c r="AD106" i="100"/>
  <c r="AD43" i="100"/>
  <c r="AD75" i="100"/>
  <c r="AD107" i="100"/>
  <c r="AD44" i="100"/>
  <c r="AD76" i="100"/>
  <c r="AD108" i="100"/>
  <c r="AD45" i="100"/>
  <c r="AD77" i="100"/>
  <c r="AD109" i="100"/>
  <c r="AC34" i="100"/>
  <c r="AC66" i="100"/>
  <c r="AC98" i="100"/>
  <c r="AC35" i="100"/>
  <c r="AC67" i="100"/>
  <c r="AC99" i="100"/>
  <c r="AC36" i="100"/>
  <c r="AC68" i="100"/>
  <c r="AC100" i="100"/>
  <c r="AC37" i="100"/>
  <c r="AC69" i="100"/>
  <c r="AC101" i="100"/>
  <c r="AD110" i="100"/>
  <c r="AD47" i="100"/>
  <c r="AD79" i="100"/>
  <c r="AD111" i="100"/>
  <c r="AD48" i="100"/>
  <c r="AD80" i="100"/>
  <c r="AD112" i="100"/>
  <c r="AD49" i="100"/>
  <c r="AD81" i="100"/>
  <c r="AD113" i="100"/>
  <c r="AC38" i="100"/>
  <c r="AC70" i="100"/>
  <c r="AC102" i="100"/>
  <c r="AC39" i="100"/>
  <c r="AC71" i="100"/>
  <c r="AC103" i="100"/>
  <c r="AC40" i="100"/>
  <c r="AC72" i="100"/>
  <c r="AC104" i="100"/>
  <c r="AC41" i="100"/>
  <c r="AC73" i="100"/>
  <c r="AC105" i="100"/>
  <c r="AD50" i="100"/>
  <c r="AD82" i="100"/>
  <c r="AD114" i="100"/>
  <c r="AD51" i="100"/>
  <c r="AD83" i="100"/>
  <c r="AD115" i="100"/>
  <c r="AD52" i="100"/>
  <c r="AD84" i="100"/>
  <c r="AD116" i="100"/>
  <c r="AD53" i="100"/>
  <c r="AD85" i="100"/>
  <c r="AD117" i="100"/>
  <c r="AC42" i="100"/>
  <c r="AC74" i="100"/>
  <c r="AC106" i="100"/>
  <c r="AC43" i="100"/>
  <c r="AC75" i="100"/>
  <c r="AC107" i="100"/>
  <c r="AC44" i="100"/>
  <c r="AC76" i="100"/>
  <c r="AC108" i="100"/>
  <c r="AC45" i="100"/>
  <c r="AC77" i="100"/>
  <c r="AC109" i="100"/>
  <c r="AD54" i="100"/>
  <c r="AD86" i="100"/>
  <c r="AD118" i="100"/>
  <c r="AD55" i="100"/>
  <c r="AD87" i="100"/>
  <c r="AD119" i="100"/>
  <c r="AD56" i="100"/>
  <c r="AD88" i="100"/>
  <c r="AD120" i="100"/>
  <c r="AD89" i="100"/>
  <c r="AC46" i="100"/>
  <c r="AC78" i="100"/>
  <c r="AC110" i="100"/>
  <c r="AC47" i="100"/>
  <c r="AC79" i="100"/>
  <c r="AC111" i="100"/>
  <c r="AC48" i="100"/>
  <c r="AC80" i="100"/>
  <c r="AC112" i="100"/>
  <c r="AC81" i="100"/>
  <c r="AD42" i="97"/>
  <c r="AD74" i="97"/>
  <c r="AD106" i="97"/>
  <c r="AD43" i="97"/>
  <c r="AD75" i="97"/>
  <c r="AD107" i="97"/>
  <c r="AD40" i="97"/>
  <c r="AD72" i="97"/>
  <c r="AD104" i="97"/>
  <c r="AD41" i="97"/>
  <c r="AD73" i="97"/>
  <c r="AD105" i="97"/>
  <c r="AD46" i="97"/>
  <c r="AD78" i="97"/>
  <c r="AD110" i="97"/>
  <c r="AD47" i="97"/>
  <c r="AD79" i="97"/>
  <c r="AD111" i="97"/>
  <c r="AD44" i="97"/>
  <c r="AD76" i="97"/>
  <c r="AD108" i="97"/>
  <c r="AD45" i="97"/>
  <c r="AD77" i="97"/>
  <c r="AD109" i="97"/>
  <c r="AD50" i="97"/>
  <c r="AD82" i="97"/>
  <c r="AD114" i="97"/>
  <c r="AD51" i="97"/>
  <c r="AD83" i="97"/>
  <c r="AD115" i="97"/>
  <c r="AD48" i="97"/>
  <c r="AD80" i="97"/>
  <c r="AD112" i="97"/>
  <c r="AD49" i="97"/>
  <c r="AD81" i="97"/>
  <c r="AD113" i="97"/>
  <c r="AD54" i="97"/>
  <c r="AD86" i="97"/>
  <c r="AD118" i="97"/>
  <c r="AD55" i="97"/>
  <c r="AD87" i="97"/>
  <c r="AD119" i="97"/>
  <c r="AD52" i="97"/>
  <c r="AD84" i="97"/>
  <c r="AD116" i="97"/>
  <c r="AD53" i="97"/>
  <c r="AD85" i="97"/>
  <c r="AD117" i="97"/>
  <c r="AD58" i="97"/>
  <c r="AD90" i="97"/>
  <c r="AD122" i="97"/>
  <c r="AD59" i="97"/>
  <c r="AD91" i="97"/>
  <c r="AD123" i="97"/>
  <c r="AD56" i="97"/>
  <c r="AD88" i="97"/>
  <c r="AD120" i="97"/>
  <c r="AD57" i="97"/>
  <c r="AD89" i="97"/>
  <c r="AD121" i="97"/>
  <c r="H102" i="98"/>
  <c r="AD62" i="97"/>
  <c r="AD94" i="97"/>
  <c r="AD126" i="97"/>
  <c r="AD63" i="97"/>
  <c r="AD95" i="97"/>
  <c r="AD127" i="97"/>
  <c r="AD60" i="97"/>
  <c r="AD92" i="97"/>
  <c r="AD124" i="97"/>
  <c r="AD61" i="97"/>
  <c r="AD93" i="97"/>
  <c r="AD125" i="97"/>
  <c r="AD34" i="97"/>
  <c r="AD66" i="97"/>
  <c r="AD98" i="97"/>
  <c r="AD35" i="97"/>
  <c r="AD67" i="97"/>
  <c r="AD99" i="97"/>
  <c r="AD64" i="97"/>
  <c r="AD96" i="97"/>
  <c r="AD128" i="97"/>
  <c r="AD65" i="97"/>
  <c r="AD97" i="97"/>
  <c r="AD129" i="97"/>
  <c r="AD38" i="97"/>
  <c r="AD70" i="97"/>
  <c r="AD102" i="97"/>
  <c r="AD39" i="97"/>
  <c r="AD71" i="97"/>
  <c r="AD103" i="97"/>
  <c r="AD36" i="97"/>
  <c r="AD68" i="97"/>
  <c r="AD100" i="97"/>
  <c r="AD37" i="97"/>
  <c r="AD69" i="97"/>
  <c r="G102" i="100"/>
  <c r="G84" i="100"/>
  <c r="E7" i="101"/>
  <c r="E83" i="101"/>
  <c r="D7" i="101"/>
  <c r="E103" i="101"/>
  <c r="E104" i="101"/>
  <c r="B92" i="101"/>
  <c r="B102" i="101" s="1"/>
  <c r="D18" i="101" s="1"/>
  <c r="B64" i="101"/>
  <c r="B63" i="101"/>
  <c r="B62" i="101"/>
  <c r="B18" i="101" s="1"/>
  <c r="D73" i="101"/>
  <c r="D82" i="101" s="1"/>
  <c r="F73" i="101"/>
  <c r="F84" i="101" s="1"/>
  <c r="C83" i="100"/>
  <c r="H102" i="101"/>
  <c r="C64" i="101"/>
  <c r="B19" i="101" s="1"/>
  <c r="C63" i="101"/>
  <c r="C62" i="101"/>
  <c r="D103" i="100"/>
  <c r="D104" i="100"/>
  <c r="C84" i="100"/>
  <c r="E19" i="100" s="1"/>
  <c r="C7" i="101"/>
  <c r="C43" i="101"/>
  <c r="C42" i="101"/>
  <c r="C8" i="101"/>
  <c r="C44" i="101"/>
  <c r="C19" i="101" s="1"/>
  <c r="C73" i="101"/>
  <c r="C82" i="101" s="1"/>
  <c r="F92" i="101"/>
  <c r="F102" i="101" s="1"/>
  <c r="B103" i="100"/>
  <c r="B104" i="100"/>
  <c r="D102" i="100"/>
  <c r="C92" i="101"/>
  <c r="C102" i="101" s="1"/>
  <c r="E18" i="101" s="1"/>
  <c r="B7" i="101"/>
  <c r="B42" i="101"/>
  <c r="C18" i="101" s="1"/>
  <c r="B44" i="101"/>
  <c r="B43" i="101"/>
  <c r="B8" i="101"/>
  <c r="G84" i="101"/>
  <c r="K8" i="100"/>
  <c r="B73" i="101"/>
  <c r="B82" i="101" s="1"/>
  <c r="H84" i="101"/>
  <c r="B83" i="97"/>
  <c r="D92" i="98"/>
  <c r="D102" i="98" s="1"/>
  <c r="B92" i="98"/>
  <c r="B102" i="98" s="1"/>
  <c r="D18" i="98" s="1"/>
  <c r="D102" i="97"/>
  <c r="B84" i="97"/>
  <c r="D19" i="97" s="1"/>
  <c r="C103" i="97"/>
  <c r="C104" i="97"/>
  <c r="B73" i="98"/>
  <c r="B82" i="98" s="1"/>
  <c r="B62" i="98"/>
  <c r="B18" i="98" s="1"/>
  <c r="B63" i="98"/>
  <c r="B64" i="98"/>
  <c r="E7" i="98"/>
  <c r="E83" i="98"/>
  <c r="C7" i="98"/>
  <c r="C44" i="98"/>
  <c r="C19" i="98" s="1"/>
  <c r="C42" i="98"/>
  <c r="C43" i="98"/>
  <c r="C8" i="98"/>
  <c r="B7" i="98"/>
  <c r="B8" i="98"/>
  <c r="B44" i="98"/>
  <c r="B42" i="98"/>
  <c r="C18" i="98" s="1"/>
  <c r="B43" i="98"/>
  <c r="F73" i="98"/>
  <c r="I19" i="98" s="1"/>
  <c r="D73" i="98"/>
  <c r="D83" i="98" s="1"/>
  <c r="E103" i="98"/>
  <c r="D7" i="98"/>
  <c r="E104" i="98"/>
  <c r="D103" i="97"/>
  <c r="D104" i="97"/>
  <c r="G84" i="98"/>
  <c r="C62" i="98"/>
  <c r="C63" i="98"/>
  <c r="C64" i="98"/>
  <c r="B19" i="98" s="1"/>
  <c r="C92" i="98"/>
  <c r="C102" i="98" s="1"/>
  <c r="E18" i="98" s="1"/>
  <c r="F92" i="98"/>
  <c r="F102" i="98" s="1"/>
  <c r="E83" i="97"/>
  <c r="C73" i="98"/>
  <c r="C82" i="98" s="1"/>
  <c r="K8" i="97"/>
  <c r="E7" i="97"/>
  <c r="C29" i="104"/>
  <c r="F93" i="104"/>
  <c r="E93" i="104"/>
  <c r="E92" i="104" s="1"/>
  <c r="D72" i="104"/>
  <c r="D93" i="104"/>
  <c r="C72" i="104"/>
  <c r="C53" i="104"/>
  <c r="F72" i="104"/>
  <c r="C93" i="104"/>
  <c r="B52" i="104"/>
  <c r="B93" i="104"/>
  <c r="B72" i="104"/>
  <c r="E72" i="104"/>
  <c r="E73" i="104" s="1"/>
  <c r="E82" i="104" s="1"/>
  <c r="B28" i="104"/>
  <c r="C29" i="103"/>
  <c r="B93" i="103"/>
  <c r="B92" i="103" s="1"/>
  <c r="D72" i="103"/>
  <c r="B28" i="103"/>
  <c r="B72" i="103"/>
  <c r="F72" i="103"/>
  <c r="F93" i="103"/>
  <c r="D93" i="103"/>
  <c r="B52" i="103"/>
  <c r="E72" i="103"/>
  <c r="E73" i="103" s="1"/>
  <c r="E82" i="103" s="1"/>
  <c r="C72" i="103"/>
  <c r="C93" i="103"/>
  <c r="E93" i="103"/>
  <c r="E92" i="103" s="1"/>
  <c r="C53" i="103"/>
  <c r="D92" i="107"/>
  <c r="C73" i="107"/>
  <c r="C82" i="107" s="1"/>
  <c r="C7" i="107"/>
  <c r="C43" i="107"/>
  <c r="C42" i="107"/>
  <c r="C8" i="107"/>
  <c r="C44" i="107"/>
  <c r="C19" i="107" s="1"/>
  <c r="B64" i="107"/>
  <c r="B62" i="107"/>
  <c r="B18" i="107" s="1"/>
  <c r="B63" i="107"/>
  <c r="H84" i="107"/>
  <c r="F92" i="107"/>
  <c r="C62" i="107"/>
  <c r="C64" i="107"/>
  <c r="B19" i="107" s="1"/>
  <c r="C63" i="107"/>
  <c r="D73" i="107"/>
  <c r="D82" i="107" s="1"/>
  <c r="B44" i="107"/>
  <c r="B7" i="107"/>
  <c r="B43" i="107"/>
  <c r="B42" i="107"/>
  <c r="C18" i="107" s="1"/>
  <c r="B8" i="107"/>
  <c r="B84" i="107"/>
  <c r="D19" i="107" s="1"/>
  <c r="B83" i="107"/>
  <c r="B104" i="107"/>
  <c r="B103" i="107"/>
  <c r="C92" i="107"/>
  <c r="B102" i="107"/>
  <c r="D18" i="107" s="1"/>
  <c r="E73" i="107"/>
  <c r="E82" i="107" s="1"/>
  <c r="F73" i="107"/>
  <c r="I19" i="107" s="1"/>
  <c r="K23" i="15"/>
  <c r="G58" i="15"/>
  <c r="Z2" i="106" s="1"/>
  <c r="M78" i="15" a="1"/>
  <c r="O70" i="15" a="1"/>
  <c r="L65" i="15" a="1"/>
  <c r="O69" i="15" a="1"/>
  <c r="L69" i="15" a="1"/>
  <c r="X23" i="15" a="1"/>
  <c r="L70" i="15" a="1"/>
  <c r="L77" i="15" a="1"/>
  <c r="I8" i="104" l="1"/>
  <c r="E8" i="104"/>
  <c r="F8" i="104"/>
  <c r="H8" i="104"/>
  <c r="H73" i="104"/>
  <c r="H19" i="104" s="1"/>
  <c r="H92" i="103"/>
  <c r="H18" i="103" s="1"/>
  <c r="H92" i="104"/>
  <c r="H18" i="104" s="1"/>
  <c r="H19" i="103"/>
  <c r="I18" i="98"/>
  <c r="I19" i="101"/>
  <c r="I18" i="101"/>
  <c r="S70" i="101"/>
  <c r="S100" i="101"/>
  <c r="S65" i="101"/>
  <c r="AB54" i="101"/>
  <c r="AB85" i="101"/>
  <c r="AB70" i="101"/>
  <c r="S112" i="101"/>
  <c r="S116" i="101"/>
  <c r="S83" i="101"/>
  <c r="AB95" i="101"/>
  <c r="AB36" i="101"/>
  <c r="AB88" i="101"/>
  <c r="S57" i="101"/>
  <c r="S59" i="101"/>
  <c r="S97" i="101"/>
  <c r="AB66" i="101"/>
  <c r="AB44" i="101"/>
  <c r="AB90" i="101"/>
  <c r="S63" i="101"/>
  <c r="S94" i="101"/>
  <c r="S99" i="101"/>
  <c r="AB38" i="101"/>
  <c r="AB119" i="101"/>
  <c r="AB104" i="101"/>
  <c r="S48" i="101"/>
  <c r="S66" i="101"/>
  <c r="S113" i="101"/>
  <c r="AB59" i="101"/>
  <c r="AB52" i="101"/>
  <c r="AB106" i="101"/>
  <c r="D102" i="101"/>
  <c r="S62" i="101"/>
  <c r="S71" i="101"/>
  <c r="S115" i="101"/>
  <c r="AB61" i="101"/>
  <c r="AB76" i="101"/>
  <c r="AB120" i="101"/>
  <c r="D103" i="101"/>
  <c r="S126" i="101"/>
  <c r="S80" i="101"/>
  <c r="S129" i="101"/>
  <c r="AB73" i="101"/>
  <c r="AB91" i="101"/>
  <c r="AB122" i="101"/>
  <c r="D104" i="101"/>
  <c r="S39" i="101"/>
  <c r="S82" i="101"/>
  <c r="S60" i="101"/>
  <c r="AB49" i="101"/>
  <c r="AB62" i="101"/>
  <c r="AB63" i="101"/>
  <c r="G7" i="100"/>
  <c r="S41" i="101"/>
  <c r="S86" i="101"/>
  <c r="S72" i="101"/>
  <c r="S47" i="101"/>
  <c r="S34" i="101"/>
  <c r="S110" i="101"/>
  <c r="S78" i="101"/>
  <c r="S98" i="101"/>
  <c r="S85" i="101"/>
  <c r="S101" i="101"/>
  <c r="S117" i="101"/>
  <c r="S76" i="101"/>
  <c r="AB69" i="101"/>
  <c r="AB115" i="101"/>
  <c r="AB89" i="101"/>
  <c r="AB58" i="101"/>
  <c r="AB53" i="101"/>
  <c r="AB81" i="101"/>
  <c r="AB107" i="101"/>
  <c r="AB101" i="101"/>
  <c r="AB92" i="101"/>
  <c r="AB108" i="101"/>
  <c r="AB124" i="101"/>
  <c r="AB74" i="101"/>
  <c r="S92" i="101"/>
  <c r="S108" i="101"/>
  <c r="S102" i="101"/>
  <c r="S74" i="101"/>
  <c r="S51" i="101"/>
  <c r="S38" i="101"/>
  <c r="S37" i="101"/>
  <c r="S88" i="101"/>
  <c r="S114" i="101"/>
  <c r="S87" i="101"/>
  <c r="S103" i="101"/>
  <c r="S119" i="101"/>
  <c r="AB111" i="101"/>
  <c r="AB129" i="101"/>
  <c r="AB105" i="101"/>
  <c r="AB60" i="101"/>
  <c r="AB57" i="101"/>
  <c r="AB97" i="101"/>
  <c r="AB123" i="101"/>
  <c r="AB117" i="101"/>
  <c r="AB94" i="101"/>
  <c r="AB110" i="101"/>
  <c r="AB126" i="101"/>
  <c r="AB78" i="101"/>
  <c r="S52" i="101"/>
  <c r="S49" i="101"/>
  <c r="S118" i="101"/>
  <c r="S81" i="101"/>
  <c r="S56" i="101"/>
  <c r="S42" i="101"/>
  <c r="S45" i="101"/>
  <c r="S104" i="101"/>
  <c r="S124" i="101"/>
  <c r="S89" i="101"/>
  <c r="S105" i="101"/>
  <c r="S121" i="101"/>
  <c r="AB46" i="101"/>
  <c r="AB50" i="101"/>
  <c r="AB34" i="101"/>
  <c r="AB121" i="101"/>
  <c r="AB68" i="101"/>
  <c r="AB65" i="101"/>
  <c r="AB113" i="101"/>
  <c r="AB127" i="101"/>
  <c r="AB64" i="101"/>
  <c r="AB96" i="101"/>
  <c r="AB112" i="101"/>
  <c r="AB128" i="101"/>
  <c r="S75" i="101"/>
  <c r="S68" i="101"/>
  <c r="S35" i="101"/>
  <c r="S90" i="101"/>
  <c r="S67" i="101"/>
  <c r="S46" i="101"/>
  <c r="S54" i="101"/>
  <c r="S120" i="101"/>
  <c r="S128" i="101"/>
  <c r="S91" i="101"/>
  <c r="S107" i="101"/>
  <c r="S123" i="101"/>
  <c r="AB51" i="101"/>
  <c r="AB55" i="101"/>
  <c r="AB39" i="101"/>
  <c r="AB37" i="101"/>
  <c r="AB75" i="101"/>
  <c r="AB77" i="101"/>
  <c r="AB40" i="101"/>
  <c r="AB35" i="101"/>
  <c r="AB82" i="101"/>
  <c r="AB98" i="101"/>
  <c r="AB114" i="101"/>
  <c r="AB67" i="101"/>
  <c r="S79" i="101"/>
  <c r="S36" i="101"/>
  <c r="S40" i="101"/>
  <c r="S106" i="101"/>
  <c r="S69" i="101"/>
  <c r="S50" i="101"/>
  <c r="S58" i="101"/>
  <c r="S53" i="101"/>
  <c r="S61" i="101"/>
  <c r="S93" i="101"/>
  <c r="S109" i="101"/>
  <c r="S125" i="101"/>
  <c r="AB80" i="101"/>
  <c r="AB99" i="101"/>
  <c r="AB42" i="101"/>
  <c r="AB41" i="101"/>
  <c r="AB93" i="101"/>
  <c r="AB87" i="101"/>
  <c r="AB48" i="101"/>
  <c r="AB43" i="101"/>
  <c r="AB84" i="101"/>
  <c r="AB100" i="101"/>
  <c r="AB116" i="101"/>
  <c r="AB71" i="101"/>
  <c r="S96" i="101"/>
  <c r="S44" i="101"/>
  <c r="S43" i="101"/>
  <c r="S122" i="101"/>
  <c r="S84" i="101"/>
  <c r="S55" i="101"/>
  <c r="S64" i="101"/>
  <c r="S73" i="101"/>
  <c r="S77" i="101"/>
  <c r="S95" i="101"/>
  <c r="S111" i="101"/>
  <c r="S127" i="101"/>
  <c r="AB83" i="101"/>
  <c r="AB125" i="101"/>
  <c r="AB47" i="101"/>
  <c r="AB45" i="101"/>
  <c r="AB109" i="101"/>
  <c r="AB103" i="101"/>
  <c r="AB72" i="101"/>
  <c r="AB56" i="101"/>
  <c r="AB86" i="101"/>
  <c r="AB102" i="101"/>
  <c r="AB118" i="101"/>
  <c r="S72" i="98"/>
  <c r="AB72" i="98"/>
  <c r="S57" i="98"/>
  <c r="AB89" i="98"/>
  <c r="S91" i="98"/>
  <c r="AB90" i="98"/>
  <c r="S123" i="98"/>
  <c r="S75" i="98"/>
  <c r="S77" i="98"/>
  <c r="AB64" i="98"/>
  <c r="S88" i="98"/>
  <c r="S84" i="98"/>
  <c r="S93" i="98"/>
  <c r="AB91" i="98"/>
  <c r="AB66" i="98"/>
  <c r="AB124" i="98"/>
  <c r="S44" i="98"/>
  <c r="S42" i="98"/>
  <c r="S107" i="98"/>
  <c r="AB42" i="98"/>
  <c r="AB45" i="98"/>
  <c r="AB127" i="98"/>
  <c r="AB83" i="98"/>
  <c r="AB122" i="98"/>
  <c r="S52" i="98"/>
  <c r="S46" i="98"/>
  <c r="S109" i="98"/>
  <c r="AB50" i="98"/>
  <c r="AB49" i="98"/>
  <c r="AB59" i="98"/>
  <c r="S86" i="98"/>
  <c r="S59" i="98"/>
  <c r="S125" i="98"/>
  <c r="AB76" i="98"/>
  <c r="AB97" i="98"/>
  <c r="AB92" i="98"/>
  <c r="S61" i="98"/>
  <c r="S48" i="98"/>
  <c r="S122" i="98"/>
  <c r="AB125" i="98"/>
  <c r="AB56" i="98"/>
  <c r="AB106" i="98"/>
  <c r="S65" i="98"/>
  <c r="S58" i="98"/>
  <c r="S60" i="98"/>
  <c r="AB39" i="98"/>
  <c r="AB58" i="98"/>
  <c r="AB108" i="98"/>
  <c r="G7" i="97"/>
  <c r="S36" i="98"/>
  <c r="S96" i="98"/>
  <c r="S69" i="98"/>
  <c r="S94" i="98"/>
  <c r="S64" i="98"/>
  <c r="S92" i="98"/>
  <c r="S50" i="98"/>
  <c r="S71" i="98"/>
  <c r="S68" i="98"/>
  <c r="S95" i="98"/>
  <c r="S111" i="98"/>
  <c r="S127" i="98"/>
  <c r="AB74" i="98"/>
  <c r="AB80" i="98"/>
  <c r="AB47" i="98"/>
  <c r="AB99" i="98"/>
  <c r="AB53" i="98"/>
  <c r="AB105" i="98"/>
  <c r="AB61" i="98"/>
  <c r="AB69" i="98"/>
  <c r="AB67" i="98"/>
  <c r="AB94" i="98"/>
  <c r="AB110" i="98"/>
  <c r="AB126" i="98"/>
  <c r="S41" i="98"/>
  <c r="S104" i="98"/>
  <c r="S78" i="98"/>
  <c r="S102" i="98"/>
  <c r="S34" i="98"/>
  <c r="S100" i="98"/>
  <c r="S54" i="98"/>
  <c r="S82" i="98"/>
  <c r="S76" i="98"/>
  <c r="S97" i="98"/>
  <c r="S113" i="98"/>
  <c r="S129" i="98"/>
  <c r="AB77" i="98"/>
  <c r="AB85" i="98"/>
  <c r="AB57" i="98"/>
  <c r="AB107" i="98"/>
  <c r="AB62" i="98"/>
  <c r="AB113" i="98"/>
  <c r="AB78" i="98"/>
  <c r="AB87" i="98"/>
  <c r="AB75" i="98"/>
  <c r="AB96" i="98"/>
  <c r="AB112" i="98"/>
  <c r="AB128" i="98"/>
  <c r="S62" i="98"/>
  <c r="S49" i="98"/>
  <c r="S112" i="98"/>
  <c r="S81" i="98"/>
  <c r="S110" i="98"/>
  <c r="S39" i="98"/>
  <c r="S108" i="98"/>
  <c r="S63" i="98"/>
  <c r="S90" i="98"/>
  <c r="S83" i="98"/>
  <c r="S99" i="98"/>
  <c r="S115" i="98"/>
  <c r="AB68" i="98"/>
  <c r="AB93" i="98"/>
  <c r="AB38" i="98"/>
  <c r="AB115" i="98"/>
  <c r="AB73" i="98"/>
  <c r="AB121" i="98"/>
  <c r="AB35" i="98"/>
  <c r="AB95" i="98"/>
  <c r="AB82" i="98"/>
  <c r="AB98" i="98"/>
  <c r="AB114" i="98"/>
  <c r="AB55" i="98"/>
  <c r="S37" i="98"/>
  <c r="S70" i="98"/>
  <c r="S120" i="98"/>
  <c r="S43" i="98"/>
  <c r="S118" i="98"/>
  <c r="S47" i="98"/>
  <c r="S116" i="98"/>
  <c r="S74" i="98"/>
  <c r="S98" i="98"/>
  <c r="S85" i="98"/>
  <c r="S101" i="98"/>
  <c r="S117" i="98"/>
  <c r="AB34" i="98"/>
  <c r="AB101" i="98"/>
  <c r="AB46" i="98"/>
  <c r="AB123" i="98"/>
  <c r="AB52" i="98"/>
  <c r="AB129" i="98"/>
  <c r="AB40" i="98"/>
  <c r="AB103" i="98"/>
  <c r="AB84" i="98"/>
  <c r="AB100" i="98"/>
  <c r="AB116" i="98"/>
  <c r="AB63" i="98"/>
  <c r="S45" i="98"/>
  <c r="S73" i="98"/>
  <c r="S128" i="98"/>
  <c r="S51" i="98"/>
  <c r="S126" i="98"/>
  <c r="S55" i="98"/>
  <c r="S124" i="98"/>
  <c r="S80" i="98"/>
  <c r="S106" i="98"/>
  <c r="S87" i="98"/>
  <c r="S103" i="98"/>
  <c r="S119" i="98"/>
  <c r="AB43" i="98"/>
  <c r="AB109" i="98"/>
  <c r="AB54" i="98"/>
  <c r="AB37" i="98"/>
  <c r="AB70" i="98"/>
  <c r="AB36" i="98"/>
  <c r="AB48" i="98"/>
  <c r="AB111" i="98"/>
  <c r="AB86" i="98"/>
  <c r="AB102" i="98"/>
  <c r="AB118" i="98"/>
  <c r="AB71" i="98"/>
  <c r="S67" i="98"/>
  <c r="S79" i="98"/>
  <c r="S35" i="98"/>
  <c r="S56" i="98"/>
  <c r="S40" i="98"/>
  <c r="S66" i="98"/>
  <c r="S38" i="98"/>
  <c r="S53" i="98"/>
  <c r="S114" i="98"/>
  <c r="S89" i="98"/>
  <c r="S105" i="98"/>
  <c r="S121" i="98"/>
  <c r="AB51" i="98"/>
  <c r="AB117" i="98"/>
  <c r="AB65" i="98"/>
  <c r="AB41" i="98"/>
  <c r="AB81" i="98"/>
  <c r="AB44" i="98"/>
  <c r="AB60" i="98"/>
  <c r="AB119" i="98"/>
  <c r="AB88" i="98"/>
  <c r="AB104" i="98"/>
  <c r="AB120" i="98"/>
  <c r="AB79" i="98"/>
  <c r="G92" i="104"/>
  <c r="AA73" i="104" s="1"/>
  <c r="G73" i="103"/>
  <c r="R78" i="103" s="1"/>
  <c r="R78" i="104"/>
  <c r="R71" i="104"/>
  <c r="R67" i="104"/>
  <c r="R64" i="104"/>
  <c r="R53" i="104"/>
  <c r="R50" i="104"/>
  <c r="R46" i="104"/>
  <c r="R43" i="104"/>
  <c r="R40" i="104"/>
  <c r="R79" i="104"/>
  <c r="R75" i="104"/>
  <c r="R72" i="104"/>
  <c r="R68" i="104"/>
  <c r="R57" i="104"/>
  <c r="R80" i="104"/>
  <c r="R76" i="104"/>
  <c r="R61" i="104"/>
  <c r="R47" i="104"/>
  <c r="R44" i="104"/>
  <c r="R37" i="104"/>
  <c r="R34" i="104"/>
  <c r="R129" i="104"/>
  <c r="R127" i="104"/>
  <c r="R125" i="104"/>
  <c r="R123" i="104"/>
  <c r="R121" i="104"/>
  <c r="R119" i="104"/>
  <c r="R117" i="104"/>
  <c r="R115" i="104"/>
  <c r="R113" i="104"/>
  <c r="R111" i="104"/>
  <c r="R109" i="104"/>
  <c r="R107" i="104"/>
  <c r="R105" i="104"/>
  <c r="R103" i="104"/>
  <c r="R101" i="104"/>
  <c r="R99" i="104"/>
  <c r="R97" i="104"/>
  <c r="R95" i="104"/>
  <c r="R93" i="104"/>
  <c r="R91" i="104"/>
  <c r="R89" i="104"/>
  <c r="R87" i="104"/>
  <c r="R85" i="104"/>
  <c r="R83" i="104"/>
  <c r="R65" i="104"/>
  <c r="R58" i="104"/>
  <c r="R54" i="104"/>
  <c r="R51" i="104"/>
  <c r="R48" i="104"/>
  <c r="R41" i="104"/>
  <c r="R73" i="104"/>
  <c r="R69" i="104"/>
  <c r="R81" i="104"/>
  <c r="R77" i="104"/>
  <c r="R66" i="104"/>
  <c r="R62" i="104"/>
  <c r="R55" i="104"/>
  <c r="R52" i="104"/>
  <c r="R45" i="104"/>
  <c r="R42" i="104"/>
  <c r="R38" i="104"/>
  <c r="R35" i="104"/>
  <c r="R74" i="104"/>
  <c r="R59" i="104"/>
  <c r="R56" i="104"/>
  <c r="R49" i="104"/>
  <c r="R128" i="104"/>
  <c r="R112" i="104"/>
  <c r="R96" i="104"/>
  <c r="R126" i="104"/>
  <c r="R110" i="104"/>
  <c r="R94" i="104"/>
  <c r="R124" i="104"/>
  <c r="R108" i="104"/>
  <c r="R92" i="104"/>
  <c r="R36" i="104"/>
  <c r="R122" i="104"/>
  <c r="R106" i="104"/>
  <c r="R90" i="104"/>
  <c r="R60" i="104"/>
  <c r="R84" i="104"/>
  <c r="R120" i="104"/>
  <c r="R104" i="104"/>
  <c r="R88" i="104"/>
  <c r="R39" i="104"/>
  <c r="R100" i="104"/>
  <c r="R118" i="104"/>
  <c r="R102" i="104"/>
  <c r="R86" i="104"/>
  <c r="R70" i="104"/>
  <c r="R63" i="104"/>
  <c r="R116" i="104"/>
  <c r="R114" i="104"/>
  <c r="R98" i="104"/>
  <c r="R82" i="104"/>
  <c r="G92" i="103"/>
  <c r="AA118" i="103" s="1"/>
  <c r="S87" i="107"/>
  <c r="S106" i="107"/>
  <c r="S41" i="107"/>
  <c r="S58" i="107"/>
  <c r="S107" i="107"/>
  <c r="S102" i="107"/>
  <c r="S70" i="107"/>
  <c r="S39" i="107"/>
  <c r="S104" i="107"/>
  <c r="S38" i="107"/>
  <c r="S56" i="107"/>
  <c r="S52" i="107"/>
  <c r="S37" i="107"/>
  <c r="S83" i="107"/>
  <c r="S46" i="107"/>
  <c r="S73" i="107"/>
  <c r="S129" i="107"/>
  <c r="S90" i="107"/>
  <c r="S94" i="107"/>
  <c r="S71" i="107"/>
  <c r="S105" i="107"/>
  <c r="S76" i="107"/>
  <c r="S80" i="107"/>
  <c r="S69" i="107"/>
  <c r="S86" i="107"/>
  <c r="S120" i="107"/>
  <c r="S59" i="107"/>
  <c r="S122" i="107"/>
  <c r="S43" i="107"/>
  <c r="S103" i="107"/>
  <c r="S88" i="107"/>
  <c r="S108" i="107"/>
  <c r="S89" i="107"/>
  <c r="S93" i="107"/>
  <c r="S72" i="107"/>
  <c r="S118" i="107"/>
  <c r="S99" i="107"/>
  <c r="S62" i="107"/>
  <c r="S96" i="107"/>
  <c r="S48" i="107"/>
  <c r="S35" i="107"/>
  <c r="S121" i="107"/>
  <c r="S97" i="107"/>
  <c r="S50" i="107"/>
  <c r="S92" i="107"/>
  <c r="S123" i="107"/>
  <c r="S119" i="107"/>
  <c r="S44" i="107"/>
  <c r="S117" i="107"/>
  <c r="S75" i="107"/>
  <c r="S125" i="107"/>
  <c r="S65" i="107"/>
  <c r="S64" i="107"/>
  <c r="S82" i="107"/>
  <c r="S124" i="107"/>
  <c r="S63" i="107"/>
  <c r="S34" i="107"/>
  <c r="S68" i="107"/>
  <c r="S127" i="107"/>
  <c r="S61" i="107"/>
  <c r="S78" i="107"/>
  <c r="S112" i="107"/>
  <c r="S51" i="107"/>
  <c r="S114" i="107"/>
  <c r="S49" i="107"/>
  <c r="S95" i="107"/>
  <c r="S66" i="107"/>
  <c r="S100" i="107"/>
  <c r="S47" i="107"/>
  <c r="S85" i="107"/>
  <c r="S60" i="107"/>
  <c r="S110" i="107"/>
  <c r="S91" i="107"/>
  <c r="S54" i="107"/>
  <c r="S81" i="107"/>
  <c r="S40" i="107"/>
  <c r="S98" i="107"/>
  <c r="S109" i="107"/>
  <c r="S79" i="107"/>
  <c r="S42" i="107"/>
  <c r="S84" i="107"/>
  <c r="S111" i="107"/>
  <c r="S77" i="107"/>
  <c r="S36" i="107"/>
  <c r="S128" i="107"/>
  <c r="S67" i="107"/>
  <c r="S115" i="107"/>
  <c r="S57" i="107"/>
  <c r="S113" i="107"/>
  <c r="S74" i="107"/>
  <c r="S116" i="107"/>
  <c r="S55" i="107"/>
  <c r="S101" i="107"/>
  <c r="S45" i="107"/>
  <c r="S126" i="107"/>
  <c r="S53" i="107"/>
  <c r="R35" i="106"/>
  <c r="R67" i="106"/>
  <c r="R99" i="106"/>
  <c r="R36" i="106"/>
  <c r="R68" i="106"/>
  <c r="R100" i="106"/>
  <c r="R37" i="106"/>
  <c r="R69" i="106"/>
  <c r="R101" i="106"/>
  <c r="R38" i="106"/>
  <c r="R70" i="106"/>
  <c r="R102" i="106"/>
  <c r="R39" i="106"/>
  <c r="R71" i="106"/>
  <c r="R103" i="106"/>
  <c r="R40" i="106"/>
  <c r="R72" i="106"/>
  <c r="R104" i="106"/>
  <c r="R41" i="106"/>
  <c r="R73" i="106"/>
  <c r="R105" i="106"/>
  <c r="R42" i="106"/>
  <c r="R74" i="106"/>
  <c r="R106" i="106"/>
  <c r="R43" i="106"/>
  <c r="R75" i="106"/>
  <c r="R107" i="106"/>
  <c r="R44" i="106"/>
  <c r="R76" i="106"/>
  <c r="R108" i="106"/>
  <c r="R45" i="106"/>
  <c r="R77" i="106"/>
  <c r="R109" i="106"/>
  <c r="R46" i="106"/>
  <c r="R78" i="106"/>
  <c r="R110" i="106"/>
  <c r="R47" i="106"/>
  <c r="R79" i="106"/>
  <c r="R111" i="106"/>
  <c r="R48" i="106"/>
  <c r="R80" i="106"/>
  <c r="R112" i="106"/>
  <c r="R49" i="106"/>
  <c r="R81" i="106"/>
  <c r="R113" i="106"/>
  <c r="R50" i="106"/>
  <c r="R82" i="106"/>
  <c r="R114" i="106"/>
  <c r="R51" i="106"/>
  <c r="R83" i="106"/>
  <c r="R115" i="106"/>
  <c r="R52" i="106"/>
  <c r="R84" i="106"/>
  <c r="R116" i="106"/>
  <c r="R53" i="106"/>
  <c r="R85" i="106"/>
  <c r="R117" i="106"/>
  <c r="R54" i="106"/>
  <c r="R86" i="106"/>
  <c r="R118" i="106"/>
  <c r="R55" i="106"/>
  <c r="R87" i="106"/>
  <c r="R119" i="106"/>
  <c r="R56" i="106"/>
  <c r="R88" i="106"/>
  <c r="R120" i="106"/>
  <c r="R57" i="106"/>
  <c r="R89" i="106"/>
  <c r="R121" i="106"/>
  <c r="R58" i="106"/>
  <c r="R90" i="106"/>
  <c r="R122" i="106"/>
  <c r="R59" i="106"/>
  <c r="R91" i="106"/>
  <c r="R123" i="106"/>
  <c r="R60" i="106"/>
  <c r="R92" i="106"/>
  <c r="R124" i="106"/>
  <c r="R61" i="106"/>
  <c r="R93" i="106"/>
  <c r="R125" i="106"/>
  <c r="R62" i="106"/>
  <c r="R94" i="106"/>
  <c r="R126" i="106"/>
  <c r="R63" i="106"/>
  <c r="R95" i="106"/>
  <c r="R127" i="106"/>
  <c r="R64" i="106"/>
  <c r="R96" i="106"/>
  <c r="R128" i="106"/>
  <c r="R65" i="106"/>
  <c r="R97" i="106"/>
  <c r="R129" i="106"/>
  <c r="R66" i="106"/>
  <c r="R98" i="106"/>
  <c r="R34" i="106"/>
  <c r="X23" i="15"/>
  <c r="D73" i="104"/>
  <c r="D82" i="104" s="1"/>
  <c r="D73" i="103"/>
  <c r="D82" i="103" s="1"/>
  <c r="F19" i="104"/>
  <c r="G70" i="119"/>
  <c r="C26" i="119"/>
  <c r="C50" i="119"/>
  <c r="C90" i="119"/>
  <c r="B50" i="119"/>
  <c r="H70" i="119"/>
  <c r="G90" i="119"/>
  <c r="F70" i="119"/>
  <c r="C70" i="119"/>
  <c r="F90" i="119"/>
  <c r="D90" i="119"/>
  <c r="D70" i="119"/>
  <c r="B70" i="119"/>
  <c r="B90" i="119"/>
  <c r="B26" i="119"/>
  <c r="H90" i="119"/>
  <c r="D92" i="104"/>
  <c r="G18" i="104" s="1"/>
  <c r="G19" i="107"/>
  <c r="G18" i="107"/>
  <c r="AC98" i="107"/>
  <c r="H7" i="100"/>
  <c r="AC109" i="97"/>
  <c r="AC77" i="97"/>
  <c r="AC45" i="97"/>
  <c r="AC108" i="97"/>
  <c r="H7" i="97"/>
  <c r="AC110" i="97"/>
  <c r="AC78" i="97"/>
  <c r="AC46" i="97"/>
  <c r="AC117" i="97"/>
  <c r="AC85" i="97"/>
  <c r="AC53" i="97"/>
  <c r="AC116" i="97"/>
  <c r="AC84" i="97"/>
  <c r="AC52" i="97"/>
  <c r="AC115" i="97"/>
  <c r="AC83" i="97"/>
  <c r="AC51" i="97"/>
  <c r="AC106" i="97"/>
  <c r="AC74" i="97"/>
  <c r="AC42" i="97"/>
  <c r="AC113" i="97"/>
  <c r="AC81" i="97"/>
  <c r="AC49" i="97"/>
  <c r="AC112" i="97"/>
  <c r="AC80" i="97"/>
  <c r="AC48" i="97"/>
  <c r="AC111" i="97"/>
  <c r="AC79" i="97"/>
  <c r="AC47" i="97"/>
  <c r="AC76" i="97"/>
  <c r="AC44" i="97"/>
  <c r="AC107" i="97"/>
  <c r="AC75" i="97"/>
  <c r="AC43" i="97"/>
  <c r="AC98" i="97"/>
  <c r="AC66" i="97"/>
  <c r="AC34" i="97"/>
  <c r="AC105" i="97"/>
  <c r="AC73" i="97"/>
  <c r="AC41" i="97"/>
  <c r="AC104" i="97"/>
  <c r="AC72" i="97"/>
  <c r="AC40" i="97"/>
  <c r="AC103" i="97"/>
  <c r="AC71" i="97"/>
  <c r="AC39" i="97"/>
  <c r="AC126" i="97"/>
  <c r="AC94" i="97"/>
  <c r="AC62" i="97"/>
  <c r="AC101" i="97"/>
  <c r="AC69" i="97"/>
  <c r="AC37" i="97"/>
  <c r="AC100" i="97"/>
  <c r="AC68" i="97"/>
  <c r="AC36" i="97"/>
  <c r="AC99" i="97"/>
  <c r="AC67" i="97"/>
  <c r="AC35" i="97"/>
  <c r="AC122" i="97"/>
  <c r="AC90" i="97"/>
  <c r="AC58" i="97"/>
  <c r="AC129" i="97"/>
  <c r="AC97" i="97"/>
  <c r="AC65" i="97"/>
  <c r="AC128" i="97"/>
  <c r="AC96" i="97"/>
  <c r="AC64" i="97"/>
  <c r="AC127" i="97"/>
  <c r="AC95" i="97"/>
  <c r="AC63" i="97"/>
  <c r="AC118" i="97"/>
  <c r="AC86" i="97"/>
  <c r="AC54" i="97"/>
  <c r="AC125" i="97"/>
  <c r="AC93" i="97"/>
  <c r="AC61" i="97"/>
  <c r="AC124" i="97"/>
  <c r="AC92" i="97"/>
  <c r="AC60" i="97"/>
  <c r="AC123" i="97"/>
  <c r="AC91" i="97"/>
  <c r="AC59" i="97"/>
  <c r="AC114" i="97"/>
  <c r="AC82" i="97"/>
  <c r="AC50" i="97"/>
  <c r="AC121" i="97"/>
  <c r="AC89" i="97"/>
  <c r="AC57" i="97"/>
  <c r="AC120" i="97"/>
  <c r="AC88" i="97"/>
  <c r="AC56" i="97"/>
  <c r="AC119" i="97"/>
  <c r="AC87" i="97"/>
  <c r="AC55" i="97"/>
  <c r="AC70" i="97"/>
  <c r="AC102" i="97"/>
  <c r="AC38" i="97"/>
  <c r="F23" i="97"/>
  <c r="F73" i="104"/>
  <c r="F84" i="104" s="1"/>
  <c r="AC48" i="107"/>
  <c r="AC51" i="107"/>
  <c r="AC115" i="107"/>
  <c r="AC103" i="107"/>
  <c r="AC76" i="107"/>
  <c r="AC60" i="107"/>
  <c r="AC124" i="107"/>
  <c r="AC101" i="107"/>
  <c r="AC81" i="107"/>
  <c r="AC38" i="107"/>
  <c r="AC70" i="107"/>
  <c r="AC102" i="107"/>
  <c r="AC40" i="107"/>
  <c r="AC59" i="107"/>
  <c r="AC123" i="107"/>
  <c r="AC111" i="107"/>
  <c r="AC84" i="107"/>
  <c r="AC64" i="107"/>
  <c r="AC49" i="107"/>
  <c r="AC109" i="107"/>
  <c r="AC89" i="107"/>
  <c r="AC42" i="107"/>
  <c r="AC74" i="107"/>
  <c r="AC106" i="107"/>
  <c r="AC35" i="107"/>
  <c r="AC67" i="107"/>
  <c r="AC55" i="107"/>
  <c r="AC119" i="107"/>
  <c r="AC92" i="107"/>
  <c r="AC72" i="107"/>
  <c r="AC57" i="107"/>
  <c r="AC117" i="107"/>
  <c r="AC97" i="107"/>
  <c r="AC46" i="107"/>
  <c r="AC78" i="107"/>
  <c r="AC110" i="107"/>
  <c r="AC43" i="107"/>
  <c r="AC75" i="107"/>
  <c r="AC63" i="107"/>
  <c r="AC127" i="107"/>
  <c r="AC104" i="107"/>
  <c r="AC80" i="107"/>
  <c r="AC65" i="107"/>
  <c r="AC125" i="107"/>
  <c r="AC105" i="107"/>
  <c r="AC50" i="107"/>
  <c r="AC82" i="107"/>
  <c r="AC114" i="107"/>
  <c r="AC41" i="107"/>
  <c r="AC83" i="107"/>
  <c r="AC71" i="107"/>
  <c r="AC108" i="107"/>
  <c r="AC88" i="107"/>
  <c r="AC69" i="107"/>
  <c r="AC45" i="107"/>
  <c r="AC113" i="107"/>
  <c r="AC54" i="107"/>
  <c r="AC86" i="107"/>
  <c r="AC118" i="107"/>
  <c r="AC36" i="107"/>
  <c r="AC91" i="107"/>
  <c r="AC79" i="107"/>
  <c r="AC52" i="107"/>
  <c r="AC116" i="107"/>
  <c r="AC96" i="107"/>
  <c r="AC77" i="107"/>
  <c r="AC53" i="107"/>
  <c r="AC121" i="107"/>
  <c r="AC58" i="107"/>
  <c r="AC90" i="107"/>
  <c r="AC122" i="107"/>
  <c r="AC47" i="107"/>
  <c r="AC44" i="107"/>
  <c r="AC99" i="107"/>
  <c r="AC87" i="107"/>
  <c r="AC56" i="107"/>
  <c r="AC120" i="107"/>
  <c r="AC100" i="107"/>
  <c r="AC85" i="107"/>
  <c r="AC61" i="107"/>
  <c r="AC129" i="107"/>
  <c r="AC62" i="107"/>
  <c r="AC94" i="107"/>
  <c r="AC126" i="107"/>
  <c r="AC39" i="107"/>
  <c r="AC37" i="107"/>
  <c r="AC107" i="107"/>
  <c r="AC95" i="107"/>
  <c r="AC68" i="107"/>
  <c r="AC128" i="107"/>
  <c r="AC112" i="107"/>
  <c r="AC93" i="107"/>
  <c r="AC73" i="107"/>
  <c r="AC34" i="107"/>
  <c r="AC66" i="107"/>
  <c r="E7" i="107"/>
  <c r="E83" i="107"/>
  <c r="D83" i="107"/>
  <c r="D84" i="101"/>
  <c r="C83" i="101"/>
  <c r="I7" i="100"/>
  <c r="C84" i="101"/>
  <c r="E19" i="101" s="1"/>
  <c r="B84" i="101"/>
  <c r="D19" i="101" s="1"/>
  <c r="B83" i="101"/>
  <c r="C104" i="101"/>
  <c r="C103" i="101"/>
  <c r="G102" i="101"/>
  <c r="F7" i="100"/>
  <c r="F103" i="101"/>
  <c r="F104" i="101"/>
  <c r="D83" i="101"/>
  <c r="B103" i="101"/>
  <c r="B104" i="101"/>
  <c r="F21" i="97"/>
  <c r="H84" i="98"/>
  <c r="F7" i="97"/>
  <c r="F104" i="98"/>
  <c r="F103" i="98"/>
  <c r="D82" i="98"/>
  <c r="D84" i="98"/>
  <c r="D103" i="98"/>
  <c r="D104" i="98"/>
  <c r="C84" i="98"/>
  <c r="E19" i="98" s="1"/>
  <c r="C104" i="98"/>
  <c r="C103" i="98"/>
  <c r="C83" i="98"/>
  <c r="G102" i="98"/>
  <c r="F84" i="98"/>
  <c r="B84" i="98"/>
  <c r="D19" i="98" s="1"/>
  <c r="B83" i="98"/>
  <c r="B104" i="98"/>
  <c r="B103" i="98"/>
  <c r="B103" i="103"/>
  <c r="B104" i="103"/>
  <c r="E103" i="104"/>
  <c r="E104" i="104"/>
  <c r="D7" i="104"/>
  <c r="F92" i="103"/>
  <c r="I18" i="103" s="1"/>
  <c r="C7" i="103"/>
  <c r="C44" i="103"/>
  <c r="C19" i="103" s="1"/>
  <c r="C43" i="103"/>
  <c r="C42" i="103"/>
  <c r="C8" i="103"/>
  <c r="B92" i="104"/>
  <c r="B102" i="104" s="1"/>
  <c r="D18" i="104" s="1"/>
  <c r="C73" i="104"/>
  <c r="C82" i="104" s="1"/>
  <c r="H84" i="103"/>
  <c r="E7" i="103"/>
  <c r="E83" i="103"/>
  <c r="B73" i="103"/>
  <c r="B82" i="103" s="1"/>
  <c r="C62" i="103"/>
  <c r="C64" i="103"/>
  <c r="B19" i="103" s="1"/>
  <c r="C63" i="103"/>
  <c r="B64" i="103"/>
  <c r="B63" i="103"/>
  <c r="B62" i="103"/>
  <c r="B18" i="103" s="1"/>
  <c r="B7" i="103"/>
  <c r="B8" i="103"/>
  <c r="B44" i="103"/>
  <c r="B43" i="103"/>
  <c r="B42" i="103"/>
  <c r="C18" i="103" s="1"/>
  <c r="G84" i="104"/>
  <c r="B63" i="104"/>
  <c r="B64" i="104"/>
  <c r="B62" i="104"/>
  <c r="B18" i="104" s="1"/>
  <c r="B7" i="104"/>
  <c r="B8" i="104"/>
  <c r="B43" i="104"/>
  <c r="B44" i="104"/>
  <c r="B42" i="104"/>
  <c r="C18" i="104" s="1"/>
  <c r="C92" i="103"/>
  <c r="C102" i="103" s="1"/>
  <c r="E18" i="103" s="1"/>
  <c r="E104" i="103"/>
  <c r="E103" i="103"/>
  <c r="D7" i="103"/>
  <c r="C92" i="104"/>
  <c r="C102" i="104" s="1"/>
  <c r="E18" i="104" s="1"/>
  <c r="F73" i="103"/>
  <c r="F84" i="103" s="1"/>
  <c r="C73" i="103"/>
  <c r="C82" i="103" s="1"/>
  <c r="D92" i="103"/>
  <c r="AB80" i="103" s="1"/>
  <c r="E83" i="104"/>
  <c r="E7" i="104"/>
  <c r="F92" i="104"/>
  <c r="F102" i="104" s="1"/>
  <c r="B102" i="103"/>
  <c r="D18" i="103" s="1"/>
  <c r="B73" i="104"/>
  <c r="B82" i="104" s="1"/>
  <c r="C63" i="104"/>
  <c r="C64" i="104"/>
  <c r="B19" i="104" s="1"/>
  <c r="C62" i="104"/>
  <c r="C7" i="104"/>
  <c r="C8" i="104"/>
  <c r="C44" i="104"/>
  <c r="C19" i="104" s="1"/>
  <c r="C43" i="104"/>
  <c r="C42" i="104"/>
  <c r="D84" i="107"/>
  <c r="M18" i="107"/>
  <c r="F8" i="107"/>
  <c r="E8" i="107"/>
  <c r="I8" i="107"/>
  <c r="H8" i="107"/>
  <c r="C29" i="106"/>
  <c r="D72" i="106"/>
  <c r="B28" i="106"/>
  <c r="F93" i="106"/>
  <c r="C72" i="106"/>
  <c r="C53" i="106"/>
  <c r="E93" i="106"/>
  <c r="E92" i="106" s="1"/>
  <c r="B52" i="106"/>
  <c r="B72" i="106"/>
  <c r="D93" i="106"/>
  <c r="E72" i="106"/>
  <c r="E73" i="106" s="1"/>
  <c r="E82" i="106" s="1"/>
  <c r="C93" i="106"/>
  <c r="B93" i="106"/>
  <c r="F84" i="107"/>
  <c r="C83" i="107"/>
  <c r="C84" i="107"/>
  <c r="E19" i="107" s="1"/>
  <c r="L65" i="15"/>
  <c r="L69" i="15"/>
  <c r="O70" i="15"/>
  <c r="L70" i="15"/>
  <c r="L77" i="15"/>
  <c r="O69" i="15"/>
  <c r="M78" i="15"/>
  <c r="R22" i="10"/>
  <c r="O25" i="10"/>
  <c r="L67" i="15" a="1"/>
  <c r="L32" i="15" a="1"/>
  <c r="O65" i="15" a="1"/>
  <c r="P70" i="15" a="1"/>
  <c r="O67" i="15" a="1"/>
  <c r="F70" i="15" a="1"/>
  <c r="M69" i="15" a="1"/>
  <c r="M70" i="15" a="1"/>
  <c r="L73" i="15" a="1"/>
  <c r="M77" i="15" a="1"/>
  <c r="L78" i="15" a="1"/>
  <c r="L75" i="15" a="1"/>
  <c r="L66" i="15" a="1"/>
  <c r="P69" i="15" a="1"/>
  <c r="L68" i="15" a="1"/>
  <c r="O32" i="15" a="1"/>
  <c r="O66" i="15" a="1"/>
  <c r="O68" i="15" a="1"/>
  <c r="H84" i="104" l="1"/>
  <c r="G102" i="104"/>
  <c r="H102" i="104"/>
  <c r="G84" i="103"/>
  <c r="F18" i="104"/>
  <c r="I19" i="104"/>
  <c r="I18" i="104"/>
  <c r="I19" i="103"/>
  <c r="AA61" i="104"/>
  <c r="AA64" i="104"/>
  <c r="AA110" i="104"/>
  <c r="AA126" i="104"/>
  <c r="AA42" i="104"/>
  <c r="AA35" i="104"/>
  <c r="AA93" i="104"/>
  <c r="AA109" i="104"/>
  <c r="AA50" i="104"/>
  <c r="AA112" i="104"/>
  <c r="AA49" i="104"/>
  <c r="AA103" i="104"/>
  <c r="AA57" i="104"/>
  <c r="AA122" i="104"/>
  <c r="AA52" i="104"/>
  <c r="AA107" i="104"/>
  <c r="AA37" i="104"/>
  <c r="AA90" i="104"/>
  <c r="AA128" i="104"/>
  <c r="AA59" i="104"/>
  <c r="AA119" i="104"/>
  <c r="AA34" i="104"/>
  <c r="AA94" i="104"/>
  <c r="AA75" i="104"/>
  <c r="AA62" i="104"/>
  <c r="AA123" i="104"/>
  <c r="AA44" i="104"/>
  <c r="AA96" i="104"/>
  <c r="AA56" i="104"/>
  <c r="AA87" i="104"/>
  <c r="AA125" i="104"/>
  <c r="AA54" i="104"/>
  <c r="AA106" i="104"/>
  <c r="AA67" i="104"/>
  <c r="AA91" i="104"/>
  <c r="AA58" i="104"/>
  <c r="AA65" i="104"/>
  <c r="AA68" i="104"/>
  <c r="AA82" i="104"/>
  <c r="AA98" i="104"/>
  <c r="AA114" i="104"/>
  <c r="AA36" i="104"/>
  <c r="AA71" i="104"/>
  <c r="AA63" i="104"/>
  <c r="AA69" i="104"/>
  <c r="AA95" i="104"/>
  <c r="AA111" i="104"/>
  <c r="AA127" i="104"/>
  <c r="AA41" i="104"/>
  <c r="AA72" i="104"/>
  <c r="AA84" i="104"/>
  <c r="AA100" i="104"/>
  <c r="AA116" i="104"/>
  <c r="AA43" i="104"/>
  <c r="AA74" i="104"/>
  <c r="AA66" i="104"/>
  <c r="AA81" i="104"/>
  <c r="AA97" i="104"/>
  <c r="AA113" i="104"/>
  <c r="AA129" i="104"/>
  <c r="AA76" i="104"/>
  <c r="AA40" i="104"/>
  <c r="AA86" i="104"/>
  <c r="AA102" i="104"/>
  <c r="AA118" i="104"/>
  <c r="AA46" i="104"/>
  <c r="AA78" i="104"/>
  <c r="AA70" i="104"/>
  <c r="AA83" i="104"/>
  <c r="AA99" i="104"/>
  <c r="AA115" i="104"/>
  <c r="AA48" i="104"/>
  <c r="AA80" i="104"/>
  <c r="AA47" i="104"/>
  <c r="AA88" i="104"/>
  <c r="AA104" i="104"/>
  <c r="AA120" i="104"/>
  <c r="AA60" i="104"/>
  <c r="AA39" i="104"/>
  <c r="AA77" i="104"/>
  <c r="AA85" i="104"/>
  <c r="AA101" i="104"/>
  <c r="AA117" i="104"/>
  <c r="AA55" i="104"/>
  <c r="AA51" i="104"/>
  <c r="AA53" i="104"/>
  <c r="AA92" i="104"/>
  <c r="AA108" i="104"/>
  <c r="AA124" i="104"/>
  <c r="AA79" i="104"/>
  <c r="AA45" i="104"/>
  <c r="AA38" i="104"/>
  <c r="AA89" i="104"/>
  <c r="AA105" i="104"/>
  <c r="AA121" i="104"/>
  <c r="D104" i="104"/>
  <c r="D103" i="104"/>
  <c r="D102" i="104"/>
  <c r="D83" i="104"/>
  <c r="S71" i="104"/>
  <c r="S89" i="104"/>
  <c r="D84" i="104"/>
  <c r="S105" i="104"/>
  <c r="AA69" i="103"/>
  <c r="AA43" i="103"/>
  <c r="AA114" i="103"/>
  <c r="S48" i="104"/>
  <c r="AA62" i="103"/>
  <c r="D84" i="103"/>
  <c r="AA91" i="103"/>
  <c r="S84" i="104"/>
  <c r="S121" i="104"/>
  <c r="D83" i="103"/>
  <c r="AA107" i="103"/>
  <c r="S100" i="104"/>
  <c r="S47" i="104"/>
  <c r="G102" i="103"/>
  <c r="AA63" i="103"/>
  <c r="AA123" i="103"/>
  <c r="S116" i="104"/>
  <c r="S79" i="104"/>
  <c r="AA41" i="103"/>
  <c r="AA82" i="103"/>
  <c r="S56" i="104"/>
  <c r="AA66" i="103"/>
  <c r="AA98" i="103"/>
  <c r="S55" i="104"/>
  <c r="AA42" i="103"/>
  <c r="AA55" i="103"/>
  <c r="AA40" i="103"/>
  <c r="AA36" i="103"/>
  <c r="AA46" i="103"/>
  <c r="AA81" i="103"/>
  <c r="AA97" i="103"/>
  <c r="AA113" i="103"/>
  <c r="AA129" i="103"/>
  <c r="AA88" i="103"/>
  <c r="AA104" i="103"/>
  <c r="AA120" i="103"/>
  <c r="S67" i="104"/>
  <c r="S39" i="104"/>
  <c r="S90" i="104"/>
  <c r="S106" i="104"/>
  <c r="S122" i="104"/>
  <c r="S35" i="104"/>
  <c r="S77" i="104"/>
  <c r="S58" i="104"/>
  <c r="S95" i="104"/>
  <c r="S111" i="104"/>
  <c r="S127" i="104"/>
  <c r="S80" i="104"/>
  <c r="AB55" i="104"/>
  <c r="AB61" i="104"/>
  <c r="AB50" i="104"/>
  <c r="AB90" i="104"/>
  <c r="AB106" i="104"/>
  <c r="AB122" i="104"/>
  <c r="AB75" i="104"/>
  <c r="AB42" i="104"/>
  <c r="AB35" i="104"/>
  <c r="AB87" i="104"/>
  <c r="AB103" i="104"/>
  <c r="AB119" i="104"/>
  <c r="S68" i="103"/>
  <c r="S79" i="103"/>
  <c r="S94" i="103"/>
  <c r="S42" i="103"/>
  <c r="S88" i="103"/>
  <c r="S41" i="103"/>
  <c r="S85" i="103"/>
  <c r="S101" i="103"/>
  <c r="S117" i="103"/>
  <c r="S77" i="103"/>
  <c r="S106" i="103"/>
  <c r="S122" i="103"/>
  <c r="R47" i="103"/>
  <c r="R59" i="103"/>
  <c r="R52" i="103"/>
  <c r="R81" i="103"/>
  <c r="R66" i="103"/>
  <c r="R93" i="103"/>
  <c r="R109" i="103"/>
  <c r="R125" i="103"/>
  <c r="R80" i="103"/>
  <c r="R90" i="103"/>
  <c r="R106" i="103"/>
  <c r="R122" i="103"/>
  <c r="AB71" i="103"/>
  <c r="AB46" i="103"/>
  <c r="AB70" i="103"/>
  <c r="AB48" i="103"/>
  <c r="AB37" i="103"/>
  <c r="AB114" i="103"/>
  <c r="AB47" i="103"/>
  <c r="AB53" i="103"/>
  <c r="AB75" i="103"/>
  <c r="AB91" i="103"/>
  <c r="AB107" i="103"/>
  <c r="AB123" i="103"/>
  <c r="AA45" i="103"/>
  <c r="AA60" i="103"/>
  <c r="AA44" i="103"/>
  <c r="AA53" i="103"/>
  <c r="AA49" i="103"/>
  <c r="AA83" i="103"/>
  <c r="AA99" i="103"/>
  <c r="AA115" i="103"/>
  <c r="AA68" i="103"/>
  <c r="AA90" i="103"/>
  <c r="AA106" i="103"/>
  <c r="AA122" i="103"/>
  <c r="S43" i="104"/>
  <c r="S60" i="104"/>
  <c r="S92" i="104"/>
  <c r="S108" i="104"/>
  <c r="S124" i="104"/>
  <c r="S38" i="104"/>
  <c r="S81" i="104"/>
  <c r="S65" i="104"/>
  <c r="S97" i="104"/>
  <c r="S113" i="104"/>
  <c r="S129" i="104"/>
  <c r="S57" i="104"/>
  <c r="AB73" i="104"/>
  <c r="AB65" i="104"/>
  <c r="AB53" i="104"/>
  <c r="AB92" i="104"/>
  <c r="AB108" i="104"/>
  <c r="AB124" i="104"/>
  <c r="AB79" i="104"/>
  <c r="AB45" i="104"/>
  <c r="AB38" i="104"/>
  <c r="AB89" i="104"/>
  <c r="AB105" i="104"/>
  <c r="AB121" i="104"/>
  <c r="S57" i="103"/>
  <c r="S37" i="103"/>
  <c r="S39" i="103"/>
  <c r="S49" i="103"/>
  <c r="S96" i="103"/>
  <c r="S45" i="103"/>
  <c r="S87" i="103"/>
  <c r="S103" i="103"/>
  <c r="S119" i="103"/>
  <c r="S64" i="103"/>
  <c r="S108" i="103"/>
  <c r="S124" i="103"/>
  <c r="R57" i="103"/>
  <c r="R39" i="103"/>
  <c r="R56" i="103"/>
  <c r="R34" i="103"/>
  <c r="R68" i="103"/>
  <c r="R95" i="103"/>
  <c r="R111" i="103"/>
  <c r="R127" i="103"/>
  <c r="R73" i="103"/>
  <c r="R92" i="103"/>
  <c r="R108" i="103"/>
  <c r="R124" i="103"/>
  <c r="AB82" i="103"/>
  <c r="AB49" i="103"/>
  <c r="AB76" i="103"/>
  <c r="AB51" i="103"/>
  <c r="AB66" i="103"/>
  <c r="AB40" i="103"/>
  <c r="AB50" i="103"/>
  <c r="AB56" i="103"/>
  <c r="AB65" i="103"/>
  <c r="AB93" i="103"/>
  <c r="AB109" i="103"/>
  <c r="AB125" i="103"/>
  <c r="AA52" i="103"/>
  <c r="AA37" i="103"/>
  <c r="AA54" i="103"/>
  <c r="AA56" i="103"/>
  <c r="AA71" i="103"/>
  <c r="AA85" i="103"/>
  <c r="AA101" i="103"/>
  <c r="AA117" i="103"/>
  <c r="AA77" i="103"/>
  <c r="AA92" i="103"/>
  <c r="AA108" i="103"/>
  <c r="AA124" i="103"/>
  <c r="S50" i="104"/>
  <c r="S63" i="104"/>
  <c r="S94" i="104"/>
  <c r="S110" i="104"/>
  <c r="S126" i="104"/>
  <c r="S42" i="104"/>
  <c r="S69" i="104"/>
  <c r="S83" i="104"/>
  <c r="S99" i="104"/>
  <c r="S115" i="104"/>
  <c r="S34" i="104"/>
  <c r="S68" i="104"/>
  <c r="AB34" i="104"/>
  <c r="AB76" i="104"/>
  <c r="AB57" i="104"/>
  <c r="AB94" i="104"/>
  <c r="AB110" i="104"/>
  <c r="AB126" i="104"/>
  <c r="AB56" i="104"/>
  <c r="AB49" i="104"/>
  <c r="AB59" i="104"/>
  <c r="AB91" i="104"/>
  <c r="AB107" i="104"/>
  <c r="AB123" i="104"/>
  <c r="S51" i="103"/>
  <c r="S36" i="103"/>
  <c r="S46" i="103"/>
  <c r="S52" i="103"/>
  <c r="S84" i="103"/>
  <c r="S55" i="103"/>
  <c r="S89" i="103"/>
  <c r="S105" i="103"/>
  <c r="S121" i="103"/>
  <c r="S67" i="103"/>
  <c r="S110" i="103"/>
  <c r="S126" i="103"/>
  <c r="R36" i="103"/>
  <c r="R46" i="103"/>
  <c r="R58" i="103"/>
  <c r="R41" i="103"/>
  <c r="R74" i="103"/>
  <c r="R97" i="103"/>
  <c r="R113" i="103"/>
  <c r="R129" i="103"/>
  <c r="R76" i="103"/>
  <c r="R94" i="103"/>
  <c r="R110" i="103"/>
  <c r="R126" i="103"/>
  <c r="AB90" i="103"/>
  <c r="AB58" i="103"/>
  <c r="AB84" i="103"/>
  <c r="AB55" i="103"/>
  <c r="AB74" i="103"/>
  <c r="AB44" i="103"/>
  <c r="AB73" i="103"/>
  <c r="AB61" i="103"/>
  <c r="AB78" i="103"/>
  <c r="AB95" i="103"/>
  <c r="AB111" i="103"/>
  <c r="AB127" i="103"/>
  <c r="AA58" i="103"/>
  <c r="AA57" i="103"/>
  <c r="AA59" i="103"/>
  <c r="AA61" i="103"/>
  <c r="AA79" i="103"/>
  <c r="AA87" i="103"/>
  <c r="AA103" i="103"/>
  <c r="AA119" i="103"/>
  <c r="AA70" i="103"/>
  <c r="AA94" i="103"/>
  <c r="AA110" i="103"/>
  <c r="AA126" i="103"/>
  <c r="S78" i="104"/>
  <c r="S70" i="104"/>
  <c r="S96" i="104"/>
  <c r="S112" i="104"/>
  <c r="S128" i="104"/>
  <c r="S45" i="104"/>
  <c r="S73" i="104"/>
  <c r="S85" i="104"/>
  <c r="S101" i="104"/>
  <c r="S117" i="104"/>
  <c r="S37" i="104"/>
  <c r="S72" i="104"/>
  <c r="AB37" i="104"/>
  <c r="AB80" i="104"/>
  <c r="AB64" i="104"/>
  <c r="AB96" i="104"/>
  <c r="AB112" i="104"/>
  <c r="AB128" i="104"/>
  <c r="AB67" i="104"/>
  <c r="AB52" i="104"/>
  <c r="AB62" i="104"/>
  <c r="AB93" i="104"/>
  <c r="AB109" i="104"/>
  <c r="AB125" i="104"/>
  <c r="S54" i="103"/>
  <c r="S40" i="103"/>
  <c r="S53" i="103"/>
  <c r="S58" i="103"/>
  <c r="S38" i="103"/>
  <c r="S82" i="103"/>
  <c r="S91" i="103"/>
  <c r="S107" i="103"/>
  <c r="S123" i="103"/>
  <c r="S70" i="103"/>
  <c r="S112" i="103"/>
  <c r="S128" i="103"/>
  <c r="R54" i="103"/>
  <c r="R53" i="103"/>
  <c r="R61" i="103"/>
  <c r="R45" i="103"/>
  <c r="R83" i="103"/>
  <c r="R99" i="103"/>
  <c r="R115" i="103"/>
  <c r="R77" i="103"/>
  <c r="R79" i="103"/>
  <c r="R96" i="103"/>
  <c r="R112" i="103"/>
  <c r="R128" i="103"/>
  <c r="AB35" i="103"/>
  <c r="AB128" i="103"/>
  <c r="AB92" i="103"/>
  <c r="AB60" i="103"/>
  <c r="AB77" i="103"/>
  <c r="AB54" i="103"/>
  <c r="AB88" i="103"/>
  <c r="AB69" i="103"/>
  <c r="AB81" i="103"/>
  <c r="AB97" i="103"/>
  <c r="AB113" i="103"/>
  <c r="AB129" i="103"/>
  <c r="AA34" i="103"/>
  <c r="AA64" i="103"/>
  <c r="AA80" i="103"/>
  <c r="AA67" i="103"/>
  <c r="AA75" i="103"/>
  <c r="AA89" i="103"/>
  <c r="AA105" i="103"/>
  <c r="AA121" i="103"/>
  <c r="AA73" i="103"/>
  <c r="AA96" i="103"/>
  <c r="AA112" i="103"/>
  <c r="AA128" i="103"/>
  <c r="S64" i="104"/>
  <c r="S82" i="104"/>
  <c r="S98" i="104"/>
  <c r="S114" i="104"/>
  <c r="S49" i="104"/>
  <c r="S52" i="104"/>
  <c r="S41" i="104"/>
  <c r="S87" i="104"/>
  <c r="S103" i="104"/>
  <c r="S119" i="104"/>
  <c r="S44" i="104"/>
  <c r="S75" i="104"/>
  <c r="AB41" i="104"/>
  <c r="AB68" i="104"/>
  <c r="AB82" i="104"/>
  <c r="AB98" i="104"/>
  <c r="AB114" i="104"/>
  <c r="AB36" i="104"/>
  <c r="AB71" i="104"/>
  <c r="AB63" i="104"/>
  <c r="AB69" i="104"/>
  <c r="AB95" i="104"/>
  <c r="AB111" i="104"/>
  <c r="AB127" i="104"/>
  <c r="S48" i="103"/>
  <c r="S47" i="103"/>
  <c r="S71" i="103"/>
  <c r="S63" i="103"/>
  <c r="S60" i="103"/>
  <c r="S90" i="103"/>
  <c r="S93" i="103"/>
  <c r="S109" i="103"/>
  <c r="S125" i="103"/>
  <c r="S80" i="103"/>
  <c r="S114" i="103"/>
  <c r="S56" i="103"/>
  <c r="R50" i="103"/>
  <c r="R71" i="103"/>
  <c r="R63" i="103"/>
  <c r="R55" i="103"/>
  <c r="R85" i="103"/>
  <c r="R101" i="103"/>
  <c r="R117" i="103"/>
  <c r="R60" i="103"/>
  <c r="R82" i="103"/>
  <c r="R98" i="103"/>
  <c r="R114" i="103"/>
  <c r="R62" i="103"/>
  <c r="AB98" i="103"/>
  <c r="AB63" i="103"/>
  <c r="AB100" i="103"/>
  <c r="AB62" i="103"/>
  <c r="AB86" i="103"/>
  <c r="AB59" i="103"/>
  <c r="AB96" i="103"/>
  <c r="AB110" i="103"/>
  <c r="AB83" i="103"/>
  <c r="AB99" i="103"/>
  <c r="AB115" i="103"/>
  <c r="AB57" i="103"/>
  <c r="AB44" i="104"/>
  <c r="AB72" i="104"/>
  <c r="AB84" i="104"/>
  <c r="AB100" i="104"/>
  <c r="AB116" i="104"/>
  <c r="AB43" i="104"/>
  <c r="AB74" i="104"/>
  <c r="AB66" i="104"/>
  <c r="AB81" i="104"/>
  <c r="AB97" i="104"/>
  <c r="AB113" i="104"/>
  <c r="AB129" i="104"/>
  <c r="S74" i="103"/>
  <c r="S50" i="103"/>
  <c r="S73" i="103"/>
  <c r="S65" i="103"/>
  <c r="S72" i="103"/>
  <c r="S98" i="103"/>
  <c r="S95" i="103"/>
  <c r="S111" i="103"/>
  <c r="S127" i="103"/>
  <c r="S76" i="103"/>
  <c r="S116" i="103"/>
  <c r="S59" i="103"/>
  <c r="R37" i="103"/>
  <c r="R35" i="103"/>
  <c r="R65" i="103"/>
  <c r="R44" i="103"/>
  <c r="R87" i="103"/>
  <c r="R103" i="103"/>
  <c r="R119" i="103"/>
  <c r="R64" i="103"/>
  <c r="R84" i="103"/>
  <c r="R100" i="103"/>
  <c r="R116" i="103"/>
  <c r="R72" i="103"/>
  <c r="AB39" i="103"/>
  <c r="AB38" i="103"/>
  <c r="AB116" i="103"/>
  <c r="AB68" i="103"/>
  <c r="AB94" i="103"/>
  <c r="AB106" i="103"/>
  <c r="AB108" i="103"/>
  <c r="AB126" i="103"/>
  <c r="AB85" i="103"/>
  <c r="AB101" i="103"/>
  <c r="AB117" i="103"/>
  <c r="AB64" i="103"/>
  <c r="AA76" i="103"/>
  <c r="AA48" i="103"/>
  <c r="AA72" i="103"/>
  <c r="AA47" i="103"/>
  <c r="AA35" i="103"/>
  <c r="AA65" i="103"/>
  <c r="AA93" i="103"/>
  <c r="AA109" i="103"/>
  <c r="AA125" i="103"/>
  <c r="AA84" i="103"/>
  <c r="AA100" i="103"/>
  <c r="AA116" i="103"/>
  <c r="S46" i="104"/>
  <c r="S40" i="104"/>
  <c r="S86" i="104"/>
  <c r="S102" i="104"/>
  <c r="S118" i="104"/>
  <c r="S59" i="104"/>
  <c r="S62" i="104"/>
  <c r="S51" i="104"/>
  <c r="S91" i="104"/>
  <c r="S107" i="104"/>
  <c r="S123" i="104"/>
  <c r="S61" i="104"/>
  <c r="AB58" i="104"/>
  <c r="AB51" i="104"/>
  <c r="AB40" i="104"/>
  <c r="AB86" i="104"/>
  <c r="AB102" i="104"/>
  <c r="AB118" i="104"/>
  <c r="AB46" i="104"/>
  <c r="AB78" i="104"/>
  <c r="AB70" i="104"/>
  <c r="AB83" i="104"/>
  <c r="AB99" i="104"/>
  <c r="AB115" i="104"/>
  <c r="S62" i="103"/>
  <c r="S43" i="103"/>
  <c r="S92" i="103"/>
  <c r="S75" i="103"/>
  <c r="S100" i="103"/>
  <c r="S81" i="103"/>
  <c r="S97" i="103"/>
  <c r="S113" i="103"/>
  <c r="S129" i="103"/>
  <c r="S102" i="103"/>
  <c r="S118" i="103"/>
  <c r="S69" i="103"/>
  <c r="R40" i="103"/>
  <c r="R42" i="103"/>
  <c r="R69" i="103"/>
  <c r="R48" i="103"/>
  <c r="R89" i="103"/>
  <c r="R105" i="103"/>
  <c r="R121" i="103"/>
  <c r="R67" i="103"/>
  <c r="R86" i="103"/>
  <c r="R102" i="103"/>
  <c r="R118" i="103"/>
  <c r="R75" i="103"/>
  <c r="AB42" i="103"/>
  <c r="AB45" i="103"/>
  <c r="AB34" i="103"/>
  <c r="AB102" i="103"/>
  <c r="AB104" i="103"/>
  <c r="AB122" i="103"/>
  <c r="AB124" i="103"/>
  <c r="AB79" i="103"/>
  <c r="AB87" i="103"/>
  <c r="AB103" i="103"/>
  <c r="AB119" i="103"/>
  <c r="AB67" i="103"/>
  <c r="AA38" i="103"/>
  <c r="AA51" i="103"/>
  <c r="AA74" i="103"/>
  <c r="AA50" i="103"/>
  <c r="AA39" i="103"/>
  <c r="AA78" i="103"/>
  <c r="AA95" i="103"/>
  <c r="AA111" i="103"/>
  <c r="AA127" i="103"/>
  <c r="AA86" i="103"/>
  <c r="AA102" i="103"/>
  <c r="S53" i="104"/>
  <c r="S36" i="104"/>
  <c r="S88" i="104"/>
  <c r="S104" i="104"/>
  <c r="S120" i="104"/>
  <c r="S74" i="104"/>
  <c r="S66" i="104"/>
  <c r="S54" i="104"/>
  <c r="S93" i="104"/>
  <c r="S109" i="104"/>
  <c r="S125" i="104"/>
  <c r="S76" i="104"/>
  <c r="AB48" i="104"/>
  <c r="AB54" i="104"/>
  <c r="AB47" i="104"/>
  <c r="AB88" i="104"/>
  <c r="AB104" i="104"/>
  <c r="AB120" i="104"/>
  <c r="AB60" i="104"/>
  <c r="AB39" i="104"/>
  <c r="AB77" i="104"/>
  <c r="AB85" i="104"/>
  <c r="AB101" i="104"/>
  <c r="AB117" i="104"/>
  <c r="S44" i="103"/>
  <c r="S66" i="103"/>
  <c r="S86" i="103"/>
  <c r="S35" i="103"/>
  <c r="S78" i="103"/>
  <c r="S34" i="103"/>
  <c r="S83" i="103"/>
  <c r="S99" i="103"/>
  <c r="S115" i="103"/>
  <c r="S61" i="103"/>
  <c r="S104" i="103"/>
  <c r="S120" i="103"/>
  <c r="R43" i="103"/>
  <c r="R49" i="103"/>
  <c r="R38" i="103"/>
  <c r="R51" i="103"/>
  <c r="R91" i="103"/>
  <c r="R107" i="103"/>
  <c r="R123" i="103"/>
  <c r="R70" i="103"/>
  <c r="R88" i="103"/>
  <c r="R104" i="103"/>
  <c r="R120" i="103"/>
  <c r="AB112" i="103"/>
  <c r="AB52" i="103"/>
  <c r="AB41" i="103"/>
  <c r="AB118" i="103"/>
  <c r="AB120" i="103"/>
  <c r="AB43" i="103"/>
  <c r="AB36" i="103"/>
  <c r="AB72" i="103"/>
  <c r="AB89" i="103"/>
  <c r="AB105" i="103"/>
  <c r="AB121" i="103"/>
  <c r="Z76" i="100"/>
  <c r="Z68" i="100"/>
  <c r="Z60" i="100"/>
  <c r="Z52" i="100"/>
  <c r="Z44" i="100"/>
  <c r="Z36" i="100"/>
  <c r="Z54" i="100"/>
  <c r="Z53" i="100"/>
  <c r="Z43" i="100"/>
  <c r="Z47" i="100"/>
  <c r="Z61" i="100"/>
  <c r="Z37" i="100"/>
  <c r="Z55" i="100"/>
  <c r="Z62" i="100"/>
  <c r="Z46" i="100"/>
  <c r="Z41" i="100"/>
  <c r="Z70" i="100"/>
  <c r="Z69" i="100"/>
  <c r="Z57" i="100"/>
  <c r="Z67" i="100"/>
  <c r="Z77" i="100"/>
  <c r="Z73" i="100"/>
  <c r="Z38" i="100"/>
  <c r="Z79" i="100"/>
  <c r="Z39" i="100"/>
  <c r="Z35" i="100"/>
  <c r="Z45" i="100"/>
  <c r="Z51" i="100"/>
  <c r="Z65" i="100"/>
  <c r="Z78" i="100"/>
  <c r="Z49" i="100"/>
  <c r="Z63" i="100"/>
  <c r="Z59" i="100"/>
  <c r="Z75" i="100"/>
  <c r="Z40" i="100"/>
  <c r="Z42" i="100"/>
  <c r="Z66" i="100"/>
  <c r="Z56" i="100"/>
  <c r="Z72" i="100"/>
  <c r="Z34" i="100"/>
  <c r="Z58" i="100"/>
  <c r="Z81" i="100"/>
  <c r="Z50" i="100"/>
  <c r="Z74" i="100"/>
  <c r="Z64" i="100"/>
  <c r="Z48" i="100"/>
  <c r="Z71" i="100"/>
  <c r="Z80" i="100"/>
  <c r="G19" i="104"/>
  <c r="D73" i="106"/>
  <c r="S68" i="106" s="1"/>
  <c r="F19" i="107"/>
  <c r="D92" i="106"/>
  <c r="G84" i="106"/>
  <c r="F18" i="107"/>
  <c r="AD62" i="104"/>
  <c r="AD94" i="104"/>
  <c r="AD126" i="104"/>
  <c r="AD63" i="104"/>
  <c r="AD95" i="104"/>
  <c r="AD127" i="104"/>
  <c r="AD60" i="104"/>
  <c r="AD92" i="104"/>
  <c r="AD124" i="104"/>
  <c r="AD61" i="104"/>
  <c r="AD93" i="104"/>
  <c r="AD125" i="104"/>
  <c r="AD34" i="104"/>
  <c r="AD66" i="104"/>
  <c r="AD98" i="104"/>
  <c r="AD35" i="104"/>
  <c r="AD67" i="104"/>
  <c r="AD99" i="104"/>
  <c r="AD64" i="104"/>
  <c r="AD96" i="104"/>
  <c r="AD128" i="104"/>
  <c r="AD65" i="104"/>
  <c r="AD97" i="104"/>
  <c r="AD129" i="104"/>
  <c r="AD38" i="104"/>
  <c r="AD70" i="104"/>
  <c r="AD102" i="104"/>
  <c r="AD39" i="104"/>
  <c r="AD71" i="104"/>
  <c r="AD103" i="104"/>
  <c r="AD36" i="104"/>
  <c r="AD68" i="104"/>
  <c r="AD100" i="104"/>
  <c r="AD37" i="104"/>
  <c r="AD69" i="104"/>
  <c r="AD101" i="104"/>
  <c r="AD42" i="104"/>
  <c r="AD74" i="104"/>
  <c r="AD106" i="104"/>
  <c r="AD43" i="104"/>
  <c r="AD75" i="104"/>
  <c r="AD107" i="104"/>
  <c r="AD40" i="104"/>
  <c r="AD72" i="104"/>
  <c r="AD104" i="104"/>
  <c r="AD41" i="104"/>
  <c r="AD73" i="104"/>
  <c r="AD105" i="104"/>
  <c r="AD46" i="104"/>
  <c r="AD78" i="104"/>
  <c r="AD110" i="104"/>
  <c r="AD47" i="104"/>
  <c r="AD79" i="104"/>
  <c r="AD111" i="104"/>
  <c r="AD44" i="104"/>
  <c r="AD76" i="104"/>
  <c r="AD108" i="104"/>
  <c r="AD45" i="104"/>
  <c r="AD77" i="104"/>
  <c r="AD109" i="104"/>
  <c r="AD50" i="104"/>
  <c r="AD82" i="104"/>
  <c r="AD114" i="104"/>
  <c r="AD51" i="104"/>
  <c r="AD83" i="104"/>
  <c r="AD115" i="104"/>
  <c r="AD48" i="104"/>
  <c r="AD80" i="104"/>
  <c r="AD112" i="104"/>
  <c r="AD49" i="104"/>
  <c r="AD81" i="104"/>
  <c r="AD113" i="104"/>
  <c r="AD54" i="104"/>
  <c r="AD86" i="104"/>
  <c r="AD118" i="104"/>
  <c r="AD55" i="104"/>
  <c r="AD87" i="104"/>
  <c r="AD119" i="104"/>
  <c r="AD52" i="104"/>
  <c r="AD84" i="104"/>
  <c r="AD116" i="104"/>
  <c r="AD53" i="104"/>
  <c r="AD85" i="104"/>
  <c r="AD117" i="104"/>
  <c r="AD58" i="104"/>
  <c r="AD90" i="104"/>
  <c r="AD122" i="104"/>
  <c r="AD59" i="104"/>
  <c r="AD91" i="104"/>
  <c r="AD123" i="104"/>
  <c r="AD56" i="104"/>
  <c r="AD88" i="104"/>
  <c r="AD120" i="104"/>
  <c r="AD57" i="104"/>
  <c r="AD89" i="104"/>
  <c r="AD121" i="104"/>
  <c r="K8" i="107"/>
  <c r="K7" i="100"/>
  <c r="P69" i="15"/>
  <c r="P70" i="15"/>
  <c r="Q121" i="100"/>
  <c r="Q67" i="100"/>
  <c r="Q108" i="100"/>
  <c r="Q97" i="100"/>
  <c r="Q55" i="100"/>
  <c r="Q77" i="100"/>
  <c r="Q125" i="100"/>
  <c r="Q59" i="100"/>
  <c r="Q51" i="100"/>
  <c r="Q79" i="100"/>
  <c r="Q58" i="100"/>
  <c r="Q105" i="100"/>
  <c r="Q101" i="100"/>
  <c r="Q61" i="100"/>
  <c r="Q48" i="100"/>
  <c r="Q90" i="100"/>
  <c r="Q71" i="100"/>
  <c r="Q81" i="100"/>
  <c r="Q87" i="100"/>
  <c r="Q54" i="100"/>
  <c r="Q110" i="100"/>
  <c r="Q50" i="100"/>
  <c r="Q123" i="100"/>
  <c r="Q103" i="100"/>
  <c r="Q107" i="100"/>
  <c r="Q94" i="100"/>
  <c r="Q64" i="100"/>
  <c r="Q40" i="100"/>
  <c r="Q68" i="100"/>
  <c r="Q65" i="100"/>
  <c r="Q62" i="100"/>
  <c r="Q35" i="100"/>
  <c r="Q106" i="100"/>
  <c r="Q46" i="100"/>
  <c r="Q66" i="100"/>
  <c r="Q82" i="100"/>
  <c r="Q72" i="100"/>
  <c r="Q53" i="100"/>
  <c r="Q102" i="100"/>
  <c r="Q88" i="100"/>
  <c r="Q73" i="100"/>
  <c r="Q126" i="100"/>
  <c r="Q95" i="100"/>
  <c r="Q45" i="100"/>
  <c r="Q128" i="100"/>
  <c r="Q100" i="100"/>
  <c r="Q112" i="100"/>
  <c r="Q115" i="100"/>
  <c r="Q117" i="100"/>
  <c r="Q113" i="100"/>
  <c r="Q43" i="100"/>
  <c r="Q84" i="100"/>
  <c r="Q36" i="100"/>
  <c r="Q98" i="100"/>
  <c r="Q116" i="100"/>
  <c r="Q78" i="100"/>
  <c r="Q63" i="100"/>
  <c r="Q37" i="100"/>
  <c r="Q119" i="100"/>
  <c r="Q111" i="100"/>
  <c r="Q127" i="100"/>
  <c r="Q99" i="100"/>
  <c r="Q47" i="100"/>
  <c r="Q57" i="100"/>
  <c r="Q122" i="100"/>
  <c r="Q124" i="100"/>
  <c r="Q56" i="100"/>
  <c r="Q80" i="100"/>
  <c r="Q86" i="100"/>
  <c r="Q120" i="100"/>
  <c r="Q70" i="100"/>
  <c r="Q69" i="100"/>
  <c r="Q38" i="100"/>
  <c r="Q41" i="100"/>
  <c r="Q76" i="100"/>
  <c r="Q60" i="100"/>
  <c r="Q96" i="100"/>
  <c r="Q109" i="100"/>
  <c r="Q91" i="100"/>
  <c r="Q85" i="100"/>
  <c r="Q93" i="100"/>
  <c r="Q52" i="100"/>
  <c r="Q34" i="100"/>
  <c r="Q42" i="100"/>
  <c r="Q89" i="100"/>
  <c r="Q118" i="100"/>
  <c r="Q75" i="100"/>
  <c r="Q92" i="100"/>
  <c r="Q74" i="100"/>
  <c r="Q49" i="100"/>
  <c r="Q114" i="100"/>
  <c r="Q83" i="100"/>
  <c r="Q44" i="100"/>
  <c r="Q104" i="100"/>
  <c r="Q129" i="100"/>
  <c r="Q39" i="100"/>
  <c r="I7" i="97"/>
  <c r="Q66" i="97" s="1"/>
  <c r="M69" i="15"/>
  <c r="M70" i="15"/>
  <c r="C83" i="103"/>
  <c r="C83" i="104"/>
  <c r="B83" i="103"/>
  <c r="C84" i="104"/>
  <c r="E19" i="104" s="1"/>
  <c r="B84" i="104"/>
  <c r="D19" i="104" s="1"/>
  <c r="AC126" i="104" s="1"/>
  <c r="B83" i="104"/>
  <c r="H102" i="103"/>
  <c r="D103" i="103"/>
  <c r="D104" i="103"/>
  <c r="D102" i="103"/>
  <c r="F104" i="103"/>
  <c r="F103" i="103"/>
  <c r="F102" i="103"/>
  <c r="C104" i="104"/>
  <c r="C103" i="104"/>
  <c r="F103" i="104"/>
  <c r="F104" i="104"/>
  <c r="C84" i="103"/>
  <c r="E19" i="103" s="1"/>
  <c r="K8" i="104"/>
  <c r="B84" i="103"/>
  <c r="D19" i="103" s="1"/>
  <c r="C103" i="103"/>
  <c r="C104" i="103"/>
  <c r="B104" i="104"/>
  <c r="B103" i="104"/>
  <c r="C7" i="106"/>
  <c r="C8" i="106"/>
  <c r="C43" i="106"/>
  <c r="C42" i="106"/>
  <c r="C44" i="106"/>
  <c r="C19" i="106" s="1"/>
  <c r="B7" i="106"/>
  <c r="B8" i="106"/>
  <c r="B44" i="106"/>
  <c r="B42" i="106"/>
  <c r="C18" i="106" s="1"/>
  <c r="B43" i="106"/>
  <c r="B92" i="106"/>
  <c r="B102" i="106" s="1"/>
  <c r="D18" i="106" s="1"/>
  <c r="B64" i="106"/>
  <c r="B62" i="106"/>
  <c r="B18" i="106" s="1"/>
  <c r="B63" i="106"/>
  <c r="H84" i="106"/>
  <c r="C62" i="106"/>
  <c r="C64" i="106"/>
  <c r="B19" i="106" s="1"/>
  <c r="C63" i="106"/>
  <c r="C92" i="106"/>
  <c r="F22" i="107" a="1"/>
  <c r="F22" i="107" s="1"/>
  <c r="G7" i="107"/>
  <c r="E83" i="106"/>
  <c r="E7" i="106"/>
  <c r="F92" i="106"/>
  <c r="F84" i="106"/>
  <c r="C73" i="106"/>
  <c r="B73" i="106"/>
  <c r="B82" i="106" s="1"/>
  <c r="O32" i="15"/>
  <c r="L73" i="15"/>
  <c r="O68" i="15"/>
  <c r="L75" i="15"/>
  <c r="L67" i="15"/>
  <c r="O65" i="15"/>
  <c r="L68" i="15"/>
  <c r="O66" i="15"/>
  <c r="L66" i="15"/>
  <c r="O67" i="15"/>
  <c r="L78" i="15"/>
  <c r="F70" i="15"/>
  <c r="M77" i="15"/>
  <c r="L32" i="15"/>
  <c r="L76" i="15" a="1"/>
  <c r="I65" i="15" a="1"/>
  <c r="G78" i="15" a="1"/>
  <c r="F65" i="15" a="1"/>
  <c r="F69" i="15" a="1"/>
  <c r="F78" i="15" a="1"/>
  <c r="I70" i="15" a="1"/>
  <c r="F68" i="15" a="1"/>
  <c r="L74" i="15" a="1"/>
  <c r="J69" i="15" a="1"/>
  <c r="J70" i="15" a="1"/>
  <c r="F66" i="15" a="1"/>
  <c r="I69" i="15" a="1"/>
  <c r="D82" i="106" l="1"/>
  <c r="D84" i="106"/>
  <c r="G7" i="104"/>
  <c r="F7" i="104"/>
  <c r="D83" i="106"/>
  <c r="Z76" i="97"/>
  <c r="Z34" i="97"/>
  <c r="Z64" i="97"/>
  <c r="Z49" i="97"/>
  <c r="Z39" i="97"/>
  <c r="Z38" i="97"/>
  <c r="Z42" i="97"/>
  <c r="Z56" i="97"/>
  <c r="Z74" i="97"/>
  <c r="Z81" i="97"/>
  <c r="Z70" i="97"/>
  <c r="Z55" i="97"/>
  <c r="Z58" i="97"/>
  <c r="Z61" i="97"/>
  <c r="Z69" i="97"/>
  <c r="Z51" i="97"/>
  <c r="Z57" i="97"/>
  <c r="Z78" i="97"/>
  <c r="Z52" i="97"/>
  <c r="Z60" i="97"/>
  <c r="Z53" i="97"/>
  <c r="Z43" i="97"/>
  <c r="Z73" i="97"/>
  <c r="Z35" i="97"/>
  <c r="Z66" i="97"/>
  <c r="Z50" i="97"/>
  <c r="Z48" i="97"/>
  <c r="Z79" i="97"/>
  <c r="Z67" i="97"/>
  <c r="Z46" i="97"/>
  <c r="Z80" i="97"/>
  <c r="Z72" i="97"/>
  <c r="Z68" i="97"/>
  <c r="Z47" i="97"/>
  <c r="Z65" i="97"/>
  <c r="Z54" i="97"/>
  <c r="Z44" i="97"/>
  <c r="Z36" i="97"/>
  <c r="Z71" i="97"/>
  <c r="Z77" i="97"/>
  <c r="Z59" i="97"/>
  <c r="Z62" i="97"/>
  <c r="Z40" i="97"/>
  <c r="Z45" i="97"/>
  <c r="Z63" i="97"/>
  <c r="Z75" i="97"/>
  <c r="Z41" i="97"/>
  <c r="Z37" i="97"/>
  <c r="V34" i="100"/>
  <c r="V35" i="100" s="1"/>
  <c r="V36" i="100" s="1"/>
  <c r="V37" i="100" s="1"/>
  <c r="V38" i="100" s="1"/>
  <c r="V39" i="100" s="1"/>
  <c r="V40" i="100" s="1"/>
  <c r="V41" i="100" s="1"/>
  <c r="V42" i="100" s="1"/>
  <c r="V43" i="100" s="1"/>
  <c r="V44" i="100" s="1"/>
  <c r="V45" i="100" s="1"/>
  <c r="V46" i="100" s="1"/>
  <c r="V47" i="100" s="1"/>
  <c r="V48" i="100" s="1"/>
  <c r="V49" i="100" s="1"/>
  <c r="V50" i="100" s="1"/>
  <c r="V51" i="100" s="1"/>
  <c r="V52" i="100" s="1"/>
  <c r="V53" i="100" s="1"/>
  <c r="V54" i="100" s="1"/>
  <c r="V55" i="100" s="1"/>
  <c r="V56" i="100" s="1"/>
  <c r="V57" i="100" s="1"/>
  <c r="V58" i="100" s="1"/>
  <c r="V59" i="100" s="1"/>
  <c r="V60" i="100" s="1"/>
  <c r="V61" i="100" s="1"/>
  <c r="V62" i="100" s="1"/>
  <c r="V63" i="100" s="1"/>
  <c r="V64" i="100" s="1"/>
  <c r="V65" i="100" s="1"/>
  <c r="V66" i="100" s="1"/>
  <c r="V67" i="100" s="1"/>
  <c r="V68" i="100" s="1"/>
  <c r="V69" i="100" s="1"/>
  <c r="V70" i="100" s="1"/>
  <c r="V71" i="100" s="1"/>
  <c r="V72" i="100" s="1"/>
  <c r="V73" i="100" s="1"/>
  <c r="V74" i="100" s="1"/>
  <c r="V75" i="100" s="1"/>
  <c r="V76" i="100" s="1"/>
  <c r="V77" i="100" s="1"/>
  <c r="V78" i="100" s="1"/>
  <c r="V79" i="100" s="1"/>
  <c r="V80" i="100" s="1"/>
  <c r="V81" i="100" s="1"/>
  <c r="V82" i="100" s="1"/>
  <c r="S39" i="106"/>
  <c r="S63" i="106"/>
  <c r="S129" i="106"/>
  <c r="S54" i="106"/>
  <c r="S92" i="106"/>
  <c r="S87" i="106"/>
  <c r="S78" i="106"/>
  <c r="S56" i="106"/>
  <c r="S125" i="106"/>
  <c r="S61" i="106"/>
  <c r="S118" i="106"/>
  <c r="S96" i="106"/>
  <c r="S124" i="106"/>
  <c r="S127" i="106"/>
  <c r="S93" i="106"/>
  <c r="S34" i="106"/>
  <c r="S105" i="106"/>
  <c r="S100" i="106"/>
  <c r="S95" i="106"/>
  <c r="S94" i="106"/>
  <c r="S101" i="106"/>
  <c r="S112" i="106"/>
  <c r="S76" i="106"/>
  <c r="S71" i="106"/>
  <c r="S103" i="106"/>
  <c r="S69" i="106"/>
  <c r="S72" i="106"/>
  <c r="S83" i="106"/>
  <c r="S47" i="106"/>
  <c r="S38" i="106"/>
  <c r="S70" i="106"/>
  <c r="S40" i="106"/>
  <c r="S43" i="106"/>
  <c r="S50" i="106"/>
  <c r="S113" i="106"/>
  <c r="S46" i="106"/>
  <c r="S45" i="106"/>
  <c r="S110" i="106"/>
  <c r="S80" i="106"/>
  <c r="S41" i="106"/>
  <c r="S84" i="106"/>
  <c r="S116" i="106"/>
  <c r="S111" i="106"/>
  <c r="S85" i="106"/>
  <c r="S59" i="106"/>
  <c r="S90" i="106"/>
  <c r="S66" i="106"/>
  <c r="S123" i="106"/>
  <c r="S81" i="106"/>
  <c r="S52" i="106"/>
  <c r="S107" i="106"/>
  <c r="S65" i="106"/>
  <c r="S114" i="106"/>
  <c r="S109" i="106"/>
  <c r="S67" i="106"/>
  <c r="S120" i="106"/>
  <c r="S74" i="106"/>
  <c r="S36" i="106"/>
  <c r="S89" i="106"/>
  <c r="S91" i="106"/>
  <c r="S49" i="106"/>
  <c r="S98" i="106"/>
  <c r="S60" i="106"/>
  <c r="S53" i="106"/>
  <c r="S102" i="106"/>
  <c r="S64" i="106"/>
  <c r="S51" i="106"/>
  <c r="S104" i="106"/>
  <c r="S58" i="106"/>
  <c r="S115" i="106"/>
  <c r="S73" i="106"/>
  <c r="S122" i="106"/>
  <c r="S55" i="106"/>
  <c r="S108" i="106"/>
  <c r="S62" i="106"/>
  <c r="S119" i="106"/>
  <c r="S77" i="106"/>
  <c r="S126" i="106"/>
  <c r="S117" i="106"/>
  <c r="S75" i="106"/>
  <c r="S128" i="106"/>
  <c r="S82" i="106"/>
  <c r="S44" i="106"/>
  <c r="S97" i="106"/>
  <c r="S121" i="106"/>
  <c r="S79" i="106"/>
  <c r="S37" i="106"/>
  <c r="S86" i="106"/>
  <c r="S48" i="106"/>
  <c r="S35" i="106"/>
  <c r="S88" i="106"/>
  <c r="S42" i="106"/>
  <c r="S99" i="106"/>
  <c r="S57" i="106"/>
  <c r="S106" i="106"/>
  <c r="AC54" i="104"/>
  <c r="AC58" i="104"/>
  <c r="AC102" i="104"/>
  <c r="AC62" i="104"/>
  <c r="H7" i="104"/>
  <c r="AC110" i="104"/>
  <c r="AC101" i="104"/>
  <c r="AC69" i="104"/>
  <c r="AC37" i="104"/>
  <c r="AC100" i="104"/>
  <c r="AC68" i="104"/>
  <c r="AC36" i="104"/>
  <c r="AC99" i="104"/>
  <c r="AC67" i="104"/>
  <c r="AC35" i="104"/>
  <c r="AC129" i="104"/>
  <c r="AC97" i="104"/>
  <c r="AC65" i="104"/>
  <c r="AC128" i="104"/>
  <c r="AC96" i="104"/>
  <c r="AC64" i="104"/>
  <c r="AC127" i="104"/>
  <c r="AC95" i="104"/>
  <c r="AC63" i="104"/>
  <c r="AC125" i="104"/>
  <c r="AC93" i="104"/>
  <c r="AC61" i="104"/>
  <c r="AC124" i="104"/>
  <c r="AC92" i="104"/>
  <c r="AC60" i="104"/>
  <c r="AC123" i="104"/>
  <c r="AC91" i="104"/>
  <c r="AC59" i="104"/>
  <c r="AC82" i="104"/>
  <c r="AC50" i="104"/>
  <c r="AC121" i="104"/>
  <c r="AC89" i="104"/>
  <c r="AC57" i="104"/>
  <c r="AC120" i="104"/>
  <c r="AC88" i="104"/>
  <c r="AC56" i="104"/>
  <c r="AC119" i="104"/>
  <c r="AC87" i="104"/>
  <c r="AC55" i="104"/>
  <c r="AC78" i="104"/>
  <c r="AC46" i="104"/>
  <c r="AC117" i="104"/>
  <c r="AC85" i="104"/>
  <c r="AC53" i="104"/>
  <c r="AC116" i="104"/>
  <c r="AC84" i="104"/>
  <c r="AC52" i="104"/>
  <c r="AC115" i="104"/>
  <c r="AC83" i="104"/>
  <c r="AC51" i="104"/>
  <c r="AC106" i="104"/>
  <c r="AC74" i="104"/>
  <c r="AC42" i="104"/>
  <c r="AC113" i="104"/>
  <c r="AC81" i="104"/>
  <c r="AC49" i="104"/>
  <c r="AC112" i="104"/>
  <c r="AC80" i="104"/>
  <c r="AC48" i="104"/>
  <c r="AC111" i="104"/>
  <c r="AC79" i="104"/>
  <c r="AC47" i="104"/>
  <c r="AC70" i="104"/>
  <c r="AC38" i="104"/>
  <c r="AC109" i="104"/>
  <c r="AC77" i="104"/>
  <c r="AC45" i="104"/>
  <c r="AC108" i="104"/>
  <c r="AC76" i="104"/>
  <c r="AC44" i="104"/>
  <c r="AC107" i="104"/>
  <c r="AC75" i="104"/>
  <c r="AC43" i="104"/>
  <c r="AC98" i="104"/>
  <c r="AC66" i="104"/>
  <c r="AC34" i="104"/>
  <c r="AC105" i="104"/>
  <c r="AC73" i="104"/>
  <c r="AC41" i="104"/>
  <c r="AC104" i="104"/>
  <c r="AC72" i="104"/>
  <c r="AC40" i="104"/>
  <c r="AC103" i="104"/>
  <c r="AC71" i="104"/>
  <c r="AC39" i="104"/>
  <c r="AC122" i="104"/>
  <c r="AC118" i="104"/>
  <c r="AC114" i="104"/>
  <c r="AC94" i="104"/>
  <c r="AC90" i="104"/>
  <c r="AC86" i="104"/>
  <c r="F22" i="104" a="1"/>
  <c r="F22" i="104" s="1"/>
  <c r="M34" i="100"/>
  <c r="M35" i="100" s="1"/>
  <c r="M36" i="100" s="1"/>
  <c r="M37" i="100" s="1"/>
  <c r="M38" i="100" s="1"/>
  <c r="M39" i="100" s="1"/>
  <c r="M40" i="100" s="1"/>
  <c r="M41" i="100" s="1"/>
  <c r="M42" i="100" s="1"/>
  <c r="M43" i="100" s="1"/>
  <c r="M44" i="100" s="1"/>
  <c r="M45" i="100" s="1"/>
  <c r="M46" i="100" s="1"/>
  <c r="M47" i="100" s="1"/>
  <c r="M48" i="100" s="1"/>
  <c r="M49" i="100" s="1"/>
  <c r="M50" i="100" s="1"/>
  <c r="M51" i="100" s="1"/>
  <c r="M52" i="100" s="1"/>
  <c r="M53" i="100" s="1"/>
  <c r="M54" i="100" s="1"/>
  <c r="M55" i="100" s="1"/>
  <c r="M56" i="100" s="1"/>
  <c r="M57" i="100" s="1"/>
  <c r="M58" i="100" s="1"/>
  <c r="M59" i="100" s="1"/>
  <c r="M60" i="100" s="1"/>
  <c r="M61" i="100" s="1"/>
  <c r="M62" i="100" s="1"/>
  <c r="M63" i="100" s="1"/>
  <c r="M64" i="100" s="1"/>
  <c r="M65" i="100" s="1"/>
  <c r="M66" i="100" s="1"/>
  <c r="M67" i="100" s="1"/>
  <c r="M68" i="100" s="1"/>
  <c r="M69" i="100" s="1"/>
  <c r="M70" i="100" s="1"/>
  <c r="M71" i="100" s="1"/>
  <c r="M72" i="100" s="1"/>
  <c r="M73" i="100" s="1"/>
  <c r="M74" i="100" s="1"/>
  <c r="M75" i="100" s="1"/>
  <c r="M76" i="100" s="1"/>
  <c r="M77" i="100" s="1"/>
  <c r="M78" i="100" s="1"/>
  <c r="M79" i="100" s="1"/>
  <c r="M80" i="100" s="1"/>
  <c r="M81" i="100" s="1"/>
  <c r="M82" i="100" s="1"/>
  <c r="M83" i="100" s="1"/>
  <c r="M84" i="100" s="1"/>
  <c r="M85" i="100" s="1"/>
  <c r="M86" i="100" s="1"/>
  <c r="M87" i="100" s="1"/>
  <c r="M88" i="100" s="1"/>
  <c r="M89" i="100" s="1"/>
  <c r="M90" i="100" s="1"/>
  <c r="M91" i="100" s="1"/>
  <c r="M92" i="100" s="1"/>
  <c r="M93" i="100" s="1"/>
  <c r="M94" i="100" s="1"/>
  <c r="M95" i="100" s="1"/>
  <c r="M96" i="100" s="1"/>
  <c r="M97" i="100" s="1"/>
  <c r="M98" i="100" s="1"/>
  <c r="M99" i="100" s="1"/>
  <c r="M100" i="100" s="1"/>
  <c r="M101" i="100" s="1"/>
  <c r="M102" i="100" s="1"/>
  <c r="M103" i="100" s="1"/>
  <c r="M104" i="100" s="1"/>
  <c r="M105" i="100" s="1"/>
  <c r="M106" i="100" s="1"/>
  <c r="M107" i="100" s="1"/>
  <c r="M108" i="100" s="1"/>
  <c r="M109" i="100" s="1"/>
  <c r="M110" i="100" s="1"/>
  <c r="M111" i="100" s="1"/>
  <c r="M112" i="100" s="1"/>
  <c r="M113" i="100" s="1"/>
  <c r="M114" i="100" s="1"/>
  <c r="M115" i="100" s="1"/>
  <c r="M116" i="100" s="1"/>
  <c r="M117" i="100" s="1"/>
  <c r="M118" i="100" s="1"/>
  <c r="M119" i="100" s="1"/>
  <c r="M120" i="100" s="1"/>
  <c r="M121" i="100" s="1"/>
  <c r="M122" i="100" s="1"/>
  <c r="M123" i="100" s="1"/>
  <c r="M124" i="100" s="1"/>
  <c r="M125" i="100" s="1"/>
  <c r="M126" i="100" s="1"/>
  <c r="M127" i="100" s="1"/>
  <c r="M128" i="100" s="1"/>
  <c r="M129" i="100" s="1"/>
  <c r="M130" i="100" s="1"/>
  <c r="O29" i="15"/>
  <c r="Q48" i="97"/>
  <c r="Q43" i="97"/>
  <c r="Q77" i="97"/>
  <c r="Q120" i="97"/>
  <c r="Q54" i="97"/>
  <c r="Q67" i="97"/>
  <c r="Q78" i="97"/>
  <c r="Q81" i="97"/>
  <c r="Q103" i="97"/>
  <c r="Q86" i="97"/>
  <c r="Q74" i="97"/>
  <c r="Q119" i="97"/>
  <c r="Q93" i="97"/>
  <c r="Q75" i="97"/>
  <c r="Q34" i="97"/>
  <c r="M34" i="97" s="1"/>
  <c r="Q61" i="97"/>
  <c r="Q73" i="97"/>
  <c r="Q79" i="97"/>
  <c r="Q121" i="97"/>
  <c r="Q110" i="97"/>
  <c r="Q117" i="97"/>
  <c r="Q42" i="97"/>
  <c r="Q123" i="97"/>
  <c r="Q52" i="97"/>
  <c r="Q63" i="97"/>
  <c r="Q90" i="97"/>
  <c r="Q71" i="97"/>
  <c r="Q105" i="97"/>
  <c r="Q51" i="97"/>
  <c r="Q92" i="97"/>
  <c r="Q89" i="97"/>
  <c r="Q98" i="97"/>
  <c r="Q113" i="97"/>
  <c r="Q129" i="97"/>
  <c r="Q38" i="97"/>
  <c r="Q127" i="97"/>
  <c r="Q112" i="97"/>
  <c r="Q36" i="97"/>
  <c r="Q95" i="97"/>
  <c r="Q124" i="97"/>
  <c r="Q69" i="97"/>
  <c r="Q72" i="97"/>
  <c r="Q62" i="97"/>
  <c r="Q60" i="97"/>
  <c r="Q104" i="97"/>
  <c r="Q114" i="97"/>
  <c r="Q87" i="97"/>
  <c r="Q49" i="97"/>
  <c r="Q47" i="97"/>
  <c r="Q56" i="97"/>
  <c r="Q126" i="97"/>
  <c r="Q106" i="97"/>
  <c r="Q116" i="97"/>
  <c r="Q122" i="97"/>
  <c r="Q84" i="97"/>
  <c r="Q68" i="97"/>
  <c r="Q83" i="97"/>
  <c r="Q99" i="97"/>
  <c r="Q115" i="97"/>
  <c r="Q108" i="97"/>
  <c r="Q96" i="97"/>
  <c r="Q102" i="97"/>
  <c r="Q109" i="97"/>
  <c r="Q41" i="97"/>
  <c r="Q125" i="97"/>
  <c r="Q85" i="97"/>
  <c r="Q82" i="97"/>
  <c r="Q55" i="97"/>
  <c r="K7" i="97"/>
  <c r="Q58" i="97"/>
  <c r="Q44" i="97"/>
  <c r="Q37" i="97"/>
  <c r="Q128" i="97"/>
  <c r="Q88" i="97"/>
  <c r="Q91" i="97"/>
  <c r="Q94" i="97"/>
  <c r="Q65" i="97"/>
  <c r="Q70" i="97"/>
  <c r="Q57" i="97"/>
  <c r="Q50" i="97"/>
  <c r="Q76" i="97"/>
  <c r="Q101" i="97"/>
  <c r="Q35" i="97"/>
  <c r="Q97" i="97"/>
  <c r="Q64" i="97"/>
  <c r="Q46" i="97"/>
  <c r="Q80" i="97"/>
  <c r="Q59" i="97"/>
  <c r="Q40" i="97"/>
  <c r="Q53" i="97"/>
  <c r="Q118" i="97"/>
  <c r="Q45" i="97"/>
  <c r="Q107" i="97"/>
  <c r="Q39" i="97"/>
  <c r="Q111" i="97"/>
  <c r="Q100" i="97"/>
  <c r="C82" i="106"/>
  <c r="C84" i="106"/>
  <c r="E19" i="106" s="1"/>
  <c r="C83" i="106"/>
  <c r="I7" i="107"/>
  <c r="B84" i="106"/>
  <c r="D19" i="106" s="1"/>
  <c r="B83" i="106"/>
  <c r="B103" i="106"/>
  <c r="B104" i="106"/>
  <c r="I70" i="15"/>
  <c r="J70" i="15"/>
  <c r="G78" i="15"/>
  <c r="L76" i="15"/>
  <c r="L74" i="15"/>
  <c r="I65" i="15"/>
  <c r="F65" i="15"/>
  <c r="F68" i="15"/>
  <c r="F66" i="15"/>
  <c r="I69" i="15"/>
  <c r="F78" i="15"/>
  <c r="F69" i="15"/>
  <c r="J69" i="15"/>
  <c r="D57" i="15"/>
  <c r="H57" i="15"/>
  <c r="Y2" i="105" s="1"/>
  <c r="K57" i="15"/>
  <c r="Y2" i="95" s="1"/>
  <c r="N57" i="15"/>
  <c r="Y2" i="99" s="1"/>
  <c r="Q57" i="15"/>
  <c r="Y2" i="102" s="1"/>
  <c r="S57" i="15"/>
  <c r="Y2" i="114" s="1"/>
  <c r="D58" i="15"/>
  <c r="H58" i="15"/>
  <c r="Z2" i="105" s="1"/>
  <c r="K58" i="15"/>
  <c r="Z2" i="95" s="1"/>
  <c r="N58" i="15"/>
  <c r="Z2" i="99" s="1"/>
  <c r="Q58" i="15"/>
  <c r="Z2" i="102" s="1"/>
  <c r="D56" i="15"/>
  <c r="E56" i="15"/>
  <c r="W2" i="109" s="1"/>
  <c r="H56" i="15"/>
  <c r="W2" i="105" s="1"/>
  <c r="K56" i="15"/>
  <c r="W2" i="95" s="1"/>
  <c r="N56" i="15"/>
  <c r="W2" i="99" s="1"/>
  <c r="Q56" i="15"/>
  <c r="W2" i="102" s="1"/>
  <c r="R56" i="15"/>
  <c r="W2" i="112" s="1"/>
  <c r="S56" i="15"/>
  <c r="W2" i="114" s="1"/>
  <c r="T56" i="15"/>
  <c r="W2" i="115" s="1"/>
  <c r="D55" i="15"/>
  <c r="E55" i="15"/>
  <c r="V2" i="109" s="1"/>
  <c r="X2" i="109" s="1"/>
  <c r="H55" i="15"/>
  <c r="V2" i="105" s="1"/>
  <c r="X2" i="105" s="1"/>
  <c r="K55" i="15"/>
  <c r="V2" i="95" s="1"/>
  <c r="X2" i="95" s="1"/>
  <c r="N55" i="15"/>
  <c r="V2" i="99" s="1"/>
  <c r="X2" i="99" s="1"/>
  <c r="Q55" i="15"/>
  <c r="V2" i="102" s="1"/>
  <c r="X2" i="102" s="1"/>
  <c r="R55" i="15"/>
  <c r="V2" i="112" s="1"/>
  <c r="X2" i="112" s="1"/>
  <c r="S55" i="15"/>
  <c r="V2" i="114" s="1"/>
  <c r="X2" i="114" s="1"/>
  <c r="T55" i="15"/>
  <c r="V2" i="115" s="1"/>
  <c r="X2" i="115" s="1"/>
  <c r="I67" i="15" a="1"/>
  <c r="G69" i="15" a="1"/>
  <c r="G70" i="15" a="1"/>
  <c r="I68" i="15" a="1"/>
  <c r="F67" i="15" a="1"/>
  <c r="I32" i="15" a="1"/>
  <c r="I66" i="15" a="1"/>
  <c r="V34" i="97" l="1"/>
  <c r="V35" i="97" s="1"/>
  <c r="V36" i="97" s="1"/>
  <c r="V37" i="97" s="1"/>
  <c r="V38" i="97" s="1"/>
  <c r="V39" i="97" s="1"/>
  <c r="V40" i="97" s="1"/>
  <c r="V41" i="97" s="1"/>
  <c r="V42" i="97" s="1"/>
  <c r="V43" i="97" s="1"/>
  <c r="V44" i="97" s="1"/>
  <c r="V45" i="97" s="1"/>
  <c r="V46" i="97" s="1"/>
  <c r="V47" i="97" s="1"/>
  <c r="V48" i="97" s="1"/>
  <c r="V49" i="97" s="1"/>
  <c r="V50" i="97" s="1"/>
  <c r="V51" i="97" s="1"/>
  <c r="V52" i="97" s="1"/>
  <c r="V53" i="97" s="1"/>
  <c r="V54" i="97" s="1"/>
  <c r="V55" i="97" s="1"/>
  <c r="V56" i="97" s="1"/>
  <c r="V57" i="97" s="1"/>
  <c r="V58" i="97" s="1"/>
  <c r="V59" i="97" s="1"/>
  <c r="V60" i="97" s="1"/>
  <c r="V61" i="97" s="1"/>
  <c r="V62" i="97" s="1"/>
  <c r="V63" i="97" s="1"/>
  <c r="V64" i="97" s="1"/>
  <c r="V65" i="97" s="1"/>
  <c r="V66" i="97" s="1"/>
  <c r="V67" i="97" s="1"/>
  <c r="V68" i="97" s="1"/>
  <c r="V69" i="97" s="1"/>
  <c r="V70" i="97" s="1"/>
  <c r="V71" i="97" s="1"/>
  <c r="V72" i="97" s="1"/>
  <c r="V73" i="97" s="1"/>
  <c r="V74" i="97" s="1"/>
  <c r="V75" i="97" s="1"/>
  <c r="V76" i="97" s="1"/>
  <c r="V77" i="97" s="1"/>
  <c r="V78" i="97" s="1"/>
  <c r="V79" i="97" s="1"/>
  <c r="V80" i="97" s="1"/>
  <c r="V81" i="97" s="1"/>
  <c r="V82" i="97" s="1"/>
  <c r="AA2" i="99"/>
  <c r="AA3" i="99"/>
  <c r="AA2" i="105"/>
  <c r="AA3" i="105"/>
  <c r="AA3" i="109"/>
  <c r="AA2" i="109"/>
  <c r="AA2" i="115"/>
  <c r="AA3" i="115"/>
  <c r="AA3" i="114"/>
  <c r="AA2" i="114"/>
  <c r="AA3" i="112"/>
  <c r="AA2" i="112"/>
  <c r="AA3" i="102"/>
  <c r="AA2" i="102"/>
  <c r="I32" i="15"/>
  <c r="L29" i="15"/>
  <c r="Z31" i="100" a="1"/>
  <c r="Z31" i="100" s="1"/>
  <c r="U30" i="100" s="1"/>
  <c r="Q31" i="100" a="1"/>
  <c r="Q31" i="100" s="1"/>
  <c r="L30" i="100" s="1"/>
  <c r="U29" i="100" s="1"/>
  <c r="W29" i="100" s="1"/>
  <c r="V29" i="100"/>
  <c r="M35" i="97"/>
  <c r="M36" i="97" s="1"/>
  <c r="M37" i="97" s="1"/>
  <c r="M38" i="97" s="1"/>
  <c r="M39" i="97" s="1"/>
  <c r="M40" i="97" s="1"/>
  <c r="M41" i="97" s="1"/>
  <c r="M42" i="97" s="1"/>
  <c r="M43" i="97" s="1"/>
  <c r="M44" i="97" s="1"/>
  <c r="M45" i="97" s="1"/>
  <c r="M46" i="97" s="1"/>
  <c r="M47" i="97" s="1"/>
  <c r="M48" i="97" s="1"/>
  <c r="M49" i="97" s="1"/>
  <c r="M50" i="97" s="1"/>
  <c r="M51" i="97" s="1"/>
  <c r="M52" i="97" s="1"/>
  <c r="M53" i="97" s="1"/>
  <c r="M54" i="97" s="1"/>
  <c r="M55" i="97" s="1"/>
  <c r="M56" i="97" s="1"/>
  <c r="M57" i="97" s="1"/>
  <c r="M58" i="97" s="1"/>
  <c r="M59" i="97" s="1"/>
  <c r="M60" i="97" s="1"/>
  <c r="M61" i="97" s="1"/>
  <c r="M62" i="97" s="1"/>
  <c r="M63" i="97" s="1"/>
  <c r="M64" i="97" s="1"/>
  <c r="M65" i="97" s="1"/>
  <c r="M66" i="97" s="1"/>
  <c r="M67" i="97" s="1"/>
  <c r="M68" i="97" s="1"/>
  <c r="M69" i="97" s="1"/>
  <c r="M70" i="97" s="1"/>
  <c r="M71" i="97" s="1"/>
  <c r="M72" i="97" s="1"/>
  <c r="M73" i="97" s="1"/>
  <c r="M74" i="97" s="1"/>
  <c r="M75" i="97" s="1"/>
  <c r="M76" i="97" s="1"/>
  <c r="M77" i="97" s="1"/>
  <c r="M78" i="97" s="1"/>
  <c r="M79" i="97" s="1"/>
  <c r="M80" i="97" s="1"/>
  <c r="M81" i="97" s="1"/>
  <c r="M82" i="97" s="1"/>
  <c r="M83" i="97" s="1"/>
  <c r="M84" i="97" s="1"/>
  <c r="M85" i="97" s="1"/>
  <c r="M86" i="97" s="1"/>
  <c r="M87" i="97" s="1"/>
  <c r="M88" i="97" s="1"/>
  <c r="M89" i="97" s="1"/>
  <c r="M90" i="97" s="1"/>
  <c r="M91" i="97" s="1"/>
  <c r="M92" i="97" s="1"/>
  <c r="M93" i="97" s="1"/>
  <c r="M94" i="97" s="1"/>
  <c r="M95" i="97" s="1"/>
  <c r="M96" i="97" s="1"/>
  <c r="M97" i="97" s="1"/>
  <c r="M98" i="97" s="1"/>
  <c r="M99" i="97" s="1"/>
  <c r="M100" i="97" s="1"/>
  <c r="M101" i="97" s="1"/>
  <c r="M102" i="97" s="1"/>
  <c r="M103" i="97" s="1"/>
  <c r="M104" i="97" s="1"/>
  <c r="M105" i="97" s="1"/>
  <c r="M106" i="97" s="1"/>
  <c r="M107" i="97" s="1"/>
  <c r="M108" i="97" s="1"/>
  <c r="M109" i="97" s="1"/>
  <c r="M110" i="97" s="1"/>
  <c r="M111" i="97" s="1"/>
  <c r="M112" i="97" s="1"/>
  <c r="M113" i="97" s="1"/>
  <c r="M114" i="97" s="1"/>
  <c r="M115" i="97" s="1"/>
  <c r="M116" i="97" s="1"/>
  <c r="M117" i="97" s="1"/>
  <c r="M118" i="97" s="1"/>
  <c r="M119" i="97" s="1"/>
  <c r="M120" i="97" s="1"/>
  <c r="M121" i="97" s="1"/>
  <c r="M122" i="97" s="1"/>
  <c r="M123" i="97" s="1"/>
  <c r="M124" i="97" s="1"/>
  <c r="M125" i="97" s="1"/>
  <c r="M126" i="97" s="1"/>
  <c r="M127" i="97" s="1"/>
  <c r="M128" i="97" s="1"/>
  <c r="M129" i="97" s="1"/>
  <c r="M130" i="97" s="1"/>
  <c r="I7" i="104"/>
  <c r="Z78" i="104" s="1"/>
  <c r="AA2" i="95"/>
  <c r="AA3" i="95"/>
  <c r="I66" i="15"/>
  <c r="I68" i="15"/>
  <c r="G70" i="15"/>
  <c r="G69" i="15"/>
  <c r="I67" i="15"/>
  <c r="F67" i="15"/>
  <c r="C56" i="15"/>
  <c r="W2" i="111" s="1"/>
  <c r="O21" i="15" a="1"/>
  <c r="Z52" i="104" l="1"/>
  <c r="Z74" i="104"/>
  <c r="Z44" i="104"/>
  <c r="Z71" i="104"/>
  <c r="Z59" i="104"/>
  <c r="Z46" i="104"/>
  <c r="Z72" i="104"/>
  <c r="Z79" i="104"/>
  <c r="Z73" i="104"/>
  <c r="Z68" i="104"/>
  <c r="Z36" i="104"/>
  <c r="Z45" i="104"/>
  <c r="Z61" i="104"/>
  <c r="Z67" i="104"/>
  <c r="Z41" i="104"/>
  <c r="Z38" i="104"/>
  <c r="Z69" i="104"/>
  <c r="Z66" i="104"/>
  <c r="Z76" i="104"/>
  <c r="Z53" i="104"/>
  <c r="Z55" i="104"/>
  <c r="Z49" i="104"/>
  <c r="Z81" i="104"/>
  <c r="Z56" i="104"/>
  <c r="Z75" i="104"/>
  <c r="Z39" i="104"/>
  <c r="Z58" i="104"/>
  <c r="Z60" i="104"/>
  <c r="Z48" i="104"/>
  <c r="Z40" i="104"/>
  <c r="Z62" i="104"/>
  <c r="Z57" i="104"/>
  <c r="Z47" i="104"/>
  <c r="Z35" i="104"/>
  <c r="Z80" i="104"/>
  <c r="Z65" i="104"/>
  <c r="Z64" i="104"/>
  <c r="Z42" i="104"/>
  <c r="Z34" i="104"/>
  <c r="Z43" i="104"/>
  <c r="Z54" i="104"/>
  <c r="Z70" i="104"/>
  <c r="Z77" i="104"/>
  <c r="Z37" i="104"/>
  <c r="Z50" i="104"/>
  <c r="Z51" i="104"/>
  <c r="Z63" i="104"/>
  <c r="Z31" i="97" a="1"/>
  <c r="Z31" i="97" s="1"/>
  <c r="U30" i="97" s="1"/>
  <c r="Q31" i="97" a="1"/>
  <c r="Q31" i="97" s="1"/>
  <c r="L30" i="97" s="1"/>
  <c r="U29" i="97" s="1"/>
  <c r="W29" i="97" s="1"/>
  <c r="V29" i="97"/>
  <c r="Q60" i="104"/>
  <c r="Q59" i="104"/>
  <c r="Q39" i="104"/>
  <c r="Q61" i="104"/>
  <c r="Q105" i="104"/>
  <c r="Q41" i="104"/>
  <c r="Q115" i="104"/>
  <c r="Q44" i="104"/>
  <c r="Q66" i="104"/>
  <c r="Q108" i="104"/>
  <c r="Q123" i="104"/>
  <c r="Q119" i="104"/>
  <c r="Q62" i="104"/>
  <c r="Q101" i="104"/>
  <c r="Q102" i="104"/>
  <c r="Q103" i="104"/>
  <c r="Q68" i="104"/>
  <c r="Q46" i="104"/>
  <c r="Q47" i="104"/>
  <c r="Q77" i="104"/>
  <c r="Q57" i="104"/>
  <c r="Q80" i="104"/>
  <c r="Q53" i="104"/>
  <c r="Q79" i="104"/>
  <c r="Q91" i="104"/>
  <c r="Q43" i="104"/>
  <c r="Q85" i="104"/>
  <c r="Q126" i="104"/>
  <c r="K7" i="104"/>
  <c r="Q82" i="104"/>
  <c r="Q38" i="104"/>
  <c r="Q112" i="104"/>
  <c r="Q129" i="104"/>
  <c r="Q125" i="104"/>
  <c r="Q52" i="104"/>
  <c r="Q117" i="104"/>
  <c r="Q104" i="104"/>
  <c r="Q63" i="104"/>
  <c r="Q107" i="104"/>
  <c r="Q76" i="104"/>
  <c r="Q56" i="104"/>
  <c r="Q118" i="104"/>
  <c r="Q75" i="104"/>
  <c r="Q100" i="104"/>
  <c r="Q72" i="104"/>
  <c r="Q110" i="104"/>
  <c r="Q83" i="104"/>
  <c r="Q50" i="104"/>
  <c r="Q96" i="104"/>
  <c r="Q65" i="104"/>
  <c r="Q109" i="104"/>
  <c r="Q116" i="104"/>
  <c r="Q98" i="104"/>
  <c r="Q88" i="104"/>
  <c r="Q71" i="104"/>
  <c r="Q58" i="104"/>
  <c r="Q73" i="104"/>
  <c r="Q78" i="104"/>
  <c r="Q113" i="104"/>
  <c r="Q86" i="104"/>
  <c r="Q48" i="104"/>
  <c r="Q67" i="104"/>
  <c r="Q114" i="104"/>
  <c r="Q111" i="104"/>
  <c r="Q99" i="104"/>
  <c r="Q40" i="104"/>
  <c r="Q42" i="104"/>
  <c r="Q49" i="104"/>
  <c r="Q92" i="104"/>
  <c r="Q89" i="104"/>
  <c r="Q95" i="104"/>
  <c r="Q94" i="104"/>
  <c r="Q122" i="104"/>
  <c r="Q81" i="104"/>
  <c r="Q97" i="104"/>
  <c r="Q127" i="104"/>
  <c r="Q121" i="104"/>
  <c r="Q54" i="104"/>
  <c r="Q34" i="104"/>
  <c r="M34" i="104" s="1"/>
  <c r="Q120" i="104"/>
  <c r="Q45" i="104"/>
  <c r="Q93" i="104"/>
  <c r="Q84" i="104"/>
  <c r="Q69" i="104"/>
  <c r="Q90" i="104"/>
  <c r="Q124" i="104"/>
  <c r="Q37" i="104"/>
  <c r="Q35" i="104"/>
  <c r="Q87" i="104"/>
  <c r="Q36" i="104"/>
  <c r="Q55" i="104"/>
  <c r="Q70" i="104"/>
  <c r="Q51" i="104"/>
  <c r="Q74" i="104"/>
  <c r="Q64" i="104"/>
  <c r="Q106" i="104"/>
  <c r="Q128" i="104"/>
  <c r="I29" i="15"/>
  <c r="O21" i="15"/>
  <c r="L21" i="15" a="1"/>
  <c r="V34" i="104" l="1"/>
  <c r="V35" i="104" s="1"/>
  <c r="V36" i="104" s="1"/>
  <c r="V37" i="104" s="1"/>
  <c r="V38" i="104" s="1"/>
  <c r="V39" i="104" s="1"/>
  <c r="V40" i="104" s="1"/>
  <c r="V41" i="104" s="1"/>
  <c r="V42" i="104" s="1"/>
  <c r="V43" i="104" s="1"/>
  <c r="V44" i="104" s="1"/>
  <c r="V45" i="104" s="1"/>
  <c r="V46" i="104" s="1"/>
  <c r="V47" i="104" s="1"/>
  <c r="V48" i="104" s="1"/>
  <c r="V49" i="104" s="1"/>
  <c r="V50" i="104" s="1"/>
  <c r="V51" i="104" s="1"/>
  <c r="V52" i="104" s="1"/>
  <c r="V53" i="104" s="1"/>
  <c r="V54" i="104" s="1"/>
  <c r="V55" i="104" s="1"/>
  <c r="V56" i="104" s="1"/>
  <c r="V57" i="104" s="1"/>
  <c r="V58" i="104" s="1"/>
  <c r="V59" i="104" s="1"/>
  <c r="V60" i="104" s="1"/>
  <c r="V61" i="104" s="1"/>
  <c r="V62" i="104" s="1"/>
  <c r="V63" i="104" s="1"/>
  <c r="V64" i="104" s="1"/>
  <c r="V65" i="104" s="1"/>
  <c r="V66" i="104" s="1"/>
  <c r="V67" i="104" s="1"/>
  <c r="V68" i="104" s="1"/>
  <c r="V69" i="104" s="1"/>
  <c r="V70" i="104" s="1"/>
  <c r="V71" i="104" s="1"/>
  <c r="V72" i="104" s="1"/>
  <c r="V73" i="104" s="1"/>
  <c r="V74" i="104" s="1"/>
  <c r="V75" i="104" s="1"/>
  <c r="V76" i="104" s="1"/>
  <c r="V77" i="104" s="1"/>
  <c r="V78" i="104" s="1"/>
  <c r="V79" i="104" s="1"/>
  <c r="V80" i="104" s="1"/>
  <c r="V81" i="104" s="1"/>
  <c r="V82" i="104" s="1"/>
  <c r="M35" i="104"/>
  <c r="M36" i="104" s="1"/>
  <c r="M37" i="104" s="1"/>
  <c r="M38" i="104" s="1"/>
  <c r="M39" i="104" s="1"/>
  <c r="M40" i="104" s="1"/>
  <c r="M41" i="104" s="1"/>
  <c r="M42" i="104" s="1"/>
  <c r="M43" i="104" s="1"/>
  <c r="M44" i="104" s="1"/>
  <c r="M45" i="104" s="1"/>
  <c r="M46" i="104" s="1"/>
  <c r="M47" i="104" s="1"/>
  <c r="M48" i="104" s="1"/>
  <c r="M49" i="104" s="1"/>
  <c r="M50" i="104" s="1"/>
  <c r="M51" i="104" s="1"/>
  <c r="M52" i="104" s="1"/>
  <c r="M53" i="104" s="1"/>
  <c r="M54" i="104" s="1"/>
  <c r="M55" i="104" s="1"/>
  <c r="M56" i="104" s="1"/>
  <c r="M57" i="104" s="1"/>
  <c r="M58" i="104" s="1"/>
  <c r="M59" i="104" s="1"/>
  <c r="M60" i="104" s="1"/>
  <c r="M61" i="104" s="1"/>
  <c r="M62" i="104" s="1"/>
  <c r="M63" i="104" s="1"/>
  <c r="M64" i="104" s="1"/>
  <c r="M65" i="104" s="1"/>
  <c r="M66" i="104" s="1"/>
  <c r="M67" i="104" s="1"/>
  <c r="M68" i="104" s="1"/>
  <c r="M69" i="104" s="1"/>
  <c r="M70" i="104" s="1"/>
  <c r="M71" i="104" s="1"/>
  <c r="M72" i="104" s="1"/>
  <c r="M73" i="104" s="1"/>
  <c r="M74" i="104" s="1"/>
  <c r="M75" i="104" s="1"/>
  <c r="M76" i="104" s="1"/>
  <c r="M77" i="104" s="1"/>
  <c r="M78" i="104" s="1"/>
  <c r="M79" i="104" s="1"/>
  <c r="M80" i="104" s="1"/>
  <c r="M81" i="104" s="1"/>
  <c r="M82" i="104" s="1"/>
  <c r="M83" i="104" s="1"/>
  <c r="M84" i="104" s="1"/>
  <c r="M85" i="104" s="1"/>
  <c r="M86" i="104" s="1"/>
  <c r="M87" i="104" s="1"/>
  <c r="M88" i="104" s="1"/>
  <c r="M89" i="104" s="1"/>
  <c r="M90" i="104" s="1"/>
  <c r="M91" i="104" s="1"/>
  <c r="M92" i="104" s="1"/>
  <c r="M93" i="104" s="1"/>
  <c r="M94" i="104" s="1"/>
  <c r="M95" i="104" s="1"/>
  <c r="M96" i="104" s="1"/>
  <c r="M97" i="104" s="1"/>
  <c r="M98" i="104" s="1"/>
  <c r="M99" i="104" s="1"/>
  <c r="M100" i="104" s="1"/>
  <c r="M101" i="104" s="1"/>
  <c r="M102" i="104" s="1"/>
  <c r="M103" i="104" s="1"/>
  <c r="M104" i="104" s="1"/>
  <c r="M105" i="104" s="1"/>
  <c r="M106" i="104" s="1"/>
  <c r="M107" i="104" s="1"/>
  <c r="M108" i="104" s="1"/>
  <c r="M109" i="104" s="1"/>
  <c r="M110" i="104" s="1"/>
  <c r="M111" i="104" s="1"/>
  <c r="M112" i="104" s="1"/>
  <c r="M113" i="104" s="1"/>
  <c r="M114" i="104" s="1"/>
  <c r="M115" i="104" s="1"/>
  <c r="M116" i="104" s="1"/>
  <c r="M117" i="104" s="1"/>
  <c r="M118" i="104" s="1"/>
  <c r="M119" i="104" s="1"/>
  <c r="M120" i="104" s="1"/>
  <c r="M121" i="104" s="1"/>
  <c r="M122" i="104" s="1"/>
  <c r="M123" i="104" s="1"/>
  <c r="M124" i="104" s="1"/>
  <c r="M125" i="104" s="1"/>
  <c r="M126" i="104" s="1"/>
  <c r="M127" i="104" s="1"/>
  <c r="M128" i="104" s="1"/>
  <c r="M129" i="104" s="1"/>
  <c r="M130" i="104" s="1"/>
  <c r="L21" i="15"/>
  <c r="L20" i="15" a="1"/>
  <c r="O20" i="15" a="1"/>
  <c r="V29" i="104" l="1"/>
  <c r="Z31" i="104" a="1"/>
  <c r="Z31" i="104" s="1"/>
  <c r="U30" i="104" s="1"/>
  <c r="Q31" i="104" a="1"/>
  <c r="Q31" i="104" s="1"/>
  <c r="L30" i="104" s="1"/>
  <c r="U29" i="104" s="1"/>
  <c r="W29" i="104" s="1"/>
  <c r="O20" i="15"/>
  <c r="L20" i="15"/>
  <c r="X92" i="15"/>
  <c r="U92" i="15"/>
  <c r="T92" i="15"/>
  <c r="S92" i="15"/>
  <c r="R92" i="15"/>
  <c r="Q92" i="15"/>
  <c r="N92" i="15"/>
  <c r="K92" i="15"/>
  <c r="H92" i="15"/>
  <c r="E92" i="15"/>
  <c r="D92" i="15"/>
  <c r="X91" i="15"/>
  <c r="U91" i="15"/>
  <c r="T91" i="15"/>
  <c r="S91" i="15"/>
  <c r="R91" i="15"/>
  <c r="Q91" i="15"/>
  <c r="N91" i="15"/>
  <c r="K91" i="15"/>
  <c r="H91" i="15"/>
  <c r="E91" i="15"/>
  <c r="D91" i="15"/>
  <c r="X89" i="15"/>
  <c r="P2" i="119" s="1"/>
  <c r="X88" i="15"/>
  <c r="O2" i="119" s="1"/>
  <c r="X84" i="15"/>
  <c r="X83" i="15"/>
  <c r="AC2" i="119" s="1"/>
  <c r="X81" i="15"/>
  <c r="AB2" i="119" s="1"/>
  <c r="X14" i="15"/>
  <c r="K25" i="119" s="1"/>
  <c r="X13" i="15"/>
  <c r="K24" i="119" s="1"/>
  <c r="X12" i="15"/>
  <c r="X11" i="15"/>
  <c r="O22" i="15" a="1"/>
  <c r="L22" i="15" a="1"/>
  <c r="I21" i="15" a="1"/>
  <c r="D74" i="119" l="1"/>
  <c r="H74" i="119"/>
  <c r="X103" i="15"/>
  <c r="K22" i="119" s="1"/>
  <c r="X104" i="15"/>
  <c r="K21" i="119" s="1"/>
  <c r="C74" i="119"/>
  <c r="G74" i="119"/>
  <c r="F74" i="119"/>
  <c r="E74" i="119"/>
  <c r="X102" i="15"/>
  <c r="X101" i="15"/>
  <c r="K19" i="119" s="1"/>
  <c r="N12" i="119"/>
  <c r="O18" i="119" s="1"/>
  <c r="P12" i="119"/>
  <c r="AD2" i="119"/>
  <c r="I21" i="15"/>
  <c r="L22" i="15"/>
  <c r="O22" i="15"/>
  <c r="I20" i="15" a="1"/>
  <c r="K18" i="119" l="1"/>
  <c r="H93" i="119"/>
  <c r="H92" i="119" s="1"/>
  <c r="H72" i="119"/>
  <c r="H73" i="119" s="1"/>
  <c r="G72" i="119"/>
  <c r="G73" i="119" s="1"/>
  <c r="G93" i="119"/>
  <c r="B52" i="119"/>
  <c r="B28" i="119"/>
  <c r="C72" i="119"/>
  <c r="B93" i="119"/>
  <c r="B92" i="119" s="1"/>
  <c r="F93" i="119"/>
  <c r="E93" i="119"/>
  <c r="E92" i="119" s="1"/>
  <c r="E72" i="119"/>
  <c r="E73" i="119" s="1"/>
  <c r="D93" i="119"/>
  <c r="D72" i="119"/>
  <c r="C53" i="119"/>
  <c r="C29" i="119"/>
  <c r="B72" i="119"/>
  <c r="F72" i="119"/>
  <c r="C93" i="119"/>
  <c r="F23" i="100"/>
  <c r="F21" i="100"/>
  <c r="I20" i="15"/>
  <c r="O33" i="15" a="1"/>
  <c r="L34" i="15" a="1"/>
  <c r="I22" i="15" a="1"/>
  <c r="L33" i="15" a="1"/>
  <c r="G92" i="119" l="1"/>
  <c r="AA77" i="119" s="1"/>
  <c r="R75" i="119"/>
  <c r="R72" i="119"/>
  <c r="R68" i="119"/>
  <c r="R59" i="119"/>
  <c r="R51" i="119"/>
  <c r="R43" i="119"/>
  <c r="R40" i="119"/>
  <c r="R36" i="119"/>
  <c r="R122" i="119"/>
  <c r="R114" i="119"/>
  <c r="R106" i="119"/>
  <c r="R100" i="119"/>
  <c r="R92" i="119"/>
  <c r="R84" i="119"/>
  <c r="R58" i="119"/>
  <c r="R50" i="119"/>
  <c r="R80" i="119"/>
  <c r="R76" i="119"/>
  <c r="R64" i="119"/>
  <c r="R60" i="119"/>
  <c r="R56" i="119"/>
  <c r="R52" i="119"/>
  <c r="R48" i="119"/>
  <c r="R44" i="119"/>
  <c r="R69" i="119"/>
  <c r="R78" i="119"/>
  <c r="R42" i="119"/>
  <c r="R128" i="119"/>
  <c r="R120" i="119"/>
  <c r="R110" i="119"/>
  <c r="R102" i="119"/>
  <c r="R94" i="119"/>
  <c r="R86" i="119"/>
  <c r="R79" i="119"/>
  <c r="R67" i="119"/>
  <c r="R129" i="119"/>
  <c r="R127" i="119"/>
  <c r="R125" i="119"/>
  <c r="R123" i="119"/>
  <c r="R121" i="119"/>
  <c r="R119" i="119"/>
  <c r="R117" i="119"/>
  <c r="R115" i="119"/>
  <c r="R113" i="119"/>
  <c r="R111" i="119"/>
  <c r="R109" i="119"/>
  <c r="R107" i="119"/>
  <c r="R105" i="119"/>
  <c r="R103" i="119"/>
  <c r="R101" i="119"/>
  <c r="R99" i="119"/>
  <c r="R97" i="119"/>
  <c r="R95" i="119"/>
  <c r="R93" i="119"/>
  <c r="R91" i="119"/>
  <c r="R89" i="119"/>
  <c r="R87" i="119"/>
  <c r="R85" i="119"/>
  <c r="R83" i="119"/>
  <c r="R77" i="119"/>
  <c r="R73" i="119"/>
  <c r="R61" i="119"/>
  <c r="R53" i="119"/>
  <c r="R45" i="119"/>
  <c r="R41" i="119"/>
  <c r="R37" i="119"/>
  <c r="R74" i="119"/>
  <c r="R66" i="119"/>
  <c r="R62" i="119"/>
  <c r="R54" i="119"/>
  <c r="R46" i="119"/>
  <c r="R39" i="119"/>
  <c r="R124" i="119"/>
  <c r="R116" i="119"/>
  <c r="R108" i="119"/>
  <c r="R98" i="119"/>
  <c r="R90" i="119"/>
  <c r="R82" i="119"/>
  <c r="R63" i="119"/>
  <c r="R55" i="119"/>
  <c r="R47" i="119"/>
  <c r="R81" i="119"/>
  <c r="R65" i="119"/>
  <c r="R57" i="119"/>
  <c r="R49" i="119"/>
  <c r="R35" i="119"/>
  <c r="R70" i="119"/>
  <c r="R38" i="119"/>
  <c r="R34" i="119"/>
  <c r="R71" i="119"/>
  <c r="R126" i="119"/>
  <c r="R118" i="119"/>
  <c r="R112" i="119"/>
  <c r="R104" i="119"/>
  <c r="R96" i="119"/>
  <c r="R88" i="119"/>
  <c r="D92" i="119"/>
  <c r="AB115" i="119" s="1"/>
  <c r="H102" i="119"/>
  <c r="C92" i="119"/>
  <c r="C102" i="119" s="1"/>
  <c r="E18" i="119" s="1"/>
  <c r="E7" i="119"/>
  <c r="E82" i="119"/>
  <c r="B63" i="119"/>
  <c r="B62" i="119"/>
  <c r="B18" i="119" s="1"/>
  <c r="B64" i="119"/>
  <c r="B104" i="119"/>
  <c r="B103" i="119"/>
  <c r="E83" i="119"/>
  <c r="E104" i="119"/>
  <c r="E103" i="119"/>
  <c r="D7" i="119"/>
  <c r="H84" i="119"/>
  <c r="B73" i="119"/>
  <c r="B82" i="119" s="1"/>
  <c r="F73" i="119"/>
  <c r="F84" i="119" s="1"/>
  <c r="F92" i="119"/>
  <c r="F102" i="119" s="1"/>
  <c r="B102" i="119"/>
  <c r="D18" i="119" s="1"/>
  <c r="C73" i="119"/>
  <c r="C82" i="119" s="1"/>
  <c r="C44" i="119"/>
  <c r="C19" i="119" s="1"/>
  <c r="C7" i="119"/>
  <c r="C43" i="119"/>
  <c r="C42" i="119"/>
  <c r="C8" i="119"/>
  <c r="D73" i="119"/>
  <c r="S44" i="119" s="1"/>
  <c r="G84" i="119"/>
  <c r="C63" i="119"/>
  <c r="C64" i="119"/>
  <c r="B19" i="119" s="1"/>
  <c r="C62" i="119"/>
  <c r="B43" i="119"/>
  <c r="B7" i="119"/>
  <c r="B8" i="119"/>
  <c r="B42" i="119"/>
  <c r="C18" i="119" s="1"/>
  <c r="B44" i="119"/>
  <c r="O33" i="15"/>
  <c r="I22" i="15"/>
  <c r="L34" i="15"/>
  <c r="L33" i="15"/>
  <c r="T99" i="15"/>
  <c r="P3" i="115" s="1"/>
  <c r="S99" i="15"/>
  <c r="P3" i="114" s="1"/>
  <c r="R99" i="15"/>
  <c r="P3" i="112" s="1"/>
  <c r="H99" i="15"/>
  <c r="P3" i="105" s="1"/>
  <c r="T98" i="15"/>
  <c r="O3" i="115" s="1"/>
  <c r="S98" i="15"/>
  <c r="O3" i="114" s="1"/>
  <c r="R98" i="15"/>
  <c r="O3" i="112" s="1"/>
  <c r="H98" i="15"/>
  <c r="O3" i="105" s="1"/>
  <c r="U89" i="15"/>
  <c r="P2" i="116" s="1"/>
  <c r="T89" i="15"/>
  <c r="P2" i="115" s="1"/>
  <c r="S89" i="15"/>
  <c r="P2" i="114" s="1"/>
  <c r="R89" i="15"/>
  <c r="P2" i="112" s="1"/>
  <c r="Q89" i="15"/>
  <c r="P2" i="102" s="1"/>
  <c r="N89" i="15"/>
  <c r="P2" i="99" s="1"/>
  <c r="K89" i="15"/>
  <c r="P2" i="95" s="1"/>
  <c r="F74" i="95" s="1"/>
  <c r="H89" i="15"/>
  <c r="P2" i="105" s="1"/>
  <c r="E89" i="15"/>
  <c r="P2" i="109" s="1"/>
  <c r="D89" i="15"/>
  <c r="P2" i="121" s="1"/>
  <c r="U88" i="15"/>
  <c r="O2" i="116" s="1"/>
  <c r="T88" i="15"/>
  <c r="O2" i="115" s="1"/>
  <c r="S88" i="15"/>
  <c r="O2" i="114" s="1"/>
  <c r="R88" i="15"/>
  <c r="O2" i="112" s="1"/>
  <c r="Q88" i="15"/>
  <c r="O2" i="102" s="1"/>
  <c r="N88" i="15"/>
  <c r="O2" i="99" s="1"/>
  <c r="K88" i="15"/>
  <c r="O2" i="95" s="1"/>
  <c r="H88" i="15"/>
  <c r="O2" i="105" s="1"/>
  <c r="E88" i="15"/>
  <c r="O2" i="109" s="1"/>
  <c r="D88" i="15"/>
  <c r="O2" i="121" s="1"/>
  <c r="U84" i="15"/>
  <c r="T84" i="15"/>
  <c r="S84" i="15"/>
  <c r="S103" i="15" s="1"/>
  <c r="K22" i="114" s="1"/>
  <c r="R84" i="15"/>
  <c r="D84" i="15"/>
  <c r="U83" i="15"/>
  <c r="AC2" i="116" s="1"/>
  <c r="T83" i="15"/>
  <c r="AC2" i="115" s="1"/>
  <c r="S83" i="15"/>
  <c r="AC2" i="114" s="1"/>
  <c r="R83" i="15"/>
  <c r="D83" i="15"/>
  <c r="AC2" i="121" s="1"/>
  <c r="U81" i="15"/>
  <c r="AB2" i="116" s="1"/>
  <c r="T81" i="15"/>
  <c r="AB2" i="115" s="1"/>
  <c r="S81" i="15"/>
  <c r="AB2" i="114" s="1"/>
  <c r="R81" i="15"/>
  <c r="AB2" i="112" s="1"/>
  <c r="D81" i="15"/>
  <c r="AB2" i="121" s="1"/>
  <c r="AA94" i="119" l="1"/>
  <c r="AA104" i="119"/>
  <c r="AA68" i="119"/>
  <c r="AC2" i="112"/>
  <c r="H68" i="122"/>
  <c r="H10" i="122"/>
  <c r="H14" i="122"/>
  <c r="H18" i="122"/>
  <c r="H26" i="122"/>
  <c r="H30" i="122"/>
  <c r="H38" i="122"/>
  <c r="H46" i="122"/>
  <c r="H54" i="122"/>
  <c r="H62" i="122"/>
  <c r="H16" i="122"/>
  <c r="H60" i="122"/>
  <c r="H37" i="122"/>
  <c r="H61" i="122"/>
  <c r="H73" i="122"/>
  <c r="H11" i="122"/>
  <c r="H19" i="122"/>
  <c r="H31" i="122"/>
  <c r="H43" i="122"/>
  <c r="H51" i="122"/>
  <c r="H59" i="122"/>
  <c r="H67" i="122"/>
  <c r="H12" i="122"/>
  <c r="H28" i="122"/>
  <c r="H40" i="122"/>
  <c r="H56" i="122"/>
  <c r="H25" i="122"/>
  <c r="H53" i="122"/>
  <c r="H69" i="122"/>
  <c r="H7" i="122"/>
  <c r="H15" i="122"/>
  <c r="H23" i="122"/>
  <c r="H27" i="122"/>
  <c r="H35" i="122"/>
  <c r="H39" i="122"/>
  <c r="H47" i="122"/>
  <c r="H55" i="122"/>
  <c r="H63" i="122"/>
  <c r="H32" i="122"/>
  <c r="H52" i="122"/>
  <c r="H9" i="122"/>
  <c r="H21" i="122"/>
  <c r="H41" i="122"/>
  <c r="H57" i="122"/>
  <c r="H70" i="122"/>
  <c r="H8" i="122"/>
  <c r="H24" i="122"/>
  <c r="H36" i="122"/>
  <c r="H48" i="122"/>
  <c r="H5" i="122"/>
  <c r="H13" i="122"/>
  <c r="H29" i="122"/>
  <c r="H49" i="122"/>
  <c r="H4" i="122"/>
  <c r="H71" i="122"/>
  <c r="H72" i="122"/>
  <c r="H17" i="122"/>
  <c r="H45" i="122"/>
  <c r="H6" i="122"/>
  <c r="H22" i="122"/>
  <c r="H34" i="122"/>
  <c r="H42" i="122"/>
  <c r="H50" i="122"/>
  <c r="H58" i="122"/>
  <c r="H66" i="122"/>
  <c r="H20" i="122"/>
  <c r="H44" i="122"/>
  <c r="H64" i="122"/>
  <c r="H33" i="122"/>
  <c r="H65" i="122"/>
  <c r="F21" i="104"/>
  <c r="F23" i="104"/>
  <c r="AA63" i="119"/>
  <c r="AA46" i="119"/>
  <c r="AA57" i="119"/>
  <c r="AA109" i="119"/>
  <c r="AA115" i="119"/>
  <c r="AA80" i="119"/>
  <c r="AA88" i="119"/>
  <c r="AA83" i="119"/>
  <c r="AA98" i="119"/>
  <c r="AA51" i="119"/>
  <c r="AA66" i="119"/>
  <c r="AA119" i="119"/>
  <c r="AA125" i="119"/>
  <c r="AA56" i="119"/>
  <c r="AA110" i="119"/>
  <c r="AA79" i="119"/>
  <c r="AA87" i="119"/>
  <c r="AA64" i="119"/>
  <c r="AA44" i="119"/>
  <c r="AA116" i="119"/>
  <c r="AA39" i="119"/>
  <c r="AA93" i="119"/>
  <c r="AA45" i="119"/>
  <c r="AA72" i="119"/>
  <c r="AA120" i="119"/>
  <c r="AA50" i="119"/>
  <c r="AA99" i="119"/>
  <c r="AA61" i="119"/>
  <c r="AA84" i="119"/>
  <c r="AA126" i="119"/>
  <c r="AA71" i="119"/>
  <c r="AA105" i="119"/>
  <c r="AA73" i="119"/>
  <c r="N12" i="112"/>
  <c r="O18" i="112" s="1"/>
  <c r="AA36" i="119"/>
  <c r="AA100" i="119"/>
  <c r="AA37" i="119"/>
  <c r="AA58" i="119"/>
  <c r="AA89" i="119"/>
  <c r="AA121" i="119"/>
  <c r="C103" i="119"/>
  <c r="D104" i="119"/>
  <c r="AA82" i="119"/>
  <c r="AA114" i="119"/>
  <c r="AA59" i="119"/>
  <c r="AA54" i="119"/>
  <c r="AA103" i="119"/>
  <c r="AA41" i="119"/>
  <c r="E74" i="121"/>
  <c r="G74" i="121"/>
  <c r="F74" i="121"/>
  <c r="F84" i="121" s="1"/>
  <c r="C74" i="121"/>
  <c r="D103" i="15"/>
  <c r="K22" i="121" s="1"/>
  <c r="G72" i="121" s="1"/>
  <c r="AD2" i="121"/>
  <c r="P12" i="121"/>
  <c r="D74" i="121"/>
  <c r="H74" i="121"/>
  <c r="AB85" i="119"/>
  <c r="AA40" i="119"/>
  <c r="AA86" i="119"/>
  <c r="AA102" i="119"/>
  <c r="AA118" i="119"/>
  <c r="AA69" i="119"/>
  <c r="AA75" i="119"/>
  <c r="AA67" i="119"/>
  <c r="AA62" i="119"/>
  <c r="AA91" i="119"/>
  <c r="AA107" i="119"/>
  <c r="AA123" i="119"/>
  <c r="AA53" i="119"/>
  <c r="AA52" i="119"/>
  <c r="AA90" i="119"/>
  <c r="AA106" i="119"/>
  <c r="AA122" i="119"/>
  <c r="AA43" i="119"/>
  <c r="AA48" i="119"/>
  <c r="AA74" i="119"/>
  <c r="AA78" i="119"/>
  <c r="AA95" i="119"/>
  <c r="AA111" i="119"/>
  <c r="AA127" i="119"/>
  <c r="AA65" i="119"/>
  <c r="AB40" i="119"/>
  <c r="AA60" i="119"/>
  <c r="AA92" i="119"/>
  <c r="AA108" i="119"/>
  <c r="AA124" i="119"/>
  <c r="AA47" i="119"/>
  <c r="AA35" i="119"/>
  <c r="AA34" i="119"/>
  <c r="AA81" i="119"/>
  <c r="AA97" i="119"/>
  <c r="AA113" i="119"/>
  <c r="AA129" i="119"/>
  <c r="AA70" i="119"/>
  <c r="S108" i="119"/>
  <c r="AA76" i="119"/>
  <c r="AA96" i="119"/>
  <c r="AA112" i="119"/>
  <c r="AA128" i="119"/>
  <c r="AA55" i="119"/>
  <c r="AA42" i="119"/>
  <c r="AA49" i="119"/>
  <c r="AA85" i="119"/>
  <c r="AA101" i="119"/>
  <c r="AA117" i="119"/>
  <c r="AA38" i="119"/>
  <c r="D103" i="119"/>
  <c r="AB86" i="119"/>
  <c r="AB101" i="119"/>
  <c r="S77" i="119"/>
  <c r="AB102" i="119"/>
  <c r="AB117" i="119"/>
  <c r="S97" i="119"/>
  <c r="AB118" i="119"/>
  <c r="S59" i="119"/>
  <c r="S113" i="119"/>
  <c r="D102" i="119"/>
  <c r="AB45" i="119"/>
  <c r="S122" i="119"/>
  <c r="S129" i="119"/>
  <c r="AB75" i="119"/>
  <c r="S74" i="119"/>
  <c r="S79" i="119"/>
  <c r="AB71" i="119"/>
  <c r="S94" i="119"/>
  <c r="S48" i="119"/>
  <c r="AB53" i="119"/>
  <c r="AB49" i="119"/>
  <c r="S81" i="119"/>
  <c r="AB73" i="119"/>
  <c r="AB44" i="119"/>
  <c r="AB88" i="119"/>
  <c r="AB104" i="119"/>
  <c r="AB120" i="119"/>
  <c r="AB61" i="119"/>
  <c r="AB79" i="119"/>
  <c r="AB74" i="119"/>
  <c r="AB54" i="119"/>
  <c r="AB87" i="119"/>
  <c r="AB103" i="119"/>
  <c r="AB119" i="119"/>
  <c r="S68" i="119"/>
  <c r="S39" i="119"/>
  <c r="S78" i="119"/>
  <c r="S102" i="119"/>
  <c r="S51" i="119"/>
  <c r="S126" i="119"/>
  <c r="S83" i="119"/>
  <c r="S99" i="119"/>
  <c r="S115" i="119"/>
  <c r="S43" i="119"/>
  <c r="S86" i="119"/>
  <c r="S52" i="119"/>
  <c r="AB37" i="119"/>
  <c r="AB52" i="119"/>
  <c r="AB90" i="119"/>
  <c r="AB106" i="119"/>
  <c r="AB122" i="119"/>
  <c r="AB43" i="119"/>
  <c r="AB35" i="119"/>
  <c r="AB65" i="119"/>
  <c r="AB57" i="119"/>
  <c r="AB89" i="119"/>
  <c r="AB105" i="119"/>
  <c r="AB121" i="119"/>
  <c r="S50" i="119"/>
  <c r="S42" i="119"/>
  <c r="S120" i="119"/>
  <c r="S106" i="119"/>
  <c r="S72" i="119"/>
  <c r="S37" i="119"/>
  <c r="S85" i="119"/>
  <c r="S101" i="119"/>
  <c r="S117" i="119"/>
  <c r="S118" i="119"/>
  <c r="S96" i="119"/>
  <c r="S56" i="119"/>
  <c r="AB48" i="119"/>
  <c r="AB60" i="119"/>
  <c r="AB92" i="119"/>
  <c r="AB108" i="119"/>
  <c r="AB124" i="119"/>
  <c r="AB47" i="119"/>
  <c r="AB39" i="119"/>
  <c r="AB70" i="119"/>
  <c r="AB62" i="119"/>
  <c r="AB91" i="119"/>
  <c r="AB107" i="119"/>
  <c r="AB123" i="119"/>
  <c r="S63" i="119"/>
  <c r="S46" i="119"/>
  <c r="S34" i="119"/>
  <c r="S114" i="119"/>
  <c r="S55" i="119"/>
  <c r="S41" i="119"/>
  <c r="S87" i="119"/>
  <c r="S103" i="119"/>
  <c r="S119" i="119"/>
  <c r="S69" i="119"/>
  <c r="S104" i="119"/>
  <c r="S60" i="119"/>
  <c r="AB56" i="119"/>
  <c r="AB72" i="119"/>
  <c r="AB94" i="119"/>
  <c r="AB110" i="119"/>
  <c r="AB126" i="119"/>
  <c r="AB51" i="119"/>
  <c r="AB42" i="119"/>
  <c r="AB77" i="119"/>
  <c r="AB66" i="119"/>
  <c r="AB93" i="119"/>
  <c r="AB109" i="119"/>
  <c r="AB125" i="119"/>
  <c r="S82" i="119"/>
  <c r="S54" i="119"/>
  <c r="S38" i="119"/>
  <c r="S124" i="119"/>
  <c r="S67" i="119"/>
  <c r="S45" i="119"/>
  <c r="S89" i="119"/>
  <c r="S105" i="119"/>
  <c r="S121" i="119"/>
  <c r="S40" i="119"/>
  <c r="S110" i="119"/>
  <c r="S64" i="119"/>
  <c r="AB64" i="119"/>
  <c r="AB76" i="119"/>
  <c r="AB96" i="119"/>
  <c r="AB112" i="119"/>
  <c r="AB128" i="119"/>
  <c r="AB55" i="119"/>
  <c r="AB50" i="119"/>
  <c r="AB69" i="119"/>
  <c r="AB78" i="119"/>
  <c r="AB95" i="119"/>
  <c r="AB111" i="119"/>
  <c r="AB127" i="119"/>
  <c r="S90" i="119"/>
  <c r="S62" i="119"/>
  <c r="S70" i="119"/>
  <c r="S49" i="119"/>
  <c r="S84" i="119"/>
  <c r="S53" i="119"/>
  <c r="S91" i="119"/>
  <c r="S107" i="119"/>
  <c r="S123" i="119"/>
  <c r="S35" i="119"/>
  <c r="S116" i="119"/>
  <c r="S76" i="119"/>
  <c r="AB80" i="119"/>
  <c r="AB82" i="119"/>
  <c r="AB98" i="119"/>
  <c r="AB114" i="119"/>
  <c r="AB68" i="119"/>
  <c r="AB59" i="119"/>
  <c r="AB58" i="119"/>
  <c r="AB34" i="119"/>
  <c r="AB81" i="119"/>
  <c r="AB97" i="119"/>
  <c r="AB113" i="119"/>
  <c r="AB129" i="119"/>
  <c r="S100" i="119"/>
  <c r="S66" i="119"/>
  <c r="S75" i="119"/>
  <c r="S57" i="119"/>
  <c r="S92" i="119"/>
  <c r="S61" i="119"/>
  <c r="S93" i="119"/>
  <c r="S109" i="119"/>
  <c r="S125" i="119"/>
  <c r="S47" i="119"/>
  <c r="S128" i="119"/>
  <c r="S80" i="119"/>
  <c r="AB41" i="119"/>
  <c r="AB36" i="119"/>
  <c r="AB84" i="119"/>
  <c r="AB100" i="119"/>
  <c r="AB116" i="119"/>
  <c r="AB38" i="119"/>
  <c r="AB63" i="119"/>
  <c r="AB67" i="119"/>
  <c r="AB46" i="119"/>
  <c r="AB83" i="119"/>
  <c r="AB99" i="119"/>
  <c r="S36" i="119"/>
  <c r="S112" i="119"/>
  <c r="S71" i="119"/>
  <c r="S88" i="119"/>
  <c r="S65" i="119"/>
  <c r="S98" i="119"/>
  <c r="S73" i="119"/>
  <c r="S95" i="119"/>
  <c r="S111" i="119"/>
  <c r="S127" i="119"/>
  <c r="S58" i="119"/>
  <c r="H93" i="114"/>
  <c r="H92" i="114" s="1"/>
  <c r="G93" i="114"/>
  <c r="H72" i="114"/>
  <c r="H73" i="114" s="1"/>
  <c r="G72" i="114"/>
  <c r="H74" i="114"/>
  <c r="D74" i="114"/>
  <c r="H96" i="115"/>
  <c r="D96" i="115"/>
  <c r="N12" i="114"/>
  <c r="O18" i="114" s="1"/>
  <c r="H74" i="115"/>
  <c r="D74" i="115"/>
  <c r="F74" i="112"/>
  <c r="E74" i="112"/>
  <c r="C74" i="112"/>
  <c r="G74" i="112"/>
  <c r="C96" i="105"/>
  <c r="F96" i="105"/>
  <c r="G96" i="105"/>
  <c r="E96" i="105"/>
  <c r="E74" i="102"/>
  <c r="C74" i="102"/>
  <c r="F74" i="102"/>
  <c r="G74" i="102"/>
  <c r="E74" i="116"/>
  <c r="C74" i="116"/>
  <c r="G74" i="116"/>
  <c r="F74" i="116"/>
  <c r="G74" i="105"/>
  <c r="R34" i="105" s="1"/>
  <c r="E74" i="105"/>
  <c r="F74" i="105"/>
  <c r="C74" i="105"/>
  <c r="H96" i="105"/>
  <c r="H18" i="105" s="1"/>
  <c r="D96" i="105"/>
  <c r="H74" i="112"/>
  <c r="D74" i="112"/>
  <c r="C74" i="99"/>
  <c r="F74" i="99"/>
  <c r="G74" i="99"/>
  <c r="E74" i="99"/>
  <c r="D96" i="114"/>
  <c r="H96" i="114"/>
  <c r="D101" i="15"/>
  <c r="K19" i="121" s="1"/>
  <c r="N12" i="115"/>
  <c r="O18" i="115" s="1"/>
  <c r="H74" i="109"/>
  <c r="H19" i="109" s="1"/>
  <c r="D74" i="109"/>
  <c r="H74" i="116"/>
  <c r="D74" i="116"/>
  <c r="G74" i="114"/>
  <c r="E74" i="114"/>
  <c r="C74" i="114"/>
  <c r="F74" i="114"/>
  <c r="F96" i="112"/>
  <c r="E96" i="112"/>
  <c r="C96" i="112"/>
  <c r="G96" i="112"/>
  <c r="N12" i="116"/>
  <c r="O18" i="116" s="1"/>
  <c r="D74" i="105"/>
  <c r="H74" i="105"/>
  <c r="H19" i="105" s="1"/>
  <c r="G74" i="115"/>
  <c r="C74" i="115"/>
  <c r="F74" i="115"/>
  <c r="E74" i="115"/>
  <c r="F96" i="114"/>
  <c r="E96" i="114"/>
  <c r="G96" i="114"/>
  <c r="C96" i="114"/>
  <c r="F74" i="109"/>
  <c r="E74" i="109"/>
  <c r="G74" i="109"/>
  <c r="C74" i="109"/>
  <c r="G96" i="115"/>
  <c r="F96" i="115"/>
  <c r="E96" i="115"/>
  <c r="C96" i="115"/>
  <c r="H74" i="99"/>
  <c r="H19" i="99" s="1"/>
  <c r="D74" i="99"/>
  <c r="D74" i="102"/>
  <c r="H74" i="102"/>
  <c r="H96" i="112"/>
  <c r="D96" i="112"/>
  <c r="AD2" i="116"/>
  <c r="P12" i="116"/>
  <c r="AD2" i="112"/>
  <c r="P12" i="112"/>
  <c r="P12" i="115"/>
  <c r="AD2" i="115"/>
  <c r="P12" i="114"/>
  <c r="AD2" i="114"/>
  <c r="C104" i="119"/>
  <c r="C83" i="119"/>
  <c r="C84" i="119"/>
  <c r="E19" i="119" s="1"/>
  <c r="C29" i="111"/>
  <c r="F93" i="111"/>
  <c r="B93" i="111"/>
  <c r="C72" i="111"/>
  <c r="E72" i="111"/>
  <c r="E73" i="111" s="1"/>
  <c r="E82" i="111" s="1"/>
  <c r="F72" i="111"/>
  <c r="E93" i="111"/>
  <c r="E92" i="111" s="1"/>
  <c r="C53" i="111"/>
  <c r="B72" i="111"/>
  <c r="B52" i="111"/>
  <c r="D93" i="111"/>
  <c r="C93" i="111"/>
  <c r="D72" i="111"/>
  <c r="B28" i="111"/>
  <c r="D82" i="119"/>
  <c r="B83" i="119"/>
  <c r="B84" i="119"/>
  <c r="D19" i="119" s="1"/>
  <c r="D84" i="119"/>
  <c r="D83" i="119"/>
  <c r="G102" i="119"/>
  <c r="F103" i="119"/>
  <c r="F104" i="119"/>
  <c r="H74" i="95"/>
  <c r="H19" i="95" s="1"/>
  <c r="D74" i="95"/>
  <c r="E74" i="95"/>
  <c r="C74" i="95"/>
  <c r="G74" i="95"/>
  <c r="F98" i="15"/>
  <c r="O3" i="107" s="1"/>
  <c r="G98" i="15"/>
  <c r="O3" i="106" s="1"/>
  <c r="G99" i="15"/>
  <c r="P3" i="106" s="1"/>
  <c r="F99" i="15"/>
  <c r="P3" i="107" s="1"/>
  <c r="U14" i="15"/>
  <c r="K25" i="116" s="1"/>
  <c r="T14" i="15"/>
  <c r="K25" i="115" s="1"/>
  <c r="S14" i="15"/>
  <c r="K25" i="114" s="1"/>
  <c r="R14" i="15"/>
  <c r="K25" i="112" s="1"/>
  <c r="U13" i="15"/>
  <c r="K24" i="116" s="1"/>
  <c r="T13" i="15"/>
  <c r="K24" i="115" s="1"/>
  <c r="S13" i="15"/>
  <c r="K24" i="114" s="1"/>
  <c r="R13" i="15"/>
  <c r="K24" i="112" s="1"/>
  <c r="U12" i="15"/>
  <c r="T12" i="15"/>
  <c r="S12" i="15"/>
  <c r="U11" i="15"/>
  <c r="T11" i="15"/>
  <c r="I33" i="15" a="1"/>
  <c r="I33" i="15" l="1"/>
  <c r="H93" i="121"/>
  <c r="G93" i="121"/>
  <c r="H72" i="121"/>
  <c r="H73" i="121" s="1"/>
  <c r="H19" i="121" s="1"/>
  <c r="D82" i="121"/>
  <c r="D84" i="121"/>
  <c r="D83" i="121"/>
  <c r="AA96" i="105"/>
  <c r="AA107" i="105"/>
  <c r="AA94" i="105"/>
  <c r="AA43" i="105"/>
  <c r="AA91" i="105"/>
  <c r="AA121" i="105"/>
  <c r="AA117" i="105"/>
  <c r="AA62" i="105"/>
  <c r="AA50" i="105"/>
  <c r="AA111" i="105"/>
  <c r="AA45" i="105"/>
  <c r="AA69" i="105"/>
  <c r="AA98" i="105"/>
  <c r="AA42" i="105"/>
  <c r="AA90" i="105"/>
  <c r="AA86" i="105"/>
  <c r="AA65" i="105"/>
  <c r="AA61" i="105"/>
  <c r="AA105" i="105"/>
  <c r="AA113" i="105"/>
  <c r="AA79" i="105"/>
  <c r="AA112" i="105"/>
  <c r="AA103" i="105"/>
  <c r="AA37" i="105"/>
  <c r="AA106" i="105"/>
  <c r="AA54" i="105"/>
  <c r="AA89" i="105"/>
  <c r="AA129" i="105"/>
  <c r="AA125" i="105"/>
  <c r="AA120" i="105"/>
  <c r="AA108" i="105"/>
  <c r="AA57" i="105"/>
  <c r="AA81" i="105"/>
  <c r="AA47" i="105"/>
  <c r="AA80" i="105"/>
  <c r="AA71" i="105"/>
  <c r="AA104" i="105"/>
  <c r="AA58" i="105"/>
  <c r="AA93" i="105"/>
  <c r="AA34" i="105"/>
  <c r="AA85" i="105"/>
  <c r="AA73" i="105"/>
  <c r="AA52" i="105"/>
  <c r="AA48" i="105"/>
  <c r="AA100" i="105"/>
  <c r="AA115" i="105"/>
  <c r="AA49" i="105"/>
  <c r="AA110" i="105"/>
  <c r="AA36" i="105"/>
  <c r="AA39" i="105"/>
  <c r="AA72" i="105"/>
  <c r="AA64" i="105"/>
  <c r="AA97" i="105"/>
  <c r="AA41" i="105"/>
  <c r="AA88" i="105"/>
  <c r="AA128" i="105"/>
  <c r="AA68" i="105"/>
  <c r="AA127" i="105"/>
  <c r="AA44" i="105"/>
  <c r="AA83" i="105"/>
  <c r="AA116" i="105"/>
  <c r="AA78" i="105"/>
  <c r="AA102" i="105"/>
  <c r="AA60" i="105"/>
  <c r="AA56" i="105"/>
  <c r="AA53" i="105"/>
  <c r="AA92" i="105"/>
  <c r="AA76" i="105"/>
  <c r="AA87" i="105"/>
  <c r="AA75" i="105"/>
  <c r="AA123" i="105"/>
  <c r="AA51" i="105"/>
  <c r="AA84" i="105"/>
  <c r="AA46" i="105"/>
  <c r="AA70" i="105"/>
  <c r="AA119" i="105"/>
  <c r="AA99" i="105"/>
  <c r="AA59" i="105"/>
  <c r="AA35" i="105"/>
  <c r="AA126" i="105"/>
  <c r="AA122" i="105"/>
  <c r="AA67" i="105"/>
  <c r="AA114" i="105"/>
  <c r="AA40" i="105"/>
  <c r="AA109" i="105"/>
  <c r="AA38" i="105"/>
  <c r="AA63" i="105"/>
  <c r="AA55" i="105"/>
  <c r="AA95" i="105"/>
  <c r="AA124" i="105"/>
  <c r="AA74" i="105"/>
  <c r="AA66" i="105"/>
  <c r="AA118" i="105"/>
  <c r="AA82" i="105"/>
  <c r="AA77" i="105"/>
  <c r="AA101" i="105"/>
  <c r="C83" i="121"/>
  <c r="C84" i="121"/>
  <c r="E19" i="121" s="1"/>
  <c r="C82" i="121"/>
  <c r="E82" i="121"/>
  <c r="E83" i="121"/>
  <c r="E7" i="121"/>
  <c r="G73" i="114"/>
  <c r="G92" i="114"/>
  <c r="H19" i="102"/>
  <c r="R114" i="99"/>
  <c r="R129" i="99"/>
  <c r="R47" i="99"/>
  <c r="R67" i="99"/>
  <c r="R109" i="99"/>
  <c r="R111" i="99"/>
  <c r="R66" i="99"/>
  <c r="R51" i="99"/>
  <c r="R63" i="99"/>
  <c r="R57" i="99"/>
  <c r="R80" i="99"/>
  <c r="R64" i="99"/>
  <c r="R107" i="99"/>
  <c r="R91" i="99"/>
  <c r="R84" i="99"/>
  <c r="R108" i="99"/>
  <c r="R59" i="99"/>
  <c r="R50" i="99"/>
  <c r="R71" i="99"/>
  <c r="R49" i="99"/>
  <c r="R44" i="99"/>
  <c r="R41" i="99"/>
  <c r="R92" i="99"/>
  <c r="R69" i="99"/>
  <c r="R101" i="99"/>
  <c r="R68" i="99"/>
  <c r="R103" i="99"/>
  <c r="R43" i="99"/>
  <c r="R100" i="99"/>
  <c r="R73" i="99"/>
  <c r="R78" i="99"/>
  <c r="R34" i="99"/>
  <c r="R113" i="99"/>
  <c r="R46" i="99"/>
  <c r="R87" i="99"/>
  <c r="R110" i="99"/>
  <c r="R53" i="99"/>
  <c r="R52" i="99"/>
  <c r="R96" i="99"/>
  <c r="R126" i="99"/>
  <c r="R115" i="99"/>
  <c r="R39" i="99"/>
  <c r="R106" i="99"/>
  <c r="R97" i="99"/>
  <c r="R58" i="99"/>
  <c r="R60" i="99"/>
  <c r="R72" i="99"/>
  <c r="R119" i="99"/>
  <c r="R85" i="99"/>
  <c r="R95" i="99"/>
  <c r="R55" i="99"/>
  <c r="R125" i="99"/>
  <c r="R37" i="99"/>
  <c r="R75" i="99"/>
  <c r="R98" i="99"/>
  <c r="R36" i="99"/>
  <c r="R62" i="99"/>
  <c r="R70" i="99"/>
  <c r="R61" i="99"/>
  <c r="R35" i="99"/>
  <c r="R121" i="99"/>
  <c r="R117" i="99"/>
  <c r="R74" i="99"/>
  <c r="R118" i="99"/>
  <c r="R54" i="99"/>
  <c r="R90" i="99"/>
  <c r="R81" i="99"/>
  <c r="R88" i="99"/>
  <c r="R65" i="99"/>
  <c r="R45" i="99"/>
  <c r="R94" i="99"/>
  <c r="R102" i="99"/>
  <c r="R38" i="99"/>
  <c r="R105" i="99"/>
  <c r="R116" i="99"/>
  <c r="R82" i="99"/>
  <c r="R86" i="99"/>
  <c r="R124" i="99"/>
  <c r="R83" i="99"/>
  <c r="R123" i="99"/>
  <c r="R104" i="99"/>
  <c r="R89" i="99"/>
  <c r="R112" i="99"/>
  <c r="R76" i="99"/>
  <c r="R93" i="99"/>
  <c r="R48" i="99"/>
  <c r="R56" i="99"/>
  <c r="R77" i="99"/>
  <c r="R120" i="99"/>
  <c r="R42" i="99"/>
  <c r="R99" i="99"/>
  <c r="R122" i="99"/>
  <c r="R79" i="99"/>
  <c r="R127" i="99"/>
  <c r="R128" i="99"/>
  <c r="R40" i="99"/>
  <c r="R81" i="102"/>
  <c r="R34" i="102"/>
  <c r="R64" i="102"/>
  <c r="R80" i="102"/>
  <c r="R78" i="102"/>
  <c r="R66" i="102"/>
  <c r="R118" i="102"/>
  <c r="R43" i="102"/>
  <c r="R109" i="102"/>
  <c r="R122" i="102"/>
  <c r="R125" i="102"/>
  <c r="R46" i="102"/>
  <c r="R128" i="102"/>
  <c r="R107" i="102"/>
  <c r="R100" i="102"/>
  <c r="R58" i="102"/>
  <c r="R89" i="102"/>
  <c r="R99" i="102"/>
  <c r="R39" i="102"/>
  <c r="R71" i="102"/>
  <c r="R69" i="102"/>
  <c r="R56" i="102"/>
  <c r="R60" i="102"/>
  <c r="R79" i="102"/>
  <c r="R95" i="102"/>
  <c r="R47" i="102"/>
  <c r="R41" i="102"/>
  <c r="R62" i="102"/>
  <c r="R84" i="102"/>
  <c r="R63" i="102"/>
  <c r="R119" i="102"/>
  <c r="R48" i="102"/>
  <c r="R88" i="102"/>
  <c r="R35" i="102"/>
  <c r="R83" i="102"/>
  <c r="R94" i="102"/>
  <c r="R55" i="102"/>
  <c r="R103" i="102"/>
  <c r="R108" i="102"/>
  <c r="R116" i="102"/>
  <c r="R72" i="102"/>
  <c r="R121" i="102"/>
  <c r="R117" i="102"/>
  <c r="R123" i="102"/>
  <c r="R104" i="102"/>
  <c r="R45" i="102"/>
  <c r="R53" i="102"/>
  <c r="R110" i="102"/>
  <c r="R105" i="102"/>
  <c r="R111" i="102"/>
  <c r="R61" i="102"/>
  <c r="R36" i="102"/>
  <c r="R73" i="102"/>
  <c r="R98" i="102"/>
  <c r="R129" i="102"/>
  <c r="R85" i="102"/>
  <c r="R120" i="102"/>
  <c r="R50" i="102"/>
  <c r="R40" i="102"/>
  <c r="R126" i="102"/>
  <c r="R51" i="102"/>
  <c r="R93" i="102"/>
  <c r="R42" i="102"/>
  <c r="R65" i="102"/>
  <c r="R101" i="102"/>
  <c r="R67" i="102"/>
  <c r="R70" i="102"/>
  <c r="R52" i="102"/>
  <c r="R77" i="102"/>
  <c r="R76" i="102"/>
  <c r="R87" i="102"/>
  <c r="R74" i="102"/>
  <c r="R75" i="102"/>
  <c r="R54" i="102"/>
  <c r="R68" i="102"/>
  <c r="R82" i="102"/>
  <c r="R113" i="102"/>
  <c r="R44" i="102"/>
  <c r="R86" i="102"/>
  <c r="R127" i="102"/>
  <c r="R57" i="102"/>
  <c r="R90" i="102"/>
  <c r="R49" i="102"/>
  <c r="R91" i="102"/>
  <c r="R96" i="102"/>
  <c r="R114" i="102"/>
  <c r="R124" i="102"/>
  <c r="R92" i="102"/>
  <c r="R115" i="102"/>
  <c r="R102" i="102"/>
  <c r="R38" i="102"/>
  <c r="R37" i="102"/>
  <c r="R106" i="102"/>
  <c r="R97" i="102"/>
  <c r="R59" i="102"/>
  <c r="R112" i="102"/>
  <c r="R81" i="95"/>
  <c r="R91" i="95"/>
  <c r="R111" i="95"/>
  <c r="R63" i="95"/>
  <c r="R53" i="95"/>
  <c r="R115" i="95"/>
  <c r="R94" i="95"/>
  <c r="R85" i="95"/>
  <c r="R122" i="95"/>
  <c r="R128" i="95"/>
  <c r="R60" i="95"/>
  <c r="R68" i="95"/>
  <c r="R41" i="95"/>
  <c r="R61" i="95"/>
  <c r="R104" i="95"/>
  <c r="R70" i="95"/>
  <c r="R114" i="95"/>
  <c r="R36" i="95"/>
  <c r="R112" i="95"/>
  <c r="R65" i="95"/>
  <c r="R95" i="95"/>
  <c r="R79" i="95"/>
  <c r="R40" i="95"/>
  <c r="R103" i="95"/>
  <c r="R92" i="95"/>
  <c r="R49" i="95"/>
  <c r="R71" i="95"/>
  <c r="R75" i="95"/>
  <c r="R48" i="95"/>
  <c r="R44" i="95"/>
  <c r="R93" i="95"/>
  <c r="R98" i="95"/>
  <c r="R74" i="95"/>
  <c r="R97" i="95"/>
  <c r="R123" i="95"/>
  <c r="R46" i="95"/>
  <c r="R113" i="95"/>
  <c r="R62" i="95"/>
  <c r="R83" i="95"/>
  <c r="R121" i="95"/>
  <c r="R108" i="95"/>
  <c r="R64" i="95"/>
  <c r="R37" i="95"/>
  <c r="R88" i="95"/>
  <c r="R118" i="95"/>
  <c r="R54" i="95"/>
  <c r="R56" i="95"/>
  <c r="R35" i="95"/>
  <c r="R69" i="95"/>
  <c r="R89" i="95"/>
  <c r="R42" i="95"/>
  <c r="R77" i="95"/>
  <c r="R101" i="95"/>
  <c r="R52" i="95"/>
  <c r="R124" i="95"/>
  <c r="R78" i="95"/>
  <c r="R84" i="95"/>
  <c r="R86" i="95"/>
  <c r="R57" i="95"/>
  <c r="R116" i="95"/>
  <c r="R125" i="95"/>
  <c r="R127" i="95"/>
  <c r="R47" i="95"/>
  <c r="R105" i="95"/>
  <c r="R107" i="95"/>
  <c r="R55" i="95"/>
  <c r="R80" i="95"/>
  <c r="R119" i="95"/>
  <c r="R126" i="95"/>
  <c r="R67" i="95"/>
  <c r="R82" i="95"/>
  <c r="R100" i="95"/>
  <c r="R102" i="95"/>
  <c r="R120" i="95"/>
  <c r="R109" i="95"/>
  <c r="R66" i="95"/>
  <c r="R106" i="95"/>
  <c r="R39" i="95"/>
  <c r="R129" i="95"/>
  <c r="R73" i="95"/>
  <c r="R99" i="95"/>
  <c r="R45" i="95"/>
  <c r="R51" i="95"/>
  <c r="R50" i="95"/>
  <c r="R38" i="95"/>
  <c r="R43" i="95"/>
  <c r="R59" i="95"/>
  <c r="R76" i="95"/>
  <c r="R117" i="95"/>
  <c r="R110" i="95"/>
  <c r="R90" i="95"/>
  <c r="R96" i="95"/>
  <c r="R58" i="95"/>
  <c r="R72" i="95"/>
  <c r="R87" i="95"/>
  <c r="R34" i="95"/>
  <c r="R35" i="105"/>
  <c r="R67" i="105"/>
  <c r="R99" i="105"/>
  <c r="R36" i="105"/>
  <c r="R68" i="105"/>
  <c r="R100" i="105"/>
  <c r="R37" i="105"/>
  <c r="R69" i="105"/>
  <c r="R101" i="105"/>
  <c r="R38" i="105"/>
  <c r="R70" i="105"/>
  <c r="R102" i="105"/>
  <c r="R39" i="105"/>
  <c r="R71" i="105"/>
  <c r="R103" i="105"/>
  <c r="R40" i="105"/>
  <c r="R72" i="105"/>
  <c r="R104" i="105"/>
  <c r="R41" i="105"/>
  <c r="R73" i="105"/>
  <c r="R105" i="105"/>
  <c r="R42" i="105"/>
  <c r="R74" i="105"/>
  <c r="R106" i="105"/>
  <c r="R43" i="105"/>
  <c r="R75" i="105"/>
  <c r="R107" i="105"/>
  <c r="R44" i="105"/>
  <c r="R76" i="105"/>
  <c r="R108" i="105"/>
  <c r="R45" i="105"/>
  <c r="R77" i="105"/>
  <c r="R109" i="105"/>
  <c r="R46" i="105"/>
  <c r="R78" i="105"/>
  <c r="R110" i="105"/>
  <c r="R47" i="105"/>
  <c r="R79" i="105"/>
  <c r="R111" i="105"/>
  <c r="R48" i="105"/>
  <c r="R80" i="105"/>
  <c r="R112" i="105"/>
  <c r="R49" i="105"/>
  <c r="R81" i="105"/>
  <c r="R113" i="105"/>
  <c r="R50" i="105"/>
  <c r="R82" i="105"/>
  <c r="R114" i="105"/>
  <c r="R51" i="105"/>
  <c r="R83" i="105"/>
  <c r="R115" i="105"/>
  <c r="R52" i="105"/>
  <c r="R84" i="105"/>
  <c r="R116" i="105"/>
  <c r="R53" i="105"/>
  <c r="R85" i="105"/>
  <c r="R117" i="105"/>
  <c r="R54" i="105"/>
  <c r="R86" i="105"/>
  <c r="R118" i="105"/>
  <c r="R55" i="105"/>
  <c r="R87" i="105"/>
  <c r="R119" i="105"/>
  <c r="R56" i="105"/>
  <c r="R88" i="105"/>
  <c r="R120" i="105"/>
  <c r="R57" i="105"/>
  <c r="R89" i="105"/>
  <c r="R121" i="105"/>
  <c r="R58" i="105"/>
  <c r="R90" i="105"/>
  <c r="R122" i="105"/>
  <c r="R59" i="105"/>
  <c r="R91" i="105"/>
  <c r="R123" i="105"/>
  <c r="R60" i="105"/>
  <c r="R92" i="105"/>
  <c r="R124" i="105"/>
  <c r="R61" i="105"/>
  <c r="R93" i="105"/>
  <c r="R125" i="105"/>
  <c r="R62" i="105"/>
  <c r="R94" i="105"/>
  <c r="R126" i="105"/>
  <c r="R63" i="105"/>
  <c r="R95" i="105"/>
  <c r="R127" i="105"/>
  <c r="R64" i="105"/>
  <c r="R96" i="105"/>
  <c r="R128" i="105"/>
  <c r="R65" i="105"/>
  <c r="R97" i="105"/>
  <c r="R129" i="105"/>
  <c r="R66" i="105"/>
  <c r="R98" i="105"/>
  <c r="R35" i="109"/>
  <c r="R67" i="109"/>
  <c r="R99" i="109"/>
  <c r="R36" i="109"/>
  <c r="R68" i="109"/>
  <c r="R100" i="109"/>
  <c r="R37" i="109"/>
  <c r="R69" i="109"/>
  <c r="R101" i="109"/>
  <c r="R38" i="109"/>
  <c r="R70" i="109"/>
  <c r="R102" i="109"/>
  <c r="R39" i="109"/>
  <c r="R71" i="109"/>
  <c r="R103" i="109"/>
  <c r="R40" i="109"/>
  <c r="R72" i="109"/>
  <c r="R104" i="109"/>
  <c r="R41" i="109"/>
  <c r="R73" i="109"/>
  <c r="R105" i="109"/>
  <c r="R42" i="109"/>
  <c r="R74" i="109"/>
  <c r="R106" i="109"/>
  <c r="R43" i="109"/>
  <c r="R75" i="109"/>
  <c r="R107" i="109"/>
  <c r="R44" i="109"/>
  <c r="R76" i="109"/>
  <c r="R108" i="109"/>
  <c r="R45" i="109"/>
  <c r="R77" i="109"/>
  <c r="R109" i="109"/>
  <c r="R46" i="109"/>
  <c r="R78" i="109"/>
  <c r="R110" i="109"/>
  <c r="R47" i="109"/>
  <c r="R79" i="109"/>
  <c r="R111" i="109"/>
  <c r="R48" i="109"/>
  <c r="R80" i="109"/>
  <c r="R112" i="109"/>
  <c r="R49" i="109"/>
  <c r="R81" i="109"/>
  <c r="R113" i="109"/>
  <c r="R50" i="109"/>
  <c r="R82" i="109"/>
  <c r="R114" i="109"/>
  <c r="R51" i="109"/>
  <c r="R83" i="109"/>
  <c r="R115" i="109"/>
  <c r="R52" i="109"/>
  <c r="R84" i="109"/>
  <c r="R116" i="109"/>
  <c r="R53" i="109"/>
  <c r="R85" i="109"/>
  <c r="R117" i="109"/>
  <c r="R54" i="109"/>
  <c r="R86" i="109"/>
  <c r="R118" i="109"/>
  <c r="R55" i="109"/>
  <c r="R87" i="109"/>
  <c r="R119" i="109"/>
  <c r="R56" i="109"/>
  <c r="R88" i="109"/>
  <c r="R120" i="109"/>
  <c r="R57" i="109"/>
  <c r="R89" i="109"/>
  <c r="R121" i="109"/>
  <c r="R58" i="109"/>
  <c r="R90" i="109"/>
  <c r="R122" i="109"/>
  <c r="R126" i="109"/>
  <c r="R59" i="109"/>
  <c r="R91" i="109"/>
  <c r="R123" i="109"/>
  <c r="R60" i="109"/>
  <c r="R92" i="109"/>
  <c r="R124" i="109"/>
  <c r="R61" i="109"/>
  <c r="R93" i="109"/>
  <c r="R125" i="109"/>
  <c r="R62" i="109"/>
  <c r="R94" i="109"/>
  <c r="R63" i="109"/>
  <c r="R95" i="109"/>
  <c r="R127" i="109"/>
  <c r="R64" i="109"/>
  <c r="R96" i="109"/>
  <c r="R128" i="109"/>
  <c r="R65" i="109"/>
  <c r="R97" i="109"/>
  <c r="R129" i="109"/>
  <c r="R66" i="109"/>
  <c r="R98" i="109"/>
  <c r="R34" i="109"/>
  <c r="G92" i="121"/>
  <c r="AA35" i="121" s="1"/>
  <c r="G73" i="121"/>
  <c r="R35" i="121" s="1"/>
  <c r="H92" i="121"/>
  <c r="H102" i="121" s="1"/>
  <c r="R104" i="15"/>
  <c r="K21" i="112" s="1"/>
  <c r="R103" i="15"/>
  <c r="K22" i="112" s="1"/>
  <c r="U104" i="15"/>
  <c r="K21" i="116" s="1"/>
  <c r="U103" i="15"/>
  <c r="K22" i="116" s="1"/>
  <c r="R102" i="15"/>
  <c r="R101" i="15"/>
  <c r="K19" i="112" s="1"/>
  <c r="H96" i="106"/>
  <c r="D96" i="106"/>
  <c r="T103" i="15"/>
  <c r="K22" i="115" s="1"/>
  <c r="T104" i="15"/>
  <c r="K21" i="115" s="1"/>
  <c r="F96" i="107"/>
  <c r="I18" i="107" s="1"/>
  <c r="G96" i="107"/>
  <c r="C96" i="107"/>
  <c r="E96" i="107"/>
  <c r="S101" i="15"/>
  <c r="K19" i="114" s="1"/>
  <c r="S102" i="15"/>
  <c r="D96" i="107"/>
  <c r="H96" i="107"/>
  <c r="H18" i="107" s="1"/>
  <c r="F96" i="106"/>
  <c r="I18" i="106" s="1"/>
  <c r="E96" i="106"/>
  <c r="C96" i="106"/>
  <c r="G96" i="106"/>
  <c r="T101" i="15"/>
  <c r="K19" i="115" s="1"/>
  <c r="T102" i="15"/>
  <c r="U101" i="15"/>
  <c r="K19" i="116" s="1"/>
  <c r="U102" i="15"/>
  <c r="D92" i="111"/>
  <c r="AB63" i="111" s="1"/>
  <c r="G102" i="111"/>
  <c r="F73" i="111"/>
  <c r="F84" i="111" s="1"/>
  <c r="E83" i="111"/>
  <c r="E7" i="111"/>
  <c r="H84" i="111"/>
  <c r="H102" i="111"/>
  <c r="B7" i="111"/>
  <c r="B8" i="111"/>
  <c r="B43" i="111"/>
  <c r="B44" i="111"/>
  <c r="B42" i="111"/>
  <c r="C18" i="111" s="1"/>
  <c r="B73" i="111"/>
  <c r="B82" i="111" s="1"/>
  <c r="B92" i="111"/>
  <c r="C92" i="111"/>
  <c r="C102" i="111" s="1"/>
  <c r="E18" i="111" s="1"/>
  <c r="C64" i="111"/>
  <c r="B19" i="111" s="1"/>
  <c r="C63" i="111"/>
  <c r="C62" i="111"/>
  <c r="F92" i="111"/>
  <c r="F102" i="111" s="1"/>
  <c r="B62" i="111"/>
  <c r="B18" i="111" s="1"/>
  <c r="B63" i="111"/>
  <c r="B64" i="111"/>
  <c r="C73" i="111"/>
  <c r="C82" i="111" s="1"/>
  <c r="D73" i="111"/>
  <c r="D83" i="111" s="1"/>
  <c r="G84" i="111"/>
  <c r="E104" i="111"/>
  <c r="E103" i="111"/>
  <c r="D7" i="111"/>
  <c r="C7" i="111"/>
  <c r="C8" i="111"/>
  <c r="C44" i="111"/>
  <c r="C19" i="111" s="1"/>
  <c r="C42" i="111"/>
  <c r="C43" i="111"/>
  <c r="B52" i="105"/>
  <c r="F93" i="105"/>
  <c r="B28" i="105"/>
  <c r="D93" i="105"/>
  <c r="C72" i="105"/>
  <c r="E93" i="105"/>
  <c r="E92" i="105" s="1"/>
  <c r="C53" i="105"/>
  <c r="B72" i="105"/>
  <c r="B73" i="105" s="1"/>
  <c r="B82" i="105" s="1"/>
  <c r="C93" i="105"/>
  <c r="C29" i="105"/>
  <c r="B93" i="105"/>
  <c r="F72" i="105"/>
  <c r="D72" i="105"/>
  <c r="E72" i="105"/>
  <c r="B28" i="95"/>
  <c r="B72" i="95"/>
  <c r="B73" i="95" s="1"/>
  <c r="B82" i="95" s="1"/>
  <c r="E93" i="95"/>
  <c r="E92" i="95" s="1"/>
  <c r="D93" i="95"/>
  <c r="F72" i="95"/>
  <c r="E72" i="95"/>
  <c r="C72" i="95"/>
  <c r="D72" i="95"/>
  <c r="C53" i="95"/>
  <c r="B93" i="95"/>
  <c r="F93" i="95"/>
  <c r="C93" i="95"/>
  <c r="B52" i="95"/>
  <c r="C29" i="95"/>
  <c r="C77" i="15" a="1"/>
  <c r="AA112" i="114" l="1"/>
  <c r="K18" i="115"/>
  <c r="K18" i="114"/>
  <c r="K18" i="112"/>
  <c r="K18" i="116"/>
  <c r="H21" i="121"/>
  <c r="AA42" i="114"/>
  <c r="AA93" i="114"/>
  <c r="AA47" i="114"/>
  <c r="AA75" i="114"/>
  <c r="AA101" i="114"/>
  <c r="AA65" i="114"/>
  <c r="AB52" i="107"/>
  <c r="AB115" i="107"/>
  <c r="AB101" i="107"/>
  <c r="AB98" i="107"/>
  <c r="AB107" i="107"/>
  <c r="AB93" i="107"/>
  <c r="AB90" i="107"/>
  <c r="AB99" i="107"/>
  <c r="AB85" i="107"/>
  <c r="AB82" i="107"/>
  <c r="AB91" i="107"/>
  <c r="AB77" i="107"/>
  <c r="AB48" i="107"/>
  <c r="AB119" i="107"/>
  <c r="AB83" i="107"/>
  <c r="AB69" i="107"/>
  <c r="AB66" i="107"/>
  <c r="AB75" i="107"/>
  <c r="AB61" i="107"/>
  <c r="AB58" i="107"/>
  <c r="AB67" i="107"/>
  <c r="AB53" i="107"/>
  <c r="AB50" i="107"/>
  <c r="AB59" i="107"/>
  <c r="AB45" i="107"/>
  <c r="AB105" i="107"/>
  <c r="AB51" i="107"/>
  <c r="AB37" i="107"/>
  <c r="AB34" i="107"/>
  <c r="AB43" i="107"/>
  <c r="AB116" i="107"/>
  <c r="AB108" i="107"/>
  <c r="AB35" i="107"/>
  <c r="AB80" i="107"/>
  <c r="AB88" i="107"/>
  <c r="AB92" i="107"/>
  <c r="AB76" i="107"/>
  <c r="AB87" i="107"/>
  <c r="AB60" i="107"/>
  <c r="AB84" i="107"/>
  <c r="AB129" i="107"/>
  <c r="AB126" i="107"/>
  <c r="AB56" i="107"/>
  <c r="AB121" i="107"/>
  <c r="AB118" i="107"/>
  <c r="AB127" i="107"/>
  <c r="AB113" i="107"/>
  <c r="AB110" i="107"/>
  <c r="AB106" i="107"/>
  <c r="AB73" i="107"/>
  <c r="AB102" i="107"/>
  <c r="AB111" i="107"/>
  <c r="AB97" i="107"/>
  <c r="AB94" i="107"/>
  <c r="AB103" i="107"/>
  <c r="AB89" i="107"/>
  <c r="AB86" i="107"/>
  <c r="AB95" i="107"/>
  <c r="AB81" i="107"/>
  <c r="AB78" i="107"/>
  <c r="AB120" i="107"/>
  <c r="AB104" i="107"/>
  <c r="AB40" i="107"/>
  <c r="AB72" i="107"/>
  <c r="AB125" i="107"/>
  <c r="AB36" i="107"/>
  <c r="AB114" i="107"/>
  <c r="AB74" i="107"/>
  <c r="AB55" i="107"/>
  <c r="AB70" i="107"/>
  <c r="AB79" i="107"/>
  <c r="AB65" i="107"/>
  <c r="AB62" i="107"/>
  <c r="AB71" i="107"/>
  <c r="AB57" i="107"/>
  <c r="AB54" i="107"/>
  <c r="AB63" i="107"/>
  <c r="AB49" i="107"/>
  <c r="AB46" i="107"/>
  <c r="AB109" i="107"/>
  <c r="AB42" i="107"/>
  <c r="AB41" i="107"/>
  <c r="AB38" i="107"/>
  <c r="AB47" i="107"/>
  <c r="AB128" i="107"/>
  <c r="AB124" i="107"/>
  <c r="AB39" i="107"/>
  <c r="AB100" i="107"/>
  <c r="AB96" i="107"/>
  <c r="AB112" i="107"/>
  <c r="AB64" i="107"/>
  <c r="AB68" i="107"/>
  <c r="AB117" i="107"/>
  <c r="AB44" i="107"/>
  <c r="AB122" i="107"/>
  <c r="AB123" i="107"/>
  <c r="AA78" i="114"/>
  <c r="AA37" i="114"/>
  <c r="AA94" i="114"/>
  <c r="AB63" i="106"/>
  <c r="AB96" i="106"/>
  <c r="AB89" i="106"/>
  <c r="AB118" i="106"/>
  <c r="AB56" i="106"/>
  <c r="AB81" i="106"/>
  <c r="AB110" i="106"/>
  <c r="AB48" i="106"/>
  <c r="AB73" i="106"/>
  <c r="AB102" i="106"/>
  <c r="AB40" i="106"/>
  <c r="AB65" i="106"/>
  <c r="AB36" i="106"/>
  <c r="AB126" i="106"/>
  <c r="AB64" i="106"/>
  <c r="AB57" i="106"/>
  <c r="AB86" i="106"/>
  <c r="AB115" i="106"/>
  <c r="AB49" i="106"/>
  <c r="AB78" i="106"/>
  <c r="AB107" i="106"/>
  <c r="AB41" i="106"/>
  <c r="AB70" i="106"/>
  <c r="AB99" i="106"/>
  <c r="AB34" i="106"/>
  <c r="AB113" i="106"/>
  <c r="AB39" i="106"/>
  <c r="AB94" i="106"/>
  <c r="AB91" i="106"/>
  <c r="AB124" i="106"/>
  <c r="AB54" i="106"/>
  <c r="AB83" i="106"/>
  <c r="AB116" i="106"/>
  <c r="AB46" i="106"/>
  <c r="AB75" i="106"/>
  <c r="AB108" i="106"/>
  <c r="AB38" i="106"/>
  <c r="AB67" i="106"/>
  <c r="AB100" i="106"/>
  <c r="AB62" i="106"/>
  <c r="AB59" i="106"/>
  <c r="AB92" i="106"/>
  <c r="AB117" i="106"/>
  <c r="AB51" i="106"/>
  <c r="AB84" i="106"/>
  <c r="AB109" i="106"/>
  <c r="AB43" i="106"/>
  <c r="AB76" i="106"/>
  <c r="AB101" i="106"/>
  <c r="AB35" i="106"/>
  <c r="AB68" i="106"/>
  <c r="AB88" i="106"/>
  <c r="AB125" i="106"/>
  <c r="AB122" i="106"/>
  <c r="AB60" i="106"/>
  <c r="AB85" i="106"/>
  <c r="AB114" i="106"/>
  <c r="AB52" i="106"/>
  <c r="AB77" i="106"/>
  <c r="AB106" i="106"/>
  <c r="AB44" i="106"/>
  <c r="AB69" i="106"/>
  <c r="AB98" i="106"/>
  <c r="AB97" i="106"/>
  <c r="AB123" i="106"/>
  <c r="AB93" i="106"/>
  <c r="AB90" i="106"/>
  <c r="AB119" i="106"/>
  <c r="AB53" i="106"/>
  <c r="AB82" i="106"/>
  <c r="AB111" i="106"/>
  <c r="AB45" i="106"/>
  <c r="AB74" i="106"/>
  <c r="AB103" i="106"/>
  <c r="AB37" i="106"/>
  <c r="AB66" i="106"/>
  <c r="AB127" i="106"/>
  <c r="AB61" i="106"/>
  <c r="AB58" i="106"/>
  <c r="AB87" i="106"/>
  <c r="AB120" i="106"/>
  <c r="AB50" i="106"/>
  <c r="AB79" i="106"/>
  <c r="AB112" i="106"/>
  <c r="AB42" i="106"/>
  <c r="AB71" i="106"/>
  <c r="AB104" i="106"/>
  <c r="AB129" i="106"/>
  <c r="AB95" i="106"/>
  <c r="AB128" i="106"/>
  <c r="AB121" i="106"/>
  <c r="AB55" i="106"/>
  <c r="AB47" i="106"/>
  <c r="AB80" i="106"/>
  <c r="AB105" i="106"/>
  <c r="AB72" i="106"/>
  <c r="AA43" i="114"/>
  <c r="AA66" i="114"/>
  <c r="AA98" i="114"/>
  <c r="H102" i="106"/>
  <c r="H18" i="106"/>
  <c r="AA38" i="114"/>
  <c r="AA91" i="114"/>
  <c r="AA114" i="114"/>
  <c r="G102" i="106"/>
  <c r="AA105" i="106"/>
  <c r="AA74" i="106"/>
  <c r="AA92" i="106"/>
  <c r="AA124" i="106"/>
  <c r="AA119" i="106"/>
  <c r="AA43" i="106"/>
  <c r="AA78" i="106"/>
  <c r="AA56" i="106"/>
  <c r="AA128" i="106"/>
  <c r="AA108" i="106"/>
  <c r="AA39" i="106"/>
  <c r="AA51" i="106"/>
  <c r="AA82" i="106"/>
  <c r="AA60" i="106"/>
  <c r="AA37" i="106"/>
  <c r="AA35" i="106"/>
  <c r="AA106" i="106"/>
  <c r="AA64" i="106"/>
  <c r="AA41" i="106"/>
  <c r="AA59" i="106"/>
  <c r="AA110" i="106"/>
  <c r="AA88" i="106"/>
  <c r="AA69" i="106"/>
  <c r="AA42" i="106"/>
  <c r="AA114" i="106"/>
  <c r="AA96" i="106"/>
  <c r="AA101" i="106"/>
  <c r="AA73" i="106"/>
  <c r="AA46" i="106"/>
  <c r="AA99" i="106"/>
  <c r="AA100" i="106"/>
  <c r="AA50" i="106"/>
  <c r="AA87" i="106"/>
  <c r="AA68" i="106"/>
  <c r="AA77" i="106"/>
  <c r="AA120" i="106"/>
  <c r="AA125" i="106"/>
  <c r="AA98" i="106"/>
  <c r="AA112" i="106"/>
  <c r="AA117" i="106"/>
  <c r="AA75" i="106"/>
  <c r="AA36" i="106"/>
  <c r="AA45" i="106"/>
  <c r="AA84" i="106"/>
  <c r="AA93" i="106"/>
  <c r="AA66" i="106"/>
  <c r="AA76" i="106"/>
  <c r="AA85" i="106"/>
  <c r="AA79" i="106"/>
  <c r="AA113" i="106"/>
  <c r="AA118" i="106"/>
  <c r="AA55" i="106"/>
  <c r="AA52" i="106"/>
  <c r="AA61" i="106"/>
  <c r="AA127" i="106"/>
  <c r="AA44" i="106"/>
  <c r="AA53" i="106"/>
  <c r="AA72" i="106"/>
  <c r="AA81" i="106"/>
  <c r="AA86" i="106"/>
  <c r="AA34" i="106"/>
  <c r="AA83" i="106"/>
  <c r="AA111" i="106"/>
  <c r="AA103" i="106"/>
  <c r="AA126" i="106"/>
  <c r="AA40" i="106"/>
  <c r="AA49" i="106"/>
  <c r="AA54" i="106"/>
  <c r="AA129" i="106"/>
  <c r="AA102" i="106"/>
  <c r="AA116" i="106"/>
  <c r="AA121" i="106"/>
  <c r="AA94" i="106"/>
  <c r="AA122" i="106"/>
  <c r="AA67" i="106"/>
  <c r="AA71" i="106"/>
  <c r="AA97" i="106"/>
  <c r="AA70" i="106"/>
  <c r="AA80" i="106"/>
  <c r="AA89" i="106"/>
  <c r="AA62" i="106"/>
  <c r="AA90" i="106"/>
  <c r="AA63" i="106"/>
  <c r="AA65" i="106"/>
  <c r="AA38" i="106"/>
  <c r="AA48" i="106"/>
  <c r="AA57" i="106"/>
  <c r="AA107" i="106"/>
  <c r="AA58" i="106"/>
  <c r="AA104" i="106"/>
  <c r="AA109" i="106"/>
  <c r="AA123" i="106"/>
  <c r="AA115" i="106"/>
  <c r="AA47" i="106"/>
  <c r="AA95" i="106"/>
  <c r="AA91" i="106"/>
  <c r="AA56" i="114"/>
  <c r="AA99" i="114"/>
  <c r="AA74" i="114"/>
  <c r="AA40" i="114"/>
  <c r="AA41" i="107"/>
  <c r="AA119" i="107"/>
  <c r="AA81" i="107"/>
  <c r="AA92" i="107"/>
  <c r="AA47" i="107"/>
  <c r="AA113" i="107"/>
  <c r="AA99" i="107"/>
  <c r="AA44" i="107"/>
  <c r="AA49" i="107"/>
  <c r="AA87" i="107"/>
  <c r="AA116" i="107"/>
  <c r="AA129" i="107"/>
  <c r="AA118" i="107"/>
  <c r="AA107" i="107"/>
  <c r="AA69" i="107"/>
  <c r="AA46" i="107"/>
  <c r="AA67" i="107"/>
  <c r="AA127" i="107"/>
  <c r="AA98" i="107"/>
  <c r="AA125" i="107"/>
  <c r="AA45" i="107"/>
  <c r="AA83" i="107"/>
  <c r="AA68" i="107"/>
  <c r="AA106" i="107"/>
  <c r="AA37" i="107"/>
  <c r="AA55" i="107"/>
  <c r="AA115" i="107"/>
  <c r="AA77" i="107"/>
  <c r="AA86" i="107"/>
  <c r="AA75" i="107"/>
  <c r="AA96" i="107"/>
  <c r="AA40" i="107"/>
  <c r="AA35" i="107"/>
  <c r="AA102" i="107"/>
  <c r="AA66" i="107"/>
  <c r="AA89" i="107"/>
  <c r="AA126" i="107"/>
  <c r="AA38" i="107"/>
  <c r="AA54" i="107"/>
  <c r="AA43" i="107"/>
  <c r="AA109" i="107"/>
  <c r="AA128" i="107"/>
  <c r="AA100" i="107"/>
  <c r="AA63" i="107"/>
  <c r="AA94" i="107"/>
  <c r="AA51" i="107"/>
  <c r="AA101" i="107"/>
  <c r="AA76" i="107"/>
  <c r="AA114" i="107"/>
  <c r="AA103" i="107"/>
  <c r="AA65" i="107"/>
  <c r="AA74" i="107"/>
  <c r="AA56" i="107"/>
  <c r="AA80" i="107"/>
  <c r="AA124" i="107"/>
  <c r="AA70" i="107"/>
  <c r="AA62" i="107"/>
  <c r="AA122" i="107"/>
  <c r="AA104" i="107"/>
  <c r="AA82" i="107"/>
  <c r="AA71" i="107"/>
  <c r="AA42" i="107"/>
  <c r="AA93" i="107"/>
  <c r="AA121" i="107"/>
  <c r="AA95" i="107"/>
  <c r="AA123" i="107"/>
  <c r="AA117" i="107"/>
  <c r="AA72" i="107"/>
  <c r="AA120" i="107"/>
  <c r="AA108" i="107"/>
  <c r="AA90" i="107"/>
  <c r="AA111" i="107"/>
  <c r="AA73" i="107"/>
  <c r="AA50" i="107"/>
  <c r="AA39" i="107"/>
  <c r="AA88" i="107"/>
  <c r="AA34" i="107"/>
  <c r="AA91" i="107"/>
  <c r="AA52" i="107"/>
  <c r="AA85" i="107"/>
  <c r="AA48" i="107"/>
  <c r="AA64" i="107"/>
  <c r="AA58" i="107"/>
  <c r="AA79" i="107"/>
  <c r="AA112" i="107"/>
  <c r="AA60" i="107"/>
  <c r="AA110" i="107"/>
  <c r="AA36" i="107"/>
  <c r="AA105" i="107"/>
  <c r="AA59" i="107"/>
  <c r="AA97" i="107"/>
  <c r="AA53" i="107"/>
  <c r="AA84" i="107"/>
  <c r="AA78" i="107"/>
  <c r="AA57" i="107"/>
  <c r="AA61" i="107"/>
  <c r="AA36" i="114"/>
  <c r="AA89" i="114"/>
  <c r="AA55" i="114"/>
  <c r="AA35" i="114"/>
  <c r="AA39" i="114"/>
  <c r="AA60" i="114"/>
  <c r="AA97" i="114"/>
  <c r="AA41" i="114"/>
  <c r="AA95" i="114"/>
  <c r="AA44" i="114"/>
  <c r="AA51" i="114"/>
  <c r="AA96" i="114"/>
  <c r="AA116" i="114"/>
  <c r="AA118" i="114"/>
  <c r="AA46" i="114"/>
  <c r="AA50" i="114"/>
  <c r="AA63" i="114"/>
  <c r="AA105" i="114"/>
  <c r="AA80" i="114"/>
  <c r="AA103" i="114"/>
  <c r="AA59" i="114"/>
  <c r="AA79" i="114"/>
  <c r="AA100" i="114"/>
  <c r="AA120" i="114"/>
  <c r="AA53" i="114"/>
  <c r="AA64" i="114"/>
  <c r="AA77" i="114"/>
  <c r="AA117" i="114"/>
  <c r="AA45" i="114"/>
  <c r="AA107" i="114"/>
  <c r="AA73" i="114"/>
  <c r="AA82" i="114"/>
  <c r="AA102" i="114"/>
  <c r="AA126" i="114"/>
  <c r="AA57" i="114"/>
  <c r="AA81" i="114"/>
  <c r="AA121" i="114"/>
  <c r="AA49" i="114"/>
  <c r="AA111" i="114"/>
  <c r="AA58" i="114"/>
  <c r="AA84" i="114"/>
  <c r="AA104" i="114"/>
  <c r="AA128" i="114"/>
  <c r="AA68" i="114"/>
  <c r="AA71" i="114"/>
  <c r="AA34" i="114"/>
  <c r="AA85" i="114"/>
  <c r="AA125" i="114"/>
  <c r="AA67" i="114"/>
  <c r="AA123" i="114"/>
  <c r="AA72" i="114"/>
  <c r="AA86" i="114"/>
  <c r="AA110" i="114"/>
  <c r="AA124" i="114"/>
  <c r="AA127" i="114"/>
  <c r="AA70" i="114"/>
  <c r="AA129" i="114"/>
  <c r="AA76" i="114"/>
  <c r="AA88" i="114"/>
  <c r="H84" i="121"/>
  <c r="D102" i="111"/>
  <c r="H72" i="116"/>
  <c r="H73" i="116" s="1"/>
  <c r="G72" i="116"/>
  <c r="G73" i="116" s="1"/>
  <c r="H93" i="116"/>
  <c r="H92" i="116" s="1"/>
  <c r="G93" i="116"/>
  <c r="H93" i="115"/>
  <c r="H92" i="115" s="1"/>
  <c r="G93" i="115"/>
  <c r="H72" i="115"/>
  <c r="H73" i="115" s="1"/>
  <c r="G72" i="115"/>
  <c r="AA109" i="114"/>
  <c r="AA48" i="114"/>
  <c r="AA83" i="114"/>
  <c r="AA115" i="114"/>
  <c r="AA62" i="114"/>
  <c r="AA54" i="114"/>
  <c r="AA90" i="114"/>
  <c r="AA106" i="114"/>
  <c r="AA122" i="114"/>
  <c r="AA113" i="114"/>
  <c r="AA52" i="114"/>
  <c r="AA87" i="114"/>
  <c r="AA119" i="114"/>
  <c r="AA69" i="114"/>
  <c r="AA61" i="114"/>
  <c r="AA92" i="114"/>
  <c r="AA108" i="114"/>
  <c r="G93" i="112"/>
  <c r="G92" i="112" s="1"/>
  <c r="H93" i="112"/>
  <c r="H92" i="112" s="1"/>
  <c r="H72" i="112"/>
  <c r="H73" i="112" s="1"/>
  <c r="G72" i="112"/>
  <c r="G73" i="112" s="1"/>
  <c r="D103" i="111"/>
  <c r="D104" i="111"/>
  <c r="AB122" i="111"/>
  <c r="AB58" i="111"/>
  <c r="AB60" i="111"/>
  <c r="AB91" i="111"/>
  <c r="S93" i="111"/>
  <c r="S116" i="111"/>
  <c r="AB90" i="111"/>
  <c r="AB123" i="111"/>
  <c r="S61" i="111"/>
  <c r="AB121" i="111"/>
  <c r="AB59" i="111"/>
  <c r="S52" i="111"/>
  <c r="AB89" i="111"/>
  <c r="S118" i="111"/>
  <c r="S92" i="111"/>
  <c r="AB57" i="111"/>
  <c r="S58" i="111"/>
  <c r="S115" i="111"/>
  <c r="AB124" i="111"/>
  <c r="S98" i="111"/>
  <c r="S83" i="111"/>
  <c r="AB92" i="111"/>
  <c r="S125" i="111"/>
  <c r="S51" i="111"/>
  <c r="AB118" i="111"/>
  <c r="AB86" i="111"/>
  <c r="AB54" i="111"/>
  <c r="AB117" i="111"/>
  <c r="AB85" i="111"/>
  <c r="AB53" i="111"/>
  <c r="AB120" i="111"/>
  <c r="AB88" i="111"/>
  <c r="AB56" i="111"/>
  <c r="AB119" i="111"/>
  <c r="AB87" i="111"/>
  <c r="AB55" i="111"/>
  <c r="S110" i="111"/>
  <c r="S54" i="111"/>
  <c r="S90" i="111"/>
  <c r="S121" i="111"/>
  <c r="S89" i="111"/>
  <c r="S57" i="111"/>
  <c r="S104" i="111"/>
  <c r="S44" i="111"/>
  <c r="S80" i="111"/>
  <c r="S111" i="111"/>
  <c r="S79" i="111"/>
  <c r="S47" i="111"/>
  <c r="AB114" i="111"/>
  <c r="AB82" i="111"/>
  <c r="AB50" i="111"/>
  <c r="AB113" i="111"/>
  <c r="AB81" i="111"/>
  <c r="AB49" i="111"/>
  <c r="AB116" i="111"/>
  <c r="AB84" i="111"/>
  <c r="AB52" i="111"/>
  <c r="AB115" i="111"/>
  <c r="AB83" i="111"/>
  <c r="AB51" i="111"/>
  <c r="S102" i="111"/>
  <c r="S46" i="111"/>
  <c r="S82" i="111"/>
  <c r="S117" i="111"/>
  <c r="S85" i="111"/>
  <c r="S53" i="111"/>
  <c r="S96" i="111"/>
  <c r="S40" i="111"/>
  <c r="S72" i="111"/>
  <c r="S107" i="111"/>
  <c r="S75" i="111"/>
  <c r="S43" i="111"/>
  <c r="AB110" i="111"/>
  <c r="AB78" i="111"/>
  <c r="AB46" i="111"/>
  <c r="AB109" i="111"/>
  <c r="AB77" i="111"/>
  <c r="AB45" i="111"/>
  <c r="AB112" i="111"/>
  <c r="AB80" i="111"/>
  <c r="AB48" i="111"/>
  <c r="AB111" i="111"/>
  <c r="AB79" i="111"/>
  <c r="AB47" i="111"/>
  <c r="S94" i="111"/>
  <c r="S42" i="111"/>
  <c r="S70" i="111"/>
  <c r="S113" i="111"/>
  <c r="S81" i="111"/>
  <c r="S49" i="111"/>
  <c r="S88" i="111"/>
  <c r="S36" i="111"/>
  <c r="S64" i="111"/>
  <c r="S103" i="111"/>
  <c r="S71" i="111"/>
  <c r="S39" i="111"/>
  <c r="AB106" i="111"/>
  <c r="AB74" i="111"/>
  <c r="AB42" i="111"/>
  <c r="AB105" i="111"/>
  <c r="AB73" i="111"/>
  <c r="AB41" i="111"/>
  <c r="AB108" i="111"/>
  <c r="AB76" i="111"/>
  <c r="AB44" i="111"/>
  <c r="AB107" i="111"/>
  <c r="AB75" i="111"/>
  <c r="AB43" i="111"/>
  <c r="S86" i="111"/>
  <c r="S38" i="111"/>
  <c r="S62" i="111"/>
  <c r="S109" i="111"/>
  <c r="S77" i="111"/>
  <c r="S45" i="111"/>
  <c r="S84" i="111"/>
  <c r="S124" i="111"/>
  <c r="S48" i="111"/>
  <c r="S99" i="111"/>
  <c r="S67" i="111"/>
  <c r="S35" i="111"/>
  <c r="AB102" i="111"/>
  <c r="AB70" i="111"/>
  <c r="AB38" i="111"/>
  <c r="AB101" i="111"/>
  <c r="AB69" i="111"/>
  <c r="AB37" i="111"/>
  <c r="AB104" i="111"/>
  <c r="AB72" i="111"/>
  <c r="AB40" i="111"/>
  <c r="AB103" i="111"/>
  <c r="AB71" i="111"/>
  <c r="AB39" i="111"/>
  <c r="S78" i="111"/>
  <c r="S122" i="111"/>
  <c r="S50" i="111"/>
  <c r="S105" i="111"/>
  <c r="S73" i="111"/>
  <c r="S41" i="111"/>
  <c r="S76" i="111"/>
  <c r="S120" i="111"/>
  <c r="S127" i="111"/>
  <c r="S95" i="111"/>
  <c r="S63" i="111"/>
  <c r="S108" i="111"/>
  <c r="I19" i="111"/>
  <c r="AB98" i="111"/>
  <c r="AB66" i="111"/>
  <c r="AB129" i="111"/>
  <c r="AB97" i="111"/>
  <c r="AB65" i="111"/>
  <c r="AB34" i="111"/>
  <c r="AB100" i="111"/>
  <c r="AB68" i="111"/>
  <c r="AB36" i="111"/>
  <c r="AB99" i="111"/>
  <c r="AB67" i="111"/>
  <c r="AB35" i="111"/>
  <c r="S74" i="111"/>
  <c r="S114" i="111"/>
  <c r="S34" i="111"/>
  <c r="S101" i="111"/>
  <c r="S69" i="111"/>
  <c r="S37" i="111"/>
  <c r="S68" i="111"/>
  <c r="S112" i="111"/>
  <c r="S123" i="111"/>
  <c r="S91" i="111"/>
  <c r="S59" i="111"/>
  <c r="S56" i="111"/>
  <c r="AB126" i="111"/>
  <c r="AB94" i="111"/>
  <c r="AB62" i="111"/>
  <c r="AB125" i="111"/>
  <c r="AB93" i="111"/>
  <c r="AB61" i="111"/>
  <c r="AB128" i="111"/>
  <c r="AB96" i="111"/>
  <c r="AB64" i="111"/>
  <c r="AB127" i="111"/>
  <c r="AB95" i="111"/>
  <c r="S126" i="111"/>
  <c r="S66" i="111"/>
  <c r="S106" i="111"/>
  <c r="S129" i="111"/>
  <c r="S97" i="111"/>
  <c r="S65" i="111"/>
  <c r="S128" i="111"/>
  <c r="S60" i="111"/>
  <c r="S100" i="111"/>
  <c r="S119" i="111"/>
  <c r="S87" i="111"/>
  <c r="S55" i="111"/>
  <c r="I18" i="111"/>
  <c r="H18" i="121"/>
  <c r="AA110" i="121"/>
  <c r="AA120" i="121"/>
  <c r="AA44" i="121"/>
  <c r="AA118" i="121"/>
  <c r="AA116" i="121"/>
  <c r="AA109" i="121"/>
  <c r="AA70" i="121"/>
  <c r="AA74" i="121"/>
  <c r="AA112" i="121"/>
  <c r="AA93" i="121"/>
  <c r="AA90" i="121"/>
  <c r="AA53" i="121"/>
  <c r="AA122" i="121"/>
  <c r="AA57" i="121"/>
  <c r="AA88" i="121"/>
  <c r="AA127" i="121"/>
  <c r="AA82" i="121"/>
  <c r="AA69" i="121"/>
  <c r="AA108" i="121"/>
  <c r="AA78" i="121"/>
  <c r="AA105" i="121"/>
  <c r="AA76" i="121"/>
  <c r="AA103" i="121"/>
  <c r="AA114" i="121"/>
  <c r="AA97" i="121"/>
  <c r="AA56" i="121"/>
  <c r="AA91" i="121"/>
  <c r="AA102" i="121"/>
  <c r="AA73" i="121"/>
  <c r="AA52" i="121"/>
  <c r="AA67" i="121"/>
  <c r="AA60" i="121"/>
  <c r="AA101" i="121"/>
  <c r="AA99" i="121"/>
  <c r="AA95" i="121"/>
  <c r="AA34" i="121"/>
  <c r="AA86" i="121"/>
  <c r="AA85" i="121"/>
  <c r="AA92" i="121"/>
  <c r="AA48" i="121"/>
  <c r="AA41" i="121"/>
  <c r="AA71" i="121"/>
  <c r="AA98" i="121"/>
  <c r="AA38" i="121"/>
  <c r="AA61" i="121"/>
  <c r="AA84" i="121"/>
  <c r="AA121" i="121"/>
  <c r="AA123" i="121"/>
  <c r="AA63" i="121"/>
  <c r="AA66" i="121"/>
  <c r="AA81" i="121"/>
  <c r="AA124" i="121"/>
  <c r="AA80" i="121"/>
  <c r="AA113" i="121"/>
  <c r="AA119" i="121"/>
  <c r="AA39" i="121"/>
  <c r="AA59" i="121"/>
  <c r="AA42" i="121"/>
  <c r="AA45" i="121"/>
  <c r="AA104" i="121"/>
  <c r="AA40" i="121"/>
  <c r="AA115" i="121"/>
  <c r="AA51" i="121"/>
  <c r="F18" i="121"/>
  <c r="AA46" i="121"/>
  <c r="AA94" i="121"/>
  <c r="AA50" i="121"/>
  <c r="AA129" i="121"/>
  <c r="AA37" i="121"/>
  <c r="AA100" i="121"/>
  <c r="AA68" i="121"/>
  <c r="AA36" i="121"/>
  <c r="AA77" i="121"/>
  <c r="AA111" i="121"/>
  <c r="AA79" i="121"/>
  <c r="AA47" i="121"/>
  <c r="AA87" i="121"/>
  <c r="AA55" i="121"/>
  <c r="AA58" i="121"/>
  <c r="AA54" i="121"/>
  <c r="AA49" i="121"/>
  <c r="AA72" i="121"/>
  <c r="AA89" i="121"/>
  <c r="AA83" i="121"/>
  <c r="G102" i="121"/>
  <c r="AA126" i="121"/>
  <c r="AA62" i="121"/>
  <c r="AA106" i="121"/>
  <c r="AA117" i="121"/>
  <c r="AA128" i="121"/>
  <c r="AA96" i="121"/>
  <c r="AA64" i="121"/>
  <c r="AA125" i="121"/>
  <c r="AA65" i="121"/>
  <c r="AA107" i="121"/>
  <c r="AA75" i="121"/>
  <c r="AA43" i="121"/>
  <c r="R66" i="121"/>
  <c r="R69" i="121"/>
  <c r="R78" i="121"/>
  <c r="R56" i="121"/>
  <c r="R52" i="121"/>
  <c r="R64" i="121"/>
  <c r="R114" i="121"/>
  <c r="R118" i="121"/>
  <c r="R65" i="121"/>
  <c r="R110" i="121"/>
  <c r="R129" i="121"/>
  <c r="R89" i="121"/>
  <c r="R73" i="121"/>
  <c r="R88" i="121"/>
  <c r="R41" i="121"/>
  <c r="R57" i="121"/>
  <c r="G84" i="121"/>
  <c r="R50" i="121"/>
  <c r="R128" i="121"/>
  <c r="R48" i="121"/>
  <c r="R123" i="121"/>
  <c r="R90" i="121"/>
  <c r="R108" i="121"/>
  <c r="R44" i="121"/>
  <c r="R99" i="121"/>
  <c r="R62" i="121"/>
  <c r="R58" i="121"/>
  <c r="R100" i="121"/>
  <c r="R81" i="121"/>
  <c r="R59" i="121"/>
  <c r="R70" i="121"/>
  <c r="R105" i="121"/>
  <c r="R84" i="121"/>
  <c r="R53" i="121"/>
  <c r="R98" i="121"/>
  <c r="R96" i="121"/>
  <c r="R93" i="121"/>
  <c r="R103" i="121"/>
  <c r="R86" i="121"/>
  <c r="R74" i="121"/>
  <c r="R120" i="121"/>
  <c r="R80" i="121"/>
  <c r="R36" i="121"/>
  <c r="R121" i="121"/>
  <c r="R87" i="121"/>
  <c r="R38" i="121"/>
  <c r="R42" i="121"/>
  <c r="R76" i="121"/>
  <c r="R125" i="121"/>
  <c r="R109" i="121"/>
  <c r="R83" i="121"/>
  <c r="R54" i="121"/>
  <c r="R116" i="121"/>
  <c r="R94" i="121"/>
  <c r="R82" i="121"/>
  <c r="R117" i="121"/>
  <c r="R112" i="121"/>
  <c r="R68" i="121"/>
  <c r="R101" i="121"/>
  <c r="R97" i="121"/>
  <c r="R79" i="121"/>
  <c r="R45" i="121"/>
  <c r="R119" i="121"/>
  <c r="R67" i="121"/>
  <c r="R111" i="121"/>
  <c r="R55" i="121"/>
  <c r="R51" i="121"/>
  <c r="R91" i="121"/>
  <c r="R47" i="121"/>
  <c r="R39" i="121"/>
  <c r="R115" i="121"/>
  <c r="R71" i="121"/>
  <c r="F19" i="121"/>
  <c r="R102" i="121"/>
  <c r="R126" i="121"/>
  <c r="R106" i="121"/>
  <c r="R49" i="121"/>
  <c r="R104" i="121"/>
  <c r="R72" i="121"/>
  <c r="R40" i="121"/>
  <c r="R61" i="121"/>
  <c r="R85" i="121"/>
  <c r="R107" i="121"/>
  <c r="R75" i="121"/>
  <c r="R43" i="121"/>
  <c r="R34" i="121"/>
  <c r="R46" i="121"/>
  <c r="R122" i="121"/>
  <c r="R77" i="121"/>
  <c r="R124" i="121"/>
  <c r="R92" i="121"/>
  <c r="R60" i="121"/>
  <c r="R113" i="121"/>
  <c r="R37" i="121"/>
  <c r="R127" i="121"/>
  <c r="R95" i="121"/>
  <c r="R63" i="121"/>
  <c r="E103" i="107"/>
  <c r="D7" i="107"/>
  <c r="E104" i="107"/>
  <c r="C102" i="106"/>
  <c r="E18" i="106" s="1"/>
  <c r="C104" i="106"/>
  <c r="C103" i="106"/>
  <c r="C104" i="107"/>
  <c r="C103" i="107"/>
  <c r="C102" i="107"/>
  <c r="E18" i="107" s="1"/>
  <c r="E104" i="106"/>
  <c r="E103" i="106"/>
  <c r="D7" i="106"/>
  <c r="G102" i="107"/>
  <c r="F18" i="111"/>
  <c r="F102" i="106"/>
  <c r="F103" i="106"/>
  <c r="F104" i="106"/>
  <c r="AD67" i="107"/>
  <c r="AD71" i="107"/>
  <c r="AD75" i="107"/>
  <c r="AD79" i="107"/>
  <c r="AD115" i="107"/>
  <c r="AD119" i="107"/>
  <c r="AD91" i="107"/>
  <c r="AD95" i="107"/>
  <c r="AD99" i="107"/>
  <c r="AD103" i="107"/>
  <c r="AD107" i="107"/>
  <c r="AD111" i="107"/>
  <c r="AD52" i="107"/>
  <c r="AD56" i="107"/>
  <c r="AD123" i="107"/>
  <c r="AD127" i="107"/>
  <c r="AD36" i="107"/>
  <c r="AD40" i="107"/>
  <c r="AD44" i="107"/>
  <c r="AD48" i="107"/>
  <c r="AD84" i="107"/>
  <c r="AD88" i="107"/>
  <c r="AD60" i="107"/>
  <c r="AD64" i="107"/>
  <c r="AD68" i="107"/>
  <c r="AD72" i="107"/>
  <c r="AD76" i="107"/>
  <c r="AD80" i="107"/>
  <c r="AD110" i="107"/>
  <c r="AD116" i="107"/>
  <c r="AD120" i="107"/>
  <c r="AD92" i="107"/>
  <c r="AD42" i="107"/>
  <c r="AD96" i="107"/>
  <c r="AD38" i="107"/>
  <c r="AD100" i="107"/>
  <c r="AD74" i="107"/>
  <c r="AD104" i="107"/>
  <c r="AD106" i="107"/>
  <c r="AD108" i="107"/>
  <c r="AD78" i="107"/>
  <c r="AD112" i="107"/>
  <c r="AD94" i="107"/>
  <c r="AD53" i="107"/>
  <c r="AD126" i="107"/>
  <c r="AD57" i="107"/>
  <c r="AD82" i="107"/>
  <c r="AD124" i="107"/>
  <c r="AD34" i="107"/>
  <c r="AD128" i="107"/>
  <c r="F102" i="107"/>
  <c r="AD122" i="107"/>
  <c r="AD37" i="107"/>
  <c r="AD86" i="107"/>
  <c r="AD41" i="107"/>
  <c r="AD90" i="107"/>
  <c r="AD45" i="107"/>
  <c r="AD62" i="107"/>
  <c r="AD49" i="107"/>
  <c r="AD54" i="107"/>
  <c r="AD85" i="107"/>
  <c r="AD46" i="107"/>
  <c r="AD89" i="107"/>
  <c r="AD114" i="107"/>
  <c r="AD61" i="107"/>
  <c r="AD118" i="107"/>
  <c r="AD65" i="107"/>
  <c r="AD58" i="107"/>
  <c r="AD69" i="107"/>
  <c r="AD66" i="107"/>
  <c r="AD73" i="107"/>
  <c r="AD98" i="107"/>
  <c r="AD77" i="107"/>
  <c r="AD50" i="107"/>
  <c r="AD81" i="107"/>
  <c r="AD51" i="107"/>
  <c r="AD117" i="107"/>
  <c r="AD55" i="107"/>
  <c r="AD121" i="107"/>
  <c r="AD70" i="107"/>
  <c r="AD93" i="107"/>
  <c r="AD102" i="107"/>
  <c r="AD97" i="107"/>
  <c r="AD35" i="107"/>
  <c r="AD101" i="107"/>
  <c r="AD39" i="107"/>
  <c r="AD105" i="107"/>
  <c r="AD43" i="107"/>
  <c r="AD109" i="107"/>
  <c r="AD47" i="107"/>
  <c r="AD113" i="107"/>
  <c r="AD83" i="107"/>
  <c r="AD87" i="107"/>
  <c r="AD59" i="107"/>
  <c r="AD125" i="107"/>
  <c r="AD63" i="107"/>
  <c r="AD129" i="107"/>
  <c r="F103" i="107"/>
  <c r="F104" i="107"/>
  <c r="H102" i="107"/>
  <c r="D103" i="107"/>
  <c r="D104" i="107"/>
  <c r="D102" i="107"/>
  <c r="D102" i="106"/>
  <c r="D104" i="106"/>
  <c r="D103" i="106"/>
  <c r="D92" i="105"/>
  <c r="D104" i="105" s="1"/>
  <c r="D73" i="105"/>
  <c r="S35" i="105" s="1"/>
  <c r="G102" i="105"/>
  <c r="H84" i="95"/>
  <c r="D84" i="111"/>
  <c r="B83" i="111"/>
  <c r="B28" i="116"/>
  <c r="B93" i="116"/>
  <c r="D72" i="116"/>
  <c r="B52" i="116"/>
  <c r="C93" i="116"/>
  <c r="C53" i="116"/>
  <c r="F93" i="116"/>
  <c r="E72" i="116"/>
  <c r="E73" i="116" s="1"/>
  <c r="C72" i="116"/>
  <c r="E93" i="116"/>
  <c r="E92" i="116" s="1"/>
  <c r="B72" i="116"/>
  <c r="F72" i="116"/>
  <c r="D93" i="116"/>
  <c r="C29" i="116"/>
  <c r="C29" i="115"/>
  <c r="D93" i="115"/>
  <c r="C72" i="115"/>
  <c r="F72" i="115"/>
  <c r="D72" i="115"/>
  <c r="C93" i="115"/>
  <c r="B28" i="115"/>
  <c r="F93" i="115"/>
  <c r="F92" i="115" s="1"/>
  <c r="E72" i="115"/>
  <c r="B72" i="115"/>
  <c r="E93" i="115"/>
  <c r="E92" i="115" s="1"/>
  <c r="C53" i="115"/>
  <c r="B93" i="115"/>
  <c r="B52" i="115"/>
  <c r="F72" i="114"/>
  <c r="C72" i="114"/>
  <c r="C73" i="114" s="1"/>
  <c r="C82" i="114" s="1"/>
  <c r="C29" i="114"/>
  <c r="C93" i="114"/>
  <c r="B28" i="114"/>
  <c r="D72" i="114"/>
  <c r="F93" i="114"/>
  <c r="E93" i="114"/>
  <c r="E92" i="114" s="1"/>
  <c r="B72" i="114"/>
  <c r="E72" i="114"/>
  <c r="C53" i="114"/>
  <c r="B93" i="114"/>
  <c r="B52" i="114"/>
  <c r="D93" i="114"/>
  <c r="C29" i="112"/>
  <c r="B28" i="112"/>
  <c r="B93" i="112"/>
  <c r="B92" i="112" s="1"/>
  <c r="F72" i="112"/>
  <c r="C93" i="112"/>
  <c r="E93" i="112"/>
  <c r="E92" i="112" s="1"/>
  <c r="E72" i="112"/>
  <c r="E73" i="112" s="1"/>
  <c r="E82" i="112" s="1"/>
  <c r="B72" i="112"/>
  <c r="B73" i="112" s="1"/>
  <c r="B82" i="112" s="1"/>
  <c r="D93" i="112"/>
  <c r="B52" i="112"/>
  <c r="C72" i="112"/>
  <c r="C53" i="112"/>
  <c r="D72" i="112"/>
  <c r="F93" i="112"/>
  <c r="C29" i="109"/>
  <c r="D93" i="109"/>
  <c r="B52" i="109"/>
  <c r="F72" i="109"/>
  <c r="C93" i="109"/>
  <c r="F93" i="109"/>
  <c r="B93" i="109"/>
  <c r="E72" i="109"/>
  <c r="E73" i="109" s="1"/>
  <c r="B28" i="109"/>
  <c r="C72" i="109"/>
  <c r="D72" i="109"/>
  <c r="B72" i="109"/>
  <c r="C53" i="109"/>
  <c r="E93" i="109"/>
  <c r="E92" i="109" s="1"/>
  <c r="C77" i="15"/>
  <c r="B103" i="111"/>
  <c r="B104" i="111"/>
  <c r="B84" i="111"/>
  <c r="D19" i="111" s="1"/>
  <c r="C103" i="111"/>
  <c r="C104" i="111"/>
  <c r="C83" i="111"/>
  <c r="D82" i="111"/>
  <c r="F103" i="111"/>
  <c r="F104" i="111"/>
  <c r="B102" i="111"/>
  <c r="D18" i="111" s="1"/>
  <c r="C84" i="111"/>
  <c r="E19" i="111" s="1"/>
  <c r="B28" i="102"/>
  <c r="C29" i="102"/>
  <c r="D72" i="102"/>
  <c r="E72" i="102"/>
  <c r="E73" i="102" s="1"/>
  <c r="F93" i="102"/>
  <c r="C72" i="102"/>
  <c r="E93" i="102"/>
  <c r="E92" i="102" s="1"/>
  <c r="C53" i="102"/>
  <c r="D93" i="102"/>
  <c r="B93" i="102"/>
  <c r="B72" i="102"/>
  <c r="B52" i="102"/>
  <c r="C93" i="102"/>
  <c r="F72" i="102"/>
  <c r="B93" i="99"/>
  <c r="C72" i="99"/>
  <c r="F72" i="99"/>
  <c r="D72" i="99"/>
  <c r="C29" i="99"/>
  <c r="F93" i="99"/>
  <c r="E93" i="99"/>
  <c r="E92" i="99" s="1"/>
  <c r="E72" i="99"/>
  <c r="B72" i="99"/>
  <c r="C53" i="99"/>
  <c r="B28" i="99"/>
  <c r="D93" i="99"/>
  <c r="B52" i="99"/>
  <c r="C93" i="99"/>
  <c r="H84" i="105"/>
  <c r="D7" i="105"/>
  <c r="E104" i="105"/>
  <c r="E103" i="105"/>
  <c r="F73" i="105"/>
  <c r="F84" i="105" s="1"/>
  <c r="C73" i="105"/>
  <c r="C82" i="105" s="1"/>
  <c r="B92" i="105"/>
  <c r="B102" i="105" s="1"/>
  <c r="D18" i="105" s="1"/>
  <c r="E73" i="105"/>
  <c r="E82" i="105" s="1"/>
  <c r="C7" i="105"/>
  <c r="C44" i="105"/>
  <c r="C19" i="105" s="1"/>
  <c r="C42" i="105"/>
  <c r="C8" i="105"/>
  <c r="C43" i="105"/>
  <c r="B7" i="105"/>
  <c r="B42" i="105"/>
  <c r="C18" i="105" s="1"/>
  <c r="B43" i="105"/>
  <c r="B44" i="105"/>
  <c r="B8" i="105"/>
  <c r="C64" i="105"/>
  <c r="B19" i="105" s="1"/>
  <c r="C63" i="105"/>
  <c r="C62" i="105"/>
  <c r="C92" i="105"/>
  <c r="C102" i="105" s="1"/>
  <c r="E18" i="105" s="1"/>
  <c r="F92" i="105"/>
  <c r="F102" i="105" s="1"/>
  <c r="H102" i="105"/>
  <c r="B83" i="105"/>
  <c r="B84" i="105"/>
  <c r="D19" i="105" s="1"/>
  <c r="B62" i="105"/>
  <c r="B18" i="105" s="1"/>
  <c r="B64" i="105"/>
  <c r="B63" i="105"/>
  <c r="D92" i="95"/>
  <c r="D104" i="95" s="1"/>
  <c r="G102" i="95"/>
  <c r="D7" i="95"/>
  <c r="E103" i="95"/>
  <c r="E104" i="95"/>
  <c r="E73" i="95"/>
  <c r="E82" i="95" s="1"/>
  <c r="H102" i="95"/>
  <c r="C63" i="95"/>
  <c r="C64" i="95"/>
  <c r="B19" i="95" s="1"/>
  <c r="C62" i="95"/>
  <c r="B62" i="95"/>
  <c r="B18" i="95" s="1"/>
  <c r="B64" i="95"/>
  <c r="B63" i="95"/>
  <c r="D73" i="95"/>
  <c r="D82" i="95" s="1"/>
  <c r="C73" i="95"/>
  <c r="C82" i="95" s="1"/>
  <c r="F73" i="95"/>
  <c r="F84" i="95" s="1"/>
  <c r="C7" i="95"/>
  <c r="C42" i="95"/>
  <c r="C43" i="95"/>
  <c r="C8" i="95"/>
  <c r="C44" i="95"/>
  <c r="C19" i="95" s="1"/>
  <c r="F92" i="95"/>
  <c r="F102" i="95" s="1"/>
  <c r="B92" i="95"/>
  <c r="B102" i="95" s="1"/>
  <c r="D18" i="95" s="1"/>
  <c r="C92" i="95"/>
  <c r="C102" i="95" s="1"/>
  <c r="E18" i="95" s="1"/>
  <c r="B83" i="95"/>
  <c r="B84" i="95"/>
  <c r="D19" i="95" s="1"/>
  <c r="B7" i="95"/>
  <c r="B42" i="95"/>
  <c r="C18" i="95" s="1"/>
  <c r="B43" i="95"/>
  <c r="B44" i="95"/>
  <c r="B8" i="95"/>
  <c r="H77" i="15" a="1"/>
  <c r="F76" i="15" a="1"/>
  <c r="F77" i="15" a="1"/>
  <c r="F74" i="15" a="1"/>
  <c r="H78" i="15" a="1"/>
  <c r="G77" i="15" a="1"/>
  <c r="G92" i="116" l="1"/>
  <c r="AA62" i="116" s="1"/>
  <c r="AA128" i="116"/>
  <c r="AA118" i="116"/>
  <c r="AA112" i="116"/>
  <c r="AA96" i="116"/>
  <c r="AA86" i="116"/>
  <c r="AA76" i="116"/>
  <c r="AA73" i="116"/>
  <c r="AA68" i="116"/>
  <c r="AA52" i="116"/>
  <c r="AA34" i="116"/>
  <c r="AA123" i="116"/>
  <c r="AA117" i="116"/>
  <c r="AA101" i="116"/>
  <c r="AA91" i="116"/>
  <c r="AA85" i="116"/>
  <c r="AA42" i="116"/>
  <c r="AA50" i="116"/>
  <c r="AA35" i="116"/>
  <c r="R81" i="116"/>
  <c r="R74" i="116"/>
  <c r="R71" i="116"/>
  <c r="R67" i="116"/>
  <c r="R64" i="116"/>
  <c r="R38" i="116"/>
  <c r="R34" i="116"/>
  <c r="R60" i="116"/>
  <c r="R57" i="116"/>
  <c r="R53" i="116"/>
  <c r="R46" i="116"/>
  <c r="R42" i="116"/>
  <c r="R39" i="116"/>
  <c r="R129" i="116"/>
  <c r="R115" i="116"/>
  <c r="R103" i="116"/>
  <c r="R91" i="116"/>
  <c r="R70" i="116"/>
  <c r="R49" i="116"/>
  <c r="R78" i="116"/>
  <c r="R72" i="116"/>
  <c r="R50" i="116"/>
  <c r="R47" i="116"/>
  <c r="R35" i="116"/>
  <c r="R123" i="116"/>
  <c r="R113" i="116"/>
  <c r="R101" i="116"/>
  <c r="R89" i="116"/>
  <c r="R77" i="116"/>
  <c r="R45" i="116"/>
  <c r="R128" i="116"/>
  <c r="R126" i="116"/>
  <c r="R124" i="116"/>
  <c r="R122" i="116"/>
  <c r="R120" i="116"/>
  <c r="R118" i="116"/>
  <c r="R116" i="116"/>
  <c r="R114" i="116"/>
  <c r="R112" i="116"/>
  <c r="R110" i="116"/>
  <c r="R108" i="116"/>
  <c r="R106" i="116"/>
  <c r="R104" i="116"/>
  <c r="R102" i="116"/>
  <c r="R100" i="116"/>
  <c r="R98" i="116"/>
  <c r="R96" i="116"/>
  <c r="R94" i="116"/>
  <c r="R92" i="116"/>
  <c r="R90" i="116"/>
  <c r="R88" i="116"/>
  <c r="R86" i="116"/>
  <c r="R84" i="116"/>
  <c r="R82" i="116"/>
  <c r="R75" i="116"/>
  <c r="R68" i="116"/>
  <c r="R65" i="116"/>
  <c r="R61" i="116"/>
  <c r="R54" i="116"/>
  <c r="R43" i="116"/>
  <c r="R40" i="116"/>
  <c r="R121" i="116"/>
  <c r="R109" i="116"/>
  <c r="R95" i="116"/>
  <c r="R85" i="116"/>
  <c r="R79" i="116"/>
  <c r="R58" i="116"/>
  <c r="R55" i="116"/>
  <c r="R51" i="116"/>
  <c r="R48" i="116"/>
  <c r="R127" i="116"/>
  <c r="R111" i="116"/>
  <c r="R99" i="116"/>
  <c r="R87" i="116"/>
  <c r="R52" i="116"/>
  <c r="R80" i="116"/>
  <c r="R76" i="116"/>
  <c r="R73" i="116"/>
  <c r="R69" i="116"/>
  <c r="R62" i="116"/>
  <c r="R36" i="116"/>
  <c r="R125" i="116"/>
  <c r="R117" i="116"/>
  <c r="R105" i="116"/>
  <c r="R93" i="116"/>
  <c r="R66" i="116"/>
  <c r="R63" i="116"/>
  <c r="R59" i="116"/>
  <c r="R56" i="116"/>
  <c r="R44" i="116"/>
  <c r="R41" i="116"/>
  <c r="R37" i="116"/>
  <c r="R119" i="116"/>
  <c r="R107" i="116"/>
  <c r="R97" i="116"/>
  <c r="R83" i="116"/>
  <c r="G73" i="115"/>
  <c r="G92" i="115"/>
  <c r="AA76" i="115" s="1"/>
  <c r="AA122" i="112"/>
  <c r="AA66" i="112"/>
  <c r="AA104" i="112"/>
  <c r="AA109" i="112"/>
  <c r="AA45" i="112"/>
  <c r="AA63" i="112"/>
  <c r="AA71" i="112"/>
  <c r="AA37" i="112"/>
  <c r="AA96" i="112"/>
  <c r="AA36" i="112"/>
  <c r="AA79" i="112"/>
  <c r="AA40" i="112"/>
  <c r="AA76" i="112"/>
  <c r="AA86" i="112"/>
  <c r="AA101" i="112"/>
  <c r="AA119" i="112"/>
  <c r="AA53" i="112"/>
  <c r="AA91" i="112"/>
  <c r="AA129" i="112"/>
  <c r="AA64" i="112"/>
  <c r="AA44" i="112"/>
  <c r="AA125" i="112"/>
  <c r="AA111" i="112"/>
  <c r="AA74" i="112"/>
  <c r="AA49" i="112"/>
  <c r="AA73" i="112"/>
  <c r="AA112" i="112"/>
  <c r="AA35" i="112"/>
  <c r="AA67" i="112"/>
  <c r="AA84" i="112"/>
  <c r="AA123" i="112"/>
  <c r="AA92" i="112"/>
  <c r="AA80" i="112"/>
  <c r="AA102" i="112"/>
  <c r="AA77" i="112"/>
  <c r="AA117" i="112"/>
  <c r="AA70" i="112"/>
  <c r="AA107" i="112"/>
  <c r="AA108" i="112"/>
  <c r="AA50" i="112"/>
  <c r="AA94" i="112"/>
  <c r="AA83" i="112"/>
  <c r="AA128" i="112"/>
  <c r="AA34" i="112"/>
  <c r="AA82" i="112"/>
  <c r="AA88" i="112"/>
  <c r="AA47" i="112"/>
  <c r="AA100" i="112"/>
  <c r="AA57" i="112"/>
  <c r="AA55" i="112"/>
  <c r="AA118" i="112"/>
  <c r="AA95" i="112"/>
  <c r="AA69" i="112"/>
  <c r="AA41" i="112"/>
  <c r="AA61" i="112"/>
  <c r="AA120" i="112"/>
  <c r="AA68" i="112"/>
  <c r="AA110" i="112"/>
  <c r="AA99" i="112"/>
  <c r="AA51" i="112"/>
  <c r="AA127" i="112"/>
  <c r="AA38" i="112"/>
  <c r="AA98" i="112"/>
  <c r="AA46" i="112"/>
  <c r="AA116" i="112"/>
  <c r="AA89" i="112"/>
  <c r="AA52" i="112"/>
  <c r="AA93" i="112"/>
  <c r="AA75" i="112"/>
  <c r="AA90" i="112"/>
  <c r="AA81" i="112"/>
  <c r="AA126" i="112"/>
  <c r="AA115" i="112"/>
  <c r="AA124" i="112"/>
  <c r="AA42" i="112"/>
  <c r="AA114" i="112"/>
  <c r="AA87" i="112"/>
  <c r="AA48" i="112"/>
  <c r="AA105" i="112"/>
  <c r="AA65" i="112"/>
  <c r="AA72" i="112"/>
  <c r="AA113" i="112"/>
  <c r="AA62" i="112"/>
  <c r="AA56" i="112"/>
  <c r="AA78" i="112"/>
  <c r="AA59" i="112"/>
  <c r="AA106" i="112"/>
  <c r="AA97" i="112"/>
  <c r="AA39" i="112"/>
  <c r="AA58" i="112"/>
  <c r="AA54" i="112"/>
  <c r="AA85" i="112"/>
  <c r="AA43" i="112"/>
  <c r="AA103" i="112"/>
  <c r="AA60" i="112"/>
  <c r="AA121" i="112"/>
  <c r="I19" i="95"/>
  <c r="I18" i="95"/>
  <c r="I18" i="105"/>
  <c r="I19" i="105"/>
  <c r="AB48" i="95"/>
  <c r="AB70" i="95"/>
  <c r="AB116" i="95"/>
  <c r="AB36" i="95"/>
  <c r="AB38" i="95"/>
  <c r="AB83" i="95"/>
  <c r="AB102" i="95"/>
  <c r="AB99" i="95"/>
  <c r="AB100" i="95"/>
  <c r="AB115" i="95"/>
  <c r="AB84" i="95"/>
  <c r="AB46" i="95"/>
  <c r="AB82" i="95"/>
  <c r="AB65" i="95"/>
  <c r="AB92" i="95"/>
  <c r="AB94" i="95"/>
  <c r="AB96" i="95"/>
  <c r="AB34" i="95"/>
  <c r="AB106" i="95"/>
  <c r="AB71" i="95"/>
  <c r="AB55" i="95"/>
  <c r="AB50" i="95"/>
  <c r="AB89" i="95"/>
  <c r="AB105" i="95"/>
  <c r="AB121" i="95"/>
  <c r="AB80" i="95"/>
  <c r="S43" i="95"/>
  <c r="S40" i="95"/>
  <c r="S65" i="95"/>
  <c r="S87" i="95"/>
  <c r="S103" i="95"/>
  <c r="S119" i="95"/>
  <c r="S49" i="95"/>
  <c r="S64" i="95"/>
  <c r="S78" i="95"/>
  <c r="S82" i="95"/>
  <c r="S98" i="95"/>
  <c r="S114" i="95"/>
  <c r="AB104" i="95"/>
  <c r="AB45" i="95"/>
  <c r="AB114" i="95"/>
  <c r="AB78" i="95"/>
  <c r="AB58" i="95"/>
  <c r="AB54" i="95"/>
  <c r="AB91" i="95"/>
  <c r="AB107" i="95"/>
  <c r="AB123" i="95"/>
  <c r="AB35" i="95"/>
  <c r="S58" i="95"/>
  <c r="S74" i="95"/>
  <c r="S69" i="95"/>
  <c r="S89" i="95"/>
  <c r="S105" i="95"/>
  <c r="S121" i="95"/>
  <c r="S60" i="95"/>
  <c r="S71" i="95"/>
  <c r="S37" i="95"/>
  <c r="S84" i="95"/>
  <c r="S100" i="95"/>
  <c r="S116" i="95"/>
  <c r="AB49" i="95"/>
  <c r="AB110" i="95"/>
  <c r="AB112" i="95"/>
  <c r="AB60" i="95"/>
  <c r="AB122" i="95"/>
  <c r="AB44" i="95"/>
  <c r="AB62" i="95"/>
  <c r="AB61" i="95"/>
  <c r="AB93" i="95"/>
  <c r="AB109" i="95"/>
  <c r="AB125" i="95"/>
  <c r="AB39" i="95"/>
  <c r="S47" i="95"/>
  <c r="S77" i="95"/>
  <c r="S53" i="95"/>
  <c r="S91" i="95"/>
  <c r="S107" i="95"/>
  <c r="S123" i="95"/>
  <c r="S68" i="95"/>
  <c r="S75" i="95"/>
  <c r="S44" i="95"/>
  <c r="S86" i="95"/>
  <c r="S102" i="95"/>
  <c r="S118" i="95"/>
  <c r="AB52" i="95"/>
  <c r="AB118" i="95"/>
  <c r="AB120" i="95"/>
  <c r="AB79" i="95"/>
  <c r="AB37" i="95"/>
  <c r="AB51" i="95"/>
  <c r="AB66" i="95"/>
  <c r="AB69" i="95"/>
  <c r="AB95" i="95"/>
  <c r="AB111" i="95"/>
  <c r="AB127" i="95"/>
  <c r="AB42" i="95"/>
  <c r="S73" i="95"/>
  <c r="S35" i="95"/>
  <c r="S57" i="95"/>
  <c r="S93" i="95"/>
  <c r="S109" i="95"/>
  <c r="S125" i="95"/>
  <c r="S72" i="95"/>
  <c r="S41" i="95"/>
  <c r="S48" i="95"/>
  <c r="S88" i="95"/>
  <c r="S104" i="95"/>
  <c r="S120" i="95"/>
  <c r="AB64" i="95"/>
  <c r="AB126" i="95"/>
  <c r="AB128" i="95"/>
  <c r="AB68" i="95"/>
  <c r="AB41" i="95"/>
  <c r="AB63" i="95"/>
  <c r="AB77" i="95"/>
  <c r="AB81" i="95"/>
  <c r="AB97" i="95"/>
  <c r="AB113" i="95"/>
  <c r="AB129" i="95"/>
  <c r="AB57" i="95"/>
  <c r="S81" i="95"/>
  <c r="S39" i="95"/>
  <c r="S76" i="95"/>
  <c r="S95" i="95"/>
  <c r="S111" i="95"/>
  <c r="S127" i="95"/>
  <c r="S79" i="95"/>
  <c r="S56" i="95"/>
  <c r="S51" i="95"/>
  <c r="S90" i="95"/>
  <c r="S106" i="95"/>
  <c r="S122" i="95"/>
  <c r="S36" i="95"/>
  <c r="S46" i="95"/>
  <c r="S80" i="95"/>
  <c r="S97" i="95"/>
  <c r="S113" i="95"/>
  <c r="S129" i="95"/>
  <c r="S34" i="95"/>
  <c r="S59" i="95"/>
  <c r="S55" i="95"/>
  <c r="S92" i="95"/>
  <c r="S108" i="95"/>
  <c r="S124" i="95"/>
  <c r="AB75" i="95"/>
  <c r="AB56" i="95"/>
  <c r="AB108" i="95"/>
  <c r="AB90" i="95"/>
  <c r="AB59" i="95"/>
  <c r="AB74" i="95"/>
  <c r="AB43" i="95"/>
  <c r="AB85" i="95"/>
  <c r="AB101" i="95"/>
  <c r="AB117" i="95"/>
  <c r="AB53" i="95"/>
  <c r="AB72" i="95"/>
  <c r="S54" i="95"/>
  <c r="S50" i="95"/>
  <c r="S83" i="95"/>
  <c r="S99" i="95"/>
  <c r="S115" i="95"/>
  <c r="S38" i="95"/>
  <c r="S45" i="95"/>
  <c r="S63" i="95"/>
  <c r="S62" i="95"/>
  <c r="S94" i="95"/>
  <c r="S110" i="95"/>
  <c r="S126" i="95"/>
  <c r="AB86" i="95"/>
  <c r="AB88" i="95"/>
  <c r="AB124" i="95"/>
  <c r="AB98" i="95"/>
  <c r="AB67" i="95"/>
  <c r="AB40" i="95"/>
  <c r="AB47" i="95"/>
  <c r="AB87" i="95"/>
  <c r="AB103" i="95"/>
  <c r="AB119" i="95"/>
  <c r="AB73" i="95"/>
  <c r="AB76" i="95"/>
  <c r="S66" i="95"/>
  <c r="S61" i="95"/>
  <c r="S85" i="95"/>
  <c r="S101" i="95"/>
  <c r="S117" i="95"/>
  <c r="S42" i="95"/>
  <c r="S52" i="95"/>
  <c r="S67" i="95"/>
  <c r="S70" i="95"/>
  <c r="S96" i="95"/>
  <c r="S112" i="95"/>
  <c r="S128" i="95"/>
  <c r="AB127" i="105"/>
  <c r="AB95" i="105"/>
  <c r="AB63" i="105"/>
  <c r="AB118" i="105"/>
  <c r="AB109" i="105"/>
  <c r="AB77" i="105"/>
  <c r="AB45" i="105"/>
  <c r="AB102" i="105"/>
  <c r="AB124" i="105"/>
  <c r="AB92" i="105"/>
  <c r="AB60" i="105"/>
  <c r="AB110" i="105"/>
  <c r="AB123" i="105"/>
  <c r="AB91" i="105"/>
  <c r="AB59" i="105"/>
  <c r="AB62" i="105"/>
  <c r="AB105" i="105"/>
  <c r="AB73" i="105"/>
  <c r="AB41" i="105"/>
  <c r="AB90" i="105"/>
  <c r="AB120" i="105"/>
  <c r="AB88" i="105"/>
  <c r="AB56" i="105"/>
  <c r="AB98" i="105"/>
  <c r="AB119" i="105"/>
  <c r="AB87" i="105"/>
  <c r="AB55" i="105"/>
  <c r="AB34" i="105"/>
  <c r="AB101" i="105"/>
  <c r="AB69" i="105"/>
  <c r="AB37" i="105"/>
  <c r="AB82" i="105"/>
  <c r="AB116" i="105"/>
  <c r="AB84" i="105"/>
  <c r="AB52" i="105"/>
  <c r="AB86" i="105"/>
  <c r="AB115" i="105"/>
  <c r="AB83" i="105"/>
  <c r="AB51" i="105"/>
  <c r="AB129" i="105"/>
  <c r="AB97" i="105"/>
  <c r="AB65" i="105"/>
  <c r="AB122" i="105"/>
  <c r="AB74" i="105"/>
  <c r="AB112" i="105"/>
  <c r="AB80" i="105"/>
  <c r="AB48" i="105"/>
  <c r="AB78" i="105"/>
  <c r="AB111" i="105"/>
  <c r="AB79" i="105"/>
  <c r="AB47" i="105"/>
  <c r="AB125" i="105"/>
  <c r="AB93" i="105"/>
  <c r="AB61" i="105"/>
  <c r="AB94" i="105"/>
  <c r="AB66" i="105"/>
  <c r="AB108" i="105"/>
  <c r="AB76" i="105"/>
  <c r="AB44" i="105"/>
  <c r="AB70" i="105"/>
  <c r="AB107" i="105"/>
  <c r="AB75" i="105"/>
  <c r="AB43" i="105"/>
  <c r="AB121" i="105"/>
  <c r="AB89" i="105"/>
  <c r="AB57" i="105"/>
  <c r="AB46" i="105"/>
  <c r="AB54" i="105"/>
  <c r="AB104" i="105"/>
  <c r="AB72" i="105"/>
  <c r="AB40" i="105"/>
  <c r="AB58" i="105"/>
  <c r="AB103" i="105"/>
  <c r="AB71" i="105"/>
  <c r="AB39" i="105"/>
  <c r="AB117" i="105"/>
  <c r="AB85" i="105"/>
  <c r="AB53" i="105"/>
  <c r="AB114" i="105"/>
  <c r="AB42" i="105"/>
  <c r="AB100" i="105"/>
  <c r="AB68" i="105"/>
  <c r="AB36" i="105"/>
  <c r="AB50" i="105"/>
  <c r="AB99" i="105"/>
  <c r="AB67" i="105"/>
  <c r="AB35" i="105"/>
  <c r="AB113" i="105"/>
  <c r="AB81" i="105"/>
  <c r="AB49" i="105"/>
  <c r="AB106" i="105"/>
  <c r="AB128" i="105"/>
  <c r="AB96" i="105"/>
  <c r="AB64" i="105"/>
  <c r="AB126" i="105"/>
  <c r="AB38" i="105"/>
  <c r="D103" i="105"/>
  <c r="D84" i="105"/>
  <c r="S101" i="105"/>
  <c r="S54" i="105"/>
  <c r="S48" i="105"/>
  <c r="S66" i="105"/>
  <c r="S59" i="105"/>
  <c r="S112" i="105"/>
  <c r="S39" i="105"/>
  <c r="S123" i="105"/>
  <c r="S81" i="105"/>
  <c r="S103" i="105"/>
  <c r="S92" i="105"/>
  <c r="S46" i="105"/>
  <c r="S72" i="105"/>
  <c r="S61" i="105"/>
  <c r="S110" i="105"/>
  <c r="S41" i="105"/>
  <c r="S125" i="105"/>
  <c r="S51" i="105"/>
  <c r="S105" i="105"/>
  <c r="S63" i="105"/>
  <c r="S115" i="105"/>
  <c r="S70" i="105"/>
  <c r="S127" i="105"/>
  <c r="S84" i="105"/>
  <c r="D82" i="105"/>
  <c r="S86" i="105"/>
  <c r="S96" i="105"/>
  <c r="S53" i="105"/>
  <c r="S75" i="105"/>
  <c r="S65" i="105"/>
  <c r="S117" i="105"/>
  <c r="S44" i="105"/>
  <c r="S129" i="105"/>
  <c r="S82" i="105"/>
  <c r="S108" i="105"/>
  <c r="S94" i="105"/>
  <c r="S55" i="105"/>
  <c r="S77" i="105"/>
  <c r="S67" i="105"/>
  <c r="S119" i="105"/>
  <c r="S42" i="105"/>
  <c r="S36" i="105"/>
  <c r="S88" i="105"/>
  <c r="S106" i="105"/>
  <c r="S100" i="105"/>
  <c r="S57" i="105"/>
  <c r="S47" i="105"/>
  <c r="S69" i="105"/>
  <c r="S121" i="105"/>
  <c r="S111" i="105"/>
  <c r="S34" i="105"/>
  <c r="S118" i="105"/>
  <c r="S80" i="105"/>
  <c r="S98" i="105"/>
  <c r="S91" i="105"/>
  <c r="S49" i="105"/>
  <c r="S71" i="105"/>
  <c r="S60" i="105"/>
  <c r="S113" i="105"/>
  <c r="S40" i="105"/>
  <c r="S124" i="105"/>
  <c r="S78" i="105"/>
  <c r="S104" i="105"/>
  <c r="S93" i="105"/>
  <c r="S114" i="105"/>
  <c r="S73" i="105"/>
  <c r="S58" i="105"/>
  <c r="S83" i="105"/>
  <c r="S38" i="105"/>
  <c r="S95" i="105"/>
  <c r="S52" i="105"/>
  <c r="S102" i="105"/>
  <c r="S64" i="105"/>
  <c r="S116" i="105"/>
  <c r="S43" i="105"/>
  <c r="S128" i="105"/>
  <c r="S85" i="105"/>
  <c r="S107" i="105"/>
  <c r="S97" i="105"/>
  <c r="S50" i="105"/>
  <c r="S76" i="105"/>
  <c r="S62" i="105"/>
  <c r="S122" i="105"/>
  <c r="S45" i="105"/>
  <c r="S126" i="105"/>
  <c r="D83" i="105"/>
  <c r="D102" i="105"/>
  <c r="S87" i="105"/>
  <c r="S109" i="105"/>
  <c r="S99" i="105"/>
  <c r="S56" i="105"/>
  <c r="S74" i="105"/>
  <c r="S68" i="105"/>
  <c r="S120" i="105"/>
  <c r="S90" i="105"/>
  <c r="S37" i="105"/>
  <c r="S89" i="105"/>
  <c r="S79" i="105"/>
  <c r="D92" i="114"/>
  <c r="AB76" i="114" s="1"/>
  <c r="D92" i="115"/>
  <c r="AB80" i="115" s="1"/>
  <c r="F7" i="107"/>
  <c r="K7" i="107" s="1"/>
  <c r="G84" i="116"/>
  <c r="D73" i="112"/>
  <c r="D83" i="112" s="1"/>
  <c r="H7" i="107"/>
  <c r="D73" i="114"/>
  <c r="D82" i="114" s="1"/>
  <c r="D73" i="116"/>
  <c r="D82" i="116" s="1"/>
  <c r="D73" i="115"/>
  <c r="D82" i="115" s="1"/>
  <c r="D92" i="116"/>
  <c r="AB114" i="116" s="1"/>
  <c r="D92" i="112"/>
  <c r="D104" i="112" s="1"/>
  <c r="D92" i="109"/>
  <c r="D103" i="109" s="1"/>
  <c r="D73" i="102"/>
  <c r="D82" i="102" s="1"/>
  <c r="G84" i="102"/>
  <c r="F73" i="114"/>
  <c r="F84" i="114" s="1"/>
  <c r="F73" i="102"/>
  <c r="F84" i="102" s="1"/>
  <c r="H102" i="115"/>
  <c r="D104" i="116"/>
  <c r="E104" i="116"/>
  <c r="D7" i="116"/>
  <c r="E103" i="116"/>
  <c r="G102" i="116"/>
  <c r="F92" i="116"/>
  <c r="B73" i="116"/>
  <c r="B63" i="116"/>
  <c r="B64" i="116"/>
  <c r="B62" i="116"/>
  <c r="B18" i="116" s="1"/>
  <c r="C62" i="116"/>
  <c r="C64" i="116"/>
  <c r="B19" i="116" s="1"/>
  <c r="C63" i="116"/>
  <c r="E83" i="116"/>
  <c r="E82" i="116"/>
  <c r="C73" i="116"/>
  <c r="C82" i="116" s="1"/>
  <c r="F73" i="116"/>
  <c r="B92" i="116"/>
  <c r="B102" i="116" s="1"/>
  <c r="D18" i="116" s="1"/>
  <c r="C7" i="116"/>
  <c r="C8" i="116"/>
  <c r="C42" i="116"/>
  <c r="C43" i="116"/>
  <c r="C44" i="116"/>
  <c r="C19" i="116" s="1"/>
  <c r="E7" i="116"/>
  <c r="C92" i="116"/>
  <c r="C102" i="116" s="1"/>
  <c r="E18" i="116" s="1"/>
  <c r="H84" i="116"/>
  <c r="B7" i="116"/>
  <c r="B43" i="116"/>
  <c r="B42" i="116"/>
  <c r="C18" i="116" s="1"/>
  <c r="B44" i="116"/>
  <c r="B8" i="116"/>
  <c r="E103" i="115"/>
  <c r="E104" i="115"/>
  <c r="D7" i="115"/>
  <c r="B64" i="115"/>
  <c r="B62" i="115"/>
  <c r="B18" i="115" s="1"/>
  <c r="B63" i="115"/>
  <c r="B73" i="115"/>
  <c r="B82" i="115" s="1"/>
  <c r="C73" i="115"/>
  <c r="C82" i="115" s="1"/>
  <c r="B92" i="115"/>
  <c r="B102" i="115" s="1"/>
  <c r="D18" i="115" s="1"/>
  <c r="E73" i="115"/>
  <c r="E82" i="115" s="1"/>
  <c r="H84" i="115"/>
  <c r="F102" i="115"/>
  <c r="C63" i="115"/>
  <c r="C62" i="115"/>
  <c r="C64" i="115"/>
  <c r="B19" i="115" s="1"/>
  <c r="B7" i="115"/>
  <c r="B42" i="115"/>
  <c r="C18" i="115" s="1"/>
  <c r="B8" i="115"/>
  <c r="B43" i="115"/>
  <c r="B44" i="115"/>
  <c r="G102" i="115"/>
  <c r="F73" i="115"/>
  <c r="C92" i="115"/>
  <c r="C102" i="115" s="1"/>
  <c r="E18" i="115" s="1"/>
  <c r="C7" i="115"/>
  <c r="C43" i="115"/>
  <c r="C42" i="115"/>
  <c r="C8" i="115"/>
  <c r="C44" i="115"/>
  <c r="C19" i="115" s="1"/>
  <c r="F103" i="115"/>
  <c r="F104" i="115"/>
  <c r="D84" i="115"/>
  <c r="B7" i="114"/>
  <c r="B8" i="114"/>
  <c r="B44" i="114"/>
  <c r="B42" i="114"/>
  <c r="C18" i="114" s="1"/>
  <c r="B43" i="114"/>
  <c r="B73" i="114"/>
  <c r="B82" i="114" s="1"/>
  <c r="C92" i="114"/>
  <c r="C102" i="114" s="1"/>
  <c r="E18" i="114" s="1"/>
  <c r="G84" i="114"/>
  <c r="E103" i="114"/>
  <c r="E104" i="114"/>
  <c r="D7" i="114"/>
  <c r="B64" i="114"/>
  <c r="B62" i="114"/>
  <c r="B18" i="114" s="1"/>
  <c r="B63" i="114"/>
  <c r="E73" i="114"/>
  <c r="E82" i="114" s="1"/>
  <c r="C7" i="114"/>
  <c r="C8" i="114"/>
  <c r="C43" i="114"/>
  <c r="C42" i="114"/>
  <c r="C44" i="114"/>
  <c r="C19" i="114" s="1"/>
  <c r="B92" i="114"/>
  <c r="B102" i="114" s="1"/>
  <c r="D18" i="114" s="1"/>
  <c r="F92" i="114"/>
  <c r="C83" i="114"/>
  <c r="C84" i="114"/>
  <c r="E19" i="114" s="1"/>
  <c r="H102" i="114"/>
  <c r="G102" i="114"/>
  <c r="C64" i="114"/>
  <c r="B19" i="114" s="1"/>
  <c r="C62" i="114"/>
  <c r="C63" i="114"/>
  <c r="B104" i="112"/>
  <c r="B103" i="112"/>
  <c r="E104" i="112"/>
  <c r="E103" i="112"/>
  <c r="D7" i="112"/>
  <c r="G84" i="112"/>
  <c r="C73" i="112"/>
  <c r="C82" i="112" s="1"/>
  <c r="C92" i="112"/>
  <c r="C102" i="112" s="1"/>
  <c r="E18" i="112" s="1"/>
  <c r="F73" i="112"/>
  <c r="F92" i="112"/>
  <c r="B64" i="112"/>
  <c r="B62" i="112"/>
  <c r="B18" i="112" s="1"/>
  <c r="B63" i="112"/>
  <c r="B102" i="112"/>
  <c r="D18" i="112" s="1"/>
  <c r="C63" i="112"/>
  <c r="C62" i="112"/>
  <c r="C64" i="112"/>
  <c r="B19" i="112" s="1"/>
  <c r="B84" i="112"/>
  <c r="D19" i="112" s="1"/>
  <c r="B83" i="112"/>
  <c r="B7" i="112"/>
  <c r="B8" i="112"/>
  <c r="B42" i="112"/>
  <c r="C18" i="112" s="1"/>
  <c r="B43" i="112"/>
  <c r="B44" i="112"/>
  <c r="G102" i="112"/>
  <c r="E83" i="112"/>
  <c r="E7" i="112"/>
  <c r="C7" i="112"/>
  <c r="C44" i="112"/>
  <c r="C19" i="112" s="1"/>
  <c r="C43" i="112"/>
  <c r="C8" i="112"/>
  <c r="C42" i="112"/>
  <c r="E103" i="109"/>
  <c r="E104" i="109"/>
  <c r="D7" i="109"/>
  <c r="C92" i="109"/>
  <c r="C102" i="109" s="1"/>
  <c r="E18" i="109" s="1"/>
  <c r="C73" i="109"/>
  <c r="C82" i="109" s="1"/>
  <c r="D73" i="109"/>
  <c r="D82" i="109" s="1"/>
  <c r="E83" i="109"/>
  <c r="E82" i="109"/>
  <c r="B7" i="109"/>
  <c r="B44" i="109"/>
  <c r="B8" i="109"/>
  <c r="B43" i="109"/>
  <c r="B42" i="109"/>
  <c r="C18" i="109" s="1"/>
  <c r="G102" i="109"/>
  <c r="F73" i="109"/>
  <c r="F84" i="109" s="1"/>
  <c r="E7" i="109"/>
  <c r="B64" i="109"/>
  <c r="B62" i="109"/>
  <c r="B18" i="109" s="1"/>
  <c r="B63" i="109"/>
  <c r="H102" i="109"/>
  <c r="B92" i="109"/>
  <c r="H84" i="109"/>
  <c r="C62" i="109"/>
  <c r="C64" i="109"/>
  <c r="B19" i="109" s="1"/>
  <c r="C63" i="109"/>
  <c r="B73" i="109"/>
  <c r="B82" i="109" s="1"/>
  <c r="F92" i="109"/>
  <c r="I18" i="109" s="1"/>
  <c r="C7" i="109"/>
  <c r="C8" i="109"/>
  <c r="C42" i="109"/>
  <c r="C43" i="109"/>
  <c r="C44" i="109"/>
  <c r="C19" i="109" s="1"/>
  <c r="E83" i="105"/>
  <c r="E83" i="102"/>
  <c r="D92" i="102"/>
  <c r="AB128" i="102" s="1"/>
  <c r="C63" i="102"/>
  <c r="C62" i="102"/>
  <c r="C64" i="102"/>
  <c r="B19" i="102" s="1"/>
  <c r="C92" i="102"/>
  <c r="C102" i="102" s="1"/>
  <c r="E18" i="102" s="1"/>
  <c r="B7" i="102"/>
  <c r="B42" i="102"/>
  <c r="C18" i="102" s="1"/>
  <c r="B44" i="102"/>
  <c r="B43" i="102"/>
  <c r="B8" i="102"/>
  <c r="E7" i="102"/>
  <c r="E82" i="102"/>
  <c r="B62" i="102"/>
  <c r="B18" i="102" s="1"/>
  <c r="B63" i="102"/>
  <c r="B64" i="102"/>
  <c r="E104" i="102"/>
  <c r="E103" i="102"/>
  <c r="D7" i="102"/>
  <c r="C73" i="102"/>
  <c r="C82" i="102" s="1"/>
  <c r="F92" i="102"/>
  <c r="I18" i="102" s="1"/>
  <c r="B73" i="102"/>
  <c r="B82" i="102" s="1"/>
  <c r="B92" i="102"/>
  <c r="B102" i="102" s="1"/>
  <c r="D18" i="102" s="1"/>
  <c r="C8" i="102"/>
  <c r="C44" i="102"/>
  <c r="C19" i="102" s="1"/>
  <c r="C7" i="102"/>
  <c r="C42" i="102"/>
  <c r="C43" i="102"/>
  <c r="D92" i="99"/>
  <c r="D102" i="99" s="1"/>
  <c r="C7" i="99"/>
  <c r="C43" i="99"/>
  <c r="C8" i="99"/>
  <c r="C42" i="99"/>
  <c r="C44" i="99"/>
  <c r="C19" i="99" s="1"/>
  <c r="H102" i="99"/>
  <c r="B73" i="99"/>
  <c r="B82" i="99" s="1"/>
  <c r="D73" i="99"/>
  <c r="D82" i="99" s="1"/>
  <c r="C63" i="99"/>
  <c r="C64" i="99"/>
  <c r="B19" i="99" s="1"/>
  <c r="C62" i="99"/>
  <c r="E73" i="99"/>
  <c r="E82" i="99" s="1"/>
  <c r="H84" i="99"/>
  <c r="E103" i="99"/>
  <c r="E104" i="99"/>
  <c r="D7" i="99"/>
  <c r="F73" i="99"/>
  <c r="I19" i="99" s="1"/>
  <c r="B7" i="99"/>
  <c r="B8" i="99"/>
  <c r="B42" i="99"/>
  <c r="C18" i="99" s="1"/>
  <c r="B44" i="99"/>
  <c r="B43" i="99"/>
  <c r="C92" i="99"/>
  <c r="G102" i="99"/>
  <c r="C73" i="99"/>
  <c r="C84" i="99" s="1"/>
  <c r="E19" i="99" s="1"/>
  <c r="B62" i="99"/>
  <c r="B18" i="99" s="1"/>
  <c r="B63" i="99"/>
  <c r="B64" i="99"/>
  <c r="F92" i="99"/>
  <c r="F102" i="99" s="1"/>
  <c r="B92" i="99"/>
  <c r="D102" i="95"/>
  <c r="D103" i="95"/>
  <c r="C83" i="105"/>
  <c r="E7" i="105"/>
  <c r="C84" i="105"/>
  <c r="E19" i="105" s="1"/>
  <c r="G84" i="105"/>
  <c r="B104" i="105"/>
  <c r="B103" i="105"/>
  <c r="F104" i="105"/>
  <c r="F103" i="105"/>
  <c r="C104" i="105"/>
  <c r="C103" i="105"/>
  <c r="E7" i="95"/>
  <c r="D84" i="95"/>
  <c r="D83" i="95"/>
  <c r="E83" i="95"/>
  <c r="C83" i="95"/>
  <c r="F103" i="95"/>
  <c r="F104" i="95"/>
  <c r="G84" i="95"/>
  <c r="C103" i="95"/>
  <c r="C104" i="95"/>
  <c r="B103" i="95"/>
  <c r="B104" i="95"/>
  <c r="C84" i="95"/>
  <c r="E19" i="95" s="1"/>
  <c r="F77" i="15"/>
  <c r="G77" i="15"/>
  <c r="F74" i="15"/>
  <c r="F76" i="15"/>
  <c r="H77" i="15"/>
  <c r="H78" i="15"/>
  <c r="H69" i="15" a="1"/>
  <c r="R77" i="15" a="1"/>
  <c r="R78" i="15" a="1"/>
  <c r="F73" i="15" a="1"/>
  <c r="F75" i="15" a="1"/>
  <c r="D77" i="15" a="1"/>
  <c r="H70" i="15" a="1"/>
  <c r="K69" i="15" a="1"/>
  <c r="K70" i="15" a="1"/>
  <c r="D78" i="15" a="1"/>
  <c r="E77" i="15" a="1"/>
  <c r="AA47" i="115" l="1"/>
  <c r="AA53" i="115"/>
  <c r="D83" i="116"/>
  <c r="D84" i="116"/>
  <c r="AA72" i="115"/>
  <c r="AA93" i="115"/>
  <c r="AA92" i="115"/>
  <c r="AA108" i="115"/>
  <c r="AA124" i="115"/>
  <c r="AA54" i="115"/>
  <c r="D84" i="112"/>
  <c r="D102" i="112"/>
  <c r="AA54" i="116"/>
  <c r="AA93" i="116"/>
  <c r="AA125" i="116"/>
  <c r="AA37" i="116"/>
  <c r="AA88" i="116"/>
  <c r="AA120" i="116"/>
  <c r="AA39" i="116"/>
  <c r="AA99" i="116"/>
  <c r="AA75" i="116"/>
  <c r="AA70" i="116"/>
  <c r="AA94" i="116"/>
  <c r="AA126" i="116"/>
  <c r="AA125" i="115"/>
  <c r="AA64" i="116"/>
  <c r="AA107" i="116"/>
  <c r="AA71" i="116"/>
  <c r="AA79" i="116"/>
  <c r="AA102" i="116"/>
  <c r="AA43" i="116"/>
  <c r="AA67" i="116"/>
  <c r="AA109" i="116"/>
  <c r="AA77" i="116"/>
  <c r="AA44" i="116"/>
  <c r="AA104" i="116"/>
  <c r="AA55" i="116"/>
  <c r="AA83" i="116"/>
  <c r="AA115" i="116"/>
  <c r="AA45" i="116"/>
  <c r="AA69" i="116"/>
  <c r="AA110" i="116"/>
  <c r="AA65" i="116"/>
  <c r="AA72" i="116"/>
  <c r="AA53" i="116"/>
  <c r="AA87" i="116"/>
  <c r="AA103" i="116"/>
  <c r="AA119" i="116"/>
  <c r="AA46" i="116"/>
  <c r="AA56" i="116"/>
  <c r="AA80" i="116"/>
  <c r="AA82" i="116"/>
  <c r="AA98" i="116"/>
  <c r="AA114" i="116"/>
  <c r="AA36" i="116"/>
  <c r="AA47" i="116"/>
  <c r="AA60" i="116"/>
  <c r="AA89" i="116"/>
  <c r="AA105" i="116"/>
  <c r="AA121" i="116"/>
  <c r="AA49" i="116"/>
  <c r="AA59" i="116"/>
  <c r="AA61" i="116"/>
  <c r="AA84" i="116"/>
  <c r="AA100" i="116"/>
  <c r="AA116" i="116"/>
  <c r="AA40" i="116"/>
  <c r="AA57" i="116"/>
  <c r="AA74" i="116"/>
  <c r="AA95" i="116"/>
  <c r="AA111" i="116"/>
  <c r="AA127" i="116"/>
  <c r="AA38" i="116"/>
  <c r="AA63" i="116"/>
  <c r="AA48" i="116"/>
  <c r="AA90" i="116"/>
  <c r="AA106" i="116"/>
  <c r="AA122" i="116"/>
  <c r="AA58" i="116"/>
  <c r="D104" i="114"/>
  <c r="AA78" i="116"/>
  <c r="AA81" i="116"/>
  <c r="AA97" i="116"/>
  <c r="AA113" i="116"/>
  <c r="AA129" i="116"/>
  <c r="AA41" i="116"/>
  <c r="AA66" i="116"/>
  <c r="AA51" i="116"/>
  <c r="AA92" i="116"/>
  <c r="AA108" i="116"/>
  <c r="AA124" i="116"/>
  <c r="D103" i="114"/>
  <c r="AA36" i="115"/>
  <c r="AA109" i="115"/>
  <c r="D102" i="114"/>
  <c r="D104" i="115"/>
  <c r="AA58" i="115"/>
  <c r="AA82" i="115"/>
  <c r="AA98" i="115"/>
  <c r="AA114" i="115"/>
  <c r="AA68" i="115"/>
  <c r="AA65" i="115"/>
  <c r="AA78" i="115"/>
  <c r="AA83" i="115"/>
  <c r="AA99" i="115"/>
  <c r="AA115" i="115"/>
  <c r="AA52" i="115"/>
  <c r="AA44" i="115"/>
  <c r="AA63" i="115"/>
  <c r="AA84" i="115"/>
  <c r="AA100" i="115"/>
  <c r="AA116" i="115"/>
  <c r="AA38" i="115"/>
  <c r="AA70" i="115"/>
  <c r="AA40" i="115"/>
  <c r="AA85" i="115"/>
  <c r="AA101" i="115"/>
  <c r="AA117" i="115"/>
  <c r="AA60" i="115"/>
  <c r="AA34" i="115"/>
  <c r="AA66" i="115"/>
  <c r="AA86" i="115"/>
  <c r="AA102" i="115"/>
  <c r="AA118" i="115"/>
  <c r="AA41" i="115"/>
  <c r="AA73" i="115"/>
  <c r="AA48" i="115"/>
  <c r="AA87" i="115"/>
  <c r="AA103" i="115"/>
  <c r="AA119" i="115"/>
  <c r="AA80" i="115"/>
  <c r="D102" i="116"/>
  <c r="AA39" i="115"/>
  <c r="AA71" i="115"/>
  <c r="AA88" i="115"/>
  <c r="AA104" i="115"/>
  <c r="AA120" i="115"/>
  <c r="AA46" i="115"/>
  <c r="AA37" i="115"/>
  <c r="AA56" i="115"/>
  <c r="AA89" i="115"/>
  <c r="AA105" i="115"/>
  <c r="AA121" i="115"/>
  <c r="AA35" i="115"/>
  <c r="AA42" i="115"/>
  <c r="AA75" i="115"/>
  <c r="AA90" i="115"/>
  <c r="AA106" i="115"/>
  <c r="AA122" i="115"/>
  <c r="AA49" i="115"/>
  <c r="AA45" i="115"/>
  <c r="AA64" i="115"/>
  <c r="AA91" i="115"/>
  <c r="AA107" i="115"/>
  <c r="AA123" i="115"/>
  <c r="AA59" i="115"/>
  <c r="AA50" i="115"/>
  <c r="AA74" i="115"/>
  <c r="AA94" i="115"/>
  <c r="AA110" i="115"/>
  <c r="AA126" i="115"/>
  <c r="AA57" i="115"/>
  <c r="AA61" i="115"/>
  <c r="AA77" i="115"/>
  <c r="AA95" i="115"/>
  <c r="AA111" i="115"/>
  <c r="AA127" i="115"/>
  <c r="AA55" i="115"/>
  <c r="AA79" i="115"/>
  <c r="AA96" i="115"/>
  <c r="AA112" i="115"/>
  <c r="AA128" i="115"/>
  <c r="AA62" i="115"/>
  <c r="AA69" i="115"/>
  <c r="AA81" i="115"/>
  <c r="AA97" i="115"/>
  <c r="AA113" i="115"/>
  <c r="AA129" i="115"/>
  <c r="S89" i="116"/>
  <c r="S106" i="116"/>
  <c r="AB117" i="116"/>
  <c r="G84" i="115"/>
  <c r="D83" i="115"/>
  <c r="S105" i="116"/>
  <c r="S122" i="116"/>
  <c r="AB46" i="116"/>
  <c r="S121" i="116"/>
  <c r="S78" i="116"/>
  <c r="AB52" i="116"/>
  <c r="S41" i="116"/>
  <c r="AB35" i="116"/>
  <c r="AB73" i="116"/>
  <c r="S69" i="116"/>
  <c r="AB47" i="116"/>
  <c r="AB84" i="116"/>
  <c r="S51" i="116"/>
  <c r="AB42" i="116"/>
  <c r="AB100" i="116"/>
  <c r="AB40" i="115"/>
  <c r="S61" i="116"/>
  <c r="AB85" i="116"/>
  <c r="AB116" i="116"/>
  <c r="S45" i="116"/>
  <c r="S90" i="116"/>
  <c r="AB101" i="116"/>
  <c r="S49" i="116"/>
  <c r="S91" i="116"/>
  <c r="S107" i="116"/>
  <c r="S123" i="116"/>
  <c r="S44" i="116"/>
  <c r="S73" i="116"/>
  <c r="S55" i="116"/>
  <c r="S65" i="116"/>
  <c r="S92" i="116"/>
  <c r="S108" i="116"/>
  <c r="S124" i="116"/>
  <c r="S39" i="116"/>
  <c r="AB61" i="116"/>
  <c r="AB50" i="116"/>
  <c r="AB53" i="116"/>
  <c r="AB87" i="116"/>
  <c r="AB103" i="116"/>
  <c r="AB119" i="116"/>
  <c r="AB49" i="116"/>
  <c r="AB56" i="116"/>
  <c r="AB80" i="116"/>
  <c r="AB86" i="116"/>
  <c r="AB102" i="116"/>
  <c r="AB118" i="116"/>
  <c r="S52" i="116"/>
  <c r="S93" i="116"/>
  <c r="S109" i="116"/>
  <c r="S125" i="116"/>
  <c r="S56" i="116"/>
  <c r="S76" i="116"/>
  <c r="S58" i="116"/>
  <c r="S68" i="116"/>
  <c r="S94" i="116"/>
  <c r="S110" i="116"/>
  <c r="S126" i="116"/>
  <c r="S42" i="116"/>
  <c r="AB68" i="116"/>
  <c r="AB54" i="116"/>
  <c r="AB60" i="116"/>
  <c r="AB89" i="116"/>
  <c r="AB105" i="116"/>
  <c r="AB121" i="116"/>
  <c r="AB71" i="116"/>
  <c r="AB59" i="116"/>
  <c r="AB44" i="116"/>
  <c r="AB88" i="116"/>
  <c r="AB104" i="116"/>
  <c r="AB120" i="116"/>
  <c r="S70" i="116"/>
  <c r="S95" i="116"/>
  <c r="S111" i="116"/>
  <c r="S127" i="116"/>
  <c r="S59" i="116"/>
  <c r="S80" i="116"/>
  <c r="S79" i="116"/>
  <c r="S75" i="116"/>
  <c r="S96" i="116"/>
  <c r="S112" i="116"/>
  <c r="S128" i="116"/>
  <c r="S46" i="116"/>
  <c r="AB72" i="116"/>
  <c r="AB57" i="116"/>
  <c r="AB64" i="116"/>
  <c r="AB91" i="116"/>
  <c r="AB107" i="116"/>
  <c r="AB123" i="116"/>
  <c r="AB77" i="116"/>
  <c r="AB36" i="116"/>
  <c r="AB48" i="116"/>
  <c r="AB90" i="116"/>
  <c r="AB106" i="116"/>
  <c r="AB122" i="116"/>
  <c r="D103" i="116"/>
  <c r="S77" i="116"/>
  <c r="S97" i="116"/>
  <c r="S113" i="116"/>
  <c r="S129" i="116"/>
  <c r="S63" i="116"/>
  <c r="S38" i="116"/>
  <c r="S34" i="116"/>
  <c r="S82" i="116"/>
  <c r="S98" i="116"/>
  <c r="S114" i="116"/>
  <c r="S35" i="116"/>
  <c r="S53" i="116"/>
  <c r="AB75" i="116"/>
  <c r="AB78" i="116"/>
  <c r="AB67" i="116"/>
  <c r="AB93" i="116"/>
  <c r="AB109" i="116"/>
  <c r="AB125" i="116"/>
  <c r="AB55" i="116"/>
  <c r="AB37" i="116"/>
  <c r="AB51" i="116"/>
  <c r="AB92" i="116"/>
  <c r="AB108" i="116"/>
  <c r="AB124" i="116"/>
  <c r="S83" i="116"/>
  <c r="S99" i="116"/>
  <c r="S115" i="116"/>
  <c r="S71" i="116"/>
  <c r="S66" i="116"/>
  <c r="S67" i="116"/>
  <c r="S40" i="116"/>
  <c r="S84" i="116"/>
  <c r="S100" i="116"/>
  <c r="S116" i="116"/>
  <c r="S47" i="116"/>
  <c r="S57" i="116"/>
  <c r="AB79" i="116"/>
  <c r="AB58" i="116"/>
  <c r="AB74" i="116"/>
  <c r="AB95" i="116"/>
  <c r="AB111" i="116"/>
  <c r="AB127" i="116"/>
  <c r="AB38" i="116"/>
  <c r="AB63" i="116"/>
  <c r="AB69" i="116"/>
  <c r="AB94" i="116"/>
  <c r="AB110" i="116"/>
  <c r="AB126" i="116"/>
  <c r="S85" i="116"/>
  <c r="S101" i="116"/>
  <c r="S117" i="116"/>
  <c r="S81" i="116"/>
  <c r="S36" i="116"/>
  <c r="S74" i="116"/>
  <c r="S43" i="116"/>
  <c r="S86" i="116"/>
  <c r="S102" i="116"/>
  <c r="S118" i="116"/>
  <c r="S50" i="116"/>
  <c r="S60" i="116"/>
  <c r="AB40" i="116"/>
  <c r="AB65" i="116"/>
  <c r="AB81" i="116"/>
  <c r="AB97" i="116"/>
  <c r="AB113" i="116"/>
  <c r="AB129" i="116"/>
  <c r="AB41" i="116"/>
  <c r="AB66" i="116"/>
  <c r="AB76" i="116"/>
  <c r="AB96" i="116"/>
  <c r="AB112" i="116"/>
  <c r="AB128" i="116"/>
  <c r="S64" i="116"/>
  <c r="S87" i="116"/>
  <c r="S103" i="116"/>
  <c r="S119" i="116"/>
  <c r="S37" i="116"/>
  <c r="S62" i="116"/>
  <c r="S48" i="116"/>
  <c r="S54" i="116"/>
  <c r="S88" i="116"/>
  <c r="S104" i="116"/>
  <c r="S120" i="116"/>
  <c r="S72" i="116"/>
  <c r="AB43" i="116"/>
  <c r="AB62" i="116"/>
  <c r="AB39" i="116"/>
  <c r="AB83" i="116"/>
  <c r="AB99" i="116"/>
  <c r="AB115" i="116"/>
  <c r="AB34" i="116"/>
  <c r="AB45" i="116"/>
  <c r="AB70" i="116"/>
  <c r="AB82" i="116"/>
  <c r="AB98" i="116"/>
  <c r="AB67" i="115"/>
  <c r="AB97" i="115"/>
  <c r="AB66" i="115"/>
  <c r="AB84" i="115"/>
  <c r="AB116" i="115"/>
  <c r="AB70" i="115"/>
  <c r="AB93" i="115"/>
  <c r="AA43" i="115"/>
  <c r="AB72" i="115"/>
  <c r="AB115" i="115"/>
  <c r="AB76" i="115"/>
  <c r="AB101" i="115"/>
  <c r="AB39" i="115"/>
  <c r="AB71" i="115"/>
  <c r="AB86" i="115"/>
  <c r="AB102" i="115"/>
  <c r="AB118" i="115"/>
  <c r="AB73" i="115"/>
  <c r="AB65" i="115"/>
  <c r="AB121" i="115"/>
  <c r="AB111" i="115"/>
  <c r="AB34" i="115"/>
  <c r="AB100" i="115"/>
  <c r="AB62" i="115"/>
  <c r="D102" i="115"/>
  <c r="AA51" i="115"/>
  <c r="AB85" i="115"/>
  <c r="AB119" i="115"/>
  <c r="AB48" i="115"/>
  <c r="AB105" i="115"/>
  <c r="AB42" i="115"/>
  <c r="AB75" i="115"/>
  <c r="AB88" i="115"/>
  <c r="AB104" i="115"/>
  <c r="AB120" i="115"/>
  <c r="AB78" i="115"/>
  <c r="AB37" i="115"/>
  <c r="AB36" i="115"/>
  <c r="AA67" i="115"/>
  <c r="AB95" i="115"/>
  <c r="AB35" i="115"/>
  <c r="AB77" i="115"/>
  <c r="AB113" i="115"/>
  <c r="AB50" i="115"/>
  <c r="AB125" i="115"/>
  <c r="AB92" i="115"/>
  <c r="AB108" i="115"/>
  <c r="AB124" i="115"/>
  <c r="AB46" i="115"/>
  <c r="AB53" i="115"/>
  <c r="AB52" i="115"/>
  <c r="AB99" i="115"/>
  <c r="AB43" i="115"/>
  <c r="AB81" i="115"/>
  <c r="AB117" i="115"/>
  <c r="AB55" i="115"/>
  <c r="AB74" i="115"/>
  <c r="AB94" i="115"/>
  <c r="AB110" i="115"/>
  <c r="AB126" i="115"/>
  <c r="AB49" i="115"/>
  <c r="AB61" i="115"/>
  <c r="AB60" i="115"/>
  <c r="AB89" i="115"/>
  <c r="AB127" i="115"/>
  <c r="AB56" i="115"/>
  <c r="AB109" i="115"/>
  <c r="AB47" i="115"/>
  <c r="AB83" i="115"/>
  <c r="AB90" i="115"/>
  <c r="AB106" i="115"/>
  <c r="AB122" i="115"/>
  <c r="AB38" i="115"/>
  <c r="AB45" i="115"/>
  <c r="AB44" i="115"/>
  <c r="AB103" i="115"/>
  <c r="AB51" i="115"/>
  <c r="AB87" i="115"/>
  <c r="AB123" i="115"/>
  <c r="AB58" i="115"/>
  <c r="AB79" i="115"/>
  <c r="AB96" i="115"/>
  <c r="AB112" i="115"/>
  <c r="AB128" i="115"/>
  <c r="AB54" i="115"/>
  <c r="AB69" i="115"/>
  <c r="AB68" i="115"/>
  <c r="D103" i="115"/>
  <c r="AB107" i="115"/>
  <c r="AB59" i="115"/>
  <c r="AB91" i="115"/>
  <c r="AB129" i="115"/>
  <c r="AB63" i="115"/>
  <c r="AB82" i="115"/>
  <c r="AB98" i="115"/>
  <c r="AB114" i="115"/>
  <c r="AB41" i="115"/>
  <c r="AB57" i="115"/>
  <c r="AB64" i="115"/>
  <c r="D84" i="114"/>
  <c r="D83" i="114"/>
  <c r="AB101" i="112"/>
  <c r="AB81" i="112"/>
  <c r="AB40" i="112"/>
  <c r="AB35" i="112"/>
  <c r="AB50" i="112"/>
  <c r="AB84" i="112"/>
  <c r="AB110" i="112"/>
  <c r="AB71" i="112"/>
  <c r="AB126" i="112"/>
  <c r="AB55" i="112"/>
  <c r="AB45" i="112"/>
  <c r="AB54" i="112"/>
  <c r="AB92" i="112"/>
  <c r="AB43" i="112"/>
  <c r="AB80" i="112"/>
  <c r="AB122" i="112"/>
  <c r="AB37" i="112"/>
  <c r="AB65" i="112"/>
  <c r="AB83" i="112"/>
  <c r="AB89" i="112"/>
  <c r="AB128" i="112"/>
  <c r="AB66" i="112"/>
  <c r="AB44" i="112"/>
  <c r="AB118" i="112"/>
  <c r="AB78" i="112"/>
  <c r="AB38" i="112"/>
  <c r="AB121" i="112"/>
  <c r="AB41" i="112"/>
  <c r="AB88" i="112"/>
  <c r="AB57" i="112"/>
  <c r="AB34" i="112"/>
  <c r="AB116" i="112"/>
  <c r="AB36" i="112"/>
  <c r="AB98" i="112"/>
  <c r="AB68" i="112"/>
  <c r="AB62" i="112"/>
  <c r="AB109" i="112"/>
  <c r="AB87" i="112"/>
  <c r="AB90" i="112"/>
  <c r="AB108" i="114"/>
  <c r="AB46" i="114"/>
  <c r="AB45" i="114"/>
  <c r="AB85" i="114"/>
  <c r="AB40" i="114"/>
  <c r="AB101" i="114"/>
  <c r="AB82" i="114"/>
  <c r="AB117" i="114"/>
  <c r="AB114" i="114"/>
  <c r="AB56" i="114"/>
  <c r="AB68" i="114"/>
  <c r="AB59" i="114"/>
  <c r="AB44" i="114"/>
  <c r="AB86" i="114"/>
  <c r="AB118" i="114"/>
  <c r="AB47" i="114"/>
  <c r="AB112" i="114"/>
  <c r="AB53" i="114"/>
  <c r="AB49" i="114"/>
  <c r="AB87" i="114"/>
  <c r="AB103" i="114"/>
  <c r="AB119" i="114"/>
  <c r="AB60" i="114"/>
  <c r="AB62" i="114"/>
  <c r="AB55" i="114"/>
  <c r="AB90" i="114"/>
  <c r="AB122" i="114"/>
  <c r="AB84" i="114"/>
  <c r="AB116" i="114"/>
  <c r="AB57" i="114"/>
  <c r="AB63" i="114"/>
  <c r="AB89" i="114"/>
  <c r="AB105" i="114"/>
  <c r="AB121" i="114"/>
  <c r="AB37" i="114"/>
  <c r="AB69" i="114"/>
  <c r="AB51" i="114"/>
  <c r="AB94" i="114"/>
  <c r="AB128" i="114"/>
  <c r="AB88" i="114"/>
  <c r="AB120" i="114"/>
  <c r="AB71" i="114"/>
  <c r="AB67" i="114"/>
  <c r="AB91" i="114"/>
  <c r="AB107" i="114"/>
  <c r="AB123" i="114"/>
  <c r="AB41" i="114"/>
  <c r="AB73" i="114"/>
  <c r="AB54" i="114"/>
  <c r="AB98" i="114"/>
  <c r="AB39" i="114"/>
  <c r="AB92" i="114"/>
  <c r="AB124" i="114"/>
  <c r="AB75" i="114"/>
  <c r="AB70" i="114"/>
  <c r="AB93" i="114"/>
  <c r="AB109" i="114"/>
  <c r="AB125" i="114"/>
  <c r="AB48" i="114"/>
  <c r="AB36" i="114"/>
  <c r="AB61" i="114"/>
  <c r="AB102" i="114"/>
  <c r="AB43" i="114"/>
  <c r="AB96" i="114"/>
  <c r="AB126" i="114"/>
  <c r="AB78" i="114"/>
  <c r="AB77" i="114"/>
  <c r="AB95" i="114"/>
  <c r="AB111" i="114"/>
  <c r="AB127" i="114"/>
  <c r="AB52" i="114"/>
  <c r="AB58" i="114"/>
  <c r="AB65" i="114"/>
  <c r="AB106" i="114"/>
  <c r="AB50" i="114"/>
  <c r="AB100" i="114"/>
  <c r="AB35" i="114"/>
  <c r="AB34" i="114"/>
  <c r="AB81" i="114"/>
  <c r="AB97" i="114"/>
  <c r="AB113" i="114"/>
  <c r="AB129" i="114"/>
  <c r="AB66" i="114"/>
  <c r="AB72" i="114"/>
  <c r="AB79" i="114"/>
  <c r="AB110" i="114"/>
  <c r="AB64" i="114"/>
  <c r="AB104" i="114"/>
  <c r="AB42" i="114"/>
  <c r="AB74" i="114"/>
  <c r="AB83" i="114"/>
  <c r="AB99" i="114"/>
  <c r="AB115" i="114"/>
  <c r="AB38" i="114"/>
  <c r="AB80" i="114"/>
  <c r="AB93" i="112"/>
  <c r="AB48" i="112"/>
  <c r="AB111" i="112"/>
  <c r="AB106" i="112"/>
  <c r="AB56" i="112"/>
  <c r="AB125" i="112"/>
  <c r="AB95" i="112"/>
  <c r="AB77" i="112"/>
  <c r="AB102" i="112"/>
  <c r="D82" i="112"/>
  <c r="AB123" i="112"/>
  <c r="AB117" i="112"/>
  <c r="AB72" i="112"/>
  <c r="AB46" i="112"/>
  <c r="AB99" i="112"/>
  <c r="AB67" i="112"/>
  <c r="AB58" i="112"/>
  <c r="AB52" i="112"/>
  <c r="AB103" i="112"/>
  <c r="AB76" i="112"/>
  <c r="AB94" i="112"/>
  <c r="AB107" i="112"/>
  <c r="AB108" i="112"/>
  <c r="AB82" i="112"/>
  <c r="AB74" i="112"/>
  <c r="AB115" i="112"/>
  <c r="AB61" i="112"/>
  <c r="AB69" i="112"/>
  <c r="AB47" i="112"/>
  <c r="AB119" i="112"/>
  <c r="AB73" i="112"/>
  <c r="AB63" i="112"/>
  <c r="AB113" i="112"/>
  <c r="AB85" i="112"/>
  <c r="AB91" i="112"/>
  <c r="AB79" i="112"/>
  <c r="AB97" i="112"/>
  <c r="AB112" i="112"/>
  <c r="AB129" i="112"/>
  <c r="AB120" i="112"/>
  <c r="AB59" i="112"/>
  <c r="AB124" i="112"/>
  <c r="AB60" i="112"/>
  <c r="AB53" i="112"/>
  <c r="AB39" i="112"/>
  <c r="AB75" i="112"/>
  <c r="AB42" i="112"/>
  <c r="AB70" i="112"/>
  <c r="AB105" i="112"/>
  <c r="AB64" i="112"/>
  <c r="AB114" i="112"/>
  <c r="AB104" i="112"/>
  <c r="AB51" i="112"/>
  <c r="AB86" i="112"/>
  <c r="AB127" i="112"/>
  <c r="AB100" i="112"/>
  <c r="AB49" i="112"/>
  <c r="AB96" i="112"/>
  <c r="G18" i="109"/>
  <c r="I19" i="109"/>
  <c r="I18" i="99"/>
  <c r="I19" i="102"/>
  <c r="S79" i="102"/>
  <c r="S51" i="102"/>
  <c r="S59" i="102"/>
  <c r="AB36" i="102"/>
  <c r="AB61" i="102"/>
  <c r="AB76" i="102"/>
  <c r="S62" i="102"/>
  <c r="S45" i="102"/>
  <c r="S82" i="102"/>
  <c r="AB52" i="102"/>
  <c r="AB79" i="102"/>
  <c r="AB66" i="102"/>
  <c r="S57" i="102"/>
  <c r="S89" i="102"/>
  <c r="S94" i="102"/>
  <c r="AB39" i="102"/>
  <c r="AB87" i="102"/>
  <c r="AB82" i="102"/>
  <c r="S43" i="102"/>
  <c r="S93" i="102"/>
  <c r="S98" i="102"/>
  <c r="AB38" i="102"/>
  <c r="AB91" i="102"/>
  <c r="AB86" i="102"/>
  <c r="S40" i="102"/>
  <c r="S105" i="102"/>
  <c r="S110" i="102"/>
  <c r="AB48" i="102"/>
  <c r="AB103" i="102"/>
  <c r="AB98" i="102"/>
  <c r="S67" i="102"/>
  <c r="S109" i="102"/>
  <c r="S114" i="102"/>
  <c r="AB57" i="102"/>
  <c r="AB107" i="102"/>
  <c r="AB102" i="102"/>
  <c r="S81" i="102"/>
  <c r="S121" i="102"/>
  <c r="S126" i="102"/>
  <c r="AB53" i="102"/>
  <c r="AB119" i="102"/>
  <c r="AB114" i="102"/>
  <c r="S53" i="102"/>
  <c r="S125" i="102"/>
  <c r="S58" i="102"/>
  <c r="AB78" i="102"/>
  <c r="AB123" i="102"/>
  <c r="AB118" i="102"/>
  <c r="S54" i="102"/>
  <c r="S64" i="102"/>
  <c r="S46" i="102"/>
  <c r="S37" i="102"/>
  <c r="S38" i="102"/>
  <c r="S91" i="102"/>
  <c r="S107" i="102"/>
  <c r="S123" i="102"/>
  <c r="S75" i="102"/>
  <c r="S96" i="102"/>
  <c r="S112" i="102"/>
  <c r="S128" i="102"/>
  <c r="AB46" i="102"/>
  <c r="AB70" i="102"/>
  <c r="AB54" i="102"/>
  <c r="AB75" i="102"/>
  <c r="AB72" i="102"/>
  <c r="AB89" i="102"/>
  <c r="AB105" i="102"/>
  <c r="AB121" i="102"/>
  <c r="AB59" i="102"/>
  <c r="AB84" i="102"/>
  <c r="AB100" i="102"/>
  <c r="AB116" i="102"/>
  <c r="S68" i="102"/>
  <c r="S50" i="102"/>
  <c r="S39" i="102"/>
  <c r="S74" i="102"/>
  <c r="S76" i="102"/>
  <c r="S95" i="102"/>
  <c r="S111" i="102"/>
  <c r="S127" i="102"/>
  <c r="S84" i="102"/>
  <c r="S100" i="102"/>
  <c r="S116" i="102"/>
  <c r="S65" i="102"/>
  <c r="AB58" i="102"/>
  <c r="AB51" i="102"/>
  <c r="AB64" i="102"/>
  <c r="AB35" i="102"/>
  <c r="AB67" i="102"/>
  <c r="AB93" i="102"/>
  <c r="AB109" i="102"/>
  <c r="AB125" i="102"/>
  <c r="AB73" i="102"/>
  <c r="AB88" i="102"/>
  <c r="AB104" i="102"/>
  <c r="AB120" i="102"/>
  <c r="S34" i="102"/>
  <c r="S69" i="102"/>
  <c r="S52" i="102"/>
  <c r="S35" i="102"/>
  <c r="S70" i="102"/>
  <c r="S97" i="102"/>
  <c r="S113" i="102"/>
  <c r="S129" i="102"/>
  <c r="S86" i="102"/>
  <c r="S102" i="102"/>
  <c r="S118" i="102"/>
  <c r="S72" i="102"/>
  <c r="AB60" i="102"/>
  <c r="AB55" i="102"/>
  <c r="AB37" i="102"/>
  <c r="AB68" i="102"/>
  <c r="AB74" i="102"/>
  <c r="AB95" i="102"/>
  <c r="AB111" i="102"/>
  <c r="AB127" i="102"/>
  <c r="AB80" i="102"/>
  <c r="AB90" i="102"/>
  <c r="AB106" i="102"/>
  <c r="AB122" i="102"/>
  <c r="S41" i="102"/>
  <c r="S47" i="102"/>
  <c r="S56" i="102"/>
  <c r="S42" i="102"/>
  <c r="S83" i="102"/>
  <c r="S99" i="102"/>
  <c r="S115" i="102"/>
  <c r="S66" i="102"/>
  <c r="S88" i="102"/>
  <c r="S104" i="102"/>
  <c r="S120" i="102"/>
  <c r="S78" i="102"/>
  <c r="AB65" i="102"/>
  <c r="AB62" i="102"/>
  <c r="AB44" i="102"/>
  <c r="AB40" i="102"/>
  <c r="AB81" i="102"/>
  <c r="AB97" i="102"/>
  <c r="AB113" i="102"/>
  <c r="AB129" i="102"/>
  <c r="AB56" i="102"/>
  <c r="AB92" i="102"/>
  <c r="AB108" i="102"/>
  <c r="AB124" i="102"/>
  <c r="S44" i="102"/>
  <c r="S61" i="102"/>
  <c r="S60" i="102"/>
  <c r="S49" i="102"/>
  <c r="S85" i="102"/>
  <c r="S101" i="102"/>
  <c r="S117" i="102"/>
  <c r="S73" i="102"/>
  <c r="S90" i="102"/>
  <c r="S106" i="102"/>
  <c r="S122" i="102"/>
  <c r="S71" i="102"/>
  <c r="AB42" i="102"/>
  <c r="AB34" i="102"/>
  <c r="AB45" i="102"/>
  <c r="AB43" i="102"/>
  <c r="AB83" i="102"/>
  <c r="AB99" i="102"/>
  <c r="AB115" i="102"/>
  <c r="AB71" i="102"/>
  <c r="AB63" i="102"/>
  <c r="AB94" i="102"/>
  <c r="AB110" i="102"/>
  <c r="AB126" i="102"/>
  <c r="S48" i="102"/>
  <c r="S36" i="102"/>
  <c r="S63" i="102"/>
  <c r="S55" i="102"/>
  <c r="S87" i="102"/>
  <c r="S103" i="102"/>
  <c r="S119" i="102"/>
  <c r="S80" i="102"/>
  <c r="S92" i="102"/>
  <c r="S108" i="102"/>
  <c r="S124" i="102"/>
  <c r="S77" i="102"/>
  <c r="AB49" i="102"/>
  <c r="AB41" i="102"/>
  <c r="AB50" i="102"/>
  <c r="AB47" i="102"/>
  <c r="AB85" i="102"/>
  <c r="AB101" i="102"/>
  <c r="AB117" i="102"/>
  <c r="AB77" i="102"/>
  <c r="AB69" i="102"/>
  <c r="AB96" i="102"/>
  <c r="AB112" i="102"/>
  <c r="AB37" i="99"/>
  <c r="AB70" i="99"/>
  <c r="AB98" i="99"/>
  <c r="AB129" i="99"/>
  <c r="AB114" i="99"/>
  <c r="S71" i="99"/>
  <c r="S99" i="99"/>
  <c r="AB41" i="99"/>
  <c r="S62" i="99"/>
  <c r="AB82" i="99"/>
  <c r="AB113" i="99"/>
  <c r="S83" i="99"/>
  <c r="AB69" i="99"/>
  <c r="S57" i="99"/>
  <c r="S104" i="99"/>
  <c r="AB52" i="99"/>
  <c r="S74" i="99"/>
  <c r="S121" i="99"/>
  <c r="AB81" i="99"/>
  <c r="S98" i="99"/>
  <c r="S54" i="99"/>
  <c r="AB97" i="99"/>
  <c r="S70" i="99"/>
  <c r="S114" i="99"/>
  <c r="AB84" i="99"/>
  <c r="AB58" i="99"/>
  <c r="AB73" i="99"/>
  <c r="AB99" i="99"/>
  <c r="AB115" i="99"/>
  <c r="AB116" i="99"/>
  <c r="S90" i="99"/>
  <c r="S81" i="99"/>
  <c r="S123" i="99"/>
  <c r="S101" i="99"/>
  <c r="S85" i="99"/>
  <c r="S111" i="99"/>
  <c r="S80" i="99"/>
  <c r="S37" i="99"/>
  <c r="S129" i="99"/>
  <c r="S72" i="99"/>
  <c r="S116" i="99"/>
  <c r="AB40" i="99"/>
  <c r="AB86" i="99"/>
  <c r="AB55" i="99"/>
  <c r="AB36" i="99"/>
  <c r="AB42" i="99"/>
  <c r="AB62" i="99"/>
  <c r="AB85" i="99"/>
  <c r="AB59" i="99"/>
  <c r="AB101" i="99"/>
  <c r="AB117" i="99"/>
  <c r="AB102" i="99"/>
  <c r="AB118" i="99"/>
  <c r="S108" i="99"/>
  <c r="S109" i="99"/>
  <c r="S35" i="99"/>
  <c r="S105" i="99"/>
  <c r="S41" i="99"/>
  <c r="S87" i="99"/>
  <c r="S119" i="99"/>
  <c r="S102" i="99"/>
  <c r="S44" i="99"/>
  <c r="S36" i="99"/>
  <c r="S75" i="99"/>
  <c r="S118" i="99"/>
  <c r="AB80" i="99"/>
  <c r="AB48" i="99"/>
  <c r="AB39" i="99"/>
  <c r="AB83" i="99"/>
  <c r="AB77" i="99"/>
  <c r="AB100" i="99"/>
  <c r="S34" i="99"/>
  <c r="AB44" i="99"/>
  <c r="AB88" i="99"/>
  <c r="AB47" i="99"/>
  <c r="AB43" i="99"/>
  <c r="AB46" i="99"/>
  <c r="AB35" i="99"/>
  <c r="AB87" i="99"/>
  <c r="AB34" i="99"/>
  <c r="AB103" i="99"/>
  <c r="AB119" i="99"/>
  <c r="AB104" i="99"/>
  <c r="AB120" i="99"/>
  <c r="S67" i="99"/>
  <c r="S117" i="99"/>
  <c r="S64" i="99"/>
  <c r="S50" i="99"/>
  <c r="S45" i="99"/>
  <c r="S89" i="99"/>
  <c r="S127" i="99"/>
  <c r="S106" i="99"/>
  <c r="S58" i="99"/>
  <c r="S96" i="99"/>
  <c r="S79" i="99"/>
  <c r="S120" i="99"/>
  <c r="AB51" i="99"/>
  <c r="AB90" i="99"/>
  <c r="AB50" i="99"/>
  <c r="AB57" i="99"/>
  <c r="AB53" i="99"/>
  <c r="AB49" i="99"/>
  <c r="AB89" i="99"/>
  <c r="AB38" i="99"/>
  <c r="AB105" i="99"/>
  <c r="AB121" i="99"/>
  <c r="AB106" i="99"/>
  <c r="AB122" i="99"/>
  <c r="S42" i="99"/>
  <c r="S125" i="99"/>
  <c r="S38" i="99"/>
  <c r="S82" i="99"/>
  <c r="S52" i="99"/>
  <c r="S91" i="99"/>
  <c r="S88" i="99"/>
  <c r="S86" i="99"/>
  <c r="S65" i="99"/>
  <c r="S39" i="99"/>
  <c r="S103" i="99"/>
  <c r="S122" i="99"/>
  <c r="AB65" i="99"/>
  <c r="AB92" i="99"/>
  <c r="AB54" i="99"/>
  <c r="AB64" i="99"/>
  <c r="AB71" i="99"/>
  <c r="AB56" i="99"/>
  <c r="AB91" i="99"/>
  <c r="AB45" i="99"/>
  <c r="AB107" i="99"/>
  <c r="AB123" i="99"/>
  <c r="AB108" i="99"/>
  <c r="AB124" i="99"/>
  <c r="S49" i="99"/>
  <c r="S61" i="99"/>
  <c r="S56" i="99"/>
  <c r="S92" i="99"/>
  <c r="S66" i="99"/>
  <c r="S93" i="99"/>
  <c r="S48" i="99"/>
  <c r="S94" i="99"/>
  <c r="S69" i="99"/>
  <c r="S40" i="99"/>
  <c r="S107" i="99"/>
  <c r="S124" i="99"/>
  <c r="AB72" i="99"/>
  <c r="AB94" i="99"/>
  <c r="AB61" i="99"/>
  <c r="AB68" i="99"/>
  <c r="AB74" i="99"/>
  <c r="AB60" i="99"/>
  <c r="AB93" i="99"/>
  <c r="AB63" i="99"/>
  <c r="AB109" i="99"/>
  <c r="AB125" i="99"/>
  <c r="AB110" i="99"/>
  <c r="AB126" i="99"/>
  <c r="S53" i="99"/>
  <c r="S68" i="99"/>
  <c r="S59" i="99"/>
  <c r="S100" i="99"/>
  <c r="S73" i="99"/>
  <c r="S95" i="99"/>
  <c r="S51" i="99"/>
  <c r="S46" i="99"/>
  <c r="S76" i="99"/>
  <c r="S43" i="99"/>
  <c r="S110" i="99"/>
  <c r="S126" i="99"/>
  <c r="AB76" i="99"/>
  <c r="AB96" i="99"/>
  <c r="AB79" i="99"/>
  <c r="AB75" i="99"/>
  <c r="AB78" i="99"/>
  <c r="AB67" i="99"/>
  <c r="AB95" i="99"/>
  <c r="AB66" i="99"/>
  <c r="AB111" i="99"/>
  <c r="AB127" i="99"/>
  <c r="AB112" i="99"/>
  <c r="AB128" i="99"/>
  <c r="S60" i="99"/>
  <c r="S84" i="99"/>
  <c r="S63" i="99"/>
  <c r="S115" i="99"/>
  <c r="S77" i="99"/>
  <c r="S97" i="99"/>
  <c r="S55" i="99"/>
  <c r="S78" i="99"/>
  <c r="S113" i="99"/>
  <c r="S47" i="99"/>
  <c r="S112" i="99"/>
  <c r="S128" i="99"/>
  <c r="AB101" i="109"/>
  <c r="AB45" i="109"/>
  <c r="AB37" i="109"/>
  <c r="AB99" i="109"/>
  <c r="AB67" i="109"/>
  <c r="AB91" i="109"/>
  <c r="AB100" i="109"/>
  <c r="AB47" i="109"/>
  <c r="AB92" i="109"/>
  <c r="D102" i="109"/>
  <c r="AB109" i="109"/>
  <c r="AB36" i="109"/>
  <c r="AB90" i="109"/>
  <c r="AB122" i="109"/>
  <c r="AB68" i="109"/>
  <c r="AB54" i="109"/>
  <c r="AB86" i="109"/>
  <c r="AB60" i="109"/>
  <c r="AB103" i="109"/>
  <c r="AB77" i="109"/>
  <c r="AB46" i="109"/>
  <c r="AB106" i="109"/>
  <c r="AB123" i="109"/>
  <c r="AB69" i="109"/>
  <c r="AB124" i="109"/>
  <c r="AB78" i="109"/>
  <c r="AB107" i="109"/>
  <c r="AB74" i="109"/>
  <c r="AB105" i="109"/>
  <c r="AB73" i="109"/>
  <c r="AB41" i="109"/>
  <c r="AB102" i="109"/>
  <c r="AB83" i="109"/>
  <c r="AB128" i="109"/>
  <c r="AB96" i="109"/>
  <c r="AB64" i="109"/>
  <c r="AB119" i="109"/>
  <c r="AB94" i="109"/>
  <c r="AB79" i="109"/>
  <c r="AB38" i="109"/>
  <c r="AB97" i="109"/>
  <c r="AB65" i="109"/>
  <c r="AB115" i="109"/>
  <c r="AB66" i="109"/>
  <c r="AB51" i="109"/>
  <c r="AB120" i="109"/>
  <c r="AB88" i="109"/>
  <c r="AB56" i="109"/>
  <c r="AB87" i="109"/>
  <c r="AB70" i="109"/>
  <c r="AB63" i="109"/>
  <c r="AB125" i="109"/>
  <c r="AB93" i="109"/>
  <c r="AB61" i="109"/>
  <c r="AB95" i="109"/>
  <c r="AB50" i="109"/>
  <c r="AB118" i="109"/>
  <c r="AB116" i="109"/>
  <c r="AB84" i="109"/>
  <c r="AB52" i="109"/>
  <c r="AB71" i="109"/>
  <c r="AB58" i="109"/>
  <c r="AB121" i="109"/>
  <c r="AB89" i="109"/>
  <c r="AB57" i="109"/>
  <c r="AB75" i="109"/>
  <c r="AB34" i="109"/>
  <c r="AB98" i="109"/>
  <c r="AB112" i="109"/>
  <c r="AB80" i="109"/>
  <c r="AB48" i="109"/>
  <c r="AB59" i="109"/>
  <c r="AB42" i="109"/>
  <c r="AB126" i="109"/>
  <c r="AB117" i="109"/>
  <c r="AB85" i="109"/>
  <c r="AB53" i="109"/>
  <c r="AB55" i="109"/>
  <c r="AB127" i="109"/>
  <c r="AB82" i="109"/>
  <c r="AB108" i="109"/>
  <c r="AB76" i="109"/>
  <c r="AB44" i="109"/>
  <c r="AB43" i="109"/>
  <c r="AB129" i="109"/>
  <c r="AB110" i="109"/>
  <c r="AB113" i="109"/>
  <c r="AB81" i="109"/>
  <c r="AB49" i="109"/>
  <c r="AB39" i="109"/>
  <c r="AB111" i="109"/>
  <c r="AB62" i="109"/>
  <c r="AB104" i="109"/>
  <c r="AB72" i="109"/>
  <c r="AB40" i="109"/>
  <c r="AB114" i="109"/>
  <c r="AB35" i="109"/>
  <c r="S98" i="109"/>
  <c r="S66" i="109"/>
  <c r="S34" i="109"/>
  <c r="S101" i="109"/>
  <c r="S69" i="109"/>
  <c r="S37" i="109"/>
  <c r="S126" i="109"/>
  <c r="S94" i="109"/>
  <c r="S62" i="109"/>
  <c r="S129" i="109"/>
  <c r="S97" i="109"/>
  <c r="S65" i="109"/>
  <c r="S128" i="109"/>
  <c r="S96" i="109"/>
  <c r="S64" i="109"/>
  <c r="S127" i="109"/>
  <c r="S95" i="109"/>
  <c r="S63" i="109"/>
  <c r="S122" i="109"/>
  <c r="S90" i="109"/>
  <c r="S58" i="109"/>
  <c r="S125" i="109"/>
  <c r="S93" i="109"/>
  <c r="S61" i="109"/>
  <c r="S124" i="109"/>
  <c r="S92" i="109"/>
  <c r="S60" i="109"/>
  <c r="S123" i="109"/>
  <c r="S91" i="109"/>
  <c r="S59" i="109"/>
  <c r="S118" i="109"/>
  <c r="S86" i="109"/>
  <c r="S54" i="109"/>
  <c r="S121" i="109"/>
  <c r="S89" i="109"/>
  <c r="S57" i="109"/>
  <c r="S120" i="109"/>
  <c r="S88" i="109"/>
  <c r="S56" i="109"/>
  <c r="S119" i="109"/>
  <c r="S87" i="109"/>
  <c r="S55" i="109"/>
  <c r="S114" i="109"/>
  <c r="S82" i="109"/>
  <c r="S50" i="109"/>
  <c r="S117" i="109"/>
  <c r="S85" i="109"/>
  <c r="S53" i="109"/>
  <c r="S116" i="109"/>
  <c r="S84" i="109"/>
  <c r="S52" i="109"/>
  <c r="S115" i="109"/>
  <c r="S83" i="109"/>
  <c r="S51" i="109"/>
  <c r="S110" i="109"/>
  <c r="S78" i="109"/>
  <c r="S46" i="109"/>
  <c r="S113" i="109"/>
  <c r="S81" i="109"/>
  <c r="S49" i="109"/>
  <c r="S112" i="109"/>
  <c r="S80" i="109"/>
  <c r="S48" i="109"/>
  <c r="S111" i="109"/>
  <c r="S79" i="109"/>
  <c r="S47" i="109"/>
  <c r="S106" i="109"/>
  <c r="S74" i="109"/>
  <c r="S42" i="109"/>
  <c r="S109" i="109"/>
  <c r="S77" i="109"/>
  <c r="S45" i="109"/>
  <c r="S108" i="109"/>
  <c r="S76" i="109"/>
  <c r="S44" i="109"/>
  <c r="S107" i="109"/>
  <c r="S75" i="109"/>
  <c r="S43" i="109"/>
  <c r="S102" i="109"/>
  <c r="S70" i="109"/>
  <c r="S38" i="109"/>
  <c r="S105" i="109"/>
  <c r="S73" i="109"/>
  <c r="S41" i="109"/>
  <c r="S104" i="109"/>
  <c r="S72" i="109"/>
  <c r="S40" i="109"/>
  <c r="S103" i="109"/>
  <c r="S71" i="109"/>
  <c r="S39" i="109"/>
  <c r="S100" i="109"/>
  <c r="S68" i="109"/>
  <c r="S36" i="109"/>
  <c r="S99" i="109"/>
  <c r="S67" i="109"/>
  <c r="S35" i="109"/>
  <c r="D103" i="112"/>
  <c r="D83" i="102"/>
  <c r="D84" i="102"/>
  <c r="Z56" i="107"/>
  <c r="Z58" i="107"/>
  <c r="Q37" i="107"/>
  <c r="Q49" i="107"/>
  <c r="Q120" i="107"/>
  <c r="Q122" i="107"/>
  <c r="Q71" i="107"/>
  <c r="Q127" i="107"/>
  <c r="Q108" i="107"/>
  <c r="Q64" i="107"/>
  <c r="Q39" i="107"/>
  <c r="Z80" i="107"/>
  <c r="Z52" i="107"/>
  <c r="Q117" i="107"/>
  <c r="Z73" i="107"/>
  <c r="Q114" i="107"/>
  <c r="Q116" i="107"/>
  <c r="Z34" i="107"/>
  <c r="V34" i="107" s="1"/>
  <c r="Q74" i="107"/>
  <c r="Z69" i="107"/>
  <c r="Z48" i="107"/>
  <c r="Z42" i="107"/>
  <c r="Z70" i="107"/>
  <c r="Z74" i="107"/>
  <c r="Q125" i="107"/>
  <c r="Z55" i="107"/>
  <c r="Q128" i="107"/>
  <c r="Q51" i="107"/>
  <c r="Q102" i="107"/>
  <c r="Z46" i="107"/>
  <c r="Q104" i="107"/>
  <c r="Q57" i="107"/>
  <c r="Q53" i="107"/>
  <c r="Q99" i="107"/>
  <c r="Z57" i="107"/>
  <c r="Q56" i="107"/>
  <c r="Q124" i="107"/>
  <c r="Z43" i="107"/>
  <c r="Q73" i="107"/>
  <c r="Z37" i="107"/>
  <c r="Q100" i="107"/>
  <c r="Z54" i="107"/>
  <c r="Q83" i="107"/>
  <c r="Q118" i="107"/>
  <c r="Z72" i="107"/>
  <c r="Q103" i="107"/>
  <c r="Z65" i="107"/>
  <c r="Q69" i="107"/>
  <c r="Z49" i="107"/>
  <c r="Q48" i="107"/>
  <c r="Z50" i="107"/>
  <c r="Q38" i="107"/>
  <c r="Q44" i="107"/>
  <c r="Q42" i="107"/>
  <c r="Z79" i="107"/>
  <c r="Q58" i="107"/>
  <c r="Q61" i="107"/>
  <c r="Q112" i="107"/>
  <c r="Q50" i="107"/>
  <c r="Q111" i="107"/>
  <c r="Q68" i="107"/>
  <c r="Q89" i="107"/>
  <c r="Q52" i="107"/>
  <c r="Q97" i="107"/>
  <c r="Q107" i="107"/>
  <c r="Q81" i="107"/>
  <c r="Q45" i="107"/>
  <c r="Q63" i="107"/>
  <c r="Q79" i="107"/>
  <c r="Q59" i="107"/>
  <c r="Q67" i="107"/>
  <c r="Q113" i="107"/>
  <c r="Z35" i="107"/>
  <c r="Q121" i="107"/>
  <c r="Q91" i="107"/>
  <c r="Q115" i="107"/>
  <c r="Z53" i="107"/>
  <c r="Q93" i="107"/>
  <c r="Z45" i="107"/>
  <c r="Q110" i="107"/>
  <c r="Q86" i="107"/>
  <c r="Q105" i="107"/>
  <c r="Z62" i="107"/>
  <c r="Z81" i="107"/>
  <c r="Q123" i="107"/>
  <c r="Q119" i="107"/>
  <c r="Q75" i="107"/>
  <c r="Z59" i="107"/>
  <c r="Q72" i="107"/>
  <c r="Z67" i="107"/>
  <c r="Z39" i="107"/>
  <c r="Q77" i="107"/>
  <c r="Q76" i="107"/>
  <c r="Q40" i="107"/>
  <c r="Q129" i="107"/>
  <c r="Z64" i="107"/>
  <c r="Z71" i="107"/>
  <c r="Z44" i="107"/>
  <c r="Q47" i="107"/>
  <c r="Q109" i="107"/>
  <c r="Q62" i="107"/>
  <c r="Z75" i="107"/>
  <c r="Z51" i="107"/>
  <c r="Q98" i="107"/>
  <c r="Q88" i="107"/>
  <c r="Q94" i="107"/>
  <c r="Q55" i="107"/>
  <c r="Q92" i="107"/>
  <c r="Z68" i="107"/>
  <c r="Q87" i="107"/>
  <c r="Q41" i="107"/>
  <c r="Z77" i="107"/>
  <c r="Q60" i="107"/>
  <c r="Z47" i="107"/>
  <c r="Q82" i="107"/>
  <c r="Q70" i="107"/>
  <c r="Z60" i="107"/>
  <c r="Q54" i="107"/>
  <c r="Z76" i="107"/>
  <c r="Q36" i="107"/>
  <c r="Q101" i="107"/>
  <c r="Q126" i="107"/>
  <c r="Q46" i="107"/>
  <c r="Q96" i="107"/>
  <c r="Z61" i="107"/>
  <c r="Q65" i="107"/>
  <c r="Z66" i="107"/>
  <c r="Q85" i="107"/>
  <c r="Q90" i="107"/>
  <c r="Q80" i="107"/>
  <c r="Q43" i="107"/>
  <c r="Z78" i="107"/>
  <c r="Z38" i="107"/>
  <c r="Q106" i="107"/>
  <c r="Q84" i="107"/>
  <c r="Z63" i="107"/>
  <c r="Q78" i="107"/>
  <c r="Q35" i="107"/>
  <c r="Q66" i="107"/>
  <c r="Z41" i="107"/>
  <c r="Z36" i="107"/>
  <c r="Q34" i="107"/>
  <c r="M34" i="107" s="1"/>
  <c r="Z40" i="107"/>
  <c r="Q95" i="107"/>
  <c r="D104" i="109"/>
  <c r="C83" i="109"/>
  <c r="C83" i="115"/>
  <c r="B83" i="114"/>
  <c r="B84" i="114"/>
  <c r="D19" i="114" s="1"/>
  <c r="H84" i="114"/>
  <c r="H84" i="102"/>
  <c r="H102" i="112"/>
  <c r="F102" i="112"/>
  <c r="H102" i="102"/>
  <c r="H84" i="112"/>
  <c r="F84" i="112"/>
  <c r="F102" i="114"/>
  <c r="F84" i="115"/>
  <c r="F102" i="102"/>
  <c r="C84" i="109"/>
  <c r="E19" i="109" s="1"/>
  <c r="B84" i="109"/>
  <c r="D19" i="109" s="1"/>
  <c r="C84" i="116"/>
  <c r="E19" i="116" s="1"/>
  <c r="C83" i="112"/>
  <c r="C84" i="112"/>
  <c r="E19" i="112" s="1"/>
  <c r="B83" i="109"/>
  <c r="B82" i="116"/>
  <c r="B83" i="116"/>
  <c r="B84" i="116"/>
  <c r="D19" i="116" s="1"/>
  <c r="H102" i="116"/>
  <c r="C83" i="116"/>
  <c r="F103" i="116"/>
  <c r="F104" i="116"/>
  <c r="F84" i="116"/>
  <c r="C104" i="116"/>
  <c r="C103" i="116"/>
  <c r="B103" i="116"/>
  <c r="B104" i="116"/>
  <c r="F102" i="116"/>
  <c r="B84" i="115"/>
  <c r="D19" i="115" s="1"/>
  <c r="B83" i="115"/>
  <c r="E83" i="115"/>
  <c r="C104" i="115"/>
  <c r="C103" i="115"/>
  <c r="E7" i="115"/>
  <c r="C84" i="115"/>
  <c r="E19" i="115" s="1"/>
  <c r="B104" i="115"/>
  <c r="B103" i="115"/>
  <c r="F104" i="114"/>
  <c r="F103" i="114"/>
  <c r="B104" i="114"/>
  <c r="B103" i="114"/>
  <c r="E83" i="114"/>
  <c r="E7" i="114"/>
  <c r="C103" i="114"/>
  <c r="C104" i="114"/>
  <c r="C103" i="112"/>
  <c r="C104" i="112"/>
  <c r="F103" i="112"/>
  <c r="F104" i="112"/>
  <c r="E77" i="15"/>
  <c r="F103" i="109"/>
  <c r="F104" i="109"/>
  <c r="F102" i="109"/>
  <c r="B103" i="109"/>
  <c r="B104" i="109"/>
  <c r="B102" i="109"/>
  <c r="D18" i="109" s="1"/>
  <c r="G84" i="109"/>
  <c r="C103" i="109"/>
  <c r="C104" i="109"/>
  <c r="D83" i="109"/>
  <c r="D84" i="109"/>
  <c r="C84" i="102"/>
  <c r="E19" i="102" s="1"/>
  <c r="B84" i="102"/>
  <c r="D19" i="102" s="1"/>
  <c r="F104" i="102"/>
  <c r="F103" i="102"/>
  <c r="B104" i="102"/>
  <c r="B103" i="102"/>
  <c r="B83" i="102"/>
  <c r="C103" i="102"/>
  <c r="C104" i="102"/>
  <c r="G102" i="102"/>
  <c r="C83" i="102"/>
  <c r="D102" i="102"/>
  <c r="D104" i="102"/>
  <c r="D103" i="102"/>
  <c r="E83" i="99"/>
  <c r="D84" i="99"/>
  <c r="E7" i="99"/>
  <c r="B83" i="99"/>
  <c r="C104" i="99"/>
  <c r="C103" i="99"/>
  <c r="C102" i="99"/>
  <c r="E18" i="99" s="1"/>
  <c r="F84" i="99"/>
  <c r="B103" i="99"/>
  <c r="B104" i="99"/>
  <c r="B102" i="99"/>
  <c r="D18" i="99" s="1"/>
  <c r="C82" i="99"/>
  <c r="C83" i="99"/>
  <c r="F103" i="99"/>
  <c r="F104" i="99"/>
  <c r="G84" i="99"/>
  <c r="D83" i="99"/>
  <c r="B84" i="99"/>
  <c r="D19" i="99" s="1"/>
  <c r="D103" i="99"/>
  <c r="D104" i="99"/>
  <c r="K69" i="15"/>
  <c r="K70" i="15"/>
  <c r="F73" i="15"/>
  <c r="F75" i="15"/>
  <c r="R78" i="15"/>
  <c r="R77" i="15"/>
  <c r="H70" i="15"/>
  <c r="H69" i="15"/>
  <c r="D77" i="15"/>
  <c r="D78" i="15"/>
  <c r="E84" i="6"/>
  <c r="E74" i="6"/>
  <c r="E75" i="6"/>
  <c r="E76" i="6"/>
  <c r="E77" i="6"/>
  <c r="E79" i="6"/>
  <c r="E80" i="6"/>
  <c r="E81" i="6"/>
  <c r="E82" i="6"/>
  <c r="E83" i="6"/>
  <c r="E70" i="6"/>
  <c r="F70" i="6" s="1"/>
  <c r="Q69" i="15" a="1"/>
  <c r="R69" i="15" a="1"/>
  <c r="N70" i="15" a="1"/>
  <c r="E78" i="15" a="1"/>
  <c r="D70" i="15" a="1"/>
  <c r="N77" i="15" a="1"/>
  <c r="F32" i="15" a="1"/>
  <c r="N78" i="15" a="1"/>
  <c r="Q70" i="15" a="1"/>
  <c r="R70" i="15" a="1"/>
  <c r="N69" i="15" a="1"/>
  <c r="E69" i="15" a="1"/>
  <c r="E70" i="15" a="1"/>
  <c r="D69" i="15" a="1"/>
  <c r="V35" i="107" l="1"/>
  <c r="V36" i="107" s="1"/>
  <c r="V37" i="107" s="1"/>
  <c r="V38" i="107" s="1"/>
  <c r="V39" i="107" s="1"/>
  <c r="V40" i="107" s="1"/>
  <c r="V41" i="107" s="1"/>
  <c r="V42" i="107" s="1"/>
  <c r="V43" i="107" s="1"/>
  <c r="V44" i="107" s="1"/>
  <c r="V45" i="107" s="1"/>
  <c r="V46" i="107" s="1"/>
  <c r="V47" i="107" s="1"/>
  <c r="V48" i="107" s="1"/>
  <c r="V49" i="107" s="1"/>
  <c r="V50" i="107" s="1"/>
  <c r="V51" i="107" s="1"/>
  <c r="V52" i="107" s="1"/>
  <c r="V53" i="107" s="1"/>
  <c r="V54" i="107" s="1"/>
  <c r="V55" i="107" s="1"/>
  <c r="V56" i="107" s="1"/>
  <c r="V57" i="107" s="1"/>
  <c r="V58" i="107" s="1"/>
  <c r="V59" i="107" s="1"/>
  <c r="V60" i="107" s="1"/>
  <c r="V61" i="107" s="1"/>
  <c r="V62" i="107" s="1"/>
  <c r="V63" i="107" s="1"/>
  <c r="V64" i="107" s="1"/>
  <c r="V65" i="107" s="1"/>
  <c r="V66" i="107" s="1"/>
  <c r="V67" i="107" s="1"/>
  <c r="V68" i="107" s="1"/>
  <c r="V69" i="107" s="1"/>
  <c r="V70" i="107" s="1"/>
  <c r="V71" i="107" s="1"/>
  <c r="V72" i="107" s="1"/>
  <c r="V73" i="107" s="1"/>
  <c r="V74" i="107" s="1"/>
  <c r="V75" i="107" s="1"/>
  <c r="V76" i="107" s="1"/>
  <c r="V77" i="107" s="1"/>
  <c r="V78" i="107" s="1"/>
  <c r="V79" i="107" s="1"/>
  <c r="V80" i="107" s="1"/>
  <c r="V81" i="107" s="1"/>
  <c r="V82" i="107" s="1"/>
  <c r="M35" i="107"/>
  <c r="M36" i="107" s="1"/>
  <c r="M37" i="107" s="1"/>
  <c r="M38" i="107" s="1"/>
  <c r="M39" i="107" s="1"/>
  <c r="M40" i="107" s="1"/>
  <c r="M41" i="107" s="1"/>
  <c r="M42" i="107" s="1"/>
  <c r="M43" i="107" s="1"/>
  <c r="M44" i="107" s="1"/>
  <c r="M45" i="107" s="1"/>
  <c r="M46" i="107" s="1"/>
  <c r="M47" i="107" s="1"/>
  <c r="M48" i="107" s="1"/>
  <c r="M49" i="107" s="1"/>
  <c r="M50" i="107" s="1"/>
  <c r="M51" i="107" s="1"/>
  <c r="M52" i="107" s="1"/>
  <c r="M53" i="107" s="1"/>
  <c r="M54" i="107" s="1"/>
  <c r="M55" i="107" s="1"/>
  <c r="M56" i="107" s="1"/>
  <c r="M57" i="107" s="1"/>
  <c r="M58" i="107" s="1"/>
  <c r="M59" i="107" s="1"/>
  <c r="M60" i="107" s="1"/>
  <c r="M61" i="107" s="1"/>
  <c r="M62" i="107" s="1"/>
  <c r="M63" i="107" s="1"/>
  <c r="M64" i="107" s="1"/>
  <c r="M65" i="107" s="1"/>
  <c r="M66" i="107" s="1"/>
  <c r="M67" i="107" s="1"/>
  <c r="M68" i="107" s="1"/>
  <c r="M69" i="107" s="1"/>
  <c r="M70" i="107" s="1"/>
  <c r="M71" i="107" s="1"/>
  <c r="M72" i="107" s="1"/>
  <c r="M73" i="107" s="1"/>
  <c r="M74" i="107" s="1"/>
  <c r="M75" i="107" s="1"/>
  <c r="M76" i="107" s="1"/>
  <c r="M77" i="107" s="1"/>
  <c r="M78" i="107" s="1"/>
  <c r="M79" i="107" s="1"/>
  <c r="M80" i="107" s="1"/>
  <c r="M81" i="107" s="1"/>
  <c r="M82" i="107" s="1"/>
  <c r="M83" i="107" s="1"/>
  <c r="M84" i="107" s="1"/>
  <c r="M85" i="107" s="1"/>
  <c r="M86" i="107" s="1"/>
  <c r="M87" i="107" s="1"/>
  <c r="M88" i="107" s="1"/>
  <c r="M89" i="107" s="1"/>
  <c r="M90" i="107" s="1"/>
  <c r="M91" i="107" s="1"/>
  <c r="M92" i="107" s="1"/>
  <c r="M93" i="107" s="1"/>
  <c r="M94" i="107" s="1"/>
  <c r="M95" i="107" s="1"/>
  <c r="M96" i="107" s="1"/>
  <c r="M97" i="107" s="1"/>
  <c r="M98" i="107" s="1"/>
  <c r="M99" i="107" s="1"/>
  <c r="M100" i="107" s="1"/>
  <c r="M101" i="107" s="1"/>
  <c r="M102" i="107" s="1"/>
  <c r="M103" i="107" s="1"/>
  <c r="M104" i="107" s="1"/>
  <c r="M105" i="107" s="1"/>
  <c r="M106" i="107" s="1"/>
  <c r="M107" i="107" s="1"/>
  <c r="M108" i="107" s="1"/>
  <c r="M109" i="107" s="1"/>
  <c r="M110" i="107" s="1"/>
  <c r="M111" i="107" s="1"/>
  <c r="M112" i="107" s="1"/>
  <c r="M113" i="107" s="1"/>
  <c r="M114" i="107" s="1"/>
  <c r="M115" i="107" s="1"/>
  <c r="M116" i="107" s="1"/>
  <c r="M117" i="107" s="1"/>
  <c r="M118" i="107" s="1"/>
  <c r="M119" i="107" s="1"/>
  <c r="M120" i="107" s="1"/>
  <c r="M121" i="107" s="1"/>
  <c r="M122" i="107" s="1"/>
  <c r="M123" i="107" s="1"/>
  <c r="M124" i="107" s="1"/>
  <c r="M125" i="107" s="1"/>
  <c r="M126" i="107" s="1"/>
  <c r="M127" i="107" s="1"/>
  <c r="M128" i="107" s="1"/>
  <c r="M129" i="107" s="1"/>
  <c r="M130" i="107" s="1"/>
  <c r="E69" i="15"/>
  <c r="R69" i="15"/>
  <c r="E78" i="15"/>
  <c r="Q70" i="15"/>
  <c r="N78" i="15"/>
  <c r="N77" i="15"/>
  <c r="F71" i="6"/>
  <c r="F72" i="6" s="1"/>
  <c r="F73" i="6" s="1"/>
  <c r="F74" i="6" s="1"/>
  <c r="F75" i="6" s="1"/>
  <c r="F76" i="6" s="1"/>
  <c r="F77" i="6" s="1"/>
  <c r="F78" i="6" s="1"/>
  <c r="F79" i="6" s="1"/>
  <c r="F80" i="6" s="1"/>
  <c r="F29" i="15"/>
  <c r="D70" i="15"/>
  <c r="D69" i="15"/>
  <c r="R70" i="15"/>
  <c r="Q69" i="15"/>
  <c r="N70" i="15"/>
  <c r="N69" i="15"/>
  <c r="E70" i="15"/>
  <c r="F32" i="15"/>
  <c r="Q31" i="107" l="1" a="1"/>
  <c r="Q31" i="107" s="1"/>
  <c r="L30" i="107" s="1"/>
  <c r="U29" i="107" s="1"/>
  <c r="V29" i="107"/>
  <c r="Z31" i="107" a="1"/>
  <c r="Z31" i="107" s="1"/>
  <c r="U30" i="107" s="1"/>
  <c r="F81" i="6"/>
  <c r="F82" i="6" s="1"/>
  <c r="F83" i="6" s="1"/>
  <c r="F84" i="6" s="1"/>
  <c r="F85" i="6" s="1"/>
  <c r="F86" i="6" s="1"/>
  <c r="F87" i="6" s="1"/>
  <c r="F89" i="6" s="1"/>
  <c r="U3" i="114"/>
  <c r="T3" i="114"/>
  <c r="R74" i="114" l="1"/>
  <c r="R80" i="114"/>
  <c r="R54" i="114"/>
  <c r="R127" i="114"/>
  <c r="R58" i="114"/>
  <c r="R73" i="114"/>
  <c r="R115" i="114"/>
  <c r="R117" i="114"/>
  <c r="R126" i="114"/>
  <c r="R103" i="114"/>
  <c r="R67" i="114"/>
  <c r="R79" i="114"/>
  <c r="R53" i="114"/>
  <c r="R109" i="114"/>
  <c r="R102" i="114"/>
  <c r="R46" i="114"/>
  <c r="R57" i="114"/>
  <c r="R51" i="114"/>
  <c r="R65" i="114"/>
  <c r="R60" i="114"/>
  <c r="R119" i="114"/>
  <c r="R70" i="114"/>
  <c r="R84" i="114"/>
  <c r="R38" i="114"/>
  <c r="R72" i="114"/>
  <c r="R49" i="114"/>
  <c r="R69" i="114"/>
  <c r="R90" i="114"/>
  <c r="R64" i="114"/>
  <c r="R75" i="114"/>
  <c r="R36" i="114"/>
  <c r="R96" i="114"/>
  <c r="R40" i="114"/>
  <c r="R52" i="114"/>
  <c r="R100" i="114"/>
  <c r="R37" i="114"/>
  <c r="R83" i="114"/>
  <c r="R91" i="114"/>
  <c r="R43" i="114"/>
  <c r="R118" i="114"/>
  <c r="R94" i="114"/>
  <c r="R71" i="114"/>
  <c r="R78" i="114"/>
  <c r="R112" i="114"/>
  <c r="R35" i="114"/>
  <c r="R89" i="114"/>
  <c r="R116" i="114"/>
  <c r="R59" i="114"/>
  <c r="R101" i="114"/>
  <c r="R113" i="114"/>
  <c r="R125" i="114"/>
  <c r="R86" i="114"/>
  <c r="R50" i="114"/>
  <c r="R122" i="114"/>
  <c r="R104" i="114"/>
  <c r="R106" i="114"/>
  <c r="R128" i="114"/>
  <c r="R76" i="114"/>
  <c r="R105" i="114"/>
  <c r="R81" i="114"/>
  <c r="R66" i="114"/>
  <c r="R77" i="114"/>
  <c r="R61" i="114"/>
  <c r="R68" i="114"/>
  <c r="R108" i="114"/>
  <c r="R92" i="114"/>
  <c r="R124" i="114"/>
  <c r="R34" i="114"/>
  <c r="R41" i="114"/>
  <c r="R63" i="114"/>
  <c r="R82" i="114"/>
  <c r="R121" i="114"/>
  <c r="R99" i="114"/>
  <c r="R107" i="114"/>
  <c r="R85" i="114"/>
  <c r="R42" i="114"/>
  <c r="R88" i="114"/>
  <c r="R120" i="114"/>
  <c r="R55" i="114"/>
  <c r="R62" i="114"/>
  <c r="R45" i="114"/>
  <c r="R48" i="114"/>
  <c r="R98" i="114"/>
  <c r="R44" i="114"/>
  <c r="R129" i="114"/>
  <c r="R47" i="114"/>
  <c r="R123" i="114"/>
  <c r="R93" i="114"/>
  <c r="R110" i="114"/>
  <c r="R111" i="114"/>
  <c r="R95" i="114"/>
  <c r="R97" i="114"/>
  <c r="R56" i="114"/>
  <c r="R87" i="114"/>
  <c r="R114" i="114"/>
  <c r="R39" i="114"/>
  <c r="S65" i="114"/>
  <c r="S125" i="114"/>
  <c r="S127" i="114"/>
  <c r="S129" i="114"/>
  <c r="S40" i="114"/>
  <c r="S44" i="114"/>
  <c r="S51" i="114"/>
  <c r="S69" i="114"/>
  <c r="S55" i="114"/>
  <c r="S43" i="114"/>
  <c r="S47" i="114"/>
  <c r="S54" i="114"/>
  <c r="S58" i="114"/>
  <c r="S72" i="114"/>
  <c r="S76" i="114"/>
  <c r="S79" i="114"/>
  <c r="S110" i="114"/>
  <c r="S123" i="114"/>
  <c r="S35" i="114"/>
  <c r="S39" i="114"/>
  <c r="S57" i="114"/>
  <c r="S61" i="114"/>
  <c r="S75" i="114"/>
  <c r="S64" i="114"/>
  <c r="S68" i="114"/>
  <c r="S46" i="114"/>
  <c r="S50" i="114"/>
  <c r="S78" i="114"/>
  <c r="S41" i="114"/>
  <c r="S82" i="114"/>
  <c r="S45" i="114"/>
  <c r="S84" i="114"/>
  <c r="S63" i="114"/>
  <c r="S86" i="114"/>
  <c r="S70" i="114"/>
  <c r="S88" i="114"/>
  <c r="S74" i="114"/>
  <c r="S90" i="114"/>
  <c r="S37" i="114"/>
  <c r="S92" i="114"/>
  <c r="S71" i="114"/>
  <c r="S91" i="114"/>
  <c r="S73" i="114"/>
  <c r="S96" i="114"/>
  <c r="S77" i="114"/>
  <c r="S98" i="114"/>
  <c r="S34" i="114"/>
  <c r="S100" i="114"/>
  <c r="S56" i="114"/>
  <c r="S102" i="114"/>
  <c r="S60" i="114"/>
  <c r="S104" i="114"/>
  <c r="S48" i="114"/>
  <c r="S106" i="114"/>
  <c r="S52" i="114"/>
  <c r="S108" i="114"/>
  <c r="S126" i="114"/>
  <c r="S36" i="114"/>
  <c r="S62" i="114"/>
  <c r="S112" i="114"/>
  <c r="S66" i="114"/>
  <c r="S114" i="114"/>
  <c r="S80" i="114"/>
  <c r="S116" i="114"/>
  <c r="S83" i="114"/>
  <c r="S118" i="114"/>
  <c r="S85" i="114"/>
  <c r="S120" i="114"/>
  <c r="S87" i="114"/>
  <c r="S122" i="114"/>
  <c r="S89" i="114"/>
  <c r="S124" i="114"/>
  <c r="S59" i="114"/>
  <c r="S93" i="114"/>
  <c r="S128" i="114"/>
  <c r="S95" i="114"/>
  <c r="S38" i="114"/>
  <c r="S97" i="114"/>
  <c r="S42" i="114"/>
  <c r="S99" i="114"/>
  <c r="S49" i="114"/>
  <c r="S101" i="114"/>
  <c r="S53" i="114"/>
  <c r="S103" i="114"/>
  <c r="S67" i="114"/>
  <c r="S105" i="114"/>
  <c r="S81" i="114"/>
  <c r="S94" i="114"/>
  <c r="S107" i="114"/>
  <c r="S109" i="114"/>
  <c r="S111" i="114"/>
  <c r="S113" i="114"/>
  <c r="S115" i="114"/>
  <c r="S117" i="114"/>
  <c r="S119" i="114"/>
  <c r="S121" i="114"/>
  <c r="W29" i="107"/>
  <c r="U3" i="115"/>
  <c r="T3" i="112"/>
  <c r="T3" i="115"/>
  <c r="U3" i="112"/>
  <c r="F21" i="15" a="1"/>
  <c r="R49" i="112" l="1"/>
  <c r="R119" i="112"/>
  <c r="R36" i="112"/>
  <c r="R112" i="112"/>
  <c r="R104" i="112"/>
  <c r="R84" i="112"/>
  <c r="R44" i="112"/>
  <c r="R92" i="112"/>
  <c r="R82" i="112"/>
  <c r="R121" i="112"/>
  <c r="R129" i="112"/>
  <c r="R68" i="112"/>
  <c r="R58" i="112"/>
  <c r="R67" i="112"/>
  <c r="R89" i="112"/>
  <c r="R126" i="112"/>
  <c r="R51" i="112"/>
  <c r="R88" i="112"/>
  <c r="R122" i="112"/>
  <c r="R101" i="112"/>
  <c r="R127" i="112"/>
  <c r="R99" i="112"/>
  <c r="R55" i="112"/>
  <c r="R105" i="112"/>
  <c r="R90" i="112"/>
  <c r="R34" i="112"/>
  <c r="R65" i="112"/>
  <c r="R62" i="112"/>
  <c r="R114" i="112"/>
  <c r="R117" i="112"/>
  <c r="R57" i="112"/>
  <c r="R106" i="112"/>
  <c r="R39" i="112"/>
  <c r="R76" i="112"/>
  <c r="R115" i="112"/>
  <c r="R103" i="112"/>
  <c r="R118" i="112"/>
  <c r="R110" i="112"/>
  <c r="R120" i="112"/>
  <c r="R74" i="112"/>
  <c r="R77" i="112"/>
  <c r="R70" i="112"/>
  <c r="R100" i="112"/>
  <c r="R128" i="112"/>
  <c r="R109" i="112"/>
  <c r="R87" i="112"/>
  <c r="R111" i="112"/>
  <c r="R64" i="112"/>
  <c r="R72" i="112"/>
  <c r="R113" i="112"/>
  <c r="R116" i="112"/>
  <c r="R54" i="112"/>
  <c r="R43" i="112"/>
  <c r="R81" i="112"/>
  <c r="R125" i="112"/>
  <c r="R61" i="112"/>
  <c r="R98" i="112"/>
  <c r="R35" i="112"/>
  <c r="R37" i="112"/>
  <c r="R96" i="112"/>
  <c r="R60" i="112"/>
  <c r="R86" i="112"/>
  <c r="R41" i="112"/>
  <c r="R102" i="112"/>
  <c r="R73" i="112"/>
  <c r="R97" i="112"/>
  <c r="R38" i="112"/>
  <c r="R80" i="112"/>
  <c r="R46" i="112"/>
  <c r="R123" i="112"/>
  <c r="R93" i="112"/>
  <c r="R45" i="112"/>
  <c r="R91" i="112"/>
  <c r="R95" i="112"/>
  <c r="R47" i="112"/>
  <c r="R48" i="112"/>
  <c r="R71" i="112"/>
  <c r="R75" i="112"/>
  <c r="R63" i="112"/>
  <c r="R66" i="112"/>
  <c r="R108" i="112"/>
  <c r="R107" i="112"/>
  <c r="R52" i="112"/>
  <c r="R94" i="112"/>
  <c r="R79" i="112"/>
  <c r="R40" i="112"/>
  <c r="R53" i="112"/>
  <c r="R85" i="112"/>
  <c r="R69" i="112"/>
  <c r="R59" i="112"/>
  <c r="R56" i="112"/>
  <c r="R124" i="112"/>
  <c r="R83" i="112"/>
  <c r="R78" i="112"/>
  <c r="R50" i="112"/>
  <c r="R42" i="112"/>
  <c r="S43" i="112"/>
  <c r="S61" i="112"/>
  <c r="S99" i="112"/>
  <c r="S58" i="112"/>
  <c r="S68" i="112"/>
  <c r="S77" i="112"/>
  <c r="S113" i="112"/>
  <c r="S111" i="112"/>
  <c r="S47" i="112"/>
  <c r="S98" i="112"/>
  <c r="S69" i="112"/>
  <c r="S85" i="112"/>
  <c r="S95" i="112"/>
  <c r="S64" i="112"/>
  <c r="S100" i="112"/>
  <c r="S96" i="112"/>
  <c r="S90" i="112"/>
  <c r="S105" i="112"/>
  <c r="S123" i="112"/>
  <c r="S38" i="112"/>
  <c r="S52" i="112"/>
  <c r="S45" i="112"/>
  <c r="S57" i="112"/>
  <c r="S82" i="112"/>
  <c r="S93" i="112"/>
  <c r="S75" i="112"/>
  <c r="S124" i="112"/>
  <c r="S80" i="112"/>
  <c r="S106" i="112"/>
  <c r="S72" i="112"/>
  <c r="S76" i="112"/>
  <c r="S121" i="112"/>
  <c r="S56" i="112"/>
  <c r="S81" i="112"/>
  <c r="S86" i="112"/>
  <c r="S120" i="112"/>
  <c r="S37" i="112"/>
  <c r="S40" i="112"/>
  <c r="S67" i="112"/>
  <c r="S88" i="112"/>
  <c r="S109" i="112"/>
  <c r="S41" i="112"/>
  <c r="S50" i="112"/>
  <c r="S83" i="112"/>
  <c r="S118" i="112"/>
  <c r="S91" i="112"/>
  <c r="S73" i="112"/>
  <c r="S49" i="112"/>
  <c r="S36" i="112"/>
  <c r="S54" i="112"/>
  <c r="S65" i="112"/>
  <c r="S115" i="112"/>
  <c r="S92" i="112"/>
  <c r="S129" i="112"/>
  <c r="S79" i="112"/>
  <c r="S126" i="112"/>
  <c r="S117" i="112"/>
  <c r="S116" i="112"/>
  <c r="S125" i="112"/>
  <c r="S39" i="112"/>
  <c r="S70" i="112"/>
  <c r="S97" i="112"/>
  <c r="S59" i="112"/>
  <c r="S122" i="112"/>
  <c r="S128" i="112"/>
  <c r="S35" i="112"/>
  <c r="S101" i="112"/>
  <c r="S78" i="112"/>
  <c r="S46" i="112"/>
  <c r="S108" i="112"/>
  <c r="S71" i="112"/>
  <c r="S103" i="112"/>
  <c r="S87" i="112"/>
  <c r="S34" i="112"/>
  <c r="S104" i="112"/>
  <c r="S42" i="112"/>
  <c r="S89" i="112"/>
  <c r="S66" i="112"/>
  <c r="S119" i="112"/>
  <c r="S84" i="112"/>
  <c r="S53" i="112"/>
  <c r="S63" i="112"/>
  <c r="S55" i="112"/>
  <c r="S110" i="112"/>
  <c r="S74" i="112"/>
  <c r="S60" i="112"/>
  <c r="S112" i="112"/>
  <c r="S114" i="112"/>
  <c r="S102" i="112"/>
  <c r="S44" i="112"/>
  <c r="S127" i="112"/>
  <c r="S107" i="112"/>
  <c r="S48" i="112"/>
  <c r="S62" i="112"/>
  <c r="S51" i="112"/>
  <c r="S94" i="112"/>
  <c r="R62" i="115"/>
  <c r="R39" i="115"/>
  <c r="R71" i="115"/>
  <c r="R107" i="115"/>
  <c r="S90" i="115"/>
  <c r="S72" i="115"/>
  <c r="S79" i="115"/>
  <c r="R75" i="115"/>
  <c r="S102" i="115"/>
  <c r="S34" i="115"/>
  <c r="R113" i="115"/>
  <c r="S49" i="115"/>
  <c r="S105" i="115"/>
  <c r="R123" i="115"/>
  <c r="S124" i="115"/>
  <c r="S46" i="115"/>
  <c r="R93" i="115"/>
  <c r="R124" i="115"/>
  <c r="S95" i="115"/>
  <c r="R97" i="115"/>
  <c r="R126" i="115"/>
  <c r="S97" i="115"/>
  <c r="R79" i="115"/>
  <c r="S44" i="115"/>
  <c r="R128" i="115"/>
  <c r="R105" i="115"/>
  <c r="R82" i="115"/>
  <c r="R98" i="115"/>
  <c r="R114" i="115"/>
  <c r="S77" i="115"/>
  <c r="S122" i="115"/>
  <c r="S37" i="115"/>
  <c r="R111" i="115"/>
  <c r="S118" i="115"/>
  <c r="S66" i="115"/>
  <c r="R47" i="115"/>
  <c r="S88" i="115"/>
  <c r="S121" i="115"/>
  <c r="R61" i="115"/>
  <c r="R57" i="115"/>
  <c r="S69" i="115"/>
  <c r="R125" i="115"/>
  <c r="S73" i="115"/>
  <c r="S111" i="115"/>
  <c r="R127" i="115"/>
  <c r="S78" i="115"/>
  <c r="S113" i="115"/>
  <c r="R70" i="115"/>
  <c r="R78" i="115"/>
  <c r="S51" i="115"/>
  <c r="R38" i="115"/>
  <c r="S107" i="115"/>
  <c r="S84" i="115"/>
  <c r="S123" i="115"/>
  <c r="S116" i="115"/>
  <c r="S91" i="115"/>
  <c r="S101" i="115"/>
  <c r="R37" i="115"/>
  <c r="R46" i="115"/>
  <c r="S45" i="115"/>
  <c r="R83" i="115"/>
  <c r="S104" i="115"/>
  <c r="S39" i="115"/>
  <c r="R68" i="115"/>
  <c r="R90" i="115"/>
  <c r="S35" i="115"/>
  <c r="R58" i="115"/>
  <c r="S94" i="115"/>
  <c r="S127" i="115"/>
  <c r="R63" i="115"/>
  <c r="S96" i="115"/>
  <c r="S129" i="115"/>
  <c r="R35" i="115"/>
  <c r="R96" i="115"/>
  <c r="S83" i="115"/>
  <c r="S57" i="115"/>
  <c r="R53" i="115"/>
  <c r="R51" i="115"/>
  <c r="S52" i="115"/>
  <c r="S85" i="115"/>
  <c r="S38" i="115"/>
  <c r="R44" i="115"/>
  <c r="R84" i="115"/>
  <c r="S60" i="115"/>
  <c r="R115" i="115"/>
  <c r="S120" i="115"/>
  <c r="S71" i="115"/>
  <c r="R56" i="115"/>
  <c r="R106" i="115"/>
  <c r="S76" i="115"/>
  <c r="R95" i="115"/>
  <c r="S110" i="115"/>
  <c r="S50" i="115"/>
  <c r="R99" i="115"/>
  <c r="S112" i="115"/>
  <c r="S55" i="115"/>
  <c r="R67" i="115"/>
  <c r="R112" i="115"/>
  <c r="S99" i="115"/>
  <c r="R117" i="115"/>
  <c r="R60" i="115"/>
  <c r="R87" i="115"/>
  <c r="S117" i="115"/>
  <c r="S106" i="115"/>
  <c r="S63" i="115"/>
  <c r="R43" i="115"/>
  <c r="R100" i="115"/>
  <c r="S59" i="115"/>
  <c r="R45" i="115"/>
  <c r="R41" i="115"/>
  <c r="S53" i="115"/>
  <c r="R89" i="115"/>
  <c r="R122" i="115"/>
  <c r="S93" i="115"/>
  <c r="R129" i="115"/>
  <c r="S126" i="115"/>
  <c r="S54" i="115"/>
  <c r="R74" i="115"/>
  <c r="S128" i="115"/>
  <c r="S62" i="115"/>
  <c r="R101" i="115"/>
  <c r="S82" i="115"/>
  <c r="S115" i="115"/>
  <c r="R85" i="115"/>
  <c r="R49" i="115"/>
  <c r="R50" i="115"/>
  <c r="R104" i="115"/>
  <c r="S67" i="115"/>
  <c r="R76" i="115"/>
  <c r="R116" i="115"/>
  <c r="S87" i="115"/>
  <c r="R52" i="115"/>
  <c r="R86" i="115"/>
  <c r="S68" i="115"/>
  <c r="R121" i="115"/>
  <c r="S65" i="115"/>
  <c r="S109" i="115"/>
  <c r="R69" i="115"/>
  <c r="R65" i="115"/>
  <c r="S81" i="115"/>
  <c r="R81" i="115"/>
  <c r="R73" i="115"/>
  <c r="S36" i="115"/>
  <c r="R34" i="115"/>
  <c r="S98" i="115"/>
  <c r="S43" i="115"/>
  <c r="R119" i="115"/>
  <c r="S61" i="115"/>
  <c r="R88" i="115"/>
  <c r="S100" i="115"/>
  <c r="S42" i="115"/>
  <c r="R109" i="115"/>
  <c r="S41" i="115"/>
  <c r="S103" i="115"/>
  <c r="R48" i="115"/>
  <c r="R102" i="115"/>
  <c r="S64" i="115"/>
  <c r="R55" i="115"/>
  <c r="S92" i="115"/>
  <c r="S125" i="115"/>
  <c r="R77" i="115"/>
  <c r="R92" i="115"/>
  <c r="S40" i="115"/>
  <c r="R54" i="115"/>
  <c r="R94" i="115"/>
  <c r="S48" i="115"/>
  <c r="R66" i="115"/>
  <c r="S114" i="115"/>
  <c r="S58" i="115"/>
  <c r="R120" i="115"/>
  <c r="R36" i="115"/>
  <c r="R40" i="115"/>
  <c r="R72" i="115"/>
  <c r="S56" i="115"/>
  <c r="R42" i="115"/>
  <c r="S86" i="115"/>
  <c r="S119" i="115"/>
  <c r="R80" i="115"/>
  <c r="R118" i="115"/>
  <c r="S89" i="115"/>
  <c r="R91" i="115"/>
  <c r="S108" i="115"/>
  <c r="S47" i="115"/>
  <c r="R59" i="115"/>
  <c r="R108" i="115"/>
  <c r="S75" i="115"/>
  <c r="R64" i="115"/>
  <c r="R110" i="115"/>
  <c r="S80" i="115"/>
  <c r="R103" i="115"/>
  <c r="S74" i="115"/>
  <c r="S70" i="115"/>
  <c r="F21" i="15"/>
  <c r="F20" i="15" a="1"/>
  <c r="F20" i="15" l="1"/>
  <c r="D96" i="15"/>
  <c r="AB3" i="121" s="1"/>
  <c r="N12" i="121" s="1"/>
  <c r="O18" i="121" s="1"/>
  <c r="F22" i="15" a="1"/>
  <c r="AA3" i="111" l="1"/>
  <c r="AA2" i="111"/>
  <c r="D102" i="15"/>
  <c r="G18" i="111"/>
  <c r="G19" i="111"/>
  <c r="AC76" i="111"/>
  <c r="AC38" i="111"/>
  <c r="AC71" i="111"/>
  <c r="AC98" i="111"/>
  <c r="AC99" i="111"/>
  <c r="AC62" i="111"/>
  <c r="AC112" i="111"/>
  <c r="AC92" i="111"/>
  <c r="AC54" i="111"/>
  <c r="AC87" i="111"/>
  <c r="AC53" i="111"/>
  <c r="AC79" i="111"/>
  <c r="AD102" i="111"/>
  <c r="AD37" i="111"/>
  <c r="AD114" i="111"/>
  <c r="AD110" i="111"/>
  <c r="AD98" i="111"/>
  <c r="AD48" i="111"/>
  <c r="AD121" i="111"/>
  <c r="AD115" i="111"/>
  <c r="AD53" i="111"/>
  <c r="AD47" i="111"/>
  <c r="AD100" i="111"/>
  <c r="AD128" i="111"/>
  <c r="AC113" i="111"/>
  <c r="AD85" i="111"/>
  <c r="AC106" i="111"/>
  <c r="AC44" i="111"/>
  <c r="AC105" i="111"/>
  <c r="AC39" i="111"/>
  <c r="AC66" i="111"/>
  <c r="AC35" i="111"/>
  <c r="AC129" i="111"/>
  <c r="AC122" i="111"/>
  <c r="AC60" i="111"/>
  <c r="AC121" i="111"/>
  <c r="AC78" i="111"/>
  <c r="AC116" i="111"/>
  <c r="AD38" i="111"/>
  <c r="AD120" i="111"/>
  <c r="AD46" i="111"/>
  <c r="AD116" i="111"/>
  <c r="AD64" i="111"/>
  <c r="AD54" i="111"/>
  <c r="AD89" i="111"/>
  <c r="AD83" i="111"/>
  <c r="AD106" i="111"/>
  <c r="AD34" i="111"/>
  <c r="AD68" i="111"/>
  <c r="AD71" i="111"/>
  <c r="AD63" i="111"/>
  <c r="AD50" i="111"/>
  <c r="AC74" i="111"/>
  <c r="AC107" i="111"/>
  <c r="AC73" i="111"/>
  <c r="AC36" i="111"/>
  <c r="AC34" i="111"/>
  <c r="AC95" i="111"/>
  <c r="AC97" i="111"/>
  <c r="AC90" i="111"/>
  <c r="AC123" i="111"/>
  <c r="AC89" i="111"/>
  <c r="AC48" i="111"/>
  <c r="AC84" i="111"/>
  <c r="AD105" i="111"/>
  <c r="AD99" i="111"/>
  <c r="AD88" i="111"/>
  <c r="AD45" i="111"/>
  <c r="AD84" i="111"/>
  <c r="AD125" i="111"/>
  <c r="AD119" i="111"/>
  <c r="AD57" i="111"/>
  <c r="AD51" i="111"/>
  <c r="AD104" i="111"/>
  <c r="AD77" i="111"/>
  <c r="AD36" i="111"/>
  <c r="AD60" i="111"/>
  <c r="AD118" i="111"/>
  <c r="AC42" i="111"/>
  <c r="AC75" i="111"/>
  <c r="AC41" i="111"/>
  <c r="AC67" i="111"/>
  <c r="AC101" i="111"/>
  <c r="AC55" i="111"/>
  <c r="AC65" i="111"/>
  <c r="AC58" i="111"/>
  <c r="AC91" i="111"/>
  <c r="AC57" i="111"/>
  <c r="AC114" i="111"/>
  <c r="AC52" i="111"/>
  <c r="AD73" i="111"/>
  <c r="AD67" i="111"/>
  <c r="AD56" i="111"/>
  <c r="AD122" i="111"/>
  <c r="AD52" i="111"/>
  <c r="AD93" i="111"/>
  <c r="AD87" i="111"/>
  <c r="AD42" i="111"/>
  <c r="AD62" i="111"/>
  <c r="AD72" i="111"/>
  <c r="AD58" i="111"/>
  <c r="AD78" i="111"/>
  <c r="AC85" i="111"/>
  <c r="AD80" i="111"/>
  <c r="AC109" i="111"/>
  <c r="AC43" i="111"/>
  <c r="AC104" i="111"/>
  <c r="AC64" i="111"/>
  <c r="AC69" i="111"/>
  <c r="AC110" i="111"/>
  <c r="AC128" i="111"/>
  <c r="AC125" i="111"/>
  <c r="AC46" i="111"/>
  <c r="AC120" i="111"/>
  <c r="AC82" i="111"/>
  <c r="AC115" i="111"/>
  <c r="AD41" i="111"/>
  <c r="AD35" i="111"/>
  <c r="AD82" i="111"/>
  <c r="AD90" i="111"/>
  <c r="AD70" i="111"/>
  <c r="AD61" i="111"/>
  <c r="AD55" i="111"/>
  <c r="AD108" i="111"/>
  <c r="AD109" i="111"/>
  <c r="AD40" i="111"/>
  <c r="AD113" i="111"/>
  <c r="AD107" i="111"/>
  <c r="AD65" i="111"/>
  <c r="AD79" i="111"/>
  <c r="AC77" i="111"/>
  <c r="AC49" i="111"/>
  <c r="AC72" i="111"/>
  <c r="AC63" i="111"/>
  <c r="AC37" i="111"/>
  <c r="AC80" i="111"/>
  <c r="AC96" i="111"/>
  <c r="AC93" i="111"/>
  <c r="AC111" i="111"/>
  <c r="AC88" i="111"/>
  <c r="AC50" i="111"/>
  <c r="AC83" i="111"/>
  <c r="AD124" i="111"/>
  <c r="AD66" i="111"/>
  <c r="AD127" i="111"/>
  <c r="AD129" i="111"/>
  <c r="AD123" i="111"/>
  <c r="AD74" i="111"/>
  <c r="AD86" i="111"/>
  <c r="AD76" i="111"/>
  <c r="AD103" i="111"/>
  <c r="AD94" i="111"/>
  <c r="AD81" i="111"/>
  <c r="AD75" i="111"/>
  <c r="AD69" i="111"/>
  <c r="AD126" i="111"/>
  <c r="AC45" i="111"/>
  <c r="AC102" i="111"/>
  <c r="AC40" i="111"/>
  <c r="AC81" i="111"/>
  <c r="AC100" i="111"/>
  <c r="AC126" i="111"/>
  <c r="AC127" i="111"/>
  <c r="AC61" i="111"/>
  <c r="AC118" i="111"/>
  <c r="AC56" i="111"/>
  <c r="AC117" i="111"/>
  <c r="AC51" i="111"/>
  <c r="AD92" i="111"/>
  <c r="AD101" i="111"/>
  <c r="AD95" i="111"/>
  <c r="AD97" i="111"/>
  <c r="AD91" i="111"/>
  <c r="AD112" i="111"/>
  <c r="AD96" i="111"/>
  <c r="AD44" i="111"/>
  <c r="AD117" i="111"/>
  <c r="AD111" i="111"/>
  <c r="AD49" i="111"/>
  <c r="AD43" i="111"/>
  <c r="AC119" i="111"/>
  <c r="AD39" i="111"/>
  <c r="AC108" i="111"/>
  <c r="AC70" i="111"/>
  <c r="AC103" i="111"/>
  <c r="AC47" i="111"/>
  <c r="AC68" i="111"/>
  <c r="AC94" i="111"/>
  <c r="AC59" i="111"/>
  <c r="AC124" i="111"/>
  <c r="AC86" i="111"/>
  <c r="AD59" i="111"/>
  <c r="M18" i="111"/>
  <c r="I8" i="111"/>
  <c r="E8" i="111"/>
  <c r="H8" i="111"/>
  <c r="F8" i="111"/>
  <c r="F22" i="111" a="1"/>
  <c r="F22" i="111" s="1"/>
  <c r="G19" i="102"/>
  <c r="AB3" i="95"/>
  <c r="N12" i="95" s="1"/>
  <c r="O18" i="95" s="1"/>
  <c r="F22" i="15"/>
  <c r="Y74" i="15" a="1"/>
  <c r="Y76" i="15" a="1"/>
  <c r="C65" i="15" a="1"/>
  <c r="AA73" i="15" a="1"/>
  <c r="Y75" i="15" a="1"/>
  <c r="AA76" i="15" a="1"/>
  <c r="AA68" i="15" a="1"/>
  <c r="Z32" i="15" a="1"/>
  <c r="AA75" i="15" a="1"/>
  <c r="AA32" i="15" a="1"/>
  <c r="Y73" i="15" a="1"/>
  <c r="AA65" i="15" a="1"/>
  <c r="K18" i="121" l="1"/>
  <c r="AB79" i="121" s="1"/>
  <c r="F23" i="107"/>
  <c r="F21" i="107"/>
  <c r="S77" i="121"/>
  <c r="S45" i="121"/>
  <c r="S82" i="121"/>
  <c r="S114" i="121"/>
  <c r="AB118" i="121"/>
  <c r="AB101" i="121"/>
  <c r="AB110" i="121"/>
  <c r="AB49" i="121"/>
  <c r="AB97" i="121"/>
  <c r="S112" i="121"/>
  <c r="S118" i="121"/>
  <c r="AB106" i="121"/>
  <c r="AB77" i="121"/>
  <c r="AB112" i="121"/>
  <c r="AB74" i="121"/>
  <c r="S104" i="121"/>
  <c r="S86" i="121"/>
  <c r="AB50" i="121"/>
  <c r="AB105" i="121"/>
  <c r="AB122" i="121"/>
  <c r="S59" i="121"/>
  <c r="AB61" i="121"/>
  <c r="S95" i="121"/>
  <c r="AB58" i="121"/>
  <c r="S108" i="121"/>
  <c r="AB78" i="121"/>
  <c r="AB88" i="121"/>
  <c r="S49" i="121"/>
  <c r="AB69" i="121"/>
  <c r="AB73" i="121"/>
  <c r="AB99" i="121"/>
  <c r="S110" i="121"/>
  <c r="S48" i="121"/>
  <c r="S75" i="121"/>
  <c r="S42" i="121"/>
  <c r="AB46" i="121"/>
  <c r="AB42" i="121"/>
  <c r="S72" i="121"/>
  <c r="AB126" i="121"/>
  <c r="S109" i="121"/>
  <c r="S61" i="121"/>
  <c r="S57" i="121"/>
  <c r="S56" i="121"/>
  <c r="AB129" i="121"/>
  <c r="AB66" i="121"/>
  <c r="S78" i="121"/>
  <c r="S99" i="121"/>
  <c r="S113" i="121"/>
  <c r="AB96" i="121"/>
  <c r="AB56" i="121"/>
  <c r="S52" i="121"/>
  <c r="AB102" i="121"/>
  <c r="S46" i="121"/>
  <c r="S36" i="121"/>
  <c r="AB89" i="121"/>
  <c r="S81" i="121"/>
  <c r="S60" i="121"/>
  <c r="AB117" i="121"/>
  <c r="S35" i="121"/>
  <c r="S111" i="121"/>
  <c r="AB104" i="121"/>
  <c r="S66" i="121"/>
  <c r="S103" i="121"/>
  <c r="AB92" i="121"/>
  <c r="S58" i="121"/>
  <c r="S67" i="121"/>
  <c r="AB52" i="121"/>
  <c r="S102" i="121"/>
  <c r="S79" i="121"/>
  <c r="AB48" i="121"/>
  <c r="S71" i="121"/>
  <c r="S65" i="121"/>
  <c r="F8" i="121"/>
  <c r="E8" i="121"/>
  <c r="AD57" i="121"/>
  <c r="AD94" i="121"/>
  <c r="AD111" i="121"/>
  <c r="AD39" i="121"/>
  <c r="AD62" i="121"/>
  <c r="AD97" i="121"/>
  <c r="AD110" i="121"/>
  <c r="AD107" i="121"/>
  <c r="AD79" i="121"/>
  <c r="AD41" i="121"/>
  <c r="G18" i="121"/>
  <c r="AD100" i="121"/>
  <c r="AD87" i="121"/>
  <c r="AD115" i="121"/>
  <c r="AD96" i="121"/>
  <c r="AD37" i="121"/>
  <c r="AD54" i="121"/>
  <c r="AD78" i="121"/>
  <c r="AD58" i="121"/>
  <c r="AD81" i="121"/>
  <c r="AD108" i="121"/>
  <c r="AC125" i="121"/>
  <c r="AD47" i="121"/>
  <c r="AD88" i="121"/>
  <c r="AD44" i="121"/>
  <c r="AD90" i="121"/>
  <c r="AD83" i="121"/>
  <c r="AD75" i="121"/>
  <c r="AD84" i="121"/>
  <c r="AD82" i="121"/>
  <c r="AD40" i="121"/>
  <c r="AD43" i="121"/>
  <c r="AD124" i="121"/>
  <c r="AD35" i="121"/>
  <c r="AC109" i="121"/>
  <c r="AC95" i="121"/>
  <c r="AD71" i="121"/>
  <c r="AD34" i="121"/>
  <c r="AD128" i="121"/>
  <c r="AD123" i="121"/>
  <c r="AD129" i="121"/>
  <c r="AD109" i="121"/>
  <c r="AD114" i="121"/>
  <c r="AD51" i="121"/>
  <c r="AD85" i="121"/>
  <c r="AD122" i="121"/>
  <c r="AD65" i="121"/>
  <c r="AD120" i="121"/>
  <c r="AD46" i="121"/>
  <c r="AC105" i="121"/>
  <c r="AC78" i="121"/>
  <c r="AD102" i="121"/>
  <c r="AC70" i="121"/>
  <c r="AC66" i="121"/>
  <c r="AC91" i="121"/>
  <c r="AD91" i="121"/>
  <c r="AD127" i="121"/>
  <c r="AD36" i="121"/>
  <c r="AD126" i="121"/>
  <c r="AC77" i="121"/>
  <c r="AC112" i="121"/>
  <c r="AD105" i="121"/>
  <c r="AD76" i="121"/>
  <c r="AD69" i="121"/>
  <c r="AD59" i="121"/>
  <c r="AD104" i="121"/>
  <c r="AD77" i="121"/>
  <c r="AD56" i="121"/>
  <c r="AD49" i="121"/>
  <c r="AD125" i="121"/>
  <c r="AD116" i="121"/>
  <c r="AD119" i="121"/>
  <c r="AD55" i="121"/>
  <c r="AC89" i="121"/>
  <c r="AC80" i="121"/>
  <c r="AC124" i="121"/>
  <c r="AD68" i="121"/>
  <c r="AD92" i="121"/>
  <c r="AD45" i="121"/>
  <c r="AC122" i="121"/>
  <c r="AC108" i="121"/>
  <c r="AD67" i="121"/>
  <c r="AD74" i="121"/>
  <c r="AD118" i="121"/>
  <c r="AD98" i="121"/>
  <c r="AD86" i="121"/>
  <c r="AD117" i="121"/>
  <c r="AD52" i="121"/>
  <c r="AD60" i="121"/>
  <c r="AD99" i="121"/>
  <c r="AD112" i="121"/>
  <c r="AD64" i="121"/>
  <c r="AD106" i="121"/>
  <c r="AC63" i="121"/>
  <c r="AC98" i="121"/>
  <c r="AC97" i="121"/>
  <c r="AD93" i="121"/>
  <c r="AD38" i="121"/>
  <c r="AD53" i="121"/>
  <c r="AC110" i="121"/>
  <c r="AD66" i="121"/>
  <c r="AD95" i="121"/>
  <c r="AD61" i="121"/>
  <c r="AD50" i="121"/>
  <c r="AD63" i="121"/>
  <c r="AD101" i="121"/>
  <c r="AD113" i="121"/>
  <c r="AD89" i="121"/>
  <c r="AD72" i="121"/>
  <c r="AD70" i="121"/>
  <c r="AD121" i="121"/>
  <c r="AC71" i="121"/>
  <c r="AC79" i="121"/>
  <c r="AC54" i="121"/>
  <c r="AC102" i="121"/>
  <c r="AC67" i="121"/>
  <c r="AD48" i="121"/>
  <c r="AD80" i="121"/>
  <c r="AD103" i="121"/>
  <c r="AC35" i="121"/>
  <c r="AC37" i="121"/>
  <c r="AC72" i="121"/>
  <c r="AC47" i="121"/>
  <c r="AC114" i="121"/>
  <c r="AC45" i="121"/>
  <c r="AC86" i="121"/>
  <c r="AC64" i="121"/>
  <c r="AC55" i="121"/>
  <c r="AC34" i="121"/>
  <c r="AC101" i="121"/>
  <c r="AC57" i="121"/>
  <c r="AC50" i="121"/>
  <c r="AC62" i="121"/>
  <c r="AC85" i="121"/>
  <c r="AC90" i="121"/>
  <c r="AC40" i="121"/>
  <c r="AC68" i="121"/>
  <c r="AC73" i="121"/>
  <c r="AC53" i="121"/>
  <c r="AC92" i="121"/>
  <c r="AC94" i="121"/>
  <c r="AC81" i="121"/>
  <c r="AC126" i="121"/>
  <c r="AC116" i="121"/>
  <c r="AC51" i="121"/>
  <c r="AC113" i="121"/>
  <c r="AC100" i="121"/>
  <c r="AC118" i="121"/>
  <c r="AC61" i="121"/>
  <c r="AC65" i="121"/>
  <c r="AC59" i="121"/>
  <c r="AC87" i="121"/>
  <c r="AC60" i="121"/>
  <c r="AC96" i="121"/>
  <c r="AC74" i="121"/>
  <c r="AC104" i="121"/>
  <c r="AC103" i="121"/>
  <c r="AC127" i="121"/>
  <c r="AC117" i="121"/>
  <c r="AC129" i="121"/>
  <c r="AC106" i="121"/>
  <c r="AC49" i="121"/>
  <c r="AC120" i="121"/>
  <c r="AC93" i="121"/>
  <c r="AC56" i="121"/>
  <c r="AC44" i="121"/>
  <c r="AC38" i="121"/>
  <c r="AC121" i="121"/>
  <c r="AC46" i="121"/>
  <c r="AC41" i="121"/>
  <c r="AC115" i="121"/>
  <c r="AC99" i="121"/>
  <c r="AC42" i="121"/>
  <c r="AC128" i="121"/>
  <c r="AC43" i="121"/>
  <c r="AC52" i="121"/>
  <c r="AC36" i="121"/>
  <c r="AC111" i="121"/>
  <c r="AC83" i="121"/>
  <c r="AC82" i="121"/>
  <c r="AC76" i="121"/>
  <c r="AC123" i="121"/>
  <c r="AC75" i="121"/>
  <c r="AC48" i="121"/>
  <c r="AC69" i="121"/>
  <c r="AC119" i="121"/>
  <c r="AC84" i="121"/>
  <c r="AC107" i="121"/>
  <c r="G19" i="95"/>
  <c r="G18" i="95"/>
  <c r="G18" i="116"/>
  <c r="G19" i="116"/>
  <c r="G18" i="114"/>
  <c r="G19" i="114"/>
  <c r="G19" i="103"/>
  <c r="G18" i="103"/>
  <c r="G18" i="115"/>
  <c r="G19" i="115"/>
  <c r="G18" i="112"/>
  <c r="G19" i="112"/>
  <c r="G19" i="119"/>
  <c r="G18" i="119"/>
  <c r="G18" i="99"/>
  <c r="G19" i="99"/>
  <c r="G19" i="98"/>
  <c r="G18" i="98"/>
  <c r="G19" i="109"/>
  <c r="F19" i="111"/>
  <c r="G19" i="106"/>
  <c r="G18" i="106"/>
  <c r="G18" i="105"/>
  <c r="G19" i="105"/>
  <c r="G18" i="101"/>
  <c r="G19" i="101"/>
  <c r="G18" i="102"/>
  <c r="C65" i="15"/>
  <c r="AD101" i="116"/>
  <c r="AD65" i="116"/>
  <c r="AD103" i="116"/>
  <c r="AD62" i="116"/>
  <c r="AD127" i="116"/>
  <c r="AD48" i="116"/>
  <c r="AD54" i="116"/>
  <c r="AD119" i="116"/>
  <c r="AD40" i="116"/>
  <c r="AD46" i="116"/>
  <c r="AD111" i="116"/>
  <c r="AD114" i="116"/>
  <c r="AD120" i="116"/>
  <c r="AD122" i="116"/>
  <c r="AD75" i="116"/>
  <c r="AD125" i="116"/>
  <c r="AD98" i="116"/>
  <c r="AD95" i="116"/>
  <c r="AD117" i="116"/>
  <c r="AD94" i="116"/>
  <c r="AD87" i="116"/>
  <c r="AD109" i="116"/>
  <c r="AD73" i="116"/>
  <c r="AD79" i="116"/>
  <c r="AD88" i="116"/>
  <c r="AD60" i="116"/>
  <c r="AD43" i="116"/>
  <c r="AD93" i="116"/>
  <c r="AD57" i="116"/>
  <c r="AD67" i="116"/>
  <c r="AD85" i="116"/>
  <c r="AD49" i="116"/>
  <c r="AD59" i="116"/>
  <c r="AD128" i="116"/>
  <c r="AD41" i="116"/>
  <c r="AD51" i="116"/>
  <c r="AD107" i="116"/>
  <c r="AD82" i="116"/>
  <c r="AD66" i="116"/>
  <c r="AD112" i="116"/>
  <c r="AD118" i="116"/>
  <c r="AD35" i="116"/>
  <c r="AD104" i="116"/>
  <c r="AD76" i="116"/>
  <c r="AD102" i="116"/>
  <c r="AD96" i="116"/>
  <c r="AD68" i="116"/>
  <c r="AD74" i="116"/>
  <c r="AD110" i="116"/>
  <c r="AD129" i="116"/>
  <c r="AD34" i="116"/>
  <c r="AD80" i="116"/>
  <c r="AD52" i="116"/>
  <c r="AD58" i="116"/>
  <c r="AD123" i="116"/>
  <c r="AD44" i="116"/>
  <c r="AD50" i="116"/>
  <c r="AD115" i="116"/>
  <c r="AD36" i="116"/>
  <c r="AD42" i="116"/>
  <c r="AD47" i="116"/>
  <c r="AD97" i="116"/>
  <c r="AD61" i="116"/>
  <c r="AD99" i="116"/>
  <c r="AD121" i="116"/>
  <c r="AD126" i="116"/>
  <c r="AD91" i="116"/>
  <c r="AD113" i="116"/>
  <c r="AD77" i="116"/>
  <c r="AD83" i="116"/>
  <c r="AD105" i="116"/>
  <c r="AD69" i="116"/>
  <c r="AD70" i="116"/>
  <c r="AD116" i="116"/>
  <c r="AD90" i="116"/>
  <c r="AD71" i="116"/>
  <c r="AD89" i="116"/>
  <c r="AD53" i="116"/>
  <c r="AD63" i="116"/>
  <c r="AD81" i="116"/>
  <c r="AD45" i="116"/>
  <c r="AD55" i="116"/>
  <c r="AD124" i="116"/>
  <c r="AD37" i="116"/>
  <c r="AD38" i="116"/>
  <c r="AD84" i="116"/>
  <c r="AD56" i="116"/>
  <c r="AD39" i="116"/>
  <c r="AD108" i="116"/>
  <c r="AD86" i="116"/>
  <c r="AD106" i="116"/>
  <c r="AD100" i="116"/>
  <c r="AD72" i="116"/>
  <c r="AD78" i="116"/>
  <c r="AD92" i="116"/>
  <c r="AD64" i="116"/>
  <c r="AC55" i="116"/>
  <c r="AC102" i="116"/>
  <c r="AC120" i="116"/>
  <c r="AC38" i="116"/>
  <c r="AC89" i="116"/>
  <c r="AC103" i="116"/>
  <c r="AC76" i="116"/>
  <c r="AC106" i="116"/>
  <c r="AC72" i="116"/>
  <c r="AC57" i="116"/>
  <c r="AC93" i="116"/>
  <c r="AC107" i="116"/>
  <c r="AC109" i="116"/>
  <c r="AC46" i="116"/>
  <c r="AC40" i="116"/>
  <c r="AC96" i="116"/>
  <c r="AC52" i="116"/>
  <c r="AC129" i="116"/>
  <c r="AC80" i="116"/>
  <c r="AC50" i="116"/>
  <c r="AC43" i="116"/>
  <c r="AC115" i="116"/>
  <c r="AC56" i="116"/>
  <c r="AC82" i="116"/>
  <c r="AC49" i="116"/>
  <c r="AC119" i="116"/>
  <c r="AC39" i="116"/>
  <c r="AC118" i="116"/>
  <c r="AC59" i="116"/>
  <c r="AC69" i="116"/>
  <c r="AC105" i="116"/>
  <c r="AC123" i="116"/>
  <c r="AC116" i="116"/>
  <c r="AC122" i="116"/>
  <c r="AC63" i="116"/>
  <c r="AC73" i="116"/>
  <c r="I19" i="116"/>
  <c r="AC112" i="116"/>
  <c r="AC79" i="116"/>
  <c r="AC126" i="116"/>
  <c r="AC95" i="116"/>
  <c r="AC62" i="116"/>
  <c r="AC113" i="116"/>
  <c r="AC35" i="116"/>
  <c r="AC45" i="116"/>
  <c r="AC98" i="116"/>
  <c r="AC68" i="116"/>
  <c r="AC66" i="116"/>
  <c r="AC85" i="116"/>
  <c r="AC99" i="116"/>
  <c r="AC36" i="116"/>
  <c r="AC101" i="116"/>
  <c r="AC70" i="116"/>
  <c r="AC121" i="116"/>
  <c r="AC88" i="116"/>
  <c r="AC53" i="116"/>
  <c r="AC108" i="116"/>
  <c r="AC75" i="116"/>
  <c r="AC42" i="116"/>
  <c r="AC125" i="116"/>
  <c r="AC92" i="116"/>
  <c r="AC48" i="116"/>
  <c r="AC78" i="116"/>
  <c r="AC41" i="116"/>
  <c r="AC128" i="116"/>
  <c r="AC61" i="116"/>
  <c r="AC110" i="116"/>
  <c r="AC111" i="116"/>
  <c r="AC64" i="116"/>
  <c r="AC97" i="116"/>
  <c r="AC100" i="116"/>
  <c r="AC65" i="116"/>
  <c r="AC114" i="116"/>
  <c r="AC83" i="116"/>
  <c r="AC104" i="116"/>
  <c r="AC71" i="116"/>
  <c r="AC44" i="116"/>
  <c r="AC87" i="116"/>
  <c r="AC54" i="116"/>
  <c r="AC86" i="116"/>
  <c r="AC74" i="116"/>
  <c r="AC37" i="116"/>
  <c r="AC51" i="116"/>
  <c r="AC91" i="116"/>
  <c r="AC58" i="116"/>
  <c r="AC90" i="116"/>
  <c r="AC60" i="116"/>
  <c r="AC127" i="116"/>
  <c r="AC47" i="116"/>
  <c r="AC94" i="116"/>
  <c r="AC67" i="116"/>
  <c r="AC77" i="116"/>
  <c r="AC81" i="116"/>
  <c r="AC124" i="116"/>
  <c r="AC117" i="116"/>
  <c r="AC84" i="116"/>
  <c r="AC34" i="116"/>
  <c r="I18" i="116"/>
  <c r="AD87" i="101"/>
  <c r="AD111" i="101"/>
  <c r="AD83" i="101"/>
  <c r="AD122" i="101"/>
  <c r="AD93" i="101"/>
  <c r="AD96" i="101"/>
  <c r="AD99" i="101"/>
  <c r="AD70" i="101"/>
  <c r="AD41" i="101"/>
  <c r="AD42" i="101"/>
  <c r="AD108" i="101"/>
  <c r="AC67" i="101"/>
  <c r="AD61" i="101"/>
  <c r="AD38" i="101"/>
  <c r="AD86" i="101"/>
  <c r="AD48" i="101"/>
  <c r="AD115" i="101"/>
  <c r="AD59" i="101"/>
  <c r="AD125" i="101"/>
  <c r="AD62" i="101"/>
  <c r="AD128" i="101"/>
  <c r="AD118" i="101"/>
  <c r="AD36" i="101"/>
  <c r="AD102" i="101"/>
  <c r="AD73" i="101"/>
  <c r="AD74" i="101"/>
  <c r="AD45" i="101"/>
  <c r="AC104" i="101"/>
  <c r="AD121" i="101"/>
  <c r="AC129" i="101"/>
  <c r="AD120" i="101"/>
  <c r="AD80" i="101"/>
  <c r="AD52" i="101"/>
  <c r="AD91" i="101"/>
  <c r="AD94" i="101"/>
  <c r="AD65" i="101"/>
  <c r="AD89" i="101"/>
  <c r="AD68" i="101"/>
  <c r="AD39" i="101"/>
  <c r="AD105" i="101"/>
  <c r="AD106" i="101"/>
  <c r="AD77" i="101"/>
  <c r="AD51" i="101"/>
  <c r="AC118" i="101"/>
  <c r="AD104" i="101"/>
  <c r="AC101" i="101"/>
  <c r="AD46" i="101"/>
  <c r="AD112" i="101"/>
  <c r="AD56" i="101"/>
  <c r="AD84" i="101"/>
  <c r="AD123" i="101"/>
  <c r="AD126" i="101"/>
  <c r="AD97" i="101"/>
  <c r="AD34" i="101"/>
  <c r="AD100" i="101"/>
  <c r="AD71" i="101"/>
  <c r="AD43" i="101"/>
  <c r="AD109" i="101"/>
  <c r="AC38" i="101"/>
  <c r="AD64" i="101"/>
  <c r="AC63" i="101"/>
  <c r="AD78" i="101"/>
  <c r="AD49" i="101"/>
  <c r="AD50" i="101"/>
  <c r="AD116" i="101"/>
  <c r="AD54" i="101"/>
  <c r="AD60" i="101"/>
  <c r="AD63" i="101"/>
  <c r="AD129" i="101"/>
  <c r="AD66" i="101"/>
  <c r="AD37" i="101"/>
  <c r="AD103" i="101"/>
  <c r="AD75" i="101"/>
  <c r="AD117" i="101"/>
  <c r="AC115" i="101"/>
  <c r="AD67" i="101"/>
  <c r="AD76" i="101"/>
  <c r="AD110" i="101"/>
  <c r="AD81" i="101"/>
  <c r="AD82" i="101"/>
  <c r="AD53" i="101"/>
  <c r="AD88" i="101"/>
  <c r="AD92" i="101"/>
  <c r="AD95" i="101"/>
  <c r="AD98" i="101"/>
  <c r="AD69" i="101"/>
  <c r="AD55" i="101"/>
  <c r="AD40" i="101"/>
  <c r="AD107" i="101"/>
  <c r="AC66" i="101"/>
  <c r="AC37" i="101"/>
  <c r="AC76" i="101"/>
  <c r="AC92" i="101"/>
  <c r="AD47" i="101"/>
  <c r="AD113" i="101"/>
  <c r="AD114" i="101"/>
  <c r="AD85" i="101"/>
  <c r="AD58" i="101"/>
  <c r="AD124" i="101"/>
  <c r="AD119" i="101"/>
  <c r="AD127" i="101"/>
  <c r="AD35" i="101"/>
  <c r="AD101" i="101"/>
  <c r="AD57" i="101"/>
  <c r="AD72" i="101"/>
  <c r="AD44" i="101"/>
  <c r="AD79" i="101"/>
  <c r="AD90" i="101"/>
  <c r="AC89" i="101"/>
  <c r="AC35" i="101"/>
  <c r="AC40" i="101"/>
  <c r="AC83" i="101"/>
  <c r="AC117" i="101"/>
  <c r="AC46" i="101"/>
  <c r="AC34" i="101"/>
  <c r="AC103" i="101"/>
  <c r="AC82" i="101"/>
  <c r="AC119" i="101"/>
  <c r="AC127" i="101"/>
  <c r="AC102" i="101"/>
  <c r="AC42" i="101"/>
  <c r="AC69" i="101"/>
  <c r="AC44" i="101"/>
  <c r="AC51" i="101"/>
  <c r="AC80" i="101"/>
  <c r="AC128" i="101"/>
  <c r="AC68" i="101"/>
  <c r="AC109" i="101"/>
  <c r="AC116" i="101"/>
  <c r="AC61" i="101"/>
  <c r="AC95" i="101"/>
  <c r="AC41" i="101"/>
  <c r="AC98" i="101"/>
  <c r="AC72" i="101"/>
  <c r="AC107" i="101"/>
  <c r="AC47" i="101"/>
  <c r="AC62" i="101"/>
  <c r="AC96" i="101"/>
  <c r="AC43" i="101"/>
  <c r="AC50" i="101"/>
  <c r="AC90" i="101"/>
  <c r="AC124" i="101"/>
  <c r="AC70" i="101"/>
  <c r="AC97" i="101"/>
  <c r="AC65" i="101"/>
  <c r="AC110" i="101"/>
  <c r="AC113" i="101"/>
  <c r="AC91" i="101"/>
  <c r="AC71" i="101"/>
  <c r="AC77" i="101"/>
  <c r="AC87" i="101"/>
  <c r="AC58" i="101"/>
  <c r="AC126" i="101"/>
  <c r="AC94" i="101"/>
  <c r="AC81" i="101"/>
  <c r="AC48" i="101"/>
  <c r="AC88" i="101"/>
  <c r="AC125" i="101"/>
  <c r="AC36" i="101"/>
  <c r="AC106" i="101"/>
  <c r="AC84" i="101"/>
  <c r="AC121" i="101"/>
  <c r="AC60" i="101"/>
  <c r="AC123" i="101"/>
  <c r="AC78" i="101"/>
  <c r="AC49" i="101"/>
  <c r="AC85" i="101"/>
  <c r="AC59" i="101"/>
  <c r="AC64" i="101"/>
  <c r="AC105" i="101"/>
  <c r="AC45" i="101"/>
  <c r="AC55" i="101"/>
  <c r="AC57" i="101"/>
  <c r="AC120" i="101"/>
  <c r="AC112" i="101"/>
  <c r="AC111" i="101"/>
  <c r="AC114" i="101"/>
  <c r="AC56" i="101"/>
  <c r="AC93" i="101"/>
  <c r="AC39" i="101"/>
  <c r="AC74" i="101"/>
  <c r="AC52" i="101"/>
  <c r="AC86" i="101"/>
  <c r="AC54" i="101"/>
  <c r="AC79" i="101"/>
  <c r="AC100" i="101"/>
  <c r="AC75" i="101"/>
  <c r="AC53" i="101"/>
  <c r="AC122" i="101"/>
  <c r="AC99" i="101"/>
  <c r="AC73" i="101"/>
  <c r="AC108" i="101"/>
  <c r="AD48" i="102"/>
  <c r="AD111" i="102"/>
  <c r="AD81" i="102"/>
  <c r="AD47" i="102"/>
  <c r="AD76" i="102"/>
  <c r="AD105" i="102"/>
  <c r="AD39" i="102"/>
  <c r="AD68" i="102"/>
  <c r="AD129" i="102"/>
  <c r="AD63" i="102"/>
  <c r="AD124" i="102"/>
  <c r="AD58" i="102"/>
  <c r="AD87" i="102"/>
  <c r="AD116" i="102"/>
  <c r="AD50" i="102"/>
  <c r="AD110" i="102"/>
  <c r="AD44" i="102"/>
  <c r="AD73" i="102"/>
  <c r="AD102" i="102"/>
  <c r="AD36" i="102"/>
  <c r="AD97" i="102"/>
  <c r="AD126" i="102"/>
  <c r="AD92" i="102"/>
  <c r="AD121" i="102"/>
  <c r="AD55" i="102"/>
  <c r="AD84" i="102"/>
  <c r="AD78" i="102"/>
  <c r="AD107" i="102"/>
  <c r="AD41" i="102"/>
  <c r="AD70" i="102"/>
  <c r="AD99" i="102"/>
  <c r="AD65" i="102"/>
  <c r="AD94" i="102"/>
  <c r="AD60" i="102"/>
  <c r="AD89" i="102"/>
  <c r="AD118" i="102"/>
  <c r="AD52" i="102"/>
  <c r="AD113" i="102"/>
  <c r="AD46" i="102"/>
  <c r="AD75" i="102"/>
  <c r="AD104" i="102"/>
  <c r="AD38" i="102"/>
  <c r="AD67" i="102"/>
  <c r="AD128" i="102"/>
  <c r="AD62" i="102"/>
  <c r="AD123" i="102"/>
  <c r="AD57" i="102"/>
  <c r="AD86" i="102"/>
  <c r="AD115" i="102"/>
  <c r="AD49" i="102"/>
  <c r="AD109" i="102"/>
  <c r="AD43" i="102"/>
  <c r="AD72" i="102"/>
  <c r="AD101" i="102"/>
  <c r="AD35" i="102"/>
  <c r="AD96" i="102"/>
  <c r="AD91" i="102"/>
  <c r="AD120" i="102"/>
  <c r="AD54" i="102"/>
  <c r="AD83" i="102"/>
  <c r="AD112" i="102"/>
  <c r="AD77" i="102"/>
  <c r="AD106" i="102"/>
  <c r="AD40" i="102"/>
  <c r="AD69" i="102"/>
  <c r="AD98" i="102"/>
  <c r="AD64" i="102"/>
  <c r="AD125" i="102"/>
  <c r="AD59" i="102"/>
  <c r="AD88" i="102"/>
  <c r="AD117" i="102"/>
  <c r="AD51" i="102"/>
  <c r="AD80" i="102"/>
  <c r="AD45" i="102"/>
  <c r="AD74" i="102"/>
  <c r="AD103" i="102"/>
  <c r="AD37" i="102"/>
  <c r="AD66" i="102"/>
  <c r="AD127" i="102"/>
  <c r="AD93" i="102"/>
  <c r="AD122" i="102"/>
  <c r="AD56" i="102"/>
  <c r="AD85" i="102"/>
  <c r="AD114" i="102"/>
  <c r="AD79" i="102"/>
  <c r="AD108" i="102"/>
  <c r="AD42" i="102"/>
  <c r="AD71" i="102"/>
  <c r="AD100" i="102"/>
  <c r="AD34" i="102"/>
  <c r="AD95" i="102"/>
  <c r="AD61" i="102"/>
  <c r="AD90" i="102"/>
  <c r="AD119" i="102"/>
  <c r="AD53" i="102"/>
  <c r="AD82" i="102"/>
  <c r="AC116" i="102"/>
  <c r="AC50" i="102"/>
  <c r="AC79" i="102"/>
  <c r="AC44" i="102"/>
  <c r="AC73" i="102"/>
  <c r="AC102" i="102"/>
  <c r="AC36" i="102"/>
  <c r="AC97" i="102"/>
  <c r="AC126" i="102"/>
  <c r="AC60" i="102"/>
  <c r="AC89" i="102"/>
  <c r="AC118" i="102"/>
  <c r="AC84" i="102"/>
  <c r="AC113" i="102"/>
  <c r="AC47" i="102"/>
  <c r="AC107" i="102"/>
  <c r="AC41" i="102"/>
  <c r="AC70" i="102"/>
  <c r="AC99" i="102"/>
  <c r="AC65" i="102"/>
  <c r="AC94" i="102"/>
  <c r="AC123" i="102"/>
  <c r="AC57" i="102"/>
  <c r="AC86" i="102"/>
  <c r="AC53" i="102"/>
  <c r="AC52" i="102"/>
  <c r="AC81" i="102"/>
  <c r="AC110" i="102"/>
  <c r="AC75" i="102"/>
  <c r="AC104" i="102"/>
  <c r="AC38" i="102"/>
  <c r="AC67" i="102"/>
  <c r="AC128" i="102"/>
  <c r="AC62" i="102"/>
  <c r="AC91" i="102"/>
  <c r="AC120" i="102"/>
  <c r="AC54" i="102"/>
  <c r="AC77" i="102"/>
  <c r="AC117" i="102"/>
  <c r="AC115" i="102"/>
  <c r="AC49" i="102"/>
  <c r="AC78" i="102"/>
  <c r="AC43" i="102"/>
  <c r="AC72" i="102"/>
  <c r="AC101" i="102"/>
  <c r="AC35" i="102"/>
  <c r="AC96" i="102"/>
  <c r="AC125" i="102"/>
  <c r="AC59" i="102"/>
  <c r="AC88" i="102"/>
  <c r="AC85" i="102"/>
  <c r="AC83" i="102"/>
  <c r="AC112" i="102"/>
  <c r="AC46" i="102"/>
  <c r="AC106" i="102"/>
  <c r="AC40" i="102"/>
  <c r="AC69" i="102"/>
  <c r="AC98" i="102"/>
  <c r="AC64" i="102"/>
  <c r="AC93" i="102"/>
  <c r="AC122" i="102"/>
  <c r="AC56" i="102"/>
  <c r="AC87" i="102"/>
  <c r="AC51" i="102"/>
  <c r="AC80" i="102"/>
  <c r="AC45" i="102"/>
  <c r="AC74" i="102"/>
  <c r="AC103" i="102"/>
  <c r="AC37" i="102"/>
  <c r="AC66" i="102"/>
  <c r="AC127" i="102"/>
  <c r="AC61" i="102"/>
  <c r="AC90" i="102"/>
  <c r="AC119" i="102"/>
  <c r="AC109" i="102"/>
  <c r="AC58" i="102"/>
  <c r="AC114" i="102"/>
  <c r="AC48" i="102"/>
  <c r="AC108" i="102"/>
  <c r="AC42" i="102"/>
  <c r="AC71" i="102"/>
  <c r="AC100" i="102"/>
  <c r="AC34" i="102"/>
  <c r="AC95" i="102"/>
  <c r="AC124" i="102"/>
  <c r="AC82" i="102"/>
  <c r="AC111" i="102"/>
  <c r="AC76" i="102"/>
  <c r="AC105" i="102"/>
  <c r="AC39" i="102"/>
  <c r="AC68" i="102"/>
  <c r="AC129" i="102"/>
  <c r="AC63" i="102"/>
  <c r="AC92" i="102"/>
  <c r="AC121" i="102"/>
  <c r="AC55" i="102"/>
  <c r="AD42" i="119"/>
  <c r="AD74" i="119"/>
  <c r="AD47" i="119"/>
  <c r="AD113" i="119"/>
  <c r="AD51" i="119"/>
  <c r="AD117" i="119"/>
  <c r="AD55" i="119"/>
  <c r="AD121" i="119"/>
  <c r="AD122" i="119"/>
  <c r="AD93" i="119"/>
  <c r="AD94" i="119"/>
  <c r="AD65" i="119"/>
  <c r="AD66" i="119"/>
  <c r="AD37" i="119"/>
  <c r="AD39" i="119"/>
  <c r="AD105" i="119"/>
  <c r="AD108" i="119"/>
  <c r="AC45" i="119"/>
  <c r="AD79" i="119"/>
  <c r="AD83" i="119"/>
  <c r="AD87" i="119"/>
  <c r="AD59" i="119"/>
  <c r="AD125" i="119"/>
  <c r="AD126" i="119"/>
  <c r="AD97" i="119"/>
  <c r="AD98" i="119"/>
  <c r="AD69" i="119"/>
  <c r="AD71" i="119"/>
  <c r="AD45" i="119"/>
  <c r="AD81" i="119"/>
  <c r="AC128" i="119"/>
  <c r="AD34" i="119"/>
  <c r="AD111" i="119"/>
  <c r="AD115" i="119"/>
  <c r="AD119" i="119"/>
  <c r="AD91" i="119"/>
  <c r="AD63" i="119"/>
  <c r="AD129" i="119"/>
  <c r="AD35" i="119"/>
  <c r="AD101" i="119"/>
  <c r="AD103" i="119"/>
  <c r="AD106" i="119"/>
  <c r="AD77" i="119"/>
  <c r="AD89" i="119"/>
  <c r="AD128" i="119"/>
  <c r="AD76" i="119"/>
  <c r="AD48" i="119"/>
  <c r="AD52" i="119"/>
  <c r="AD56" i="119"/>
  <c r="AD123" i="119"/>
  <c r="AD95" i="119"/>
  <c r="AD67" i="119"/>
  <c r="AD40" i="119"/>
  <c r="AD43" i="119"/>
  <c r="AD109" i="119"/>
  <c r="AD85" i="119"/>
  <c r="AD61" i="119"/>
  <c r="AD100" i="119"/>
  <c r="AD80" i="119"/>
  <c r="AD84" i="119"/>
  <c r="AD88" i="119"/>
  <c r="AD60" i="119"/>
  <c r="AD127" i="119"/>
  <c r="AD99" i="119"/>
  <c r="AD72" i="119"/>
  <c r="AD75" i="119"/>
  <c r="AD104" i="119"/>
  <c r="AC53" i="119"/>
  <c r="AC57" i="119"/>
  <c r="AD118" i="119"/>
  <c r="AD62" i="119"/>
  <c r="AD102" i="119"/>
  <c r="AD46" i="119"/>
  <c r="AD112" i="119"/>
  <c r="AD50" i="119"/>
  <c r="AD116" i="119"/>
  <c r="AD54" i="119"/>
  <c r="AD120" i="119"/>
  <c r="AD92" i="119"/>
  <c r="AD64" i="119"/>
  <c r="AD36" i="119"/>
  <c r="AD38" i="119"/>
  <c r="AD107" i="119"/>
  <c r="AD110" i="119"/>
  <c r="AC61" i="119"/>
  <c r="AC100" i="119"/>
  <c r="AD73" i="119"/>
  <c r="AD78" i="119"/>
  <c r="AD49" i="119"/>
  <c r="AD82" i="119"/>
  <c r="AD53" i="119"/>
  <c r="AD86" i="119"/>
  <c r="AD57" i="119"/>
  <c r="AD58" i="119"/>
  <c r="AD124" i="119"/>
  <c r="I18" i="119"/>
  <c r="AD96" i="119"/>
  <c r="AD68" i="119"/>
  <c r="AD70" i="119"/>
  <c r="AD41" i="119"/>
  <c r="AD44" i="119"/>
  <c r="AD114" i="119"/>
  <c r="AD90" i="119"/>
  <c r="AC72" i="119"/>
  <c r="AC84" i="119"/>
  <c r="AC116" i="119"/>
  <c r="AC92" i="119"/>
  <c r="AC48" i="119"/>
  <c r="AC80" i="119"/>
  <c r="AC127" i="119"/>
  <c r="AC123" i="119"/>
  <c r="AC35" i="119"/>
  <c r="AC83" i="119"/>
  <c r="AC121" i="119"/>
  <c r="AC93" i="119"/>
  <c r="AC108" i="119"/>
  <c r="AC76" i="119"/>
  <c r="AC88" i="119"/>
  <c r="AC113" i="119"/>
  <c r="AC106" i="119"/>
  <c r="AC122" i="119"/>
  <c r="AC105" i="119"/>
  <c r="AC86" i="119"/>
  <c r="AC129" i="119"/>
  <c r="AC109" i="119"/>
  <c r="AC55" i="119"/>
  <c r="AC89" i="119"/>
  <c r="AC102" i="119"/>
  <c r="AC70" i="119"/>
  <c r="AC110" i="119"/>
  <c r="AC79" i="119"/>
  <c r="AC44" i="119"/>
  <c r="AC60" i="119"/>
  <c r="AC39" i="119"/>
  <c r="AC119" i="119"/>
  <c r="AC63" i="119"/>
  <c r="AC41" i="119"/>
  <c r="AC117" i="119"/>
  <c r="AC85" i="119"/>
  <c r="AC59" i="119"/>
  <c r="AC40" i="119"/>
  <c r="AC103" i="119"/>
  <c r="AC46" i="119"/>
  <c r="AC81" i="119"/>
  <c r="AC38" i="119"/>
  <c r="AC118" i="119"/>
  <c r="AC34" i="119"/>
  <c r="AC82" i="119"/>
  <c r="AC58" i="119"/>
  <c r="AC69" i="119"/>
  <c r="AC51" i="119"/>
  <c r="AC77" i="119"/>
  <c r="AC68" i="119"/>
  <c r="AC98" i="119"/>
  <c r="AC112" i="119"/>
  <c r="AC47" i="119"/>
  <c r="AC71" i="119"/>
  <c r="AC56" i="119"/>
  <c r="AC67" i="119"/>
  <c r="AC115" i="119"/>
  <c r="AC91" i="119"/>
  <c r="AC97" i="119"/>
  <c r="AC65" i="119"/>
  <c r="AC96" i="119"/>
  <c r="AC36" i="119"/>
  <c r="AC107" i="119"/>
  <c r="AC49" i="119"/>
  <c r="AC66" i="119"/>
  <c r="AC114" i="119"/>
  <c r="AC62" i="119"/>
  <c r="AC42" i="119"/>
  <c r="AC54" i="119"/>
  <c r="I19" i="119"/>
  <c r="AC104" i="119"/>
  <c r="AC37" i="119"/>
  <c r="AC78" i="119"/>
  <c r="AC90" i="119"/>
  <c r="AC124" i="119"/>
  <c r="AC126" i="119"/>
  <c r="AC75" i="119"/>
  <c r="AC111" i="119"/>
  <c r="AC99" i="119"/>
  <c r="AC52" i="119"/>
  <c r="AC95" i="119"/>
  <c r="AC73" i="119"/>
  <c r="AC87" i="119"/>
  <c r="AC125" i="119"/>
  <c r="AC94" i="119"/>
  <c r="AC101" i="119"/>
  <c r="AC120" i="119"/>
  <c r="AC64" i="119"/>
  <c r="AC43" i="119"/>
  <c r="AC74" i="119"/>
  <c r="AC50" i="119"/>
  <c r="AD90" i="114"/>
  <c r="AD119" i="114"/>
  <c r="AD57" i="114"/>
  <c r="AD82" i="114"/>
  <c r="AD111" i="114"/>
  <c r="AD49" i="114"/>
  <c r="AD74" i="114"/>
  <c r="AD103" i="114"/>
  <c r="AD41" i="114"/>
  <c r="AD66" i="114"/>
  <c r="AD127" i="114"/>
  <c r="AD65" i="114"/>
  <c r="AD58" i="114"/>
  <c r="AD87" i="114"/>
  <c r="AD120" i="114"/>
  <c r="AD50" i="114"/>
  <c r="AD79" i="114"/>
  <c r="AD112" i="114"/>
  <c r="AD42" i="114"/>
  <c r="AD71" i="114"/>
  <c r="AD104" i="114"/>
  <c r="AD34" i="114"/>
  <c r="AD95" i="114"/>
  <c r="AD128" i="114"/>
  <c r="AD125" i="114"/>
  <c r="AD55" i="114"/>
  <c r="AD88" i="114"/>
  <c r="AD117" i="114"/>
  <c r="AD47" i="114"/>
  <c r="AD80" i="114"/>
  <c r="AD109" i="114"/>
  <c r="AD39" i="114"/>
  <c r="AD72" i="114"/>
  <c r="AD101" i="114"/>
  <c r="AD63" i="114"/>
  <c r="AD96" i="114"/>
  <c r="AD93" i="114"/>
  <c r="AD118" i="114"/>
  <c r="AD56" i="114"/>
  <c r="AD85" i="114"/>
  <c r="AD110" i="114"/>
  <c r="AD48" i="114"/>
  <c r="AD77" i="114"/>
  <c r="AD102" i="114"/>
  <c r="AD40" i="114"/>
  <c r="AD69" i="114"/>
  <c r="AD126" i="114"/>
  <c r="AD64" i="114"/>
  <c r="I19" i="114"/>
  <c r="AD123" i="114"/>
  <c r="AD61" i="114"/>
  <c r="AD86" i="114"/>
  <c r="AD115" i="114"/>
  <c r="AD53" i="114"/>
  <c r="AD78" i="114"/>
  <c r="AD107" i="114"/>
  <c r="AD45" i="114"/>
  <c r="AD70" i="114"/>
  <c r="AD99" i="114"/>
  <c r="AD37" i="114"/>
  <c r="AD94" i="114"/>
  <c r="I18" i="114"/>
  <c r="AD91" i="114"/>
  <c r="AD124" i="114"/>
  <c r="AD54" i="114"/>
  <c r="AD83" i="114"/>
  <c r="AD116" i="114"/>
  <c r="AD46" i="114"/>
  <c r="AD75" i="114"/>
  <c r="AD108" i="114"/>
  <c r="AD38" i="114"/>
  <c r="AD67" i="114"/>
  <c r="AD100" i="114"/>
  <c r="AD62" i="114"/>
  <c r="AD59" i="114"/>
  <c r="AD92" i="114"/>
  <c r="AD121" i="114"/>
  <c r="AD51" i="114"/>
  <c r="AD84" i="114"/>
  <c r="AD113" i="114"/>
  <c r="AD43" i="114"/>
  <c r="AD76" i="114"/>
  <c r="AD105" i="114"/>
  <c r="AD35" i="114"/>
  <c r="AD68" i="114"/>
  <c r="AD129" i="114"/>
  <c r="AD122" i="114"/>
  <c r="AD60" i="114"/>
  <c r="AD89" i="114"/>
  <c r="AD114" i="114"/>
  <c r="AD52" i="114"/>
  <c r="AD81" i="114"/>
  <c r="AD106" i="114"/>
  <c r="AD44" i="114"/>
  <c r="AD73" i="114"/>
  <c r="AD98" i="114"/>
  <c r="AD36" i="114"/>
  <c r="AD97" i="114"/>
  <c r="AC66" i="114"/>
  <c r="AC119" i="114"/>
  <c r="AC41" i="114"/>
  <c r="AC34" i="114"/>
  <c r="AC95" i="114"/>
  <c r="AC120" i="114"/>
  <c r="AC58" i="114"/>
  <c r="AC87" i="114"/>
  <c r="AC56" i="114"/>
  <c r="AC50" i="114"/>
  <c r="AC79" i="114"/>
  <c r="AC84" i="114"/>
  <c r="AC42" i="114"/>
  <c r="AC71" i="114"/>
  <c r="AC112" i="114"/>
  <c r="AC129" i="114"/>
  <c r="AC44" i="114"/>
  <c r="AC127" i="114"/>
  <c r="AC74" i="114"/>
  <c r="AC101" i="114"/>
  <c r="AC63" i="114"/>
  <c r="AC48" i="114"/>
  <c r="AC125" i="114"/>
  <c r="AC55" i="114"/>
  <c r="AC76" i="114"/>
  <c r="AC117" i="114"/>
  <c r="AC47" i="114"/>
  <c r="AC104" i="114"/>
  <c r="AC109" i="114"/>
  <c r="AC39" i="114"/>
  <c r="AC40" i="114"/>
  <c r="AC64" i="114"/>
  <c r="AC102" i="114"/>
  <c r="AC108" i="114"/>
  <c r="AC113" i="114"/>
  <c r="AC90" i="114"/>
  <c r="AC49" i="114"/>
  <c r="AC69" i="114"/>
  <c r="AC126" i="114"/>
  <c r="AC68" i="114"/>
  <c r="AC93" i="114"/>
  <c r="AC118" i="114"/>
  <c r="AC128" i="114"/>
  <c r="AC85" i="114"/>
  <c r="AC110" i="114"/>
  <c r="AC77" i="114"/>
  <c r="AC92" i="114"/>
  <c r="AC38" i="114"/>
  <c r="AC59" i="114"/>
  <c r="AC43" i="114"/>
  <c r="AC57" i="114"/>
  <c r="AC99" i="114"/>
  <c r="AC37" i="114"/>
  <c r="AC94" i="114"/>
  <c r="AC123" i="114"/>
  <c r="AC61" i="114"/>
  <c r="AC86" i="114"/>
  <c r="AC115" i="114"/>
  <c r="AC53" i="114"/>
  <c r="AC78" i="114"/>
  <c r="AC107" i="114"/>
  <c r="AC45" i="114"/>
  <c r="AC70" i="114"/>
  <c r="AC52" i="114"/>
  <c r="AC100" i="114"/>
  <c r="AC51" i="114"/>
  <c r="AC105" i="114"/>
  <c r="AC111" i="114"/>
  <c r="AC67" i="114"/>
  <c r="AC80" i="114"/>
  <c r="AC62" i="114"/>
  <c r="AC91" i="114"/>
  <c r="AC88" i="114"/>
  <c r="AC54" i="114"/>
  <c r="AC83" i="114"/>
  <c r="AC116" i="114"/>
  <c r="AC46" i="114"/>
  <c r="AC75" i="114"/>
  <c r="AC35" i="114"/>
  <c r="AC121" i="114"/>
  <c r="AC72" i="114"/>
  <c r="AC82" i="114"/>
  <c r="AC98" i="114"/>
  <c r="AC60" i="114"/>
  <c r="AC97" i="114"/>
  <c r="AC122" i="114"/>
  <c r="AC36" i="114"/>
  <c r="AC89" i="114"/>
  <c r="AC114" i="114"/>
  <c r="AC96" i="114"/>
  <c r="AC81" i="114"/>
  <c r="AC106" i="114"/>
  <c r="AC124" i="114"/>
  <c r="AC73" i="114"/>
  <c r="AC65" i="114"/>
  <c r="AC103" i="114"/>
  <c r="AD62" i="112"/>
  <c r="AC55" i="112"/>
  <c r="AD88" i="112"/>
  <c r="AD71" i="112"/>
  <c r="AD92" i="112"/>
  <c r="AD75" i="112"/>
  <c r="AD42" i="112"/>
  <c r="AC58" i="112"/>
  <c r="AD73" i="112"/>
  <c r="AC128" i="112"/>
  <c r="AC77" i="112"/>
  <c r="AC106" i="112"/>
  <c r="AC111" i="112"/>
  <c r="AC88" i="112"/>
  <c r="AC125" i="112"/>
  <c r="AC71" i="112"/>
  <c r="AC76" i="112"/>
  <c r="AC81" i="112"/>
  <c r="AD34" i="112"/>
  <c r="AD94" i="112"/>
  <c r="AD120" i="112"/>
  <c r="AD103" i="112"/>
  <c r="AD124" i="112"/>
  <c r="AD107" i="112"/>
  <c r="AD74" i="112"/>
  <c r="AC99" i="112"/>
  <c r="AD105" i="112"/>
  <c r="AC41" i="112"/>
  <c r="AC123" i="112"/>
  <c r="AC45" i="112"/>
  <c r="AC74" i="112"/>
  <c r="AC79" i="112"/>
  <c r="AC48" i="112"/>
  <c r="AC93" i="112"/>
  <c r="AC126" i="112"/>
  <c r="AC127" i="112"/>
  <c r="AC49" i="112"/>
  <c r="AD127" i="112"/>
  <c r="AD52" i="112"/>
  <c r="AD126" i="112"/>
  <c r="AD61" i="112"/>
  <c r="AC92" i="112"/>
  <c r="AD65" i="112"/>
  <c r="AC124" i="112"/>
  <c r="AD36" i="112"/>
  <c r="AD106" i="112"/>
  <c r="AD46" i="112"/>
  <c r="AC78" i="112"/>
  <c r="AC91" i="112"/>
  <c r="AC37" i="112"/>
  <c r="AC42" i="112"/>
  <c r="AC47" i="112"/>
  <c r="AC100" i="112"/>
  <c r="AC61" i="112"/>
  <c r="AC94" i="112"/>
  <c r="AC95" i="112"/>
  <c r="AC52" i="112"/>
  <c r="AD109" i="112"/>
  <c r="AD44" i="112"/>
  <c r="AD118" i="112"/>
  <c r="AC119" i="112"/>
  <c r="AD84" i="112"/>
  <c r="AD67" i="112"/>
  <c r="AD93" i="112"/>
  <c r="AC44" i="112"/>
  <c r="AD97" i="112"/>
  <c r="AC112" i="112"/>
  <c r="AD64" i="112"/>
  <c r="AD47" i="112"/>
  <c r="AD78" i="112"/>
  <c r="AC59" i="112"/>
  <c r="AC104" i="112"/>
  <c r="AC101" i="112"/>
  <c r="AC102" i="112"/>
  <c r="AC107" i="112"/>
  <c r="AC56" i="112"/>
  <c r="AC62" i="112"/>
  <c r="AC63" i="112"/>
  <c r="AD50" i="112"/>
  <c r="AD76" i="112"/>
  <c r="AD59" i="112"/>
  <c r="AD116" i="112"/>
  <c r="AD99" i="112"/>
  <c r="AD125" i="112"/>
  <c r="AC117" i="112"/>
  <c r="AD129" i="112"/>
  <c r="AC46" i="112"/>
  <c r="AD96" i="112"/>
  <c r="AD79" i="112"/>
  <c r="AD37" i="112"/>
  <c r="AD110" i="112"/>
  <c r="AC114" i="112"/>
  <c r="AC96" i="112"/>
  <c r="AC69" i="112"/>
  <c r="AC70" i="112"/>
  <c r="AC75" i="112"/>
  <c r="AC108" i="112"/>
  <c r="AC121" i="112"/>
  <c r="AC118" i="112"/>
  <c r="AD82" i="112"/>
  <c r="AC35" i="112"/>
  <c r="AD108" i="112"/>
  <c r="AD91" i="112"/>
  <c r="AD57" i="112"/>
  <c r="AC38" i="112"/>
  <c r="AD66" i="112"/>
  <c r="AC67" i="112"/>
  <c r="AD70" i="112"/>
  <c r="AC87" i="112"/>
  <c r="AD128" i="112"/>
  <c r="AD111" i="112"/>
  <c r="AD68" i="112"/>
  <c r="AD51" i="112"/>
  <c r="AC82" i="112"/>
  <c r="AC115" i="112"/>
  <c r="AC120" i="112"/>
  <c r="AC129" i="112"/>
  <c r="AC43" i="112"/>
  <c r="AC68" i="112"/>
  <c r="AC89" i="112"/>
  <c r="AC86" i="112"/>
  <c r="AD40" i="112"/>
  <c r="AD114" i="112"/>
  <c r="AC53" i="112"/>
  <c r="AD49" i="112"/>
  <c r="AD123" i="112"/>
  <c r="AD89" i="112"/>
  <c r="AC36" i="112"/>
  <c r="AD38" i="112"/>
  <c r="AD98" i="112"/>
  <c r="AD35" i="112"/>
  <c r="AD102" i="112"/>
  <c r="AD69" i="112"/>
  <c r="AC64" i="112"/>
  <c r="AD100" i="112"/>
  <c r="AD83" i="112"/>
  <c r="AC50" i="112"/>
  <c r="AC83" i="112"/>
  <c r="AC80" i="112"/>
  <c r="AC97" i="112"/>
  <c r="AC98" i="112"/>
  <c r="AC60" i="112"/>
  <c r="AC57" i="112"/>
  <c r="AC54" i="112"/>
  <c r="AD72" i="112"/>
  <c r="AD55" i="112"/>
  <c r="AD121" i="112"/>
  <c r="AC105" i="112"/>
  <c r="AD56" i="112"/>
  <c r="AD39" i="112"/>
  <c r="AD60" i="112"/>
  <c r="AD43" i="112"/>
  <c r="AD101" i="112"/>
  <c r="AC84" i="112"/>
  <c r="AD41" i="112"/>
  <c r="AD115" i="112"/>
  <c r="AC109" i="112"/>
  <c r="AC51" i="112"/>
  <c r="AC40" i="112"/>
  <c r="AC65" i="112"/>
  <c r="AC66" i="112"/>
  <c r="AC103" i="112"/>
  <c r="AC116" i="112"/>
  <c r="AC113" i="112"/>
  <c r="AD104" i="112"/>
  <c r="AD87" i="112"/>
  <c r="AD113" i="112"/>
  <c r="AC39" i="112"/>
  <c r="AC73" i="112"/>
  <c r="AD117" i="112"/>
  <c r="AC34" i="112"/>
  <c r="AC90" i="112"/>
  <c r="AC110" i="112"/>
  <c r="AD58" i="112"/>
  <c r="AC72" i="112"/>
  <c r="I18" i="112"/>
  <c r="AD90" i="112"/>
  <c r="AC85" i="112"/>
  <c r="AD48" i="112"/>
  <c r="AD122" i="112"/>
  <c r="AC122" i="112"/>
  <c r="AD81" i="112"/>
  <c r="AD80" i="112"/>
  <c r="AD63" i="112"/>
  <c r="AD45" i="112"/>
  <c r="AD54" i="112"/>
  <c r="AD112" i="112"/>
  <c r="AD95" i="112"/>
  <c r="AD77" i="112"/>
  <c r="AD86" i="112"/>
  <c r="AD53" i="112"/>
  <c r="AD119" i="112"/>
  <c r="I19" i="112"/>
  <c r="AD85" i="112"/>
  <c r="AD42" i="115"/>
  <c r="AD71" i="115"/>
  <c r="AD104" i="115"/>
  <c r="AD34" i="115"/>
  <c r="AD95" i="115"/>
  <c r="AD128" i="115"/>
  <c r="AD58" i="115"/>
  <c r="AD87" i="115"/>
  <c r="AD120" i="115"/>
  <c r="AD50" i="115"/>
  <c r="AD79" i="115"/>
  <c r="AD112" i="115"/>
  <c r="AD109" i="115"/>
  <c r="AD39" i="115"/>
  <c r="AD72" i="115"/>
  <c r="AD101" i="115"/>
  <c r="AD63" i="115"/>
  <c r="AD96" i="115"/>
  <c r="AD125" i="115"/>
  <c r="AD55" i="115"/>
  <c r="AD88" i="115"/>
  <c r="AD117" i="115"/>
  <c r="AD47" i="115"/>
  <c r="AD80" i="115"/>
  <c r="AD77" i="115"/>
  <c r="AD102" i="115"/>
  <c r="AD40" i="115"/>
  <c r="AD69" i="115"/>
  <c r="AD126" i="115"/>
  <c r="AD64" i="115"/>
  <c r="AD93" i="115"/>
  <c r="AD118" i="115"/>
  <c r="AD56" i="115"/>
  <c r="AD85" i="115"/>
  <c r="AD110" i="115"/>
  <c r="AD48" i="115"/>
  <c r="AD107" i="115"/>
  <c r="AD45" i="115"/>
  <c r="AD70" i="115"/>
  <c r="AD99" i="115"/>
  <c r="AD37" i="115"/>
  <c r="AD94" i="115"/>
  <c r="AD123" i="115"/>
  <c r="AD61" i="115"/>
  <c r="AD86" i="115"/>
  <c r="AD115" i="115"/>
  <c r="AD53" i="115"/>
  <c r="AD78" i="115"/>
  <c r="AD75" i="115"/>
  <c r="AD108" i="115"/>
  <c r="AD38" i="115"/>
  <c r="AD67" i="115"/>
  <c r="AD100" i="115"/>
  <c r="AD62" i="115"/>
  <c r="AD91" i="115"/>
  <c r="AD124" i="115"/>
  <c r="AD54" i="115"/>
  <c r="AD83" i="115"/>
  <c r="AD116" i="115"/>
  <c r="AD46" i="115"/>
  <c r="AD43" i="115"/>
  <c r="AD76" i="115"/>
  <c r="AD105" i="115"/>
  <c r="AD35" i="115"/>
  <c r="AD68" i="115"/>
  <c r="AD129" i="115"/>
  <c r="AD59" i="115"/>
  <c r="AD92" i="115"/>
  <c r="AD121" i="115"/>
  <c r="AD51" i="115"/>
  <c r="AD84" i="115"/>
  <c r="AD113" i="115"/>
  <c r="AD106" i="115"/>
  <c r="AD44" i="115"/>
  <c r="AD73" i="115"/>
  <c r="AD98" i="115"/>
  <c r="AD36" i="115"/>
  <c r="AD97" i="115"/>
  <c r="AD122" i="115"/>
  <c r="AD60" i="115"/>
  <c r="AD89" i="115"/>
  <c r="AD114" i="115"/>
  <c r="AD52" i="115"/>
  <c r="AD81" i="115"/>
  <c r="I18" i="115"/>
  <c r="AD74" i="115"/>
  <c r="AD103" i="115"/>
  <c r="AD41" i="115"/>
  <c r="AD66" i="115"/>
  <c r="AD127" i="115"/>
  <c r="AD65" i="115"/>
  <c r="AD90" i="115"/>
  <c r="AD119" i="115"/>
  <c r="AD57" i="115"/>
  <c r="AD82" i="115"/>
  <c r="AD111" i="115"/>
  <c r="AD49" i="115"/>
  <c r="AC110" i="115"/>
  <c r="AC77" i="115"/>
  <c r="AC107" i="115"/>
  <c r="AC115" i="115"/>
  <c r="AC88" i="115"/>
  <c r="AC72" i="115"/>
  <c r="AC51" i="115"/>
  <c r="AC36" i="115"/>
  <c r="AC66" i="115"/>
  <c r="AC84" i="115"/>
  <c r="AC50" i="115"/>
  <c r="AC101" i="115"/>
  <c r="AC126" i="115"/>
  <c r="AC55" i="115"/>
  <c r="AC45" i="115"/>
  <c r="AC46" i="115"/>
  <c r="AC96" i="115"/>
  <c r="AC105" i="115"/>
  <c r="AC81" i="115"/>
  <c r="AC114" i="115"/>
  <c r="AC127" i="115"/>
  <c r="AC42" i="115"/>
  <c r="AC87" i="115"/>
  <c r="AC63" i="115"/>
  <c r="AC80" i="115"/>
  <c r="AC58" i="115"/>
  <c r="AC82" i="115"/>
  <c r="AC70" i="115"/>
  <c r="AC75" i="115"/>
  <c r="AC62" i="115"/>
  <c r="AC35" i="115"/>
  <c r="AC106" i="115"/>
  <c r="AC89" i="115"/>
  <c r="AC90" i="115"/>
  <c r="AC71" i="115"/>
  <c r="AC56" i="115"/>
  <c r="AC125" i="115"/>
  <c r="AC113" i="115"/>
  <c r="AC57" i="115"/>
  <c r="AC76" i="115"/>
  <c r="AC68" i="115"/>
  <c r="AC44" i="115"/>
  <c r="AC99" i="115"/>
  <c r="AC52" i="115"/>
  <c r="AC53" i="115"/>
  <c r="AC100" i="115"/>
  <c r="AC124" i="115"/>
  <c r="AC111" i="115"/>
  <c r="AC48" i="115"/>
  <c r="AC112" i="115"/>
  <c r="AC47" i="115"/>
  <c r="I19" i="115"/>
  <c r="AC69" i="115"/>
  <c r="AC94" i="115"/>
  <c r="AC85" i="115"/>
  <c r="AC39" i="115"/>
  <c r="AC61" i="115"/>
  <c r="AC37" i="115"/>
  <c r="AC38" i="115"/>
  <c r="AC54" i="115"/>
  <c r="AC59" i="115"/>
  <c r="AC73" i="115"/>
  <c r="AC49" i="115"/>
  <c r="AC116" i="115"/>
  <c r="AC34" i="115"/>
  <c r="AC104" i="115"/>
  <c r="AC65" i="115"/>
  <c r="AC120" i="115"/>
  <c r="AC103" i="115"/>
  <c r="AC92" i="115"/>
  <c r="AC64" i="115"/>
  <c r="AC118" i="115"/>
  <c r="AC117" i="115"/>
  <c r="AC67" i="115"/>
  <c r="AC83" i="115"/>
  <c r="AC108" i="115"/>
  <c r="AC98" i="115"/>
  <c r="AC74" i="115"/>
  <c r="AC119" i="115"/>
  <c r="AC95" i="115"/>
  <c r="AC109" i="115"/>
  <c r="AC123" i="115"/>
  <c r="AC128" i="115"/>
  <c r="AC60" i="115"/>
  <c r="AC102" i="115"/>
  <c r="AC97" i="115"/>
  <c r="AC93" i="115"/>
  <c r="AC78" i="115"/>
  <c r="AC86" i="115"/>
  <c r="AC91" i="115"/>
  <c r="AC43" i="115"/>
  <c r="AC121" i="115"/>
  <c r="AC122" i="115"/>
  <c r="AC41" i="115"/>
  <c r="AC79" i="115"/>
  <c r="AC129" i="115"/>
  <c r="AC40" i="115"/>
  <c r="AC115" i="99"/>
  <c r="AC91" i="99"/>
  <c r="AD47" i="99"/>
  <c r="AC74" i="99"/>
  <c r="AC129" i="99"/>
  <c r="AD56" i="99"/>
  <c r="AC54" i="99"/>
  <c r="AD109" i="99"/>
  <c r="AC119" i="99"/>
  <c r="AD75" i="99"/>
  <c r="AD60" i="99"/>
  <c r="AC63" i="99"/>
  <c r="AC73" i="99"/>
  <c r="AC111" i="99"/>
  <c r="AC82" i="99"/>
  <c r="AC35" i="99"/>
  <c r="AD52" i="99"/>
  <c r="AC78" i="99"/>
  <c r="AD103" i="99"/>
  <c r="AC101" i="99"/>
  <c r="AD43" i="99"/>
  <c r="AC87" i="99"/>
  <c r="AC104" i="99"/>
  <c r="AD39" i="99"/>
  <c r="AC51" i="99"/>
  <c r="AD50" i="99"/>
  <c r="AC72" i="99"/>
  <c r="AD102" i="99"/>
  <c r="AD121" i="99"/>
  <c r="AC108" i="99"/>
  <c r="AD37" i="99"/>
  <c r="AC53" i="99"/>
  <c r="AD44" i="99"/>
  <c r="AD116" i="99"/>
  <c r="AC81" i="99"/>
  <c r="AC97" i="99"/>
  <c r="AD127" i="99"/>
  <c r="AD45" i="99"/>
  <c r="AC93" i="99"/>
  <c r="AD91" i="99"/>
  <c r="AD115" i="99"/>
  <c r="AD108" i="99"/>
  <c r="AC61" i="99"/>
  <c r="AD59" i="99"/>
  <c r="AC77" i="99"/>
  <c r="AC40" i="99"/>
  <c r="AD70" i="99"/>
  <c r="AD89" i="99"/>
  <c r="AC94" i="99"/>
  <c r="AD128" i="99"/>
  <c r="AC112" i="99"/>
  <c r="AD40" i="99"/>
  <c r="AC88" i="99"/>
  <c r="AD54" i="99"/>
  <c r="AD36" i="99"/>
  <c r="AC52" i="99"/>
  <c r="AC86" i="99"/>
  <c r="AC56" i="99"/>
  <c r="AD119" i="99"/>
  <c r="AD69" i="99"/>
  <c r="AC103" i="99"/>
  <c r="AC80" i="99"/>
  <c r="AC99" i="99"/>
  <c r="AD87" i="99"/>
  <c r="AC46" i="99"/>
  <c r="AD78" i="99"/>
  <c r="AD129" i="99"/>
  <c r="AC113" i="99"/>
  <c r="AD112" i="99"/>
  <c r="AD46" i="99"/>
  <c r="AD97" i="99"/>
  <c r="AD117" i="99"/>
  <c r="AC43" i="99"/>
  <c r="AD76" i="99"/>
  <c r="AC124" i="99"/>
  <c r="AD122" i="99"/>
  <c r="AC36" i="99"/>
  <c r="AD66" i="99"/>
  <c r="AD53" i="99"/>
  <c r="AC90" i="99"/>
  <c r="AD124" i="99"/>
  <c r="AC105" i="99"/>
  <c r="AD88" i="99"/>
  <c r="AD101" i="99"/>
  <c r="AC85" i="99"/>
  <c r="AD126" i="99"/>
  <c r="AD96" i="99"/>
  <c r="AD90" i="99"/>
  <c r="AC110" i="99"/>
  <c r="AC41" i="99"/>
  <c r="AD71" i="99"/>
  <c r="AC83" i="99"/>
  <c r="AC37" i="99"/>
  <c r="AD67" i="99"/>
  <c r="AC47" i="99"/>
  <c r="AD82" i="99"/>
  <c r="AC100" i="99"/>
  <c r="AD35" i="99"/>
  <c r="AD55" i="99"/>
  <c r="AC38" i="99"/>
  <c r="AC126" i="99"/>
  <c r="AD65" i="99"/>
  <c r="AC49" i="99"/>
  <c r="AD72" i="99"/>
  <c r="AC120" i="99"/>
  <c r="AD86" i="99"/>
  <c r="AC127" i="99"/>
  <c r="AD62" i="99"/>
  <c r="AC39" i="99"/>
  <c r="AC123" i="99"/>
  <c r="AC106" i="99"/>
  <c r="AC60" i="99"/>
  <c r="AC98" i="99"/>
  <c r="AC117" i="99"/>
  <c r="AC75" i="99"/>
  <c r="AD38" i="99"/>
  <c r="AC58" i="99"/>
  <c r="AD34" i="99"/>
  <c r="AD77" i="99"/>
  <c r="AC125" i="99"/>
  <c r="AD123" i="99"/>
  <c r="AD73" i="99"/>
  <c r="AC121" i="99"/>
  <c r="AD49" i="99"/>
  <c r="AD113" i="99"/>
  <c r="AD41" i="99"/>
  <c r="AC89" i="99"/>
  <c r="AC70" i="99"/>
  <c r="AC44" i="99"/>
  <c r="AC68" i="99"/>
  <c r="AD98" i="99"/>
  <c r="AD85" i="99"/>
  <c r="AC122" i="99"/>
  <c r="AD61" i="99"/>
  <c r="AC34" i="99"/>
  <c r="AD68" i="99"/>
  <c r="AC84" i="99"/>
  <c r="AD79" i="99"/>
  <c r="AD64" i="99"/>
  <c r="AC48" i="99"/>
  <c r="AD100" i="99"/>
  <c r="AD58" i="99"/>
  <c r="AD105" i="99"/>
  <c r="AD51" i="99"/>
  <c r="AC96" i="99"/>
  <c r="AC62" i="99"/>
  <c r="AC92" i="99"/>
  <c r="AD110" i="99"/>
  <c r="AC59" i="99"/>
  <c r="AC42" i="99"/>
  <c r="AD106" i="99"/>
  <c r="AC55" i="99"/>
  <c r="AD114" i="99"/>
  <c r="AD83" i="99"/>
  <c r="AD74" i="99"/>
  <c r="AD125" i="99"/>
  <c r="AC107" i="99"/>
  <c r="AC45" i="99"/>
  <c r="AD104" i="99"/>
  <c r="AC57" i="99"/>
  <c r="AD118" i="99"/>
  <c r="AC64" i="99"/>
  <c r="AD94" i="99"/>
  <c r="AC71" i="99"/>
  <c r="AC118" i="99"/>
  <c r="AD120" i="99"/>
  <c r="AC67" i="99"/>
  <c r="AC114" i="99"/>
  <c r="AD84" i="99"/>
  <c r="AC116" i="99"/>
  <c r="AD111" i="99"/>
  <c r="AD107" i="99"/>
  <c r="AC50" i="99"/>
  <c r="AD80" i="99"/>
  <c r="AC76" i="99"/>
  <c r="AD57" i="99"/>
  <c r="AD92" i="99"/>
  <c r="AC95" i="99"/>
  <c r="AC69" i="99"/>
  <c r="AD99" i="99"/>
  <c r="AC79" i="99"/>
  <c r="AC65" i="99"/>
  <c r="AD95" i="99"/>
  <c r="AD48" i="99"/>
  <c r="AD81" i="99"/>
  <c r="AC128" i="99"/>
  <c r="AD63" i="99"/>
  <c r="AC109" i="99"/>
  <c r="AC102" i="99"/>
  <c r="AD42" i="99"/>
  <c r="AD93" i="99"/>
  <c r="AC66" i="99"/>
  <c r="AD87" i="98"/>
  <c r="AD59" i="98"/>
  <c r="AD125" i="98"/>
  <c r="AD94" i="98"/>
  <c r="AD65" i="98"/>
  <c r="AD34" i="98"/>
  <c r="AD100" i="98"/>
  <c r="AD38" i="98"/>
  <c r="AD104" i="98"/>
  <c r="AD44" i="98"/>
  <c r="AD79" i="98"/>
  <c r="AD114" i="98"/>
  <c r="AD85" i="98"/>
  <c r="AD119" i="98"/>
  <c r="AD91" i="98"/>
  <c r="AD126" i="98"/>
  <c r="AD97" i="98"/>
  <c r="AD66" i="98"/>
  <c r="AD37" i="98"/>
  <c r="AD70" i="98"/>
  <c r="AD41" i="98"/>
  <c r="AD76" i="98"/>
  <c r="AD111" i="98"/>
  <c r="AD51" i="98"/>
  <c r="AD117" i="98"/>
  <c r="AD56" i="98"/>
  <c r="AD123" i="98"/>
  <c r="AD63" i="98"/>
  <c r="AD129" i="98"/>
  <c r="AD98" i="98"/>
  <c r="AD69" i="98"/>
  <c r="AD102" i="98"/>
  <c r="AD73" i="98"/>
  <c r="AD42" i="98"/>
  <c r="AD108" i="98"/>
  <c r="AD48" i="98"/>
  <c r="AD83" i="98"/>
  <c r="AD88" i="98"/>
  <c r="AD60" i="98"/>
  <c r="AD95" i="98"/>
  <c r="AD35" i="98"/>
  <c r="AD101" i="98"/>
  <c r="AD39" i="98"/>
  <c r="AD105" i="98"/>
  <c r="AD74" i="98"/>
  <c r="AD45" i="98"/>
  <c r="AD80" i="98"/>
  <c r="AD115" i="98"/>
  <c r="AD54" i="98"/>
  <c r="AD120" i="98"/>
  <c r="AD92" i="98"/>
  <c r="AD127" i="98"/>
  <c r="AD67" i="98"/>
  <c r="AD71" i="98"/>
  <c r="AD106" i="98"/>
  <c r="AD77" i="98"/>
  <c r="AD46" i="98"/>
  <c r="AD112" i="98"/>
  <c r="AD52" i="98"/>
  <c r="AD86" i="98"/>
  <c r="AD57" i="98"/>
  <c r="AD58" i="98"/>
  <c r="AD124" i="98"/>
  <c r="AD64" i="98"/>
  <c r="AD99" i="98"/>
  <c r="AD103" i="98"/>
  <c r="AD43" i="98"/>
  <c r="AD109" i="98"/>
  <c r="AD78" i="98"/>
  <c r="AD49" i="98"/>
  <c r="AD84" i="98"/>
  <c r="AD118" i="98"/>
  <c r="AD89" i="98"/>
  <c r="AD90" i="98"/>
  <c r="AD61" i="98"/>
  <c r="AD96" i="98"/>
  <c r="AD36" i="98"/>
  <c r="AD40" i="98"/>
  <c r="AD75" i="98"/>
  <c r="AD110" i="98"/>
  <c r="AD81" i="98"/>
  <c r="AD50" i="98"/>
  <c r="AD116" i="98"/>
  <c r="AD55" i="98"/>
  <c r="AD121" i="98"/>
  <c r="AD122" i="98"/>
  <c r="AD93" i="98"/>
  <c r="AD62" i="98"/>
  <c r="AD128" i="98"/>
  <c r="AD68" i="98"/>
  <c r="AD72" i="98"/>
  <c r="AD107" i="98"/>
  <c r="AD47" i="98"/>
  <c r="AD113" i="98"/>
  <c r="AD82" i="98"/>
  <c r="AD53" i="98"/>
  <c r="AC122" i="98"/>
  <c r="AC39" i="98"/>
  <c r="AC49" i="98"/>
  <c r="AC86" i="98"/>
  <c r="AC97" i="98"/>
  <c r="AC80" i="98"/>
  <c r="AC121" i="98"/>
  <c r="AC70" i="98"/>
  <c r="AC78" i="98"/>
  <c r="AC124" i="98"/>
  <c r="AC43" i="98"/>
  <c r="AC113" i="98"/>
  <c r="AC66" i="98"/>
  <c r="AC95" i="98"/>
  <c r="AC105" i="98"/>
  <c r="AC106" i="98"/>
  <c r="AC60" i="98"/>
  <c r="AC62" i="98"/>
  <c r="AC44" i="98"/>
  <c r="AC123" i="98"/>
  <c r="AC35" i="98"/>
  <c r="AC42" i="98"/>
  <c r="AC59" i="98"/>
  <c r="AC107" i="98"/>
  <c r="AC115" i="98"/>
  <c r="AC57" i="98"/>
  <c r="AC51" i="98"/>
  <c r="AC87" i="98"/>
  <c r="AC88" i="98"/>
  <c r="AC99" i="98"/>
  <c r="AC104" i="98"/>
  <c r="AC84" i="98"/>
  <c r="AC125" i="98"/>
  <c r="AC79" i="98"/>
  <c r="AC82" i="98"/>
  <c r="AC68" i="98"/>
  <c r="AC77" i="98"/>
  <c r="AC117" i="98"/>
  <c r="AC103" i="98"/>
  <c r="AC37" i="98"/>
  <c r="AC108" i="98"/>
  <c r="AC53" i="98"/>
  <c r="AC90" i="98"/>
  <c r="AC69" i="98"/>
  <c r="AC112" i="98"/>
  <c r="AC63" i="98"/>
  <c r="AC102" i="98"/>
  <c r="AC119" i="98"/>
  <c r="AC128" i="98"/>
  <c r="AC38" i="98"/>
  <c r="AC55" i="98"/>
  <c r="AC126" i="98"/>
  <c r="AC101" i="98"/>
  <c r="AC52" i="98"/>
  <c r="AC73" i="98"/>
  <c r="AC81" i="98"/>
  <c r="AC127" i="98"/>
  <c r="AC129" i="98"/>
  <c r="AC74" i="98"/>
  <c r="AC54" i="98"/>
  <c r="AC40" i="98"/>
  <c r="AC110" i="98"/>
  <c r="AC61" i="98"/>
  <c r="AC75" i="98"/>
  <c r="AC46" i="98"/>
  <c r="AC64" i="98"/>
  <c r="AC96" i="98"/>
  <c r="AC34" i="98"/>
  <c r="AC76" i="98"/>
  <c r="AC118" i="98"/>
  <c r="AC67" i="98"/>
  <c r="AC111" i="98"/>
  <c r="AC91" i="98"/>
  <c r="AC100" i="98"/>
  <c r="AC48" i="98"/>
  <c r="AC89" i="98"/>
  <c r="AC98" i="98"/>
  <c r="AC83" i="98"/>
  <c r="AC92" i="98"/>
  <c r="AC116" i="98"/>
  <c r="AC47" i="98"/>
  <c r="AC85" i="98"/>
  <c r="AC71" i="98"/>
  <c r="AC41" i="98"/>
  <c r="AC56" i="98"/>
  <c r="AC58" i="98"/>
  <c r="AC72" i="98"/>
  <c r="AC114" i="98"/>
  <c r="AC65" i="98"/>
  <c r="AC109" i="98"/>
  <c r="AC50" i="98"/>
  <c r="AC36" i="98"/>
  <c r="AC45" i="98"/>
  <c r="AC120" i="98"/>
  <c r="AC94" i="98"/>
  <c r="AC93" i="98"/>
  <c r="AC77" i="95"/>
  <c r="AC45" i="95"/>
  <c r="AC108" i="95"/>
  <c r="AC111" i="95"/>
  <c r="AC106" i="95"/>
  <c r="AC115" i="95"/>
  <c r="AC76" i="95"/>
  <c r="AC81" i="95"/>
  <c r="AC83" i="95"/>
  <c r="AC49" i="95"/>
  <c r="AC51" i="95"/>
  <c r="AC44" i="95"/>
  <c r="AC42" i="95"/>
  <c r="AC80" i="95"/>
  <c r="AC47" i="95"/>
  <c r="AC113" i="95"/>
  <c r="AC112" i="95"/>
  <c r="AC79" i="95"/>
  <c r="AC74" i="95"/>
  <c r="AC48" i="95"/>
  <c r="AC116" i="95"/>
  <c r="AD74" i="95"/>
  <c r="AD41" i="95"/>
  <c r="AD100" i="95"/>
  <c r="AC56" i="95"/>
  <c r="AC114" i="95"/>
  <c r="AD76" i="95"/>
  <c r="AC63" i="95"/>
  <c r="AC125" i="95"/>
  <c r="AD83" i="95"/>
  <c r="AC35" i="95"/>
  <c r="AC97" i="95"/>
  <c r="AD55" i="95"/>
  <c r="AD117" i="95"/>
  <c r="AC69" i="95"/>
  <c r="AD122" i="95"/>
  <c r="AD89" i="95"/>
  <c r="AC41" i="95"/>
  <c r="AD94" i="95"/>
  <c r="AD61" i="95"/>
  <c r="AD98" i="95"/>
  <c r="AD65" i="95"/>
  <c r="AC38" i="95"/>
  <c r="AC53" i="95"/>
  <c r="AD106" i="95"/>
  <c r="AD73" i="95"/>
  <c r="AD37" i="95"/>
  <c r="AC88" i="95"/>
  <c r="AD46" i="95"/>
  <c r="AD108" i="95"/>
  <c r="AC95" i="95"/>
  <c r="AC54" i="95"/>
  <c r="AD115" i="95"/>
  <c r="AC67" i="95"/>
  <c r="AC129" i="95"/>
  <c r="AD87" i="95"/>
  <c r="AC39" i="95"/>
  <c r="AC101" i="95"/>
  <c r="AD59" i="95"/>
  <c r="AD121" i="95"/>
  <c r="AC73" i="95"/>
  <c r="AD126" i="95"/>
  <c r="AD93" i="95"/>
  <c r="AD35" i="95"/>
  <c r="AD97" i="95"/>
  <c r="AD128" i="95"/>
  <c r="AD71" i="95"/>
  <c r="AC85" i="95"/>
  <c r="AD43" i="95"/>
  <c r="AD105" i="95"/>
  <c r="AD69" i="95"/>
  <c r="AC120" i="95"/>
  <c r="AD78" i="95"/>
  <c r="AD45" i="95"/>
  <c r="AC127" i="95"/>
  <c r="AC86" i="95"/>
  <c r="AD48" i="95"/>
  <c r="AC99" i="95"/>
  <c r="AC58" i="95"/>
  <c r="AD119" i="95"/>
  <c r="AC71" i="95"/>
  <c r="O26" i="95"/>
  <c r="AD91" i="95"/>
  <c r="AC43" i="95"/>
  <c r="AC105" i="95"/>
  <c r="AD63" i="95"/>
  <c r="AD125" i="95"/>
  <c r="AD67" i="95"/>
  <c r="AD129" i="95"/>
  <c r="AC55" i="95"/>
  <c r="AC117" i="95"/>
  <c r="AD75" i="95"/>
  <c r="AD38" i="95"/>
  <c r="AD101" i="95"/>
  <c r="AC57" i="95"/>
  <c r="AD110" i="95"/>
  <c r="AD77" i="95"/>
  <c r="AC60" i="95"/>
  <c r="AC118" i="95"/>
  <c r="AD80" i="95"/>
  <c r="AC90" i="95"/>
  <c r="AD52" i="95"/>
  <c r="AC103" i="95"/>
  <c r="AC62" i="95"/>
  <c r="AD123" i="95"/>
  <c r="AC75" i="95"/>
  <c r="AC34" i="95"/>
  <c r="AD95" i="95"/>
  <c r="AC109" i="95"/>
  <c r="AD99" i="95"/>
  <c r="AC87" i="95"/>
  <c r="AC46" i="95"/>
  <c r="AD107" i="95"/>
  <c r="AD102" i="95"/>
  <c r="AC89" i="95"/>
  <c r="AD47" i="95"/>
  <c r="AD109" i="95"/>
  <c r="AC92" i="95"/>
  <c r="AD50" i="95"/>
  <c r="AD112" i="95"/>
  <c r="AC64" i="95"/>
  <c r="AC122" i="95"/>
  <c r="AD84" i="95"/>
  <c r="AC36" i="95"/>
  <c r="AC94" i="95"/>
  <c r="AD56" i="95"/>
  <c r="AC107" i="95"/>
  <c r="AC66" i="95"/>
  <c r="AD127" i="95"/>
  <c r="AC70" i="95"/>
  <c r="O25" i="95"/>
  <c r="AC119" i="95"/>
  <c r="AC78" i="95"/>
  <c r="AD40" i="95"/>
  <c r="AD39" i="95"/>
  <c r="AC59" i="95"/>
  <c r="AC121" i="95"/>
  <c r="AD79" i="95"/>
  <c r="AD70" i="95"/>
  <c r="AC124" i="95"/>
  <c r="AD82" i="95"/>
  <c r="AD49" i="95"/>
  <c r="AC96" i="95"/>
  <c r="AD54" i="95"/>
  <c r="AD116" i="95"/>
  <c r="AC68" i="95"/>
  <c r="AC126" i="95"/>
  <c r="AD88" i="95"/>
  <c r="AC40" i="95"/>
  <c r="AC98" i="95"/>
  <c r="AD60" i="95"/>
  <c r="AC102" i="95"/>
  <c r="AD64" i="95"/>
  <c r="AC52" i="95"/>
  <c r="AC110" i="95"/>
  <c r="AD72" i="95"/>
  <c r="AD103" i="95"/>
  <c r="AC91" i="95"/>
  <c r="AC50" i="95"/>
  <c r="AD111" i="95"/>
  <c r="AD68" i="95"/>
  <c r="AC61" i="95"/>
  <c r="AD114" i="95"/>
  <c r="AD81" i="95"/>
  <c r="AC128" i="95"/>
  <c r="AD86" i="95"/>
  <c r="AD53" i="95"/>
  <c r="AC100" i="95"/>
  <c r="AD58" i="95"/>
  <c r="AD120" i="95"/>
  <c r="AC72" i="95"/>
  <c r="AD92" i="95"/>
  <c r="AD34" i="95"/>
  <c r="AD96" i="95"/>
  <c r="AC84" i="95"/>
  <c r="AD42" i="95"/>
  <c r="AD104" i="95"/>
  <c r="AD36" i="95"/>
  <c r="AC123" i="95"/>
  <c r="AC82" i="95"/>
  <c r="AD44" i="95"/>
  <c r="AC93" i="95"/>
  <c r="AD51" i="95"/>
  <c r="AD113" i="95"/>
  <c r="AC65" i="95"/>
  <c r="AD118" i="95"/>
  <c r="AD85" i="95"/>
  <c r="AC37" i="95"/>
  <c r="AD90" i="95"/>
  <c r="AD57" i="95"/>
  <c r="AC104" i="95"/>
  <c r="AD62" i="95"/>
  <c r="AD124" i="95"/>
  <c r="AD66" i="95"/>
  <c r="AD129" i="103"/>
  <c r="AD99" i="103"/>
  <c r="AD72" i="103"/>
  <c r="AD106" i="103"/>
  <c r="AD77" i="103"/>
  <c r="AD79" i="103"/>
  <c r="AD115" i="103"/>
  <c r="AD119" i="103"/>
  <c r="AD60" i="103"/>
  <c r="AD64" i="103"/>
  <c r="AC109" i="103"/>
  <c r="AD40" i="103"/>
  <c r="AD113" i="103"/>
  <c r="AC67" i="103"/>
  <c r="AD123" i="103"/>
  <c r="AD36" i="103"/>
  <c r="AD38" i="103"/>
  <c r="AD104" i="103"/>
  <c r="AD43" i="103"/>
  <c r="AD109" i="103"/>
  <c r="AD111" i="103"/>
  <c r="AD52" i="103"/>
  <c r="AD56" i="103"/>
  <c r="AD92" i="103"/>
  <c r="AD96" i="103"/>
  <c r="AC78" i="103"/>
  <c r="AD74" i="103"/>
  <c r="AC63" i="103"/>
  <c r="AC70" i="103"/>
  <c r="AD68" i="103"/>
  <c r="AD70" i="103"/>
  <c r="AD41" i="103"/>
  <c r="AD75" i="103"/>
  <c r="AD48" i="103"/>
  <c r="AD84" i="103"/>
  <c r="AD88" i="103"/>
  <c r="AD58" i="103"/>
  <c r="AD124" i="103"/>
  <c r="AD62" i="103"/>
  <c r="AD128" i="103"/>
  <c r="AD67" i="103"/>
  <c r="AD47" i="103"/>
  <c r="AC71" i="103"/>
  <c r="AD127" i="103"/>
  <c r="AD34" i="103"/>
  <c r="AD100" i="103"/>
  <c r="AD102" i="103"/>
  <c r="AD73" i="103"/>
  <c r="AD107" i="103"/>
  <c r="AD80" i="103"/>
  <c r="AD50" i="103"/>
  <c r="AD116" i="103"/>
  <c r="AD54" i="103"/>
  <c r="AD120" i="103"/>
  <c r="AD90" i="103"/>
  <c r="AD61" i="103"/>
  <c r="AD94" i="103"/>
  <c r="AD65" i="103"/>
  <c r="AC115" i="103"/>
  <c r="AD45" i="103"/>
  <c r="AD83" i="103"/>
  <c r="AD87" i="103"/>
  <c r="AD66" i="103"/>
  <c r="AD37" i="103"/>
  <c r="AD39" i="103"/>
  <c r="AD105" i="103"/>
  <c r="AD44" i="103"/>
  <c r="AD46" i="103"/>
  <c r="AD112" i="103"/>
  <c r="AD82" i="103"/>
  <c r="AD53" i="103"/>
  <c r="AD86" i="103"/>
  <c r="AD57" i="103"/>
  <c r="AD122" i="103"/>
  <c r="AD93" i="103"/>
  <c r="AC73" i="103"/>
  <c r="AD126" i="103"/>
  <c r="AD97" i="103"/>
  <c r="AC125" i="103"/>
  <c r="AC107" i="103"/>
  <c r="AD98" i="103"/>
  <c r="AD69" i="103"/>
  <c r="AD71" i="103"/>
  <c r="AD76" i="103"/>
  <c r="AD78" i="103"/>
  <c r="AD49" i="103"/>
  <c r="AD114" i="103"/>
  <c r="AD85" i="103"/>
  <c r="AD118" i="103"/>
  <c r="AD89" i="103"/>
  <c r="AD59" i="103"/>
  <c r="AD125" i="103"/>
  <c r="AD63" i="103"/>
  <c r="AC47" i="103"/>
  <c r="AC89" i="103"/>
  <c r="AC34" i="103"/>
  <c r="AD35" i="103"/>
  <c r="AD101" i="103"/>
  <c r="AD103" i="103"/>
  <c r="AD42" i="103"/>
  <c r="AD108" i="103"/>
  <c r="AD110" i="103"/>
  <c r="AD81" i="103"/>
  <c r="AD51" i="103"/>
  <c r="AD117" i="103"/>
  <c r="AD55" i="103"/>
  <c r="AD121" i="103"/>
  <c r="AD91" i="103"/>
  <c r="AC38" i="103"/>
  <c r="AD95" i="103"/>
  <c r="AC116" i="103"/>
  <c r="AC129" i="103"/>
  <c r="AC35" i="103"/>
  <c r="AC105" i="103"/>
  <c r="AC113" i="103"/>
  <c r="AC119" i="103"/>
  <c r="AC56" i="103"/>
  <c r="AC64" i="103"/>
  <c r="AC112" i="103"/>
  <c r="AC98" i="103"/>
  <c r="AC102" i="103"/>
  <c r="AC42" i="103"/>
  <c r="AC79" i="103"/>
  <c r="AC93" i="103"/>
  <c r="AC43" i="103"/>
  <c r="AC51" i="103"/>
  <c r="AC81" i="103"/>
  <c r="AC50" i="103"/>
  <c r="AC122" i="103"/>
  <c r="AC106" i="103"/>
  <c r="AC36" i="103"/>
  <c r="AC54" i="103"/>
  <c r="AC40" i="103"/>
  <c r="AC58" i="103"/>
  <c r="AC80" i="103"/>
  <c r="AC69" i="103"/>
  <c r="AC45" i="103"/>
  <c r="AC108" i="103"/>
  <c r="AC87" i="103"/>
  <c r="AC60" i="103"/>
  <c r="AC44" i="103"/>
  <c r="AC91" i="103"/>
  <c r="AC95" i="103"/>
  <c r="AC121" i="103"/>
  <c r="AC75" i="103"/>
  <c r="AC57" i="103"/>
  <c r="AC65" i="103"/>
  <c r="AC37" i="103"/>
  <c r="AC41" i="103"/>
  <c r="AC49" i="103"/>
  <c r="AC86" i="103"/>
  <c r="AC94" i="103"/>
  <c r="AC85" i="103"/>
  <c r="AC66" i="103"/>
  <c r="AC84" i="103"/>
  <c r="AC61" i="103"/>
  <c r="AC128" i="103"/>
  <c r="AC100" i="103"/>
  <c r="AC76" i="103"/>
  <c r="AC123" i="103"/>
  <c r="AC103" i="103"/>
  <c r="AC59" i="103"/>
  <c r="AC101" i="103"/>
  <c r="AC46" i="103"/>
  <c r="AC120" i="103"/>
  <c r="AC124" i="103"/>
  <c r="AC96" i="103"/>
  <c r="AC104" i="103"/>
  <c r="AC53" i="103"/>
  <c r="AC39" i="103"/>
  <c r="AC83" i="103"/>
  <c r="AC114" i="103"/>
  <c r="AC88" i="103"/>
  <c r="AC92" i="103"/>
  <c r="AC68" i="103"/>
  <c r="AC117" i="103"/>
  <c r="AC90" i="103"/>
  <c r="AC74" i="103"/>
  <c r="AC62" i="103"/>
  <c r="AC110" i="103"/>
  <c r="AC97" i="103"/>
  <c r="AC77" i="103"/>
  <c r="AC52" i="103"/>
  <c r="AC82" i="103"/>
  <c r="AC118" i="103"/>
  <c r="AC126" i="103"/>
  <c r="AC55" i="103"/>
  <c r="AC72" i="103"/>
  <c r="AC127" i="103"/>
  <c r="AC111" i="103"/>
  <c r="AC99" i="103"/>
  <c r="AC48" i="103"/>
  <c r="AD36" i="105"/>
  <c r="AC78" i="105"/>
  <c r="AC115" i="105"/>
  <c r="AD98" i="105"/>
  <c r="AC49" i="105"/>
  <c r="AD67" i="105"/>
  <c r="AC81" i="105"/>
  <c r="AD37" i="105"/>
  <c r="AD35" i="105"/>
  <c r="AC113" i="105"/>
  <c r="AC51" i="105"/>
  <c r="AD69" i="105"/>
  <c r="AD99" i="105"/>
  <c r="AC46" i="105"/>
  <c r="AC83" i="105"/>
  <c r="AD101" i="105"/>
  <c r="AD68" i="105"/>
  <c r="AD34" i="105"/>
  <c r="AC112" i="105"/>
  <c r="AD100" i="105"/>
  <c r="AC110" i="105"/>
  <c r="AC80" i="105"/>
  <c r="AD66" i="105"/>
  <c r="AC48" i="105"/>
  <c r="AC55" i="105"/>
  <c r="AC117" i="105"/>
  <c r="AD71" i="105"/>
  <c r="AC59" i="105"/>
  <c r="AC121" i="105"/>
  <c r="AD75" i="105"/>
  <c r="AC63" i="105"/>
  <c r="AC125" i="105"/>
  <c r="AD79" i="105"/>
  <c r="AC35" i="105"/>
  <c r="AC97" i="105"/>
  <c r="AD51" i="105"/>
  <c r="AD117" i="105"/>
  <c r="AC69" i="105"/>
  <c r="AD118" i="105"/>
  <c r="AD89" i="105"/>
  <c r="AC41" i="105"/>
  <c r="AD90" i="105"/>
  <c r="AD61" i="105"/>
  <c r="AC108" i="105"/>
  <c r="AC34" i="105"/>
  <c r="AD126" i="105"/>
  <c r="AC87" i="105"/>
  <c r="AC50" i="105"/>
  <c r="AD103" i="105"/>
  <c r="AC91" i="105"/>
  <c r="AC54" i="105"/>
  <c r="AD107" i="105"/>
  <c r="AC95" i="105"/>
  <c r="AC58" i="105"/>
  <c r="AD111" i="105"/>
  <c r="AC67" i="105"/>
  <c r="AC129" i="105"/>
  <c r="AD83" i="105"/>
  <c r="AC39" i="105"/>
  <c r="AC101" i="105"/>
  <c r="AD55" i="105"/>
  <c r="AD121" i="105"/>
  <c r="AC73" i="105"/>
  <c r="AD122" i="105"/>
  <c r="AD93" i="105"/>
  <c r="AC45" i="105"/>
  <c r="AD94" i="105"/>
  <c r="AD65" i="105"/>
  <c r="AD115" i="105"/>
  <c r="AD59" i="105"/>
  <c r="AC119" i="105"/>
  <c r="AC82" i="105"/>
  <c r="AD40" i="105"/>
  <c r="AC123" i="105"/>
  <c r="AC86" i="105"/>
  <c r="AD44" i="105"/>
  <c r="AC127" i="105"/>
  <c r="AC90" i="105"/>
  <c r="AC99" i="105"/>
  <c r="AC71" i="105"/>
  <c r="AD125" i="105"/>
  <c r="AC52" i="105"/>
  <c r="AC114" i="105"/>
  <c r="AD72" i="105"/>
  <c r="AC56" i="105"/>
  <c r="AC118" i="105"/>
  <c r="AD76" i="105"/>
  <c r="AC60" i="105"/>
  <c r="AC122" i="105"/>
  <c r="AD80" i="105"/>
  <c r="AC94" i="105"/>
  <c r="AD52" i="105"/>
  <c r="AC103" i="105"/>
  <c r="AC66" i="105"/>
  <c r="AD119" i="105"/>
  <c r="AC75" i="105"/>
  <c r="AC38" i="105"/>
  <c r="AD91" i="105"/>
  <c r="AC47" i="105"/>
  <c r="AC109" i="105"/>
  <c r="AD63" i="105"/>
  <c r="AD129" i="105"/>
  <c r="AC84" i="105"/>
  <c r="AD38" i="105"/>
  <c r="AD104" i="105"/>
  <c r="AC88" i="105"/>
  <c r="AD42" i="105"/>
  <c r="AD108" i="105"/>
  <c r="AC92" i="105"/>
  <c r="AD46" i="105"/>
  <c r="AD112" i="105"/>
  <c r="AC64" i="105"/>
  <c r="AC126" i="105"/>
  <c r="AD84" i="105"/>
  <c r="AC36" i="105"/>
  <c r="AC98" i="105"/>
  <c r="AD56" i="105"/>
  <c r="AC107" i="105"/>
  <c r="AC70" i="105"/>
  <c r="AD123" i="105"/>
  <c r="AC79" i="105"/>
  <c r="AC42" i="105"/>
  <c r="AD95" i="105"/>
  <c r="AD127" i="105"/>
  <c r="AC105" i="105"/>
  <c r="AC116" i="105"/>
  <c r="AD70" i="105"/>
  <c r="AD41" i="105"/>
  <c r="AC120" i="105"/>
  <c r="AD74" i="105"/>
  <c r="AD45" i="105"/>
  <c r="AC124" i="105"/>
  <c r="AD78" i="105"/>
  <c r="AD49" i="105"/>
  <c r="AC96" i="105"/>
  <c r="AD50" i="105"/>
  <c r="AD116" i="105"/>
  <c r="AC68" i="105"/>
  <c r="AD88" i="105"/>
  <c r="AC40" i="105"/>
  <c r="AC102" i="105"/>
  <c r="AD60" i="105"/>
  <c r="AC111" i="105"/>
  <c r="AC74" i="105"/>
  <c r="AC53" i="105"/>
  <c r="AD102" i="105"/>
  <c r="AD73" i="105"/>
  <c r="AC57" i="105"/>
  <c r="AD106" i="105"/>
  <c r="AD77" i="105"/>
  <c r="AC61" i="105"/>
  <c r="AD110" i="105"/>
  <c r="AD81" i="105"/>
  <c r="AC128" i="105"/>
  <c r="AD82" i="105"/>
  <c r="AD53" i="105"/>
  <c r="AC100" i="105"/>
  <c r="AD54" i="105"/>
  <c r="AD120" i="105"/>
  <c r="AC72" i="105"/>
  <c r="AD92" i="105"/>
  <c r="AC44" i="105"/>
  <c r="AC106" i="105"/>
  <c r="AD64" i="105"/>
  <c r="AD128" i="105"/>
  <c r="AC62" i="105"/>
  <c r="AC43" i="105"/>
  <c r="AD97" i="105"/>
  <c r="AC85" i="105"/>
  <c r="AD39" i="105"/>
  <c r="AD105" i="105"/>
  <c r="AC89" i="105"/>
  <c r="AD43" i="105"/>
  <c r="AD109" i="105"/>
  <c r="AC93" i="105"/>
  <c r="AD47" i="105"/>
  <c r="AD113" i="105"/>
  <c r="AC65" i="105"/>
  <c r="AD114" i="105"/>
  <c r="AD85" i="105"/>
  <c r="AC37" i="105"/>
  <c r="AD86" i="105"/>
  <c r="AD57" i="105"/>
  <c r="AC104" i="105"/>
  <c r="AD58" i="105"/>
  <c r="AD124" i="105"/>
  <c r="AC76" i="105"/>
  <c r="AD96" i="105"/>
  <c r="AD62" i="105"/>
  <c r="AD48" i="105"/>
  <c r="AD87" i="105"/>
  <c r="AC77" i="105"/>
  <c r="AD59" i="106"/>
  <c r="AD121" i="106"/>
  <c r="AD92" i="106"/>
  <c r="AD35" i="106"/>
  <c r="AD97" i="106"/>
  <c r="AD36" i="106"/>
  <c r="AD118" i="106"/>
  <c r="AD46" i="106"/>
  <c r="AD104" i="106"/>
  <c r="AD79" i="106"/>
  <c r="AD58" i="106"/>
  <c r="AD112" i="106"/>
  <c r="AD65" i="106"/>
  <c r="AD109" i="106"/>
  <c r="AD91" i="106"/>
  <c r="AD66" i="106"/>
  <c r="AD124" i="106"/>
  <c r="AD67" i="106"/>
  <c r="AD129" i="106"/>
  <c r="AD68" i="106"/>
  <c r="AD87" i="106"/>
  <c r="AD74" i="106"/>
  <c r="AD41" i="106"/>
  <c r="AD111" i="106"/>
  <c r="AD82" i="106"/>
  <c r="AD49" i="106"/>
  <c r="AD60" i="106"/>
  <c r="AD86" i="106"/>
  <c r="AD80" i="106"/>
  <c r="AD62" i="106"/>
  <c r="AD123" i="106"/>
  <c r="AD94" i="106"/>
  <c r="AD61" i="106"/>
  <c r="AD99" i="106"/>
  <c r="AD50" i="106"/>
  <c r="AD100" i="106"/>
  <c r="AD52" i="106"/>
  <c r="AD106" i="106"/>
  <c r="AD73" i="106"/>
  <c r="AD44" i="106"/>
  <c r="AD114" i="106"/>
  <c r="AD81" i="106"/>
  <c r="AD55" i="106"/>
  <c r="AD56" i="106"/>
  <c r="AD126" i="106"/>
  <c r="AD93" i="106"/>
  <c r="AD70" i="106"/>
  <c r="AD37" i="106"/>
  <c r="AD84" i="106"/>
  <c r="AD43" i="106"/>
  <c r="AD105" i="106"/>
  <c r="AD76" i="106"/>
  <c r="AD51" i="106"/>
  <c r="AD113" i="106"/>
  <c r="AD89" i="106"/>
  <c r="AD117" i="106"/>
  <c r="AD119" i="106"/>
  <c r="AD88" i="106"/>
  <c r="AD63" i="106"/>
  <c r="AD125" i="106"/>
  <c r="AD64" i="106"/>
  <c r="AD102" i="106"/>
  <c r="AD69" i="106"/>
  <c r="AD116" i="106"/>
  <c r="AD75" i="106"/>
  <c r="AD54" i="106"/>
  <c r="AD108" i="106"/>
  <c r="AD83" i="106"/>
  <c r="AD115" i="106"/>
  <c r="AD34" i="106"/>
  <c r="AD120" i="106"/>
  <c r="AD95" i="106"/>
  <c r="AD42" i="106"/>
  <c r="AD96" i="106"/>
  <c r="AD39" i="106"/>
  <c r="AD101" i="106"/>
  <c r="AD53" i="106"/>
  <c r="AD107" i="106"/>
  <c r="AD78" i="106"/>
  <c r="AD45" i="106"/>
  <c r="AD103" i="106"/>
  <c r="AD47" i="106"/>
  <c r="AD90" i="106"/>
  <c r="AD57" i="106"/>
  <c r="AD127" i="106"/>
  <c r="AD38" i="106"/>
  <c r="AD128" i="106"/>
  <c r="AD71" i="106"/>
  <c r="AD85" i="106"/>
  <c r="AD40" i="106"/>
  <c r="AD110" i="106"/>
  <c r="AD77" i="106"/>
  <c r="AD48" i="106"/>
  <c r="AD122" i="106"/>
  <c r="AD98" i="106"/>
  <c r="AD72" i="106"/>
  <c r="AC70" i="106"/>
  <c r="AC111" i="106"/>
  <c r="AC45" i="106"/>
  <c r="AC94" i="106"/>
  <c r="AC103" i="106"/>
  <c r="AC101" i="106"/>
  <c r="AC106" i="106"/>
  <c r="AC65" i="106"/>
  <c r="AC80" i="106"/>
  <c r="AC120" i="106"/>
  <c r="AC83" i="106"/>
  <c r="AC84" i="106"/>
  <c r="AC102" i="106"/>
  <c r="AC38" i="106"/>
  <c r="AC79" i="106"/>
  <c r="AC104" i="106"/>
  <c r="AC62" i="106"/>
  <c r="AC71" i="106"/>
  <c r="AC69" i="106"/>
  <c r="AC53" i="106"/>
  <c r="AC124" i="106"/>
  <c r="AC51" i="106"/>
  <c r="AC88" i="106"/>
  <c r="AC110" i="106"/>
  <c r="AC52" i="106"/>
  <c r="AC113" i="106"/>
  <c r="AC47" i="106"/>
  <c r="AC72" i="106"/>
  <c r="AC105" i="106"/>
  <c r="AC35" i="106"/>
  <c r="AC128" i="106"/>
  <c r="AC115" i="106"/>
  <c r="AC92" i="106"/>
  <c r="AC114" i="106"/>
  <c r="AC56" i="106"/>
  <c r="AC78" i="106"/>
  <c r="AC119" i="106"/>
  <c r="AC81" i="106"/>
  <c r="AC98" i="106"/>
  <c r="AC40" i="106"/>
  <c r="AC73" i="106"/>
  <c r="AC85" i="106"/>
  <c r="AC96" i="106"/>
  <c r="AC118" i="106"/>
  <c r="AC60" i="106"/>
  <c r="AC82" i="106"/>
  <c r="AC123" i="106"/>
  <c r="AC46" i="106"/>
  <c r="AC87" i="106"/>
  <c r="AC49" i="106"/>
  <c r="AC66" i="106"/>
  <c r="AC107" i="106"/>
  <c r="AC41" i="106"/>
  <c r="AC122" i="106"/>
  <c r="AC64" i="106"/>
  <c r="AC86" i="106"/>
  <c r="AC127" i="106"/>
  <c r="AC50" i="106"/>
  <c r="AC91" i="106"/>
  <c r="AC121" i="106"/>
  <c r="AC55" i="106"/>
  <c r="AC108" i="106"/>
  <c r="AC34" i="106"/>
  <c r="AC75" i="106"/>
  <c r="AC100" i="106"/>
  <c r="AC90" i="106"/>
  <c r="AC43" i="106"/>
  <c r="AC54" i="106"/>
  <c r="AC95" i="106"/>
  <c r="AC125" i="106"/>
  <c r="AC59" i="106"/>
  <c r="AC89" i="106"/>
  <c r="AC117" i="106"/>
  <c r="AC76" i="106"/>
  <c r="AC109" i="106"/>
  <c r="AC39" i="106"/>
  <c r="AC68" i="106"/>
  <c r="AC58" i="106"/>
  <c r="AC99" i="106"/>
  <c r="AC129" i="106"/>
  <c r="AC63" i="106"/>
  <c r="AC93" i="106"/>
  <c r="AC42" i="106"/>
  <c r="AC57" i="106"/>
  <c r="AC48" i="106"/>
  <c r="AC44" i="106"/>
  <c r="AC77" i="106"/>
  <c r="AC126" i="106"/>
  <c r="AC36" i="106"/>
  <c r="AC37" i="106"/>
  <c r="AC67" i="106"/>
  <c r="AC97" i="106"/>
  <c r="AC74" i="106"/>
  <c r="AC61" i="106"/>
  <c r="AC112" i="106"/>
  <c r="AC116" i="106"/>
  <c r="AC47" i="109"/>
  <c r="AD91" i="109"/>
  <c r="AD40" i="109"/>
  <c r="AC94" i="109"/>
  <c r="AD105" i="109"/>
  <c r="AC43" i="109"/>
  <c r="AC90" i="109"/>
  <c r="AD101" i="109"/>
  <c r="AD58" i="109"/>
  <c r="AC37" i="109"/>
  <c r="AD92" i="109"/>
  <c r="AC91" i="109"/>
  <c r="AD118" i="109"/>
  <c r="AD88" i="109"/>
  <c r="AC87" i="109"/>
  <c r="AD106" i="109"/>
  <c r="AD37" i="109"/>
  <c r="AC83" i="109"/>
  <c r="AD70" i="109"/>
  <c r="AD127" i="109"/>
  <c r="AC107" i="109"/>
  <c r="AD50" i="109"/>
  <c r="AD111" i="109"/>
  <c r="AD80" i="109"/>
  <c r="AC49" i="109"/>
  <c r="AC65" i="109"/>
  <c r="AC74" i="109"/>
  <c r="AD104" i="109"/>
  <c r="AD42" i="109"/>
  <c r="AC40" i="109"/>
  <c r="AD79" i="109"/>
  <c r="AD128" i="109"/>
  <c r="AC127" i="109"/>
  <c r="AD59" i="109"/>
  <c r="AC39" i="109"/>
  <c r="AC86" i="109"/>
  <c r="AD125" i="109"/>
  <c r="AC120" i="109"/>
  <c r="AD46" i="109"/>
  <c r="AC61" i="109"/>
  <c r="AC84" i="109"/>
  <c r="AD123" i="109"/>
  <c r="AC57" i="109"/>
  <c r="AD84" i="109"/>
  <c r="AD35" i="109"/>
  <c r="AC53" i="109"/>
  <c r="AD110" i="109"/>
  <c r="AC116" i="109"/>
  <c r="AC111" i="109"/>
  <c r="AD55" i="109"/>
  <c r="AC38" i="109"/>
  <c r="AD115" i="109"/>
  <c r="AC73" i="109"/>
  <c r="AC34" i="109"/>
  <c r="AD99" i="109"/>
  <c r="AC69" i="109"/>
  <c r="AD124" i="109"/>
  <c r="AC123" i="109"/>
  <c r="AD36" i="109"/>
  <c r="AC35" i="109"/>
  <c r="AC82" i="109"/>
  <c r="AD121" i="109"/>
  <c r="AC78" i="109"/>
  <c r="AD117" i="109"/>
  <c r="AC64" i="109"/>
  <c r="AC102" i="109"/>
  <c r="AD113" i="109"/>
  <c r="AC52" i="109"/>
  <c r="AC98" i="109"/>
  <c r="AD109" i="109"/>
  <c r="AC36" i="109"/>
  <c r="AC60" i="109"/>
  <c r="AC97" i="109"/>
  <c r="AD129" i="109"/>
  <c r="AC75" i="109"/>
  <c r="AC122" i="109"/>
  <c r="AD66" i="109"/>
  <c r="AC71" i="109"/>
  <c r="AC118" i="109"/>
  <c r="AC124" i="109"/>
  <c r="AD83" i="109"/>
  <c r="AC93" i="109"/>
  <c r="AD120" i="109"/>
  <c r="AC119" i="109"/>
  <c r="AC89" i="109"/>
  <c r="AD116" i="109"/>
  <c r="AC115" i="109"/>
  <c r="AD119" i="109"/>
  <c r="AD112" i="109"/>
  <c r="AC72" i="109"/>
  <c r="AD107" i="109"/>
  <c r="AD108" i="109"/>
  <c r="AC56" i="109"/>
  <c r="AD95" i="109"/>
  <c r="AD71" i="109"/>
  <c r="AC126" i="109"/>
  <c r="AC79" i="109"/>
  <c r="AC42" i="109"/>
  <c r="AD62" i="109"/>
  <c r="AD75" i="109"/>
  <c r="AC48" i="109"/>
  <c r="AD44" i="109"/>
  <c r="AD63" i="109"/>
  <c r="AC128" i="109"/>
  <c r="AD68" i="109"/>
  <c r="AC67" i="109"/>
  <c r="AC114" i="109"/>
  <c r="AD51" i="109"/>
  <c r="AC108" i="109"/>
  <c r="AD67" i="109"/>
  <c r="AD39" i="109"/>
  <c r="AC100" i="109"/>
  <c r="AD57" i="109"/>
  <c r="AC85" i="109"/>
  <c r="AC92" i="109"/>
  <c r="AD49" i="109"/>
  <c r="AC81" i="109"/>
  <c r="AC76" i="109"/>
  <c r="AD41" i="109"/>
  <c r="AC77" i="109"/>
  <c r="AD76" i="109"/>
  <c r="AC106" i="109"/>
  <c r="AD43" i="109"/>
  <c r="AD97" i="109"/>
  <c r="AC66" i="109"/>
  <c r="AD77" i="109"/>
  <c r="AC101" i="109"/>
  <c r="AC62" i="109"/>
  <c r="AD73" i="109"/>
  <c r="AC125" i="109"/>
  <c r="AD47" i="109"/>
  <c r="AC112" i="109"/>
  <c r="AD64" i="109"/>
  <c r="AC63" i="109"/>
  <c r="AC110" i="109"/>
  <c r="AD60" i="109"/>
  <c r="AC59" i="109"/>
  <c r="AD54" i="109"/>
  <c r="AD114" i="109"/>
  <c r="AC55" i="109"/>
  <c r="AD38" i="109"/>
  <c r="AD98" i="109"/>
  <c r="AC51" i="109"/>
  <c r="AD86" i="109"/>
  <c r="AC88" i="109"/>
  <c r="AD103" i="109"/>
  <c r="AD72" i="109"/>
  <c r="AC103" i="109"/>
  <c r="AD34" i="109"/>
  <c r="AD100" i="109"/>
  <c r="AC99" i="109"/>
  <c r="AD126" i="109"/>
  <c r="AD61" i="109"/>
  <c r="AC58" i="109"/>
  <c r="AD69" i="109"/>
  <c r="AC121" i="109"/>
  <c r="AD122" i="109"/>
  <c r="AC104" i="109"/>
  <c r="AC117" i="109"/>
  <c r="AD94" i="109"/>
  <c r="AC96" i="109"/>
  <c r="AD56" i="109"/>
  <c r="AD82" i="109"/>
  <c r="AC80" i="109"/>
  <c r="AD52" i="109"/>
  <c r="AD87" i="109"/>
  <c r="AC68" i="109"/>
  <c r="AD48" i="109"/>
  <c r="AC129" i="109"/>
  <c r="AD78" i="109"/>
  <c r="AD65" i="109"/>
  <c r="AD90" i="109"/>
  <c r="AC45" i="109"/>
  <c r="AC44" i="109"/>
  <c r="AD74" i="109"/>
  <c r="AC41" i="109"/>
  <c r="AD96" i="109"/>
  <c r="AC95" i="109"/>
  <c r="AD102" i="109"/>
  <c r="AD53" i="109"/>
  <c r="AC54" i="109"/>
  <c r="AD93" i="109"/>
  <c r="AD45" i="109"/>
  <c r="AC50" i="109"/>
  <c r="AD89" i="109"/>
  <c r="AC113" i="109"/>
  <c r="AC46" i="109"/>
  <c r="AD85" i="109"/>
  <c r="AC109" i="109"/>
  <c r="AC70" i="109"/>
  <c r="AD81" i="109"/>
  <c r="AC105" i="109"/>
  <c r="K8" i="111"/>
  <c r="M18" i="116"/>
  <c r="H8" i="116"/>
  <c r="I8" i="116"/>
  <c r="E8" i="116"/>
  <c r="F8" i="116"/>
  <c r="H8" i="115"/>
  <c r="M18" i="115"/>
  <c r="I8" i="115"/>
  <c r="F8" i="115"/>
  <c r="E8" i="115"/>
  <c r="H8" i="114"/>
  <c r="I8" i="114"/>
  <c r="M18" i="114"/>
  <c r="E8" i="114"/>
  <c r="F8" i="114"/>
  <c r="F22" i="114" a="1"/>
  <c r="F22" i="114" s="1"/>
  <c r="I8" i="112"/>
  <c r="H8" i="112"/>
  <c r="M18" i="112"/>
  <c r="E8" i="112"/>
  <c r="F8" i="112"/>
  <c r="F22" i="112" a="1"/>
  <c r="F22" i="112" s="1"/>
  <c r="G7" i="111"/>
  <c r="M18" i="109"/>
  <c r="I8" i="109"/>
  <c r="H8" i="109"/>
  <c r="F8" i="109"/>
  <c r="E8" i="109"/>
  <c r="F22" i="109" a="1"/>
  <c r="F22" i="109" s="1"/>
  <c r="F7" i="111"/>
  <c r="M18" i="119"/>
  <c r="I8" i="119"/>
  <c r="E8" i="119"/>
  <c r="F8" i="119"/>
  <c r="H8" i="119"/>
  <c r="I8" i="101"/>
  <c r="H8" i="101"/>
  <c r="E8" i="101"/>
  <c r="F8" i="101"/>
  <c r="M18" i="101"/>
  <c r="I8" i="102"/>
  <c r="M18" i="102"/>
  <c r="E8" i="102"/>
  <c r="F8" i="102"/>
  <c r="H8" i="102"/>
  <c r="M18" i="98"/>
  <c r="H8" i="98"/>
  <c r="E8" i="98"/>
  <c r="F8" i="98"/>
  <c r="I8" i="98"/>
  <c r="F22" i="98" a="1"/>
  <c r="F22" i="98" s="1"/>
  <c r="I8" i="99"/>
  <c r="M18" i="99"/>
  <c r="E8" i="99"/>
  <c r="H8" i="99"/>
  <c r="F8" i="99"/>
  <c r="F22" i="99" a="1"/>
  <c r="F22" i="99" s="1"/>
  <c r="I8" i="103"/>
  <c r="M18" i="103"/>
  <c r="H8" i="103"/>
  <c r="E8" i="103"/>
  <c r="F8" i="103"/>
  <c r="F22" i="103" a="1"/>
  <c r="F22" i="103" s="1"/>
  <c r="I8" i="105"/>
  <c r="H8" i="105"/>
  <c r="M18" i="105"/>
  <c r="E8" i="105"/>
  <c r="F8" i="105"/>
  <c r="F22" i="105" a="1"/>
  <c r="F22" i="105" s="1"/>
  <c r="H8" i="106"/>
  <c r="I8" i="106"/>
  <c r="E8" i="106"/>
  <c r="F8" i="106"/>
  <c r="M18" i="106"/>
  <c r="H8" i="95"/>
  <c r="I8" i="95"/>
  <c r="F8" i="95"/>
  <c r="M18" i="95"/>
  <c r="E8" i="95"/>
  <c r="AA32" i="15"/>
  <c r="Z32" i="15"/>
  <c r="AA75" i="15"/>
  <c r="Y75" i="15"/>
  <c r="AA65" i="15"/>
  <c r="AA68" i="15"/>
  <c r="Y73" i="15"/>
  <c r="AA73" i="15"/>
  <c r="Y76" i="15"/>
  <c r="Y74" i="15"/>
  <c r="AA76" i="15"/>
  <c r="Y10" i="12"/>
  <c r="Y11" i="12"/>
  <c r="Y12" i="12"/>
  <c r="Y13" i="12"/>
  <c r="Y14" i="12"/>
  <c r="Y15" i="12"/>
  <c r="Y9" i="12"/>
  <c r="W10" i="12"/>
  <c r="W11" i="12"/>
  <c r="W12" i="12"/>
  <c r="W13" i="12"/>
  <c r="W14" i="12"/>
  <c r="W15" i="12"/>
  <c r="W9" i="12"/>
  <c r="M32" i="15" a="1"/>
  <c r="E73" i="15" a="1"/>
  <c r="AA33" i="15" a="1"/>
  <c r="Z75" i="15" a="1"/>
  <c r="AA67" i="15" a="1"/>
  <c r="Z66" i="15" a="1"/>
  <c r="N32" i="15" a="1"/>
  <c r="U65" i="15" a="1"/>
  <c r="K66" i="15" a="1"/>
  <c r="U66" i="15" a="1"/>
  <c r="K65" i="15" a="1"/>
  <c r="Z65" i="15" a="1"/>
  <c r="G66" i="15" a="1"/>
  <c r="N74" i="15" a="1"/>
  <c r="E32" i="15" a="1"/>
  <c r="G73" i="15" a="1"/>
  <c r="Q66" i="15" a="1"/>
  <c r="Z76" i="15" a="1"/>
  <c r="Z68" i="15" a="1"/>
  <c r="G65" i="15" a="1"/>
  <c r="G74" i="15" a="1"/>
  <c r="Z33" i="15" a="1"/>
  <c r="Z74" i="15" a="1"/>
  <c r="Q65" i="15" a="1"/>
  <c r="AA34" i="15" a="1"/>
  <c r="R32" i="15" a="1"/>
  <c r="Z67" i="15" a="1"/>
  <c r="AA66" i="15" a="1"/>
  <c r="Z34" i="15" a="1"/>
  <c r="AA74" i="15" a="1"/>
  <c r="Z73" i="15" a="1"/>
  <c r="S47" i="121" l="1"/>
  <c r="S39" i="121"/>
  <c r="S37" i="121"/>
  <c r="AB51" i="121"/>
  <c r="AB85" i="121"/>
  <c r="AB36" i="121"/>
  <c r="S122" i="121"/>
  <c r="AB40" i="121"/>
  <c r="S43" i="121"/>
  <c r="AB76" i="121"/>
  <c r="S34" i="121"/>
  <c r="AB119" i="121"/>
  <c r="AB59" i="121"/>
  <c r="S80" i="121"/>
  <c r="AD73" i="121"/>
  <c r="I8" i="121"/>
  <c r="S107" i="121"/>
  <c r="S40" i="121"/>
  <c r="S44" i="121"/>
  <c r="S124" i="121"/>
  <c r="AB63" i="121"/>
  <c r="S97" i="121"/>
  <c r="AB37" i="121"/>
  <c r="S38" i="121"/>
  <c r="AB55" i="121"/>
  <c r="AB86" i="121"/>
  <c r="AC58" i="121"/>
  <c r="AC39" i="121"/>
  <c r="H8" i="121"/>
  <c r="S98" i="121"/>
  <c r="AB35" i="121"/>
  <c r="AB67" i="121"/>
  <c r="S120" i="121"/>
  <c r="AB95" i="121"/>
  <c r="AB108" i="121"/>
  <c r="S101" i="121"/>
  <c r="S126" i="121"/>
  <c r="S50" i="121"/>
  <c r="AB124" i="121"/>
  <c r="AC88" i="121"/>
  <c r="G19" i="121"/>
  <c r="M18" i="121"/>
  <c r="AB116" i="121"/>
  <c r="AB82" i="121"/>
  <c r="AB57" i="121"/>
  <c r="S62" i="121"/>
  <c r="AB34" i="121"/>
  <c r="AB45" i="121"/>
  <c r="S88" i="121"/>
  <c r="S87" i="121"/>
  <c r="S91" i="121"/>
  <c r="AB47" i="121"/>
  <c r="AD42" i="121"/>
  <c r="S74" i="121"/>
  <c r="S121" i="121"/>
  <c r="AB39" i="121"/>
  <c r="AB71" i="121"/>
  <c r="S85" i="121"/>
  <c r="S53" i="121"/>
  <c r="AB109" i="121"/>
  <c r="AB113" i="121"/>
  <c r="AB53" i="121"/>
  <c r="AB62" i="121"/>
  <c r="S93" i="121"/>
  <c r="AB128" i="121"/>
  <c r="AB114" i="121"/>
  <c r="AB70" i="121"/>
  <c r="AB103" i="121"/>
  <c r="AB127" i="121"/>
  <c r="AB120" i="121"/>
  <c r="AB123" i="121"/>
  <c r="AB111" i="121"/>
  <c r="AB115" i="121"/>
  <c r="S116" i="121"/>
  <c r="AB84" i="121"/>
  <c r="S64" i="121"/>
  <c r="S68" i="121"/>
  <c r="AB98" i="121"/>
  <c r="AB125" i="121"/>
  <c r="S70" i="121"/>
  <c r="S73" i="121"/>
  <c r="S69" i="121"/>
  <c r="S105" i="121"/>
  <c r="AB43" i="121"/>
  <c r="AB75" i="121"/>
  <c r="S94" i="121"/>
  <c r="S89" i="121"/>
  <c r="S54" i="121"/>
  <c r="S128" i="121"/>
  <c r="S117" i="121"/>
  <c r="S100" i="121"/>
  <c r="AB44" i="121"/>
  <c r="AB38" i="121"/>
  <c r="AB54" i="121"/>
  <c r="AB107" i="121"/>
  <c r="AB60" i="121"/>
  <c r="S123" i="121"/>
  <c r="S63" i="121"/>
  <c r="S115" i="121"/>
  <c r="S55" i="121"/>
  <c r="AB41" i="121"/>
  <c r="S106" i="121"/>
  <c r="AB121" i="121"/>
  <c r="S96" i="121"/>
  <c r="AB100" i="121"/>
  <c r="AB87" i="121"/>
  <c r="AB91" i="121"/>
  <c r="AB94" i="121"/>
  <c r="AB65" i="121"/>
  <c r="AB68" i="121"/>
  <c r="S76" i="121"/>
  <c r="S119" i="121"/>
  <c r="S127" i="121"/>
  <c r="AB83" i="121"/>
  <c r="S51" i="121"/>
  <c r="AB64" i="121"/>
  <c r="S90" i="121"/>
  <c r="AB81" i="121"/>
  <c r="S129" i="121"/>
  <c r="AB93" i="121"/>
  <c r="S41" i="121"/>
  <c r="AB72" i="121"/>
  <c r="S92" i="121"/>
  <c r="AB80" i="121"/>
  <c r="S84" i="121"/>
  <c r="I19" i="121"/>
  <c r="S83" i="121"/>
  <c r="S125" i="121"/>
  <c r="AB90" i="121"/>
  <c r="I18" i="121"/>
  <c r="K8" i="121"/>
  <c r="H7" i="121"/>
  <c r="F19" i="95"/>
  <c r="F22" i="95" s="1" a="1"/>
  <c r="F22" i="95" s="1"/>
  <c r="F18" i="95"/>
  <c r="F18" i="112"/>
  <c r="F19" i="112"/>
  <c r="F18" i="115"/>
  <c r="F19" i="115"/>
  <c r="F19" i="116"/>
  <c r="F18" i="116"/>
  <c r="F19" i="119"/>
  <c r="F18" i="119"/>
  <c r="F18" i="103"/>
  <c r="F19" i="103"/>
  <c r="F18" i="114"/>
  <c r="F19" i="114"/>
  <c r="F19" i="99"/>
  <c r="F18" i="99"/>
  <c r="F19" i="98"/>
  <c r="F18" i="98"/>
  <c r="F18" i="109"/>
  <c r="F19" i="109"/>
  <c r="F19" i="105"/>
  <c r="F18" i="105"/>
  <c r="F19" i="106"/>
  <c r="F18" i="106"/>
  <c r="F18" i="101"/>
  <c r="F19" i="101"/>
  <c r="F19" i="102"/>
  <c r="F22" i="102" s="1" a="1"/>
  <c r="F22" i="102" s="1"/>
  <c r="F18" i="102"/>
  <c r="H18" i="112"/>
  <c r="H19" i="112"/>
  <c r="H18" i="114"/>
  <c r="H19" i="114"/>
  <c r="H18" i="116"/>
  <c r="H19" i="116"/>
  <c r="H18" i="119"/>
  <c r="H19" i="119"/>
  <c r="H18" i="115"/>
  <c r="H19" i="115"/>
  <c r="N26" i="95"/>
  <c r="N25" i="95"/>
  <c r="H7" i="111"/>
  <c r="K8" i="119"/>
  <c r="K8" i="115"/>
  <c r="U65" i="15"/>
  <c r="U66" i="15"/>
  <c r="F23" i="116"/>
  <c r="K8" i="116"/>
  <c r="G7" i="116"/>
  <c r="F7" i="116"/>
  <c r="G7" i="115"/>
  <c r="F7" i="115"/>
  <c r="F7" i="114"/>
  <c r="K8" i="114"/>
  <c r="G7" i="114"/>
  <c r="F7" i="112"/>
  <c r="K8" i="112"/>
  <c r="G7" i="112"/>
  <c r="F7" i="109"/>
  <c r="K8" i="109"/>
  <c r="G7" i="109"/>
  <c r="I7" i="111"/>
  <c r="K7" i="111" s="1"/>
  <c r="F7" i="119"/>
  <c r="G7" i="119"/>
  <c r="K8" i="105"/>
  <c r="K8" i="101"/>
  <c r="K8" i="102"/>
  <c r="G7" i="102"/>
  <c r="F7" i="102"/>
  <c r="G7" i="101"/>
  <c r="F22" i="101" a="1"/>
  <c r="F22" i="101" s="1"/>
  <c r="F7" i="101"/>
  <c r="K8" i="98"/>
  <c r="F7" i="99"/>
  <c r="K8" i="99"/>
  <c r="F7" i="98"/>
  <c r="G7" i="99"/>
  <c r="G7" i="98"/>
  <c r="K8" i="95"/>
  <c r="F7" i="103"/>
  <c r="K8" i="103"/>
  <c r="G7" i="103"/>
  <c r="F7" i="105"/>
  <c r="G7" i="106"/>
  <c r="K8" i="106"/>
  <c r="G7" i="105"/>
  <c r="F7" i="106"/>
  <c r="F7" i="95"/>
  <c r="G7" i="95"/>
  <c r="Y29" i="15"/>
  <c r="Z73" i="15"/>
  <c r="Z74" i="15"/>
  <c r="Z75" i="15"/>
  <c r="AA74" i="15"/>
  <c r="Z76" i="15"/>
  <c r="Z66" i="15"/>
  <c r="Z65" i="15"/>
  <c r="AA66" i="15"/>
  <c r="AA67" i="15"/>
  <c r="Z67" i="15"/>
  <c r="Z68" i="15"/>
  <c r="R32" i="15"/>
  <c r="E32" i="15"/>
  <c r="M32" i="15"/>
  <c r="AA33" i="15"/>
  <c r="Z33" i="15"/>
  <c r="Z34" i="15"/>
  <c r="AA34" i="15"/>
  <c r="Q66" i="15"/>
  <c r="K66" i="15"/>
  <c r="G74" i="15"/>
  <c r="E73" i="15"/>
  <c r="K65" i="15"/>
  <c r="G73" i="15"/>
  <c r="Q65" i="15"/>
  <c r="N74" i="15"/>
  <c r="G66" i="15"/>
  <c r="G65" i="15"/>
  <c r="N32" i="15"/>
  <c r="M74" i="15" a="1"/>
  <c r="D75" i="15" a="1"/>
  <c r="D65" i="15" a="1"/>
  <c r="G67" i="15" a="1"/>
  <c r="N76" i="15" a="1"/>
  <c r="P68" i="15" a="1"/>
  <c r="D67" i="15" a="1"/>
  <c r="M73" i="15" a="1"/>
  <c r="D73" i="15" a="1"/>
  <c r="E67" i="15" a="1"/>
  <c r="N65" i="15" a="1"/>
  <c r="E74" i="15" a="1"/>
  <c r="P65" i="15" a="1"/>
  <c r="H76" i="15" a="1"/>
  <c r="D32" i="15" a="1"/>
  <c r="P32" i="15" a="1"/>
  <c r="M66" i="15" a="1"/>
  <c r="R66" i="15" a="1"/>
  <c r="M76" i="15" a="1"/>
  <c r="U67" i="15" a="1"/>
  <c r="D68" i="15" a="1"/>
  <c r="H32" i="15" a="1"/>
  <c r="D76" i="15" a="1"/>
  <c r="G68" i="15" a="1"/>
  <c r="M67" i="15" a="1"/>
  <c r="G76" i="15" a="1"/>
  <c r="Q68" i="15" a="1"/>
  <c r="J66" i="15" a="1"/>
  <c r="M65" i="15" a="1"/>
  <c r="J68" i="15" a="1"/>
  <c r="P66" i="15" a="1"/>
  <c r="N68" i="15" a="1"/>
  <c r="E65" i="15" a="1"/>
  <c r="E68" i="15" a="1"/>
  <c r="R65" i="15" a="1"/>
  <c r="N73" i="15" a="1"/>
  <c r="E66" i="15" a="1"/>
  <c r="D66" i="15" a="1"/>
  <c r="E75" i="15" a="1"/>
  <c r="K32" i="15" a="1"/>
  <c r="U68" i="15" a="1"/>
  <c r="K67" i="15" a="1"/>
  <c r="D74" i="15" a="1"/>
  <c r="G75" i="15" a="1"/>
  <c r="J32" i="15" a="1"/>
  <c r="M68" i="15" a="1"/>
  <c r="H67" i="15" a="1"/>
  <c r="N75" i="15" a="1"/>
  <c r="J65" i="15" a="1"/>
  <c r="Q67" i="15" a="1"/>
  <c r="H74" i="15" a="1"/>
  <c r="N67" i="15" a="1"/>
  <c r="H75" i="15" a="1"/>
  <c r="R74" i="15" a="1"/>
  <c r="Q32" i="15" a="1"/>
  <c r="P67" i="15" a="1"/>
  <c r="H73" i="15" a="1"/>
  <c r="H68" i="15" a="1"/>
  <c r="R73" i="15" a="1"/>
  <c r="J67" i="15" a="1"/>
  <c r="H65" i="15" a="1"/>
  <c r="M75" i="15" a="1"/>
  <c r="N66" i="15" a="1"/>
  <c r="K68" i="15" a="1"/>
  <c r="H66" i="15" a="1"/>
  <c r="I7" i="121" l="1"/>
  <c r="F7" i="121"/>
  <c r="G7" i="121"/>
  <c r="H7" i="95"/>
  <c r="H7" i="112"/>
  <c r="H7" i="101"/>
  <c r="H7" i="119"/>
  <c r="H7" i="114"/>
  <c r="H7" i="115"/>
  <c r="H7" i="116"/>
  <c r="H7" i="102"/>
  <c r="H7" i="98"/>
  <c r="H7" i="99"/>
  <c r="H7" i="103"/>
  <c r="H7" i="109"/>
  <c r="H7" i="105"/>
  <c r="H7" i="106"/>
  <c r="U67" i="15"/>
  <c r="U68" i="15"/>
  <c r="I7" i="116"/>
  <c r="K7" i="116" s="1"/>
  <c r="I7" i="115"/>
  <c r="K7" i="115" s="1"/>
  <c r="I7" i="114"/>
  <c r="K7" i="114" s="1"/>
  <c r="I7" i="112"/>
  <c r="K7" i="112" s="1"/>
  <c r="I7" i="109"/>
  <c r="K7" i="109" s="1"/>
  <c r="Z42" i="111"/>
  <c r="Z40" i="111"/>
  <c r="Q74" i="111"/>
  <c r="Q112" i="111"/>
  <c r="Z79" i="111"/>
  <c r="Q39" i="111"/>
  <c r="Q54" i="111"/>
  <c r="Z80" i="111"/>
  <c r="Q50" i="111"/>
  <c r="Z48" i="111"/>
  <c r="Q124" i="111"/>
  <c r="Z53" i="111"/>
  <c r="Z67" i="111"/>
  <c r="Q98" i="111"/>
  <c r="Z41" i="111"/>
  <c r="Q64" i="111"/>
  <c r="Q72" i="111"/>
  <c r="Z77" i="111"/>
  <c r="Z50" i="111"/>
  <c r="Q127" i="111"/>
  <c r="Q73" i="111"/>
  <c r="Q80" i="111"/>
  <c r="Z60" i="111"/>
  <c r="Q52" i="111"/>
  <c r="Q128" i="111"/>
  <c r="Q86" i="111"/>
  <c r="Z39" i="111"/>
  <c r="Q79" i="111"/>
  <c r="Q91" i="111"/>
  <c r="Q117" i="111"/>
  <c r="Q60" i="111"/>
  <c r="Z34" i="111"/>
  <c r="Q120" i="111"/>
  <c r="Q116" i="111"/>
  <c r="Z58" i="111"/>
  <c r="Q96" i="111"/>
  <c r="Q93" i="111"/>
  <c r="Q48" i="111"/>
  <c r="Z70" i="111"/>
  <c r="Q113" i="111"/>
  <c r="Q61" i="111"/>
  <c r="Z64" i="111"/>
  <c r="Q90" i="111"/>
  <c r="Z68" i="111"/>
  <c r="Z46" i="111"/>
  <c r="Z44" i="111"/>
  <c r="Q55" i="111"/>
  <c r="Q121" i="111"/>
  <c r="Q101" i="111"/>
  <c r="Z81" i="111"/>
  <c r="Z43" i="111"/>
  <c r="Q57" i="111"/>
  <c r="Z36" i="111"/>
  <c r="Q37" i="111"/>
  <c r="Q35" i="111"/>
  <c r="Z71" i="111"/>
  <c r="Q100" i="111"/>
  <c r="Q38" i="111"/>
  <c r="Z55" i="111"/>
  <c r="Q94" i="111"/>
  <c r="Q87" i="111"/>
  <c r="Z59" i="111"/>
  <c r="Q106" i="111"/>
  <c r="Q71" i="111"/>
  <c r="Q34" i="111"/>
  <c r="M34" i="111" s="1"/>
  <c r="Q66" i="111"/>
  <c r="Q69" i="111"/>
  <c r="Q77" i="111"/>
  <c r="Z63" i="111"/>
  <c r="Q62" i="111"/>
  <c r="Q49" i="111"/>
  <c r="Q70" i="111"/>
  <c r="Z47" i="111"/>
  <c r="Q58" i="111"/>
  <c r="Q82" i="111"/>
  <c r="Q36" i="111"/>
  <c r="Q76" i="111"/>
  <c r="Q81" i="111"/>
  <c r="Q65" i="111"/>
  <c r="Z35" i="111"/>
  <c r="Z69" i="111"/>
  <c r="Z57" i="111"/>
  <c r="Q78" i="111"/>
  <c r="Q41" i="111"/>
  <c r="Q88" i="111"/>
  <c r="Q59" i="111"/>
  <c r="Q84" i="111"/>
  <c r="Q114" i="111"/>
  <c r="Q110" i="111"/>
  <c r="Q42" i="111"/>
  <c r="Q125" i="111"/>
  <c r="Q56" i="111"/>
  <c r="Q104" i="111"/>
  <c r="Q47" i="111"/>
  <c r="Q44" i="111"/>
  <c r="Q122" i="111"/>
  <c r="Q46" i="111"/>
  <c r="Z37" i="111"/>
  <c r="Q99" i="111"/>
  <c r="Z54" i="111"/>
  <c r="Q105" i="111"/>
  <c r="Z74" i="111"/>
  <c r="Z72" i="111"/>
  <c r="Q95" i="111"/>
  <c r="Q119" i="111"/>
  <c r="Q92" i="111"/>
  <c r="Q129" i="111"/>
  <c r="Z61" i="111"/>
  <c r="Q75" i="111"/>
  <c r="Q53" i="111"/>
  <c r="Q67" i="111"/>
  <c r="Z73" i="111"/>
  <c r="Z75" i="111"/>
  <c r="Z45" i="111"/>
  <c r="Z76" i="111"/>
  <c r="Q102" i="111"/>
  <c r="Q51" i="111"/>
  <c r="Z49" i="111"/>
  <c r="Z56" i="111"/>
  <c r="Q89" i="111"/>
  <c r="Q85" i="111"/>
  <c r="Z62" i="111"/>
  <c r="Q108" i="111"/>
  <c r="Z52" i="111"/>
  <c r="Q103" i="111"/>
  <c r="Q126" i="111"/>
  <c r="Z65" i="111"/>
  <c r="Q97" i="111"/>
  <c r="Z38" i="111"/>
  <c r="Q63" i="111"/>
  <c r="Z51" i="111"/>
  <c r="Q68" i="111"/>
  <c r="Q40" i="111"/>
  <c r="Z78" i="111"/>
  <c r="Q115" i="111"/>
  <c r="Q123" i="111"/>
  <c r="Q83" i="111"/>
  <c r="Q45" i="111"/>
  <c r="Q118" i="111"/>
  <c r="Q111" i="111"/>
  <c r="Q107" i="111"/>
  <c r="Z66" i="111"/>
  <c r="Q109" i="111"/>
  <c r="Q43" i="111"/>
  <c r="I7" i="119"/>
  <c r="K7" i="119" s="1"/>
  <c r="I7" i="101"/>
  <c r="K7" i="101" s="1"/>
  <c r="Q68" i="15"/>
  <c r="Q67" i="15"/>
  <c r="P32" i="15"/>
  <c r="I7" i="102"/>
  <c r="M76" i="15"/>
  <c r="I7" i="98"/>
  <c r="K7" i="98" s="1"/>
  <c r="I7" i="99"/>
  <c r="K7" i="99" s="1"/>
  <c r="I7" i="103"/>
  <c r="K7" i="103" s="1"/>
  <c r="I7" i="105"/>
  <c r="I7" i="106"/>
  <c r="K7" i="106" s="1"/>
  <c r="I7" i="95"/>
  <c r="K68" i="15"/>
  <c r="K67" i="15"/>
  <c r="G68" i="15"/>
  <c r="G76" i="15"/>
  <c r="G75" i="15"/>
  <c r="G67" i="15"/>
  <c r="AA29" i="15"/>
  <c r="Z29" i="15"/>
  <c r="M65" i="15"/>
  <c r="M67" i="15"/>
  <c r="P68" i="15"/>
  <c r="P65" i="15"/>
  <c r="E75" i="15"/>
  <c r="E65" i="15"/>
  <c r="E67" i="15"/>
  <c r="H76" i="15"/>
  <c r="H66" i="15"/>
  <c r="H73" i="15"/>
  <c r="N65" i="15"/>
  <c r="N67" i="15"/>
  <c r="R66" i="15"/>
  <c r="R74" i="15"/>
  <c r="R65" i="15"/>
  <c r="R73" i="15"/>
  <c r="P66" i="15"/>
  <c r="P67" i="15"/>
  <c r="M75" i="15"/>
  <c r="M74" i="15"/>
  <c r="J67" i="15"/>
  <c r="J32" i="15"/>
  <c r="D32" i="15"/>
  <c r="H32" i="15"/>
  <c r="N68" i="15"/>
  <c r="N66" i="15"/>
  <c r="N76" i="15"/>
  <c r="N73" i="15"/>
  <c r="N75" i="15"/>
  <c r="M73" i="15"/>
  <c r="M68" i="15"/>
  <c r="M66" i="15"/>
  <c r="J68" i="15"/>
  <c r="J65" i="15"/>
  <c r="J66" i="15"/>
  <c r="H75" i="15"/>
  <c r="H67" i="15"/>
  <c r="H65" i="15"/>
  <c r="H68" i="15"/>
  <c r="H74" i="15"/>
  <c r="E68" i="15"/>
  <c r="E66" i="15"/>
  <c r="E74" i="15"/>
  <c r="D66" i="15"/>
  <c r="D67" i="15"/>
  <c r="D65" i="15"/>
  <c r="D73" i="15"/>
  <c r="D68" i="15"/>
  <c r="D74" i="15"/>
  <c r="D75" i="15"/>
  <c r="D76" i="15"/>
  <c r="K32" i="15"/>
  <c r="Q32" i="15"/>
  <c r="B29" i="6"/>
  <c r="B21" i="6"/>
  <c r="B27" i="6"/>
  <c r="R68" i="15" a="1"/>
  <c r="R75" i="15" a="1"/>
  <c r="R76" i="15" a="1"/>
  <c r="Y21" i="15" a="1"/>
  <c r="AA20" i="15" a="1"/>
  <c r="AA21" i="15" a="1"/>
  <c r="R67" i="15" a="1"/>
  <c r="Y20" i="15" a="1"/>
  <c r="Q52" i="121" l="1"/>
  <c r="Z70" i="121"/>
  <c r="Q125" i="121"/>
  <c r="Q110" i="121"/>
  <c r="Q34" i="121"/>
  <c r="M34" i="121" s="1"/>
  <c r="Q68" i="121"/>
  <c r="Z80" i="121"/>
  <c r="Q77" i="121"/>
  <c r="Z64" i="121"/>
  <c r="Q82" i="121"/>
  <c r="Q117" i="121"/>
  <c r="Q72" i="121"/>
  <c r="Z59" i="121"/>
  <c r="Z45" i="121"/>
  <c r="Z49" i="121"/>
  <c r="Q76" i="121"/>
  <c r="Q92" i="121"/>
  <c r="Z67" i="121"/>
  <c r="Q56" i="121"/>
  <c r="Z61" i="121"/>
  <c r="Z51" i="121"/>
  <c r="Q79" i="121"/>
  <c r="Q57" i="121"/>
  <c r="Z40" i="121"/>
  <c r="Z69" i="121"/>
  <c r="Q61" i="121"/>
  <c r="Q63" i="121"/>
  <c r="Q55" i="121"/>
  <c r="Q58" i="121"/>
  <c r="Q107" i="121"/>
  <c r="Z35" i="121"/>
  <c r="Q97" i="121"/>
  <c r="Q121" i="121"/>
  <c r="Z55" i="121"/>
  <c r="Z56" i="121"/>
  <c r="Q36" i="121"/>
  <c r="Z62" i="121"/>
  <c r="Q48" i="121"/>
  <c r="Z65" i="121"/>
  <c r="Q51" i="121"/>
  <c r="Q85" i="121"/>
  <c r="Q123" i="121"/>
  <c r="Q113" i="121"/>
  <c r="Q73" i="121"/>
  <c r="Q119" i="121"/>
  <c r="Q120" i="121"/>
  <c r="Z38" i="121"/>
  <c r="Q103" i="121"/>
  <c r="Z57" i="121"/>
  <c r="Q80" i="121"/>
  <c r="Q38" i="121"/>
  <c r="Q118" i="121"/>
  <c r="Q90" i="121"/>
  <c r="Q105" i="121"/>
  <c r="Z77" i="121"/>
  <c r="Q74" i="121"/>
  <c r="Q108" i="121"/>
  <c r="Q65" i="121"/>
  <c r="Z37" i="121"/>
  <c r="Q96" i="121"/>
  <c r="Q93" i="121"/>
  <c r="Q86" i="121"/>
  <c r="Z72" i="121"/>
  <c r="Z66" i="121"/>
  <c r="Q46" i="121"/>
  <c r="Q44" i="121"/>
  <c r="Q116" i="121"/>
  <c r="Z42" i="121"/>
  <c r="Q39" i="121"/>
  <c r="Q126" i="121"/>
  <c r="Q67" i="121"/>
  <c r="Q100" i="121"/>
  <c r="Z81" i="121"/>
  <c r="Z74" i="121"/>
  <c r="Q128" i="121"/>
  <c r="Q45" i="121"/>
  <c r="Z44" i="121"/>
  <c r="Z71" i="121"/>
  <c r="Q62" i="121"/>
  <c r="Z60" i="121"/>
  <c r="Q78" i="121"/>
  <c r="Q43" i="121"/>
  <c r="Q89" i="121"/>
  <c r="Q70" i="121"/>
  <c r="Z48" i="121"/>
  <c r="Z43" i="121"/>
  <c r="Q102" i="121"/>
  <c r="Q95" i="121"/>
  <c r="Q71" i="121"/>
  <c r="Q37" i="121"/>
  <c r="Z47" i="121"/>
  <c r="Q53" i="121"/>
  <c r="Q47" i="121"/>
  <c r="Z36" i="121"/>
  <c r="Z58" i="121"/>
  <c r="Q106" i="121"/>
  <c r="Q54" i="121"/>
  <c r="Q81" i="121"/>
  <c r="Z73" i="121"/>
  <c r="Q111" i="121"/>
  <c r="Z52" i="121"/>
  <c r="Q112" i="121"/>
  <c r="Q122" i="121"/>
  <c r="Q127" i="121"/>
  <c r="Q60" i="121"/>
  <c r="Z75" i="121"/>
  <c r="Q64" i="121"/>
  <c r="Q69" i="121"/>
  <c r="Q50" i="121"/>
  <c r="Z41" i="121"/>
  <c r="Q124" i="121"/>
  <c r="Q115" i="121"/>
  <c r="Z76" i="121"/>
  <c r="Z53" i="121"/>
  <c r="Q101" i="121"/>
  <c r="Q109" i="121"/>
  <c r="Q59" i="121"/>
  <c r="Q94" i="121"/>
  <c r="Z63" i="121"/>
  <c r="Q129" i="121"/>
  <c r="Q83" i="121"/>
  <c r="Q35" i="121"/>
  <c r="Z54" i="121"/>
  <c r="Z46" i="121"/>
  <c r="Q88" i="121"/>
  <c r="Q98" i="121"/>
  <c r="Q49" i="121"/>
  <c r="Q91" i="121"/>
  <c r="Q41" i="121"/>
  <c r="Q42" i="121"/>
  <c r="Q84" i="121"/>
  <c r="Q114" i="121"/>
  <c r="Q75" i="121"/>
  <c r="Z78" i="121"/>
  <c r="Q40" i="121"/>
  <c r="K7" i="121"/>
  <c r="Z68" i="121"/>
  <c r="Q99" i="121"/>
  <c r="Z79" i="121"/>
  <c r="Q87" i="121"/>
  <c r="Z34" i="121"/>
  <c r="V34" i="121" s="1"/>
  <c r="Z50" i="121"/>
  <c r="Q104" i="121"/>
  <c r="Q66" i="121"/>
  <c r="Z39" i="121"/>
  <c r="Z36" i="103"/>
  <c r="Z38" i="103"/>
  <c r="Z34" i="103"/>
  <c r="Z74" i="103"/>
  <c r="Z62" i="103"/>
  <c r="Z47" i="103"/>
  <c r="Z46" i="103"/>
  <c r="Z42" i="103"/>
  <c r="Z55" i="103"/>
  <c r="Z60" i="103"/>
  <c r="Z76" i="103"/>
  <c r="Z52" i="103"/>
  <c r="Z58" i="103"/>
  <c r="Z68" i="103"/>
  <c r="Z71" i="103"/>
  <c r="Z39" i="103"/>
  <c r="Z78" i="103"/>
  <c r="Z50" i="103"/>
  <c r="Z70" i="103"/>
  <c r="Z54" i="103"/>
  <c r="Z79" i="103"/>
  <c r="Z63" i="103"/>
  <c r="Z41" i="103"/>
  <c r="Z44" i="103"/>
  <c r="Z66" i="103"/>
  <c r="Z59" i="103"/>
  <c r="Z35" i="103"/>
  <c r="Z40" i="103"/>
  <c r="Z37" i="103"/>
  <c r="Z72" i="103"/>
  <c r="Z81" i="103"/>
  <c r="Z56" i="103"/>
  <c r="Z49" i="103"/>
  <c r="Z80" i="103"/>
  <c r="Z65" i="103"/>
  <c r="Z61" i="103"/>
  <c r="Z64" i="103"/>
  <c r="Z77" i="103"/>
  <c r="Z43" i="103"/>
  <c r="Z45" i="103"/>
  <c r="Z73" i="103"/>
  <c r="Z48" i="103"/>
  <c r="Z67" i="103"/>
  <c r="Z75" i="103"/>
  <c r="Z53" i="103"/>
  <c r="Z57" i="103"/>
  <c r="Z69" i="103"/>
  <c r="Z51" i="103"/>
  <c r="Q67" i="95"/>
  <c r="Z62" i="95"/>
  <c r="Z54" i="95"/>
  <c r="Z60" i="95"/>
  <c r="Z51" i="95"/>
  <c r="Z47" i="95"/>
  <c r="Z65" i="95"/>
  <c r="Z79" i="95"/>
  <c r="Z63" i="95"/>
  <c r="Z81" i="95"/>
  <c r="Z38" i="95"/>
  <c r="Z52" i="95"/>
  <c r="Z70" i="95"/>
  <c r="Z36" i="95"/>
  <c r="Z57" i="95"/>
  <c r="Z59" i="95"/>
  <c r="Z68" i="95"/>
  <c r="Z46" i="95"/>
  <c r="Z76" i="95"/>
  <c r="Z67" i="95"/>
  <c r="Z44" i="95"/>
  <c r="Z73" i="95"/>
  <c r="Z71" i="95"/>
  <c r="Z55" i="95"/>
  <c r="Z49" i="95"/>
  <c r="Z78" i="95"/>
  <c r="Z75" i="95"/>
  <c r="Z35" i="95"/>
  <c r="Z41" i="95"/>
  <c r="Z43" i="95"/>
  <c r="Z39" i="95"/>
  <c r="Z74" i="95"/>
  <c r="Z42" i="95"/>
  <c r="Z53" i="95"/>
  <c r="Z58" i="95"/>
  <c r="Z34" i="95"/>
  <c r="Z37" i="95"/>
  <c r="Z72" i="95"/>
  <c r="Z77" i="95"/>
  <c r="Z50" i="95"/>
  <c r="Z56" i="95"/>
  <c r="Z48" i="95"/>
  <c r="Z45" i="95"/>
  <c r="Z64" i="95"/>
  <c r="Z40" i="95"/>
  <c r="Z61" i="95"/>
  <c r="Z69" i="95"/>
  <c r="Z80" i="95"/>
  <c r="Z66" i="95"/>
  <c r="Z44" i="98"/>
  <c r="Z36" i="98"/>
  <c r="Z35" i="98"/>
  <c r="Z54" i="98"/>
  <c r="Z53" i="98"/>
  <c r="Z38" i="98"/>
  <c r="Z77" i="98"/>
  <c r="Z69" i="98"/>
  <c r="Z78" i="98"/>
  <c r="Z70" i="98"/>
  <c r="Z62" i="98"/>
  <c r="Z46" i="98"/>
  <c r="Z61" i="98"/>
  <c r="Z40" i="98"/>
  <c r="Z75" i="98"/>
  <c r="Z47" i="98"/>
  <c r="Z43" i="98"/>
  <c r="Z55" i="98"/>
  <c r="Z51" i="98"/>
  <c r="Z39" i="98"/>
  <c r="Z56" i="98"/>
  <c r="Z63" i="98"/>
  <c r="Z59" i="98"/>
  <c r="Z37" i="98"/>
  <c r="Z64" i="98"/>
  <c r="Z45" i="98"/>
  <c r="Z71" i="98"/>
  <c r="Z67" i="98"/>
  <c r="Z79" i="98"/>
  <c r="Z72" i="98"/>
  <c r="Z76" i="98"/>
  <c r="Z41" i="98"/>
  <c r="Z50" i="98"/>
  <c r="Z52" i="98"/>
  <c r="Z58" i="98"/>
  <c r="Z68" i="98"/>
  <c r="Z73" i="98"/>
  <c r="Z34" i="98"/>
  <c r="Z57" i="98"/>
  <c r="Z60" i="98"/>
  <c r="Z48" i="98"/>
  <c r="Z42" i="98"/>
  <c r="Z74" i="98"/>
  <c r="Z80" i="98"/>
  <c r="Z66" i="98"/>
  <c r="Z65" i="98"/>
  <c r="Z49" i="98"/>
  <c r="Z81" i="98"/>
  <c r="Z51" i="99"/>
  <c r="Z46" i="99"/>
  <c r="Z71" i="99"/>
  <c r="Z63" i="99"/>
  <c r="Z59" i="99"/>
  <c r="Z65" i="99"/>
  <c r="Z57" i="99"/>
  <c r="Z38" i="99"/>
  <c r="Z44" i="99"/>
  <c r="Z43" i="99"/>
  <c r="Z68" i="99"/>
  <c r="Z49" i="99"/>
  <c r="Z41" i="99"/>
  <c r="Z47" i="99"/>
  <c r="Z78" i="99"/>
  <c r="Z60" i="99"/>
  <c r="Z52" i="99"/>
  <c r="Z54" i="99"/>
  <c r="Z75" i="99"/>
  <c r="Z76" i="99"/>
  <c r="Z70" i="99"/>
  <c r="Z62" i="99"/>
  <c r="Z39" i="99"/>
  <c r="Z36" i="99"/>
  <c r="Z79" i="99"/>
  <c r="Z35" i="99"/>
  <c r="Z81" i="99"/>
  <c r="Z73" i="99"/>
  <c r="Z55" i="99"/>
  <c r="Z67" i="99"/>
  <c r="Z58" i="99"/>
  <c r="Z80" i="99"/>
  <c r="Z66" i="99"/>
  <c r="Z56" i="99"/>
  <c r="Z37" i="99"/>
  <c r="Z72" i="99"/>
  <c r="Z34" i="99"/>
  <c r="Z50" i="99"/>
  <c r="Z61" i="99"/>
  <c r="Z69" i="99"/>
  <c r="Z77" i="99"/>
  <c r="Z40" i="99"/>
  <c r="Z45" i="99"/>
  <c r="Z42" i="99"/>
  <c r="Z48" i="99"/>
  <c r="Z64" i="99"/>
  <c r="Z53" i="99"/>
  <c r="Z74" i="99"/>
  <c r="Z69" i="101"/>
  <c r="Z37" i="101"/>
  <c r="Z62" i="101"/>
  <c r="Z54" i="101"/>
  <c r="Z46" i="101"/>
  <c r="Z61" i="101"/>
  <c r="Z45" i="101"/>
  <c r="Z38" i="101"/>
  <c r="Z77" i="101"/>
  <c r="Z53" i="101"/>
  <c r="Z35" i="101"/>
  <c r="Z75" i="101"/>
  <c r="Z70" i="101"/>
  <c r="Z40" i="101"/>
  <c r="Z56" i="101"/>
  <c r="Z79" i="101"/>
  <c r="Z74" i="101"/>
  <c r="Z48" i="101"/>
  <c r="Z39" i="101"/>
  <c r="Z43" i="101"/>
  <c r="Z78" i="101"/>
  <c r="Z47" i="101"/>
  <c r="Z34" i="101"/>
  <c r="Z80" i="101"/>
  <c r="Z50" i="101"/>
  <c r="Z51" i="101"/>
  <c r="Z42" i="101"/>
  <c r="Z64" i="101"/>
  <c r="Z55" i="101"/>
  <c r="Z58" i="101"/>
  <c r="Z66" i="101"/>
  <c r="Z67" i="101"/>
  <c r="Z59" i="101"/>
  <c r="Z63" i="101"/>
  <c r="Z72" i="101"/>
  <c r="Z71" i="101"/>
  <c r="Z36" i="101"/>
  <c r="Z44" i="101"/>
  <c r="Z60" i="101"/>
  <c r="Z65" i="101"/>
  <c r="Z73" i="101"/>
  <c r="Z68" i="101"/>
  <c r="Z81" i="101"/>
  <c r="Z52" i="101"/>
  <c r="Z41" i="101"/>
  <c r="Z49" i="101"/>
  <c r="Z57" i="101"/>
  <c r="Z76" i="101"/>
  <c r="K7" i="102"/>
  <c r="Z77" i="102"/>
  <c r="Z53" i="102"/>
  <c r="Z61" i="102"/>
  <c r="Z69" i="102"/>
  <c r="Z39" i="102"/>
  <c r="Z41" i="102"/>
  <c r="Z47" i="102"/>
  <c r="Z79" i="102"/>
  <c r="Z35" i="102"/>
  <c r="Z38" i="102"/>
  <c r="Z71" i="102"/>
  <c r="Z55" i="102"/>
  <c r="Z44" i="102"/>
  <c r="Z63" i="102"/>
  <c r="Z78" i="102"/>
  <c r="Z70" i="102"/>
  <c r="Z62" i="102"/>
  <c r="Z54" i="102"/>
  <c r="Z36" i="102"/>
  <c r="Z46" i="102"/>
  <c r="Z43" i="102"/>
  <c r="Z80" i="102"/>
  <c r="Z56" i="102"/>
  <c r="Z42" i="102"/>
  <c r="Z60" i="102"/>
  <c r="Z50" i="102"/>
  <c r="Z67" i="102"/>
  <c r="Z58" i="102"/>
  <c r="Z68" i="102"/>
  <c r="Z64" i="102"/>
  <c r="Z65" i="102"/>
  <c r="Z40" i="102"/>
  <c r="Z48" i="102"/>
  <c r="Z45" i="102"/>
  <c r="Z37" i="102"/>
  <c r="Z81" i="102"/>
  <c r="Z59" i="102"/>
  <c r="Z75" i="102"/>
  <c r="Z57" i="102"/>
  <c r="Z74" i="102"/>
  <c r="Z52" i="102"/>
  <c r="Z34" i="102"/>
  <c r="Z72" i="102"/>
  <c r="Z66" i="102"/>
  <c r="Z76" i="102"/>
  <c r="Z73" i="102"/>
  <c r="Z49" i="102"/>
  <c r="Z51" i="102"/>
  <c r="Z47" i="112"/>
  <c r="Z79" i="112"/>
  <c r="Z39" i="112"/>
  <c r="Z63" i="112"/>
  <c r="Z71" i="112"/>
  <c r="Z55" i="112"/>
  <c r="Z78" i="112"/>
  <c r="Z70" i="112"/>
  <c r="Z53" i="112"/>
  <c r="Z45" i="112"/>
  <c r="Z37" i="112"/>
  <c r="Z61" i="112"/>
  <c r="Z48" i="112"/>
  <c r="Z38" i="112"/>
  <c r="Z81" i="112"/>
  <c r="Z36" i="112"/>
  <c r="Z52" i="112"/>
  <c r="Z64" i="112"/>
  <c r="Z42" i="112"/>
  <c r="Z41" i="112"/>
  <c r="Z66" i="112"/>
  <c r="Z57" i="112"/>
  <c r="Z68" i="112"/>
  <c r="Z54" i="112"/>
  <c r="Z58" i="112"/>
  <c r="Z76" i="112"/>
  <c r="Z49" i="112"/>
  <c r="Z73" i="112"/>
  <c r="Z80" i="112"/>
  <c r="Z56" i="112"/>
  <c r="Z34" i="112"/>
  <c r="Z40" i="112"/>
  <c r="Z60" i="112"/>
  <c r="Z46" i="112"/>
  <c r="Z50" i="112"/>
  <c r="Z65" i="112"/>
  <c r="Z72" i="112"/>
  <c r="Z62" i="112"/>
  <c r="Z44" i="112"/>
  <c r="Z69" i="112"/>
  <c r="Z43" i="112"/>
  <c r="Z74" i="112"/>
  <c r="Z75" i="112"/>
  <c r="Z67" i="112"/>
  <c r="Z35" i="112"/>
  <c r="Z59" i="112"/>
  <c r="Z51" i="112"/>
  <c r="Z77" i="112"/>
  <c r="Z45" i="114"/>
  <c r="Z37" i="114"/>
  <c r="Z51" i="114"/>
  <c r="Z71" i="114"/>
  <c r="Z63" i="114"/>
  <c r="Z75" i="114"/>
  <c r="Z55" i="114"/>
  <c r="Z54" i="114"/>
  <c r="Z49" i="114"/>
  <c r="Z46" i="114"/>
  <c r="Z39" i="114"/>
  <c r="Z65" i="114"/>
  <c r="Z67" i="114"/>
  <c r="Z59" i="114"/>
  <c r="Z57" i="114"/>
  <c r="Z38" i="114"/>
  <c r="Z43" i="114"/>
  <c r="Z70" i="114"/>
  <c r="Z62" i="114"/>
  <c r="Z35" i="114"/>
  <c r="Z78" i="114"/>
  <c r="Z41" i="114"/>
  <c r="Z47" i="114"/>
  <c r="Z81" i="114"/>
  <c r="Z73" i="114"/>
  <c r="Z79" i="114"/>
  <c r="Z42" i="114"/>
  <c r="Z74" i="114"/>
  <c r="Z58" i="114"/>
  <c r="Z44" i="114"/>
  <c r="Z36" i="114"/>
  <c r="Z50" i="114"/>
  <c r="Z52" i="114"/>
  <c r="Z34" i="114"/>
  <c r="Z64" i="114"/>
  <c r="Z48" i="114"/>
  <c r="Z80" i="114"/>
  <c r="Z53" i="114"/>
  <c r="Z68" i="114"/>
  <c r="Z40" i="114"/>
  <c r="Z61" i="114"/>
  <c r="Z69" i="114"/>
  <c r="Z56" i="114"/>
  <c r="Z76" i="114"/>
  <c r="Z72" i="114"/>
  <c r="Z66" i="114"/>
  <c r="Z77" i="114"/>
  <c r="Z60" i="114"/>
  <c r="Z45" i="115"/>
  <c r="Z75" i="115"/>
  <c r="Z67" i="115"/>
  <c r="Z59" i="115"/>
  <c r="Z51" i="115"/>
  <c r="Z43" i="115"/>
  <c r="Z35" i="115"/>
  <c r="Z61" i="115"/>
  <c r="Z81" i="115"/>
  <c r="Z73" i="115"/>
  <c r="Z69" i="115"/>
  <c r="Z77" i="115"/>
  <c r="Z53" i="115"/>
  <c r="Z37" i="115"/>
  <c r="Z39" i="115"/>
  <c r="Z46" i="115"/>
  <c r="Z60" i="115"/>
  <c r="Z47" i="115"/>
  <c r="Z54" i="115"/>
  <c r="Z68" i="115"/>
  <c r="Z55" i="115"/>
  <c r="Z62" i="115"/>
  <c r="Z76" i="115"/>
  <c r="Z63" i="115"/>
  <c r="Z70" i="115"/>
  <c r="Z34" i="115"/>
  <c r="Z66" i="115"/>
  <c r="Z71" i="115"/>
  <c r="Z79" i="115"/>
  <c r="Z42" i="115"/>
  <c r="Z74" i="115"/>
  <c r="Z36" i="115"/>
  <c r="Z50" i="115"/>
  <c r="Z52" i="115"/>
  <c r="Z78" i="115"/>
  <c r="Z44" i="115"/>
  <c r="Z58" i="115"/>
  <c r="Z38" i="115"/>
  <c r="Z41" i="115"/>
  <c r="Z57" i="115"/>
  <c r="Z40" i="115"/>
  <c r="Z49" i="115"/>
  <c r="Z72" i="115"/>
  <c r="Z80" i="115"/>
  <c r="Z65" i="115"/>
  <c r="Z48" i="115"/>
  <c r="Z56" i="115"/>
  <c r="Z64" i="115"/>
  <c r="Z68" i="116"/>
  <c r="Z60" i="116"/>
  <c r="Z52" i="116"/>
  <c r="Z44" i="116"/>
  <c r="Z36" i="116"/>
  <c r="Z63" i="116"/>
  <c r="Z61" i="116"/>
  <c r="Z39" i="116"/>
  <c r="Z56" i="116"/>
  <c r="Z66" i="116"/>
  <c r="Z75" i="116"/>
  <c r="Z42" i="116"/>
  <c r="Z70" i="116"/>
  <c r="Z69" i="116"/>
  <c r="Z79" i="116"/>
  <c r="Z46" i="116"/>
  <c r="Z48" i="116"/>
  <c r="Z54" i="116"/>
  <c r="Z34" i="116"/>
  <c r="Z62" i="116"/>
  <c r="Z78" i="116"/>
  <c r="Z38" i="116"/>
  <c r="Z76" i="116"/>
  <c r="Z47" i="116"/>
  <c r="Z45" i="116"/>
  <c r="Z55" i="116"/>
  <c r="Z50" i="116"/>
  <c r="Z71" i="116"/>
  <c r="Z58" i="116"/>
  <c r="Z53" i="116"/>
  <c r="Z37" i="116"/>
  <c r="Z74" i="116"/>
  <c r="Z65" i="116"/>
  <c r="Z80" i="116"/>
  <c r="Z64" i="116"/>
  <c r="Z77" i="116"/>
  <c r="Z51" i="116"/>
  <c r="Z41" i="116"/>
  <c r="Z57" i="116"/>
  <c r="Z73" i="116"/>
  <c r="Z67" i="116"/>
  <c r="Z81" i="116"/>
  <c r="Z59" i="116"/>
  <c r="Z72" i="116"/>
  <c r="Z43" i="116"/>
  <c r="Z49" i="116"/>
  <c r="Z35" i="116"/>
  <c r="Z40" i="116"/>
  <c r="Z66" i="119"/>
  <c r="Z58" i="119"/>
  <c r="Z50" i="119"/>
  <c r="Z44" i="119"/>
  <c r="Z75" i="119"/>
  <c r="Z39" i="119"/>
  <c r="Z70" i="119"/>
  <c r="Z52" i="119"/>
  <c r="Z55" i="119"/>
  <c r="Z46" i="119"/>
  <c r="Z35" i="119"/>
  <c r="Z78" i="119"/>
  <c r="Z60" i="119"/>
  <c r="Z63" i="119"/>
  <c r="Z54" i="119"/>
  <c r="Z37" i="119"/>
  <c r="Z79" i="119"/>
  <c r="Z76" i="119"/>
  <c r="Z67" i="119"/>
  <c r="Z62" i="119"/>
  <c r="Z42" i="119"/>
  <c r="Z51" i="119"/>
  <c r="Z43" i="119"/>
  <c r="Z74" i="119"/>
  <c r="Z71" i="119"/>
  <c r="Z59" i="119"/>
  <c r="Z47" i="119"/>
  <c r="Z38" i="119"/>
  <c r="Z68" i="119"/>
  <c r="Z34" i="119"/>
  <c r="Z65" i="119"/>
  <c r="Z64" i="119"/>
  <c r="Z49" i="119"/>
  <c r="Z53" i="119"/>
  <c r="Z80" i="119"/>
  <c r="Z73" i="119"/>
  <c r="Z36" i="119"/>
  <c r="Z81" i="119"/>
  <c r="Z61" i="119"/>
  <c r="Z57" i="119"/>
  <c r="Z45" i="119"/>
  <c r="Z72" i="119"/>
  <c r="Z56" i="119"/>
  <c r="Z41" i="119"/>
  <c r="Z77" i="119"/>
  <c r="Z40" i="119"/>
  <c r="Z69" i="119"/>
  <c r="Z48" i="119"/>
  <c r="Q52" i="116"/>
  <c r="Q102" i="116"/>
  <c r="Q92" i="116"/>
  <c r="Q112" i="116"/>
  <c r="Q83" i="116"/>
  <c r="Q127" i="116"/>
  <c r="Q41" i="116"/>
  <c r="Q40" i="116"/>
  <c r="Q111" i="116"/>
  <c r="Q79" i="116"/>
  <c r="Q124" i="116"/>
  <c r="Q87" i="116"/>
  <c r="Q106" i="116"/>
  <c r="Q61" i="116"/>
  <c r="Q69" i="116"/>
  <c r="Q122" i="116"/>
  <c r="Q76" i="116"/>
  <c r="Q107" i="116"/>
  <c r="Q119" i="116"/>
  <c r="Q120" i="116"/>
  <c r="Q67" i="116"/>
  <c r="Q117" i="116"/>
  <c r="Q99" i="116"/>
  <c r="Q42" i="116"/>
  <c r="Q84" i="116"/>
  <c r="Q109" i="116"/>
  <c r="Q47" i="116"/>
  <c r="Q46" i="116"/>
  <c r="Q51" i="116"/>
  <c r="Q37" i="116"/>
  <c r="Q101" i="116"/>
  <c r="Q121" i="116"/>
  <c r="Q81" i="116"/>
  <c r="Q72" i="116"/>
  <c r="Q49" i="116"/>
  <c r="Q89" i="116"/>
  <c r="Q60" i="116"/>
  <c r="Q82" i="116"/>
  <c r="Q98" i="116"/>
  <c r="Q75" i="116"/>
  <c r="Q95" i="116"/>
  <c r="Q57" i="116"/>
  <c r="Q93" i="116"/>
  <c r="Q71" i="116"/>
  <c r="Q114" i="116"/>
  <c r="Q97" i="116"/>
  <c r="Q59" i="116"/>
  <c r="Q54" i="116"/>
  <c r="Q39" i="116"/>
  <c r="Q73" i="116"/>
  <c r="Q105" i="116"/>
  <c r="Q68" i="116"/>
  <c r="Q43" i="116"/>
  <c r="Q125" i="116"/>
  <c r="Q91" i="116"/>
  <c r="Q100" i="116"/>
  <c r="Q77" i="116"/>
  <c r="Q116" i="116"/>
  <c r="Q85" i="116"/>
  <c r="Q74" i="116"/>
  <c r="Q96" i="116"/>
  <c r="Q58" i="116"/>
  <c r="Q55" i="116"/>
  <c r="Q34" i="116"/>
  <c r="M34" i="116" s="1"/>
  <c r="Q44" i="116"/>
  <c r="Q78" i="116"/>
  <c r="Q65" i="116"/>
  <c r="Q129" i="116"/>
  <c r="Q63" i="116"/>
  <c r="Q103" i="116"/>
  <c r="Q126" i="116"/>
  <c r="Q115" i="116"/>
  <c r="Q80" i="116"/>
  <c r="Q108" i="116"/>
  <c r="Q104" i="116"/>
  <c r="Q38" i="116"/>
  <c r="Q123" i="116"/>
  <c r="Q66" i="116"/>
  <c r="Q45" i="116"/>
  <c r="Q36" i="116"/>
  <c r="Q50" i="116"/>
  <c r="Q35" i="116"/>
  <c r="Q64" i="116"/>
  <c r="Q110" i="116"/>
  <c r="Q62" i="116"/>
  <c r="Q86" i="116"/>
  <c r="Q113" i="116"/>
  <c r="Q88" i="116"/>
  <c r="Q48" i="116"/>
  <c r="Q128" i="116"/>
  <c r="Q70" i="116"/>
  <c r="Q56" i="116"/>
  <c r="Q94" i="116"/>
  <c r="Q118" i="116"/>
  <c r="Q90" i="116"/>
  <c r="Q53" i="116"/>
  <c r="Q42" i="115"/>
  <c r="Q57" i="115"/>
  <c r="Q102" i="115"/>
  <c r="Q114" i="115"/>
  <c r="Q94" i="115"/>
  <c r="Q53" i="115"/>
  <c r="Q51" i="115"/>
  <c r="Q92" i="115"/>
  <c r="Q76" i="115"/>
  <c r="Q109" i="115"/>
  <c r="Q100" i="115"/>
  <c r="Q48" i="115"/>
  <c r="Q75" i="115"/>
  <c r="Q85" i="115"/>
  <c r="Q35" i="115"/>
  <c r="Q64" i="115"/>
  <c r="Q80" i="115"/>
  <c r="Q65" i="115"/>
  <c r="Q124" i="115"/>
  <c r="Q70" i="115"/>
  <c r="Q95" i="115"/>
  <c r="Q116" i="115"/>
  <c r="Q50" i="115"/>
  <c r="Q90" i="115"/>
  <c r="Q61" i="115"/>
  <c r="Q82" i="115"/>
  <c r="Q56" i="115"/>
  <c r="Q117" i="115"/>
  <c r="Q43" i="115"/>
  <c r="Q58" i="115"/>
  <c r="Q88" i="115"/>
  <c r="Q34" i="115"/>
  <c r="Q129" i="115"/>
  <c r="Q105" i="115"/>
  <c r="Q59" i="115"/>
  <c r="Q101" i="115"/>
  <c r="Q78" i="115"/>
  <c r="Q113" i="115"/>
  <c r="Q97" i="115"/>
  <c r="Q60" i="115"/>
  <c r="Q81" i="115"/>
  <c r="Q49" i="115"/>
  <c r="Q66" i="115"/>
  <c r="Q38" i="115"/>
  <c r="Q107" i="115"/>
  <c r="Q104" i="115"/>
  <c r="Q112" i="115"/>
  <c r="Q72" i="115"/>
  <c r="Q68" i="115"/>
  <c r="Q44" i="115"/>
  <c r="Q89" i="115"/>
  <c r="Q126" i="115"/>
  <c r="Q119" i="115"/>
  <c r="Q120" i="115"/>
  <c r="Q87" i="115"/>
  <c r="Q108" i="115"/>
  <c r="Q111" i="115"/>
  <c r="Q99" i="115"/>
  <c r="Q96" i="115"/>
  <c r="Q123" i="115"/>
  <c r="Q110" i="115"/>
  <c r="Q46" i="115"/>
  <c r="Q93" i="115"/>
  <c r="Q40" i="115"/>
  <c r="Q83" i="115"/>
  <c r="Q41" i="115"/>
  <c r="Q77" i="115"/>
  <c r="Q103" i="115"/>
  <c r="Q69" i="115"/>
  <c r="Q73" i="115"/>
  <c r="Q36" i="115"/>
  <c r="Q52" i="115"/>
  <c r="Q128" i="115"/>
  <c r="Q79" i="115"/>
  <c r="Q118" i="115"/>
  <c r="Q71" i="115"/>
  <c r="Q54" i="115"/>
  <c r="Q67" i="115"/>
  <c r="Q91" i="115"/>
  <c r="Q62" i="115"/>
  <c r="Q45" i="115"/>
  <c r="Q115" i="115"/>
  <c r="Q122" i="115"/>
  <c r="Q106" i="115"/>
  <c r="Q63" i="115"/>
  <c r="Q74" i="115"/>
  <c r="Q86" i="115"/>
  <c r="Q127" i="115"/>
  <c r="Q47" i="115"/>
  <c r="Q84" i="115"/>
  <c r="Q55" i="115"/>
  <c r="Q121" i="115"/>
  <c r="Q125" i="115"/>
  <c r="Q37" i="115"/>
  <c r="Q39" i="115"/>
  <c r="Q98" i="115"/>
  <c r="Q53" i="114"/>
  <c r="Q36" i="114"/>
  <c r="Q97" i="114"/>
  <c r="Q83" i="114"/>
  <c r="Q67" i="114"/>
  <c r="Q43" i="114"/>
  <c r="Q117" i="114"/>
  <c r="Q111" i="114"/>
  <c r="Q46" i="114"/>
  <c r="Q74" i="114"/>
  <c r="Q41" i="114"/>
  <c r="Q91" i="114"/>
  <c r="Q72" i="114"/>
  <c r="Q61" i="114"/>
  <c r="Q80" i="114"/>
  <c r="Q105" i="114"/>
  <c r="Q69" i="114"/>
  <c r="Q70" i="114"/>
  <c r="Q52" i="114"/>
  <c r="Q85" i="114"/>
  <c r="Q54" i="114"/>
  <c r="Q121" i="114"/>
  <c r="Q126" i="114"/>
  <c r="Q63" i="114"/>
  <c r="Q98" i="114"/>
  <c r="Q101" i="114"/>
  <c r="Q107" i="114"/>
  <c r="Q37" i="114"/>
  <c r="Q60" i="114"/>
  <c r="Q65" i="114"/>
  <c r="Q108" i="114"/>
  <c r="Q96" i="114"/>
  <c r="Q59" i="114"/>
  <c r="Q119" i="114"/>
  <c r="Q68" i="114"/>
  <c r="Q103" i="114"/>
  <c r="Q50" i="114"/>
  <c r="Q48" i="114"/>
  <c r="Q73" i="114"/>
  <c r="Q90" i="114"/>
  <c r="Q109" i="114"/>
  <c r="Q95" i="114"/>
  <c r="Q110" i="114"/>
  <c r="Q49" i="114"/>
  <c r="Q62" i="114"/>
  <c r="Q39" i="114"/>
  <c r="Q92" i="114"/>
  <c r="Q127" i="114"/>
  <c r="Q34" i="114"/>
  <c r="Q55" i="114"/>
  <c r="Q124" i="114"/>
  <c r="Q125" i="114"/>
  <c r="Q64" i="114"/>
  <c r="Q57" i="114"/>
  <c r="Q106" i="114"/>
  <c r="Q82" i="114"/>
  <c r="Q81" i="114"/>
  <c r="Q66" i="114"/>
  <c r="Q115" i="114"/>
  <c r="Q87" i="114"/>
  <c r="Q71" i="114"/>
  <c r="Q120" i="114"/>
  <c r="Q75" i="114"/>
  <c r="Q86" i="114"/>
  <c r="Q112" i="114"/>
  <c r="Q104" i="114"/>
  <c r="Q79" i="114"/>
  <c r="Q129" i="114"/>
  <c r="Q113" i="114"/>
  <c r="Q118" i="114"/>
  <c r="Q42" i="114"/>
  <c r="Q45" i="114"/>
  <c r="Q76" i="114"/>
  <c r="Q40" i="114"/>
  <c r="Q93" i="114"/>
  <c r="Q123" i="114"/>
  <c r="Q116" i="114"/>
  <c r="Q78" i="114"/>
  <c r="Q44" i="114"/>
  <c r="Q51" i="114"/>
  <c r="Q35" i="114"/>
  <c r="Q114" i="114"/>
  <c r="Q128" i="114"/>
  <c r="Q122" i="114"/>
  <c r="Q56" i="114"/>
  <c r="Q102" i="114"/>
  <c r="Q94" i="114"/>
  <c r="Q89" i="114"/>
  <c r="Q84" i="114"/>
  <c r="Q58" i="114"/>
  <c r="Q47" i="114"/>
  <c r="Q88" i="114"/>
  <c r="Q38" i="114"/>
  <c r="Q100" i="114"/>
  <c r="Q99" i="114"/>
  <c r="Q77" i="114"/>
  <c r="Q60" i="112"/>
  <c r="Q121" i="112"/>
  <c r="Q89" i="112"/>
  <c r="Q106" i="112"/>
  <c r="Q52" i="112"/>
  <c r="Q76" i="112"/>
  <c r="Q48" i="112"/>
  <c r="Q64" i="112"/>
  <c r="Q40" i="112"/>
  <c r="Q44" i="112"/>
  <c r="Q107" i="112"/>
  <c r="Q46" i="112"/>
  <c r="Q78" i="112"/>
  <c r="Q53" i="112"/>
  <c r="Q90" i="112"/>
  <c r="Q122" i="112"/>
  <c r="Q63" i="112"/>
  <c r="Q84" i="112"/>
  <c r="Q109" i="112"/>
  <c r="Q42" i="112"/>
  <c r="Q34" i="112"/>
  <c r="Q88" i="112"/>
  <c r="Q119" i="112"/>
  <c r="Q91" i="112"/>
  <c r="Q65" i="112"/>
  <c r="Q127" i="112"/>
  <c r="Q105" i="112"/>
  <c r="Q75" i="112"/>
  <c r="Q103" i="112"/>
  <c r="Q35" i="112"/>
  <c r="Q50" i="112"/>
  <c r="Q97" i="112"/>
  <c r="Q49" i="112"/>
  <c r="Q81" i="112"/>
  <c r="Q104" i="112"/>
  <c r="Q128" i="112"/>
  <c r="Q37" i="112"/>
  <c r="Q56" i="112"/>
  <c r="Q77" i="112"/>
  <c r="Q68" i="112"/>
  <c r="Q69" i="112"/>
  <c r="Q125" i="112"/>
  <c r="Q123" i="112"/>
  <c r="Q96" i="112"/>
  <c r="Q118" i="112"/>
  <c r="Q61" i="112"/>
  <c r="Q112" i="112"/>
  <c r="Q62" i="112"/>
  <c r="Q87" i="112"/>
  <c r="Q73" i="112"/>
  <c r="Q55" i="112"/>
  <c r="Q74" i="112"/>
  <c r="Q126" i="112"/>
  <c r="Q115" i="112"/>
  <c r="Q38" i="112"/>
  <c r="Q82" i="112"/>
  <c r="Q71" i="112"/>
  <c r="Q54" i="112"/>
  <c r="Q120" i="112"/>
  <c r="Q95" i="112"/>
  <c r="Q58" i="112"/>
  <c r="Q108" i="112"/>
  <c r="Q124" i="112"/>
  <c r="Q116" i="112"/>
  <c r="Q67" i="112"/>
  <c r="Q59" i="112"/>
  <c r="Q47" i="112"/>
  <c r="Q102" i="112"/>
  <c r="Q66" i="112"/>
  <c r="Q79" i="112"/>
  <c r="Q111" i="112"/>
  <c r="Q99" i="112"/>
  <c r="Q92" i="112"/>
  <c r="Q98" i="112"/>
  <c r="Q85" i="112"/>
  <c r="Q51" i="112"/>
  <c r="Q72" i="112"/>
  <c r="Q129" i="112"/>
  <c r="Q70" i="112"/>
  <c r="Q93" i="112"/>
  <c r="Q45" i="112"/>
  <c r="Q114" i="112"/>
  <c r="Q57" i="112"/>
  <c r="Q113" i="112"/>
  <c r="Q39" i="112"/>
  <c r="Q100" i="112"/>
  <c r="Q86" i="112"/>
  <c r="Q83" i="112"/>
  <c r="Q80" i="112"/>
  <c r="Q41" i="112"/>
  <c r="Q110" i="112"/>
  <c r="Q36" i="112"/>
  <c r="Q101" i="112"/>
  <c r="Q43" i="112"/>
  <c r="Q117" i="112"/>
  <c r="Q94" i="112"/>
  <c r="Q39" i="109"/>
  <c r="Q69" i="109"/>
  <c r="Q115" i="109"/>
  <c r="Q53" i="109"/>
  <c r="Q102" i="109"/>
  <c r="Q93" i="109"/>
  <c r="Z59" i="109"/>
  <c r="Q101" i="109"/>
  <c r="Z53" i="109"/>
  <c r="Q97" i="109"/>
  <c r="Q50" i="109"/>
  <c r="Q56" i="109"/>
  <c r="Z58" i="109"/>
  <c r="Z40" i="109"/>
  <c r="Z38" i="109"/>
  <c r="Q68" i="109"/>
  <c r="Z56" i="109"/>
  <c r="Z72" i="109"/>
  <c r="Q124" i="109"/>
  <c r="Q85" i="109"/>
  <c r="Q126" i="109"/>
  <c r="Z78" i="109"/>
  <c r="Z75" i="109"/>
  <c r="Z54" i="109"/>
  <c r="Q110" i="109"/>
  <c r="Q62" i="109"/>
  <c r="Q125" i="109"/>
  <c r="Q103" i="109"/>
  <c r="Z43" i="109"/>
  <c r="Q105" i="109"/>
  <c r="Q34" i="109"/>
  <c r="M34" i="109" s="1"/>
  <c r="Z41" i="109"/>
  <c r="Q45" i="109"/>
  <c r="Q70" i="109"/>
  <c r="Q43" i="109"/>
  <c r="Q77" i="109"/>
  <c r="Z79" i="109"/>
  <c r="Q88" i="109"/>
  <c r="Q112" i="109"/>
  <c r="Q99" i="109"/>
  <c r="Q58" i="109"/>
  <c r="Q120" i="109"/>
  <c r="Z69" i="109"/>
  <c r="Z57" i="109"/>
  <c r="Q119" i="109"/>
  <c r="Z63" i="109"/>
  <c r="Z81" i="109"/>
  <c r="Q37" i="109"/>
  <c r="Z70" i="109"/>
  <c r="Q113" i="109"/>
  <c r="Q42" i="109"/>
  <c r="Z47" i="109"/>
  <c r="Q46" i="109"/>
  <c r="Q73" i="109"/>
  <c r="Q127" i="109"/>
  <c r="Z35" i="109"/>
  <c r="Q89" i="109"/>
  <c r="Q75" i="109"/>
  <c r="Z74" i="109"/>
  <c r="Z46" i="109"/>
  <c r="Z42" i="109"/>
  <c r="Z73" i="109"/>
  <c r="Q104" i="109"/>
  <c r="Z50" i="109"/>
  <c r="Q96" i="109"/>
  <c r="Q95" i="109"/>
  <c r="Z36" i="109"/>
  <c r="Q128" i="109"/>
  <c r="Q87" i="109"/>
  <c r="Z76" i="109"/>
  <c r="Q40" i="109"/>
  <c r="Q129" i="109"/>
  <c r="Q100" i="109"/>
  <c r="Q52" i="109"/>
  <c r="Q48" i="109"/>
  <c r="Q49" i="109"/>
  <c r="Q74" i="109"/>
  <c r="Q35" i="109"/>
  <c r="Q63" i="109"/>
  <c r="Q79" i="109"/>
  <c r="Q59" i="109"/>
  <c r="Z65" i="109"/>
  <c r="Q108" i="109"/>
  <c r="Q121" i="109"/>
  <c r="Z64" i="109"/>
  <c r="Q78" i="109"/>
  <c r="Z55" i="109"/>
  <c r="Q114" i="109"/>
  <c r="Z51" i="109"/>
  <c r="Z61" i="109"/>
  <c r="Q111" i="109"/>
  <c r="Q60" i="109"/>
  <c r="Q117" i="109"/>
  <c r="Q41" i="109"/>
  <c r="Q109" i="109"/>
  <c r="Q82" i="109"/>
  <c r="Q76" i="109"/>
  <c r="Q122" i="109"/>
  <c r="Q66" i="109"/>
  <c r="Q47" i="109"/>
  <c r="Q123" i="109"/>
  <c r="Q116" i="109"/>
  <c r="Z62" i="109"/>
  <c r="Q65" i="109"/>
  <c r="Q90" i="109"/>
  <c r="Q71" i="109"/>
  <c r="Q86" i="109"/>
  <c r="Z39" i="109"/>
  <c r="Z48" i="109"/>
  <c r="Q106" i="109"/>
  <c r="Z45" i="109"/>
  <c r="Q54" i="109"/>
  <c r="Q84" i="109"/>
  <c r="Q44" i="109"/>
  <c r="Q83" i="109"/>
  <c r="Z52" i="109"/>
  <c r="Q98" i="109"/>
  <c r="Q118" i="109"/>
  <c r="Q38" i="109"/>
  <c r="Q57" i="109"/>
  <c r="Z66" i="109"/>
  <c r="Q67" i="109"/>
  <c r="Q61" i="109"/>
  <c r="Z60" i="109"/>
  <c r="Z37" i="109"/>
  <c r="Z67" i="109"/>
  <c r="Z71" i="109"/>
  <c r="Q72" i="109"/>
  <c r="Z49" i="109"/>
  <c r="Q107" i="109"/>
  <c r="Q51" i="109"/>
  <c r="Q81" i="109"/>
  <c r="Q91" i="109"/>
  <c r="Z80" i="109"/>
  <c r="Z44" i="109"/>
  <c r="Z77" i="109"/>
  <c r="Q92" i="109"/>
  <c r="Z68" i="109"/>
  <c r="Q64" i="109"/>
  <c r="Q80" i="109"/>
  <c r="Q55" i="109"/>
  <c r="Q36" i="109"/>
  <c r="Z34" i="109"/>
  <c r="Q94" i="109"/>
  <c r="V34" i="111"/>
  <c r="V35" i="111" s="1"/>
  <c r="V36" i="111" s="1"/>
  <c r="V37" i="111" s="1"/>
  <c r="V38" i="111" s="1"/>
  <c r="V39" i="111" s="1"/>
  <c r="V40" i="111" s="1"/>
  <c r="V41" i="111" s="1"/>
  <c r="V42" i="111" s="1"/>
  <c r="V43" i="111" s="1"/>
  <c r="V44" i="111" s="1"/>
  <c r="V45" i="111" s="1"/>
  <c r="V46" i="111" s="1"/>
  <c r="V47" i="111" s="1"/>
  <c r="V48" i="111" s="1"/>
  <c r="V49" i="111" s="1"/>
  <c r="V50" i="111" s="1"/>
  <c r="V51" i="111" s="1"/>
  <c r="V52" i="111" s="1"/>
  <c r="V53" i="111" s="1"/>
  <c r="V54" i="111" s="1"/>
  <c r="V55" i="111" s="1"/>
  <c r="V56" i="111" s="1"/>
  <c r="V57" i="111" s="1"/>
  <c r="V58" i="111" s="1"/>
  <c r="V59" i="111" s="1"/>
  <c r="V60" i="111" s="1"/>
  <c r="V61" i="111" s="1"/>
  <c r="V62" i="111" s="1"/>
  <c r="V63" i="111" s="1"/>
  <c r="V64" i="111" s="1"/>
  <c r="V65" i="111" s="1"/>
  <c r="V66" i="111" s="1"/>
  <c r="V67" i="111" s="1"/>
  <c r="V68" i="111" s="1"/>
  <c r="V69" i="111" s="1"/>
  <c r="V70" i="111" s="1"/>
  <c r="V71" i="111" s="1"/>
  <c r="V72" i="111" s="1"/>
  <c r="V73" i="111" s="1"/>
  <c r="V74" i="111" s="1"/>
  <c r="V75" i="111" s="1"/>
  <c r="V76" i="111" s="1"/>
  <c r="V77" i="111" s="1"/>
  <c r="V78" i="111" s="1"/>
  <c r="V79" i="111" s="1"/>
  <c r="V80" i="111" s="1"/>
  <c r="V81" i="111" s="1"/>
  <c r="V82" i="111" s="1"/>
  <c r="M35" i="111"/>
  <c r="M36" i="111" s="1"/>
  <c r="M37" i="111" s="1"/>
  <c r="M38" i="111" s="1"/>
  <c r="M39" i="111" s="1"/>
  <c r="M40" i="111" s="1"/>
  <c r="M41" i="111" s="1"/>
  <c r="M42" i="111" s="1"/>
  <c r="M43" i="111" s="1"/>
  <c r="M44" i="111" s="1"/>
  <c r="M45" i="111" s="1"/>
  <c r="M46" i="111" s="1"/>
  <c r="M47" i="111" s="1"/>
  <c r="M48" i="111" s="1"/>
  <c r="M49" i="111" s="1"/>
  <c r="M50" i="111" s="1"/>
  <c r="M51" i="111" s="1"/>
  <c r="M52" i="111" s="1"/>
  <c r="M53" i="111" s="1"/>
  <c r="M54" i="111" s="1"/>
  <c r="M55" i="111" s="1"/>
  <c r="M56" i="111" s="1"/>
  <c r="M57" i="111" s="1"/>
  <c r="M58" i="111" s="1"/>
  <c r="M59" i="111" s="1"/>
  <c r="M60" i="111" s="1"/>
  <c r="M61" i="111" s="1"/>
  <c r="M62" i="111" s="1"/>
  <c r="M63" i="111" s="1"/>
  <c r="M64" i="111" s="1"/>
  <c r="M65" i="111" s="1"/>
  <c r="M66" i="111" s="1"/>
  <c r="M67" i="111" s="1"/>
  <c r="M68" i="111" s="1"/>
  <c r="M69" i="111" s="1"/>
  <c r="M70" i="111" s="1"/>
  <c r="M71" i="111" s="1"/>
  <c r="M72" i="111" s="1"/>
  <c r="M73" i="111" s="1"/>
  <c r="M74" i="111" s="1"/>
  <c r="M75" i="111" s="1"/>
  <c r="M76" i="111" s="1"/>
  <c r="M77" i="111" s="1"/>
  <c r="M78" i="111" s="1"/>
  <c r="M79" i="111" s="1"/>
  <c r="M80" i="111" s="1"/>
  <c r="M81" i="111" s="1"/>
  <c r="M82" i="111" s="1"/>
  <c r="M83" i="111" s="1"/>
  <c r="M84" i="111" s="1"/>
  <c r="M85" i="111" s="1"/>
  <c r="M86" i="111" s="1"/>
  <c r="M87" i="111" s="1"/>
  <c r="M88" i="111" s="1"/>
  <c r="M89" i="111" s="1"/>
  <c r="M90" i="111" s="1"/>
  <c r="M91" i="111" s="1"/>
  <c r="M92" i="111" s="1"/>
  <c r="M93" i="111" s="1"/>
  <c r="M94" i="111" s="1"/>
  <c r="M95" i="111" s="1"/>
  <c r="M96" i="111" s="1"/>
  <c r="M97" i="111" s="1"/>
  <c r="M98" i="111" s="1"/>
  <c r="M99" i="111" s="1"/>
  <c r="M100" i="111" s="1"/>
  <c r="M101" i="111" s="1"/>
  <c r="M102" i="111" s="1"/>
  <c r="M103" i="111" s="1"/>
  <c r="M104" i="111" s="1"/>
  <c r="M105" i="111" s="1"/>
  <c r="M106" i="111" s="1"/>
  <c r="M107" i="111" s="1"/>
  <c r="M108" i="111" s="1"/>
  <c r="M109" i="111" s="1"/>
  <c r="M110" i="111" s="1"/>
  <c r="M111" i="111" s="1"/>
  <c r="M112" i="111" s="1"/>
  <c r="M113" i="111" s="1"/>
  <c r="M114" i="111" s="1"/>
  <c r="M115" i="111" s="1"/>
  <c r="M116" i="111" s="1"/>
  <c r="M117" i="111" s="1"/>
  <c r="M118" i="111" s="1"/>
  <c r="M119" i="111" s="1"/>
  <c r="M120" i="111" s="1"/>
  <c r="M121" i="111" s="1"/>
  <c r="M122" i="111" s="1"/>
  <c r="M123" i="111" s="1"/>
  <c r="M124" i="111" s="1"/>
  <c r="M125" i="111" s="1"/>
  <c r="M126" i="111" s="1"/>
  <c r="M127" i="111" s="1"/>
  <c r="M128" i="111" s="1"/>
  <c r="M129" i="111" s="1"/>
  <c r="M130" i="111" s="1"/>
  <c r="Q71" i="119"/>
  <c r="Q109" i="119"/>
  <c r="Q102" i="119"/>
  <c r="Q66" i="119"/>
  <c r="Q80" i="119"/>
  <c r="Q74" i="119"/>
  <c r="Q86" i="119"/>
  <c r="Q95" i="119"/>
  <c r="Q107" i="119"/>
  <c r="Q36" i="119"/>
  <c r="Q101" i="119"/>
  <c r="Q73" i="119"/>
  <c r="Q126" i="119"/>
  <c r="Q67" i="119"/>
  <c r="Q87" i="119"/>
  <c r="Q119" i="119"/>
  <c r="Q84" i="119"/>
  <c r="Q46" i="119"/>
  <c r="Q64" i="119"/>
  <c r="Q98" i="119"/>
  <c r="Q114" i="119"/>
  <c r="Q39" i="119"/>
  <c r="Q40" i="119"/>
  <c r="Q105" i="119"/>
  <c r="Q120" i="119"/>
  <c r="Q70" i="119"/>
  <c r="Q51" i="119"/>
  <c r="Q85" i="119"/>
  <c r="Q115" i="119"/>
  <c r="Q69" i="119"/>
  <c r="Q112" i="119"/>
  <c r="Q92" i="119"/>
  <c r="Q127" i="119"/>
  <c r="Q77" i="119"/>
  <c r="Q41" i="119"/>
  <c r="Q79" i="119"/>
  <c r="Q89" i="119"/>
  <c r="Q68" i="119"/>
  <c r="Q76" i="119"/>
  <c r="Q48" i="119"/>
  <c r="Q100" i="119"/>
  <c r="Q60" i="119"/>
  <c r="Q47" i="119"/>
  <c r="Q49" i="119"/>
  <c r="Q52" i="119"/>
  <c r="Q123" i="119"/>
  <c r="Q99" i="119"/>
  <c r="Q103" i="119"/>
  <c r="Q65" i="119"/>
  <c r="Q78" i="119"/>
  <c r="Q117" i="119"/>
  <c r="Q35" i="119"/>
  <c r="Q111" i="119"/>
  <c r="Q96" i="119"/>
  <c r="Q57" i="119"/>
  <c r="Q81" i="119"/>
  <c r="Q110" i="119"/>
  <c r="Q50" i="119"/>
  <c r="Q42" i="119"/>
  <c r="Q113" i="119"/>
  <c r="Q129" i="119"/>
  <c r="Q56" i="119"/>
  <c r="Q118" i="119"/>
  <c r="Q121" i="119"/>
  <c r="Q88" i="119"/>
  <c r="Q62" i="119"/>
  <c r="Q122" i="119"/>
  <c r="Q43" i="119"/>
  <c r="Q54" i="119"/>
  <c r="Q90" i="119"/>
  <c r="Q128" i="119"/>
  <c r="Q108" i="119"/>
  <c r="Q61" i="119"/>
  <c r="Q72" i="119"/>
  <c r="Q55" i="119"/>
  <c r="Q45" i="119"/>
  <c r="Q97" i="119"/>
  <c r="Q58" i="119"/>
  <c r="Q34" i="119"/>
  <c r="Q53" i="119"/>
  <c r="Q91" i="119"/>
  <c r="Q93" i="119"/>
  <c r="Q63" i="119"/>
  <c r="Q94" i="119"/>
  <c r="Q37" i="119"/>
  <c r="Q83" i="119"/>
  <c r="Q59" i="119"/>
  <c r="Q104" i="119"/>
  <c r="Q38" i="119"/>
  <c r="Q75" i="119"/>
  <c r="Q124" i="119"/>
  <c r="Q116" i="119"/>
  <c r="Q44" i="119"/>
  <c r="Q125" i="119"/>
  <c r="Q82" i="119"/>
  <c r="Q106" i="119"/>
  <c r="Q29" i="15"/>
  <c r="Q121" i="101"/>
  <c r="Q57" i="101"/>
  <c r="Q60" i="101"/>
  <c r="Q56" i="101"/>
  <c r="Q39" i="101"/>
  <c r="Q49" i="101"/>
  <c r="Q70" i="101"/>
  <c r="Q114" i="101"/>
  <c r="Q41" i="101"/>
  <c r="Q84" i="101"/>
  <c r="Q81" i="101"/>
  <c r="Q124" i="101"/>
  <c r="Q43" i="101"/>
  <c r="Q103" i="101"/>
  <c r="Q35" i="101"/>
  <c r="Q110" i="101"/>
  <c r="Q116" i="101"/>
  <c r="Q62" i="101"/>
  <c r="Q45" i="101"/>
  <c r="Q69" i="101"/>
  <c r="Q102" i="101"/>
  <c r="Q101" i="101"/>
  <c r="Q112" i="101"/>
  <c r="Q46" i="101"/>
  <c r="Q51" i="101"/>
  <c r="Q50" i="101"/>
  <c r="Q125" i="101"/>
  <c r="Q98" i="101"/>
  <c r="Q58" i="101"/>
  <c r="Q122" i="101"/>
  <c r="Q61" i="101"/>
  <c r="Q71" i="101"/>
  <c r="Q34" i="101"/>
  <c r="M34" i="101" s="1"/>
  <c r="Q109" i="101"/>
  <c r="Q74" i="101"/>
  <c r="Q115" i="101"/>
  <c r="Q66" i="101"/>
  <c r="Q120" i="101"/>
  <c r="Q72" i="101"/>
  <c r="Q128" i="101"/>
  <c r="Q117" i="101"/>
  <c r="Q59" i="101"/>
  <c r="Q89" i="101"/>
  <c r="Q106" i="101"/>
  <c r="Q68" i="101"/>
  <c r="Q82" i="101"/>
  <c r="Q83" i="101"/>
  <c r="Q64" i="101"/>
  <c r="Q85" i="101"/>
  <c r="Q87" i="101"/>
  <c r="Q78" i="101"/>
  <c r="Q91" i="101"/>
  <c r="Q63" i="101"/>
  <c r="Q95" i="101"/>
  <c r="Q77" i="101"/>
  <c r="Q80" i="101"/>
  <c r="Q118" i="101"/>
  <c r="Q75" i="101"/>
  <c r="Q107" i="101"/>
  <c r="Q111" i="101"/>
  <c r="Q123" i="101"/>
  <c r="Q129" i="101"/>
  <c r="Q88" i="101"/>
  <c r="Q54" i="101"/>
  <c r="Q76" i="101"/>
  <c r="Q127" i="101"/>
  <c r="Q108" i="101"/>
  <c r="Q40" i="101"/>
  <c r="Q90" i="101"/>
  <c r="Q67" i="101"/>
  <c r="Q73" i="101"/>
  <c r="Q48" i="101"/>
  <c r="Q100" i="101"/>
  <c r="Q36" i="101"/>
  <c r="Q105" i="101"/>
  <c r="Q92" i="101"/>
  <c r="Q94" i="101"/>
  <c r="Q53" i="101"/>
  <c r="Q79" i="101"/>
  <c r="Q65" i="101"/>
  <c r="Q99" i="101"/>
  <c r="Q42" i="101"/>
  <c r="Q126" i="101"/>
  <c r="Q86" i="101"/>
  <c r="Q104" i="101"/>
  <c r="Q44" i="101"/>
  <c r="Q96" i="101"/>
  <c r="Q113" i="101"/>
  <c r="Q93" i="101"/>
  <c r="Q47" i="101"/>
  <c r="Q119" i="101"/>
  <c r="Q38" i="101"/>
  <c r="Q52" i="101"/>
  <c r="Q55" i="101"/>
  <c r="Q37" i="101"/>
  <c r="Q97" i="101"/>
  <c r="Q102" i="102"/>
  <c r="Q92" i="102"/>
  <c r="Q110" i="102"/>
  <c r="Q73" i="102"/>
  <c r="Q109" i="102"/>
  <c r="Q89" i="102"/>
  <c r="Q122" i="102"/>
  <c r="Q56" i="102"/>
  <c r="Q108" i="102"/>
  <c r="Q35" i="102"/>
  <c r="Q121" i="102"/>
  <c r="Q128" i="102"/>
  <c r="Q67" i="102"/>
  <c r="Q115" i="102"/>
  <c r="Q88" i="102"/>
  <c r="Q127" i="102"/>
  <c r="Q104" i="102"/>
  <c r="Q60" i="102"/>
  <c r="Q97" i="102"/>
  <c r="Q100" i="102"/>
  <c r="Q58" i="102"/>
  <c r="Q91" i="102"/>
  <c r="Q65" i="102"/>
  <c r="Q75" i="102"/>
  <c r="Q78" i="102"/>
  <c r="Q118" i="102"/>
  <c r="Q95" i="102"/>
  <c r="Q101" i="102"/>
  <c r="Q40" i="102"/>
  <c r="Q55" i="102"/>
  <c r="Q86" i="102"/>
  <c r="Q72" i="102"/>
  <c r="Q50" i="102"/>
  <c r="Q124" i="102"/>
  <c r="Q87" i="102"/>
  <c r="Q120" i="102"/>
  <c r="Q34" i="102"/>
  <c r="Q42" i="102"/>
  <c r="Q61" i="102"/>
  <c r="Q43" i="102"/>
  <c r="Q98" i="102"/>
  <c r="Q52" i="102"/>
  <c r="Q36" i="102"/>
  <c r="Q39" i="102"/>
  <c r="Q123" i="102"/>
  <c r="Q76" i="102"/>
  <c r="Q83" i="102"/>
  <c r="Q63" i="102"/>
  <c r="Q47" i="102"/>
  <c r="Q105" i="102"/>
  <c r="Q71" i="102"/>
  <c r="Q48" i="102"/>
  <c r="Q45" i="102"/>
  <c r="Q66" i="102"/>
  <c r="Q107" i="102"/>
  <c r="Q44" i="102"/>
  <c r="Q82" i="102"/>
  <c r="Q81" i="102"/>
  <c r="Q126" i="102"/>
  <c r="Q113" i="102"/>
  <c r="Q111" i="102"/>
  <c r="Q96" i="102"/>
  <c r="Q80" i="102"/>
  <c r="Q51" i="102"/>
  <c r="Q84" i="102"/>
  <c r="Q62" i="102"/>
  <c r="Q74" i="102"/>
  <c r="Q119" i="102"/>
  <c r="Q106" i="102"/>
  <c r="Q46" i="102"/>
  <c r="Q38" i="102"/>
  <c r="Q93" i="102"/>
  <c r="Q69" i="102"/>
  <c r="Q103" i="102"/>
  <c r="Q85" i="102"/>
  <c r="Q68" i="102"/>
  <c r="Q41" i="102"/>
  <c r="Q112" i="102"/>
  <c r="Q70" i="102"/>
  <c r="Q54" i="102"/>
  <c r="Q94" i="102"/>
  <c r="Q129" i="102"/>
  <c r="Q57" i="102"/>
  <c r="Q59" i="102"/>
  <c r="Q90" i="102"/>
  <c r="Q117" i="102"/>
  <c r="Q79" i="102"/>
  <c r="Q116" i="102"/>
  <c r="Q37" i="102"/>
  <c r="Q77" i="102"/>
  <c r="Q125" i="102"/>
  <c r="Q49" i="102"/>
  <c r="Q53" i="102"/>
  <c r="Q114" i="102"/>
  <c r="Q99" i="102"/>
  <c r="Q64" i="102"/>
  <c r="N29" i="15"/>
  <c r="P29" i="15"/>
  <c r="M29" i="15"/>
  <c r="Q58" i="98"/>
  <c r="Q96" i="98"/>
  <c r="Q108" i="98"/>
  <c r="Q95" i="98"/>
  <c r="Q112" i="98"/>
  <c r="Q59" i="98"/>
  <c r="Q91" i="98"/>
  <c r="Q40" i="98"/>
  <c r="Q100" i="98"/>
  <c r="Q63" i="98"/>
  <c r="Q128" i="98"/>
  <c r="Q67" i="98"/>
  <c r="Q45" i="98"/>
  <c r="Q81" i="98"/>
  <c r="Q103" i="98"/>
  <c r="Q121" i="98"/>
  <c r="Q98" i="98"/>
  <c r="Q109" i="98"/>
  <c r="Q73" i="98"/>
  <c r="Q56" i="98"/>
  <c r="Q52" i="98"/>
  <c r="Q116" i="98"/>
  <c r="Q61" i="98"/>
  <c r="Q36" i="98"/>
  <c r="Q92" i="98"/>
  <c r="Q74" i="98"/>
  <c r="Q87" i="98"/>
  <c r="Q53" i="98"/>
  <c r="Q70" i="98"/>
  <c r="Q93" i="98"/>
  <c r="Q122" i="98"/>
  <c r="Q105" i="98"/>
  <c r="Q77" i="98"/>
  <c r="Q47" i="98"/>
  <c r="Q54" i="98"/>
  <c r="Q119" i="98"/>
  <c r="Q83" i="98"/>
  <c r="Q118" i="98"/>
  <c r="Q50" i="98"/>
  <c r="Q39" i="98"/>
  <c r="Q78" i="98"/>
  <c r="Q111" i="98"/>
  <c r="Q115" i="98"/>
  <c r="Q48" i="98"/>
  <c r="Q107" i="98"/>
  <c r="Q68" i="98"/>
  <c r="Q37" i="98"/>
  <c r="Q42" i="98"/>
  <c r="Q43" i="98"/>
  <c r="Q66" i="98"/>
  <c r="Q35" i="98"/>
  <c r="Q129" i="98"/>
  <c r="Q89" i="98"/>
  <c r="Q51" i="98"/>
  <c r="Q38" i="98"/>
  <c r="Q49" i="98"/>
  <c r="Q101" i="98"/>
  <c r="Q97" i="98"/>
  <c r="Q117" i="98"/>
  <c r="Q90" i="98"/>
  <c r="Q126" i="98"/>
  <c r="Q123" i="98"/>
  <c r="Q46" i="98"/>
  <c r="Q84" i="98"/>
  <c r="Q57" i="98"/>
  <c r="Q55" i="98"/>
  <c r="Q34" i="98"/>
  <c r="Q127" i="98"/>
  <c r="Q82" i="98"/>
  <c r="Q65" i="98"/>
  <c r="Q72" i="98"/>
  <c r="Q69" i="98"/>
  <c r="Q113" i="98"/>
  <c r="Q85" i="98"/>
  <c r="Q62" i="98"/>
  <c r="Q41" i="98"/>
  <c r="Q60" i="98"/>
  <c r="Q125" i="98"/>
  <c r="Q120" i="98"/>
  <c r="Q99" i="98"/>
  <c r="Q71" i="98"/>
  <c r="Q106" i="98"/>
  <c r="Q86" i="98"/>
  <c r="Q75" i="98"/>
  <c r="Q64" i="98"/>
  <c r="Q114" i="98"/>
  <c r="Q44" i="98"/>
  <c r="Q79" i="98"/>
  <c r="Q88" i="98"/>
  <c r="Q76" i="98"/>
  <c r="Q102" i="98"/>
  <c r="Q104" i="98"/>
  <c r="Q110" i="98"/>
  <c r="Q124" i="98"/>
  <c r="Q94" i="98"/>
  <c r="Q80" i="98"/>
  <c r="Q79" i="99"/>
  <c r="Q112" i="99"/>
  <c r="Q108" i="99"/>
  <c r="Q102" i="99"/>
  <c r="Q88" i="99"/>
  <c r="Q73" i="99"/>
  <c r="Q128" i="99"/>
  <c r="Q70" i="99"/>
  <c r="Q121" i="99"/>
  <c r="Q117" i="99"/>
  <c r="Q60" i="99"/>
  <c r="Q48" i="99"/>
  <c r="Q87" i="99"/>
  <c r="Q47" i="99"/>
  <c r="Q99" i="99"/>
  <c r="Q89" i="99"/>
  <c r="Q80" i="99"/>
  <c r="Q113" i="99"/>
  <c r="Q127" i="99"/>
  <c r="Q77" i="99"/>
  <c r="Q45" i="99"/>
  <c r="Q122" i="99"/>
  <c r="Q116" i="99"/>
  <c r="Q57" i="99"/>
  <c r="Q84" i="99"/>
  <c r="Q59" i="99"/>
  <c r="Q82" i="99"/>
  <c r="Q71" i="99"/>
  <c r="Q76" i="99"/>
  <c r="Q68" i="99"/>
  <c r="Q41" i="99"/>
  <c r="Q67" i="99"/>
  <c r="Q85" i="99"/>
  <c r="Q52" i="99"/>
  <c r="Q101" i="99"/>
  <c r="Q42" i="99"/>
  <c r="Q115" i="99"/>
  <c r="Q58" i="99"/>
  <c r="Q75" i="99"/>
  <c r="Q74" i="99"/>
  <c r="Q78" i="99"/>
  <c r="Q49" i="99"/>
  <c r="Q96" i="99"/>
  <c r="Q110" i="99"/>
  <c r="Q106" i="99"/>
  <c r="Q44" i="99"/>
  <c r="Q81" i="99"/>
  <c r="Q53" i="99"/>
  <c r="Q126" i="99"/>
  <c r="Q90" i="99"/>
  <c r="Q104" i="99"/>
  <c r="Q65" i="99"/>
  <c r="Q118" i="99"/>
  <c r="Q114" i="99"/>
  <c r="Q63" i="99"/>
  <c r="Q86" i="99"/>
  <c r="Q39" i="99"/>
  <c r="Q129" i="99"/>
  <c r="Q46" i="99"/>
  <c r="Q83" i="99"/>
  <c r="Q120" i="99"/>
  <c r="Q95" i="99"/>
  <c r="Q43" i="99"/>
  <c r="Q107" i="99"/>
  <c r="Q34" i="99"/>
  <c r="M34" i="99" s="1"/>
  <c r="Q92" i="99"/>
  <c r="Q109" i="99"/>
  <c r="Q40" i="99"/>
  <c r="Q105" i="99"/>
  <c r="Q35" i="99"/>
  <c r="Q66" i="99"/>
  <c r="Q91" i="99"/>
  <c r="Q50" i="99"/>
  <c r="Q125" i="99"/>
  <c r="Q124" i="99"/>
  <c r="Q64" i="99"/>
  <c r="Q100" i="99"/>
  <c r="Q72" i="99"/>
  <c r="Q94" i="99"/>
  <c r="Q61" i="99"/>
  <c r="Q123" i="99"/>
  <c r="Q97" i="99"/>
  <c r="Q38" i="99"/>
  <c r="Q54" i="99"/>
  <c r="Q93" i="99"/>
  <c r="Q36" i="99"/>
  <c r="Q119" i="99"/>
  <c r="Q37" i="99"/>
  <c r="Q111" i="99"/>
  <c r="Q62" i="99"/>
  <c r="Q98" i="99"/>
  <c r="Q56" i="99"/>
  <c r="Q69" i="99"/>
  <c r="Q55" i="99"/>
  <c r="Q51" i="99"/>
  <c r="Q103" i="99"/>
  <c r="Q34" i="103"/>
  <c r="Q104" i="103"/>
  <c r="Q39" i="103"/>
  <c r="Q70" i="103"/>
  <c r="Q103" i="103"/>
  <c r="Q117" i="103"/>
  <c r="Q101" i="103"/>
  <c r="Q113" i="103"/>
  <c r="Q92" i="103"/>
  <c r="Q86" i="103"/>
  <c r="Q81" i="103"/>
  <c r="Q52" i="103"/>
  <c r="Q121" i="103"/>
  <c r="Q96" i="103"/>
  <c r="Q100" i="103"/>
  <c r="Q65" i="103"/>
  <c r="Q42" i="103"/>
  <c r="Q82" i="103"/>
  <c r="Q74" i="103"/>
  <c r="Q44" i="103"/>
  <c r="Q119" i="103"/>
  <c r="Q49" i="103"/>
  <c r="Q78" i="103"/>
  <c r="Q116" i="103"/>
  <c r="Q68" i="103"/>
  <c r="Q84" i="103"/>
  <c r="Q87" i="103"/>
  <c r="Q62" i="103"/>
  <c r="Q80" i="103"/>
  <c r="Q94" i="103"/>
  <c r="Q66" i="103"/>
  <c r="Q120" i="103"/>
  <c r="Q98" i="103"/>
  <c r="Q53" i="103"/>
  <c r="Q123" i="103"/>
  <c r="Q128" i="103"/>
  <c r="Q115" i="103"/>
  <c r="Q110" i="103"/>
  <c r="Q54" i="103"/>
  <c r="Q124" i="103"/>
  <c r="Q58" i="103"/>
  <c r="Q75" i="103"/>
  <c r="Q91" i="103"/>
  <c r="Q37" i="103"/>
  <c r="Q71" i="103"/>
  <c r="Q38" i="103"/>
  <c r="Q43" i="103"/>
  <c r="Q50" i="103"/>
  <c r="Q35" i="103"/>
  <c r="Q56" i="103"/>
  <c r="Q47" i="103"/>
  <c r="Q99" i="103"/>
  <c r="Q129" i="103"/>
  <c r="Q118" i="103"/>
  <c r="Q64" i="103"/>
  <c r="Q60" i="103"/>
  <c r="Q36" i="103"/>
  <c r="Q76" i="103"/>
  <c r="Q69" i="103"/>
  <c r="Q41" i="103"/>
  <c r="Q48" i="103"/>
  <c r="Q126" i="103"/>
  <c r="Q67" i="103"/>
  <c r="Q109" i="103"/>
  <c r="Q85" i="103"/>
  <c r="Q88" i="103"/>
  <c r="Q108" i="103"/>
  <c r="Q40" i="103"/>
  <c r="Q107" i="103"/>
  <c r="Q46" i="103"/>
  <c r="Q83" i="103"/>
  <c r="Q112" i="103"/>
  <c r="Q125" i="103"/>
  <c r="Q73" i="103"/>
  <c r="Q77" i="103"/>
  <c r="Q51" i="103"/>
  <c r="Q79" i="103"/>
  <c r="Q97" i="103"/>
  <c r="Q55" i="103"/>
  <c r="Q105" i="103"/>
  <c r="Q57" i="103"/>
  <c r="Q59" i="103"/>
  <c r="Q127" i="103"/>
  <c r="Q122" i="103"/>
  <c r="Q102" i="103"/>
  <c r="Q61" i="103"/>
  <c r="Q45" i="103"/>
  <c r="Q63" i="103"/>
  <c r="Q72" i="103"/>
  <c r="Q93" i="103"/>
  <c r="Q95" i="103"/>
  <c r="Q111" i="103"/>
  <c r="Q114" i="103"/>
  <c r="Q89" i="103"/>
  <c r="Q106" i="103"/>
  <c r="Q90" i="103"/>
  <c r="Z42" i="105"/>
  <c r="Z80" i="106"/>
  <c r="Q70" i="106"/>
  <c r="Q45" i="106"/>
  <c r="Z39" i="106"/>
  <c r="Q113" i="106"/>
  <c r="Z53" i="106"/>
  <c r="Q111" i="106"/>
  <c r="Z47" i="106"/>
  <c r="Q89" i="106"/>
  <c r="Z48" i="106"/>
  <c r="Z76" i="106"/>
  <c r="Q112" i="106"/>
  <c r="Z38" i="106"/>
  <c r="Q82" i="106"/>
  <c r="Q61" i="106"/>
  <c r="Z46" i="106"/>
  <c r="Q72" i="106"/>
  <c r="Q87" i="106"/>
  <c r="Z51" i="106"/>
  <c r="Q114" i="106"/>
  <c r="Q128" i="106"/>
  <c r="Q103" i="106"/>
  <c r="Z81" i="106"/>
  <c r="Q109" i="106"/>
  <c r="Q51" i="106"/>
  <c r="Z60" i="106"/>
  <c r="Q85" i="106"/>
  <c r="Q121" i="106"/>
  <c r="Z40" i="106"/>
  <c r="Q91" i="106"/>
  <c r="Q55" i="106"/>
  <c r="Q68" i="106"/>
  <c r="Q79" i="106"/>
  <c r="Q42" i="106"/>
  <c r="Q43" i="106"/>
  <c r="Z71" i="106"/>
  <c r="Z54" i="106"/>
  <c r="Z57" i="106"/>
  <c r="Q75" i="106"/>
  <c r="Q95" i="106"/>
  <c r="Q59" i="106"/>
  <c r="Z62" i="106"/>
  <c r="Q60" i="106"/>
  <c r="Q126" i="106"/>
  <c r="Q56" i="106"/>
  <c r="Q96" i="106"/>
  <c r="Q110" i="106"/>
  <c r="Q115" i="106"/>
  <c r="Q101" i="106"/>
  <c r="Q119" i="106"/>
  <c r="Z70" i="106"/>
  <c r="Q124" i="106"/>
  <c r="Z78" i="106"/>
  <c r="Q69" i="106"/>
  <c r="Q35" i="106"/>
  <c r="Q73" i="106"/>
  <c r="Q62" i="106"/>
  <c r="Z68" i="106"/>
  <c r="Q125" i="106"/>
  <c r="Q104" i="106"/>
  <c r="Q84" i="106"/>
  <c r="Q39" i="106"/>
  <c r="Q120" i="106"/>
  <c r="Q49" i="106"/>
  <c r="Q47" i="106"/>
  <c r="Z34" i="106"/>
  <c r="Z63" i="106"/>
  <c r="Q105" i="106"/>
  <c r="Q67" i="106"/>
  <c r="Q92" i="106"/>
  <c r="Q100" i="106"/>
  <c r="Z59" i="106"/>
  <c r="Z43" i="106"/>
  <c r="Q48" i="106"/>
  <c r="Z75" i="106"/>
  <c r="Q57" i="106"/>
  <c r="Q50" i="106"/>
  <c r="Z77" i="106"/>
  <c r="Q116" i="106"/>
  <c r="Q54" i="106"/>
  <c r="Q99" i="106"/>
  <c r="Z49" i="106"/>
  <c r="Z44" i="106"/>
  <c r="Z58" i="106"/>
  <c r="Q63" i="106"/>
  <c r="Q97" i="106"/>
  <c r="Z69" i="106"/>
  <c r="Q78" i="106"/>
  <c r="Q81" i="106"/>
  <c r="Q71" i="106"/>
  <c r="Q76" i="106"/>
  <c r="Z73" i="106"/>
  <c r="Z72" i="106"/>
  <c r="Q38" i="106"/>
  <c r="Z67" i="106"/>
  <c r="Z66" i="106"/>
  <c r="Z35" i="106"/>
  <c r="Q88" i="106"/>
  <c r="Q66" i="106"/>
  <c r="Q118" i="106"/>
  <c r="Q77" i="106"/>
  <c r="Q123" i="106"/>
  <c r="Q107" i="106"/>
  <c r="Q41" i="106"/>
  <c r="Z41" i="106"/>
  <c r="Z64" i="106"/>
  <c r="Q37" i="106"/>
  <c r="Q108" i="106"/>
  <c r="Z52" i="106"/>
  <c r="Q74" i="106"/>
  <c r="Q58" i="106"/>
  <c r="Q93" i="106"/>
  <c r="Q122" i="106"/>
  <c r="Z45" i="106"/>
  <c r="Z65" i="106"/>
  <c r="Q98" i="106"/>
  <c r="Q64" i="106"/>
  <c r="Q94" i="106"/>
  <c r="Q80" i="106"/>
  <c r="Q102" i="106"/>
  <c r="Z37" i="106"/>
  <c r="Z61" i="106"/>
  <c r="Z36" i="106"/>
  <c r="Z56" i="106"/>
  <c r="Q53" i="106"/>
  <c r="Z74" i="106"/>
  <c r="Q40" i="106"/>
  <c r="Q46" i="106"/>
  <c r="Q36" i="106"/>
  <c r="Q86" i="106"/>
  <c r="Z50" i="106"/>
  <c r="Q52" i="106"/>
  <c r="Q106" i="106"/>
  <c r="Q34" i="106"/>
  <c r="Z79" i="106"/>
  <c r="Q127" i="106"/>
  <c r="Z42" i="106"/>
  <c r="Q90" i="106"/>
  <c r="Z55" i="106"/>
  <c r="Q83" i="106"/>
  <c r="Q44" i="106"/>
  <c r="Q129" i="106"/>
  <c r="Q117" i="106"/>
  <c r="Q65" i="106"/>
  <c r="K7" i="105"/>
  <c r="Q102" i="105"/>
  <c r="Q68" i="105"/>
  <c r="Q119" i="105"/>
  <c r="Z69" i="105"/>
  <c r="Q96" i="105"/>
  <c r="Q90" i="105"/>
  <c r="Z61" i="105"/>
  <c r="Q54" i="105"/>
  <c r="Q110" i="105"/>
  <c r="Q60" i="105"/>
  <c r="Q61" i="105"/>
  <c r="Q117" i="105"/>
  <c r="Q99" i="105"/>
  <c r="Z65" i="105"/>
  <c r="Q45" i="105"/>
  <c r="Q67" i="105"/>
  <c r="Q103" i="105"/>
  <c r="Z74" i="105"/>
  <c r="Q42" i="105"/>
  <c r="Q40" i="105"/>
  <c r="Z50" i="105"/>
  <c r="Q41" i="105"/>
  <c r="Z39" i="105"/>
  <c r="Z46" i="105"/>
  <c r="Q111" i="105"/>
  <c r="Z54" i="105"/>
  <c r="Q71" i="105"/>
  <c r="Q35" i="105"/>
  <c r="Q43" i="105"/>
  <c r="Z57" i="105"/>
  <c r="Z73" i="105"/>
  <c r="Q123" i="105"/>
  <c r="Z72" i="105"/>
  <c r="Q98" i="105"/>
  <c r="Q47" i="105"/>
  <c r="Z48" i="105"/>
  <c r="Q70" i="105"/>
  <c r="Q104" i="105"/>
  <c r="Q74" i="105"/>
  <c r="Q113" i="105"/>
  <c r="Z38" i="105"/>
  <c r="Q91" i="105"/>
  <c r="Q124" i="105"/>
  <c r="Q105" i="105"/>
  <c r="Q83" i="105"/>
  <c r="Q66" i="105"/>
  <c r="Q39" i="105"/>
  <c r="Z71" i="105"/>
  <c r="Z79" i="105"/>
  <c r="Q106" i="105"/>
  <c r="Q116" i="105"/>
  <c r="Z63" i="105"/>
  <c r="Q129" i="105"/>
  <c r="Q80" i="105"/>
  <c r="Q51" i="105"/>
  <c r="Z41" i="105"/>
  <c r="Q73" i="105"/>
  <c r="Q93" i="105"/>
  <c r="Z80" i="105"/>
  <c r="Q56" i="105"/>
  <c r="Z66" i="105"/>
  <c r="Q34" i="105"/>
  <c r="Q82" i="105"/>
  <c r="Q49" i="105"/>
  <c r="Q48" i="105"/>
  <c r="Q36" i="105"/>
  <c r="Z70" i="105"/>
  <c r="Z45" i="105"/>
  <c r="Z64" i="105"/>
  <c r="Z56" i="105"/>
  <c r="Z47" i="105"/>
  <c r="Q44" i="105"/>
  <c r="Q122" i="105"/>
  <c r="Q64" i="105"/>
  <c r="Q118" i="105"/>
  <c r="Z68" i="105"/>
  <c r="Q46" i="105"/>
  <c r="Z35" i="105"/>
  <c r="Z44" i="105"/>
  <c r="Q72" i="105"/>
  <c r="Q62" i="105"/>
  <c r="Z59" i="105"/>
  <c r="Q121" i="105"/>
  <c r="Z51" i="105"/>
  <c r="Q58" i="105"/>
  <c r="Q77" i="105"/>
  <c r="Z52" i="105"/>
  <c r="Q125" i="105"/>
  <c r="Q94" i="105"/>
  <c r="Q69" i="105"/>
  <c r="Q112" i="105"/>
  <c r="Z37" i="105"/>
  <c r="Z67" i="105"/>
  <c r="Q59" i="105"/>
  <c r="Q88" i="105"/>
  <c r="Q114" i="105"/>
  <c r="Z75" i="105"/>
  <c r="Q76" i="105"/>
  <c r="Q84" i="105"/>
  <c r="Q108" i="105"/>
  <c r="Q53" i="105"/>
  <c r="Q55" i="105"/>
  <c r="Z49" i="105"/>
  <c r="Z78" i="105"/>
  <c r="Z34" i="105"/>
  <c r="Q126" i="105"/>
  <c r="Q63" i="105"/>
  <c r="Q95" i="105"/>
  <c r="Q57" i="105"/>
  <c r="Q86" i="105"/>
  <c r="Q107" i="105"/>
  <c r="Z62" i="105"/>
  <c r="Q79" i="105"/>
  <c r="Q85" i="105"/>
  <c r="Z55" i="105"/>
  <c r="Q87" i="105"/>
  <c r="Q120" i="105"/>
  <c r="Z36" i="105"/>
  <c r="Z60" i="105"/>
  <c r="Q100" i="105"/>
  <c r="Q101" i="105"/>
  <c r="Z43" i="105"/>
  <c r="Z81" i="105"/>
  <c r="Z58" i="105"/>
  <c r="Q65" i="105"/>
  <c r="Q92" i="105"/>
  <c r="Q81" i="105"/>
  <c r="Q38" i="105"/>
  <c r="Q89" i="105"/>
  <c r="Z53" i="105"/>
  <c r="Q128" i="105"/>
  <c r="Q75" i="105"/>
  <c r="Q37" i="105"/>
  <c r="Z76" i="105"/>
  <c r="Q50" i="105"/>
  <c r="Q52" i="105"/>
  <c r="Q109" i="105"/>
  <c r="Q127" i="105"/>
  <c r="Q115" i="105"/>
  <c r="Z40" i="105"/>
  <c r="Z77" i="105"/>
  <c r="Q97" i="105"/>
  <c r="Q78" i="105"/>
  <c r="Q119" i="95"/>
  <c r="Q57" i="95"/>
  <c r="Q110" i="95"/>
  <c r="Q60" i="95"/>
  <c r="Q77" i="95"/>
  <c r="Q114" i="95"/>
  <c r="Q62" i="95"/>
  <c r="Q40" i="95"/>
  <c r="Q49" i="95"/>
  <c r="Q65" i="95"/>
  <c r="Q101" i="95"/>
  <c r="Q42" i="95"/>
  <c r="Q105" i="95"/>
  <c r="Q116" i="95"/>
  <c r="Q122" i="95"/>
  <c r="Q81" i="95"/>
  <c r="Q93" i="95"/>
  <c r="Q37" i="95"/>
  <c r="Q88" i="95"/>
  <c r="Q73" i="95"/>
  <c r="Q63" i="95"/>
  <c r="Q102" i="95"/>
  <c r="Q107" i="95"/>
  <c r="Q86" i="95"/>
  <c r="Q96" i="95"/>
  <c r="Q52" i="95"/>
  <c r="Q48" i="95"/>
  <c r="Q100" i="95"/>
  <c r="Q111" i="95"/>
  <c r="Q78" i="95"/>
  <c r="Q70" i="95"/>
  <c r="Q71" i="95"/>
  <c r="Q104" i="95"/>
  <c r="Q97" i="95"/>
  <c r="Q80" i="95"/>
  <c r="Q39" i="95"/>
  <c r="Q47" i="95"/>
  <c r="Q59" i="95"/>
  <c r="Q84" i="95"/>
  <c r="Q54" i="95"/>
  <c r="Q41" i="95"/>
  <c r="Q45" i="95"/>
  <c r="Q117" i="95"/>
  <c r="Q89" i="95"/>
  <c r="Q56" i="95"/>
  <c r="Q112" i="95"/>
  <c r="Q87" i="95"/>
  <c r="Q108" i="95"/>
  <c r="Q91" i="95"/>
  <c r="Q69" i="95"/>
  <c r="Q35" i="95"/>
  <c r="Q123" i="95"/>
  <c r="Q103" i="95"/>
  <c r="Q50" i="95"/>
  <c r="Q128" i="95"/>
  <c r="Q90" i="95"/>
  <c r="Q68" i="95"/>
  <c r="Q94" i="95"/>
  <c r="Q61" i="95"/>
  <c r="Q98" i="95"/>
  <c r="Q99" i="95"/>
  <c r="Q129" i="95"/>
  <c r="Q43" i="95"/>
  <c r="Q82" i="95"/>
  <c r="Q95" i="95"/>
  <c r="Q113" i="95"/>
  <c r="Q72" i="95"/>
  <c r="Q66" i="95"/>
  <c r="Q55" i="95"/>
  <c r="Q75" i="95"/>
  <c r="Q64" i="95"/>
  <c r="Q126" i="95"/>
  <c r="Q34" i="95"/>
  <c r="M34" i="95" s="1"/>
  <c r="Q115" i="95"/>
  <c r="Q46" i="95"/>
  <c r="Q109" i="95"/>
  <c r="Q120" i="95"/>
  <c r="Q83" i="95"/>
  <c r="Q121" i="95"/>
  <c r="Q36" i="95"/>
  <c r="Q76" i="95"/>
  <c r="Q38" i="95"/>
  <c r="Q124" i="95"/>
  <c r="Q58" i="95"/>
  <c r="Q85" i="95"/>
  <c r="Q127" i="95"/>
  <c r="Q51" i="95"/>
  <c r="Q125" i="95"/>
  <c r="Q106" i="95"/>
  <c r="K7" i="95"/>
  <c r="Q53" i="95"/>
  <c r="Q118" i="95"/>
  <c r="Q74" i="95"/>
  <c r="Q92" i="95"/>
  <c r="Q79" i="95"/>
  <c r="Q44" i="95"/>
  <c r="K29" i="15"/>
  <c r="J29" i="15"/>
  <c r="G29" i="15"/>
  <c r="H29" i="15"/>
  <c r="D29" i="15"/>
  <c r="E29" i="15"/>
  <c r="R68" i="15"/>
  <c r="R75" i="15"/>
  <c r="R76" i="15"/>
  <c r="R67" i="15"/>
  <c r="Y20" i="15"/>
  <c r="Y21" i="15"/>
  <c r="AA20" i="15"/>
  <c r="AA21" i="15"/>
  <c r="Y22" i="15" a="1"/>
  <c r="AA22" i="15" a="1"/>
  <c r="M35" i="121" l="1"/>
  <c r="V35" i="121"/>
  <c r="V36" i="121" s="1"/>
  <c r="V37" i="121" s="1"/>
  <c r="V38" i="121" s="1"/>
  <c r="V39" i="121" s="1"/>
  <c r="V40" i="121" s="1"/>
  <c r="V41" i="121" s="1"/>
  <c r="V42" i="121" s="1"/>
  <c r="V43" i="121" s="1"/>
  <c r="V44" i="121" s="1"/>
  <c r="V45" i="121" s="1"/>
  <c r="V46" i="121" s="1"/>
  <c r="V47" i="121" s="1"/>
  <c r="V48" i="121" s="1"/>
  <c r="V49" i="121" s="1"/>
  <c r="V50" i="121" s="1"/>
  <c r="V51" i="121" s="1"/>
  <c r="V52" i="121" s="1"/>
  <c r="V53" i="121" s="1"/>
  <c r="V54" i="121" s="1"/>
  <c r="V55" i="121" s="1"/>
  <c r="V56" i="121" s="1"/>
  <c r="V57" i="121" s="1"/>
  <c r="V58" i="121" s="1"/>
  <c r="V59" i="121" s="1"/>
  <c r="V60" i="121" s="1"/>
  <c r="V61" i="121" s="1"/>
  <c r="V62" i="121" s="1"/>
  <c r="V63" i="121" s="1"/>
  <c r="V64" i="121" s="1"/>
  <c r="V65" i="121" s="1"/>
  <c r="V66" i="121" s="1"/>
  <c r="V67" i="121" s="1"/>
  <c r="V68" i="121" s="1"/>
  <c r="V69" i="121" s="1"/>
  <c r="V70" i="121" s="1"/>
  <c r="V71" i="121" s="1"/>
  <c r="V72" i="121" s="1"/>
  <c r="V73" i="121" s="1"/>
  <c r="V74" i="121" s="1"/>
  <c r="V75" i="121" s="1"/>
  <c r="V76" i="121" s="1"/>
  <c r="V77" i="121" s="1"/>
  <c r="V78" i="121" s="1"/>
  <c r="V79" i="121" s="1"/>
  <c r="V80" i="121" s="1"/>
  <c r="V81" i="121" s="1"/>
  <c r="V82" i="121" s="1"/>
  <c r="M36" i="121"/>
  <c r="M37" i="121" s="1"/>
  <c r="M38" i="121" s="1"/>
  <c r="M39" i="121" s="1"/>
  <c r="M40" i="121" s="1"/>
  <c r="M41" i="121" s="1"/>
  <c r="M42" i="121" s="1"/>
  <c r="M43" i="121" s="1"/>
  <c r="M44" i="121" s="1"/>
  <c r="M45" i="121" s="1"/>
  <c r="M46" i="121" s="1"/>
  <c r="M47" i="121" s="1"/>
  <c r="M48" i="121" s="1"/>
  <c r="M49" i="121" s="1"/>
  <c r="M50" i="121" s="1"/>
  <c r="M51" i="121" s="1"/>
  <c r="M52" i="121" s="1"/>
  <c r="M53" i="121" s="1"/>
  <c r="M54" i="121" s="1"/>
  <c r="M55" i="121" s="1"/>
  <c r="M56" i="121" s="1"/>
  <c r="M57" i="121" s="1"/>
  <c r="M58" i="121" s="1"/>
  <c r="M59" i="121" s="1"/>
  <c r="M60" i="121" s="1"/>
  <c r="M61" i="121" s="1"/>
  <c r="M62" i="121" s="1"/>
  <c r="M63" i="121" s="1"/>
  <c r="M64" i="121" s="1"/>
  <c r="M65" i="121" s="1"/>
  <c r="M66" i="121" s="1"/>
  <c r="V34" i="103"/>
  <c r="V35" i="103" s="1"/>
  <c r="V36" i="103" s="1"/>
  <c r="V37" i="103" s="1"/>
  <c r="V38" i="103" s="1"/>
  <c r="V39" i="103" s="1"/>
  <c r="V40" i="103" s="1"/>
  <c r="V41" i="103" s="1"/>
  <c r="V42" i="103" s="1"/>
  <c r="V43" i="103" s="1"/>
  <c r="V44" i="103" s="1"/>
  <c r="V45" i="103" s="1"/>
  <c r="V46" i="103" s="1"/>
  <c r="V47" i="103" s="1"/>
  <c r="V48" i="103" s="1"/>
  <c r="V49" i="103" s="1"/>
  <c r="V50" i="103" s="1"/>
  <c r="V51" i="103" s="1"/>
  <c r="V52" i="103" s="1"/>
  <c r="V53" i="103" s="1"/>
  <c r="V54" i="103" s="1"/>
  <c r="V55" i="103" s="1"/>
  <c r="V56" i="103" s="1"/>
  <c r="V57" i="103" s="1"/>
  <c r="V58" i="103" s="1"/>
  <c r="V59" i="103" s="1"/>
  <c r="V60" i="103" s="1"/>
  <c r="V61" i="103" s="1"/>
  <c r="V62" i="103" s="1"/>
  <c r="V63" i="103" s="1"/>
  <c r="V64" i="103" s="1"/>
  <c r="V65" i="103" s="1"/>
  <c r="V66" i="103" s="1"/>
  <c r="V67" i="103" s="1"/>
  <c r="V68" i="103" s="1"/>
  <c r="V69" i="103" s="1"/>
  <c r="V70" i="103" s="1"/>
  <c r="V71" i="103" s="1"/>
  <c r="V72" i="103" s="1"/>
  <c r="V73" i="103" s="1"/>
  <c r="V74" i="103" s="1"/>
  <c r="V75" i="103" s="1"/>
  <c r="V76" i="103" s="1"/>
  <c r="V77" i="103" s="1"/>
  <c r="V78" i="103" s="1"/>
  <c r="V79" i="103" s="1"/>
  <c r="V80" i="103" s="1"/>
  <c r="V81" i="103" s="1"/>
  <c r="V82" i="103" s="1"/>
  <c r="V34" i="95"/>
  <c r="V35" i="95" s="1"/>
  <c r="V36" i="95" s="1"/>
  <c r="V37" i="95" s="1"/>
  <c r="V38" i="95" s="1"/>
  <c r="V39" i="95" s="1"/>
  <c r="V40" i="95" s="1"/>
  <c r="V41" i="95" s="1"/>
  <c r="V42" i="95" s="1"/>
  <c r="V43" i="95" s="1"/>
  <c r="V44" i="95" s="1"/>
  <c r="V45" i="95" s="1"/>
  <c r="V46" i="95" s="1"/>
  <c r="V47" i="95" s="1"/>
  <c r="V48" i="95" s="1"/>
  <c r="V49" i="95" s="1"/>
  <c r="V50" i="95" s="1"/>
  <c r="V51" i="95" s="1"/>
  <c r="V52" i="95" s="1"/>
  <c r="V53" i="95" s="1"/>
  <c r="V54" i="95" s="1"/>
  <c r="V55" i="95" s="1"/>
  <c r="V56" i="95" s="1"/>
  <c r="V57" i="95" s="1"/>
  <c r="V58" i="95" s="1"/>
  <c r="V59" i="95" s="1"/>
  <c r="V60" i="95" s="1"/>
  <c r="V61" i="95" s="1"/>
  <c r="V62" i="95" s="1"/>
  <c r="V63" i="95" s="1"/>
  <c r="V64" i="95" s="1"/>
  <c r="V65" i="95" s="1"/>
  <c r="V66" i="95" s="1"/>
  <c r="V67" i="95" s="1"/>
  <c r="V68" i="95" s="1"/>
  <c r="V69" i="95" s="1"/>
  <c r="V70" i="95" s="1"/>
  <c r="V71" i="95" s="1"/>
  <c r="V72" i="95" s="1"/>
  <c r="V73" i="95" s="1"/>
  <c r="V74" i="95" s="1"/>
  <c r="V75" i="95" s="1"/>
  <c r="V76" i="95" s="1"/>
  <c r="V77" i="95" s="1"/>
  <c r="V78" i="95" s="1"/>
  <c r="V79" i="95" s="1"/>
  <c r="V80" i="95" s="1"/>
  <c r="V81" i="95" s="1"/>
  <c r="V82" i="95" s="1"/>
  <c r="V34" i="98"/>
  <c r="V35" i="98" s="1"/>
  <c r="V36" i="98" s="1"/>
  <c r="V37" i="98" s="1"/>
  <c r="V38" i="98" s="1"/>
  <c r="V39" i="98" s="1"/>
  <c r="V40" i="98" s="1"/>
  <c r="V41" i="98" s="1"/>
  <c r="V42" i="98" s="1"/>
  <c r="V43" i="98" s="1"/>
  <c r="V44" i="98" s="1"/>
  <c r="V45" i="98" s="1"/>
  <c r="V46" i="98" s="1"/>
  <c r="V47" i="98" s="1"/>
  <c r="V48" i="98" s="1"/>
  <c r="V49" i="98" s="1"/>
  <c r="V50" i="98" s="1"/>
  <c r="V51" i="98" s="1"/>
  <c r="V52" i="98" s="1"/>
  <c r="V53" i="98" s="1"/>
  <c r="V54" i="98" s="1"/>
  <c r="V55" i="98" s="1"/>
  <c r="V56" i="98" s="1"/>
  <c r="V57" i="98" s="1"/>
  <c r="V58" i="98" s="1"/>
  <c r="V59" i="98" s="1"/>
  <c r="V60" i="98" s="1"/>
  <c r="V61" i="98" s="1"/>
  <c r="V62" i="98" s="1"/>
  <c r="V63" i="98" s="1"/>
  <c r="V64" i="98" s="1"/>
  <c r="V65" i="98" s="1"/>
  <c r="V66" i="98" s="1"/>
  <c r="V67" i="98" s="1"/>
  <c r="V68" i="98" s="1"/>
  <c r="V69" i="98" s="1"/>
  <c r="V70" i="98" s="1"/>
  <c r="V71" i="98" s="1"/>
  <c r="V72" i="98" s="1"/>
  <c r="V73" i="98" s="1"/>
  <c r="V74" i="98" s="1"/>
  <c r="V75" i="98" s="1"/>
  <c r="V76" i="98" s="1"/>
  <c r="V77" i="98" s="1"/>
  <c r="V78" i="98" s="1"/>
  <c r="V79" i="98" s="1"/>
  <c r="V80" i="98" s="1"/>
  <c r="V81" i="98" s="1"/>
  <c r="V82" i="98" s="1"/>
  <c r="V34" i="99"/>
  <c r="V35" i="99" s="1"/>
  <c r="V36" i="99" s="1"/>
  <c r="V37" i="99" s="1"/>
  <c r="V38" i="99" s="1"/>
  <c r="V39" i="99" s="1"/>
  <c r="V40" i="99" s="1"/>
  <c r="V41" i="99" s="1"/>
  <c r="V42" i="99" s="1"/>
  <c r="V43" i="99" s="1"/>
  <c r="V44" i="99" s="1"/>
  <c r="V45" i="99" s="1"/>
  <c r="V46" i="99" s="1"/>
  <c r="V47" i="99" s="1"/>
  <c r="V48" i="99" s="1"/>
  <c r="V49" i="99" s="1"/>
  <c r="V50" i="99" s="1"/>
  <c r="V51" i="99" s="1"/>
  <c r="V52" i="99" s="1"/>
  <c r="V53" i="99" s="1"/>
  <c r="V54" i="99" s="1"/>
  <c r="V55" i="99" s="1"/>
  <c r="V56" i="99" s="1"/>
  <c r="V57" i="99" s="1"/>
  <c r="V58" i="99" s="1"/>
  <c r="V59" i="99" s="1"/>
  <c r="V60" i="99" s="1"/>
  <c r="V61" i="99" s="1"/>
  <c r="V62" i="99" s="1"/>
  <c r="V63" i="99" s="1"/>
  <c r="V64" i="99" s="1"/>
  <c r="V65" i="99" s="1"/>
  <c r="V66" i="99" s="1"/>
  <c r="V67" i="99" s="1"/>
  <c r="V68" i="99" s="1"/>
  <c r="V69" i="99" s="1"/>
  <c r="V70" i="99" s="1"/>
  <c r="V71" i="99" s="1"/>
  <c r="V72" i="99" s="1"/>
  <c r="V73" i="99" s="1"/>
  <c r="V74" i="99" s="1"/>
  <c r="V75" i="99" s="1"/>
  <c r="V76" i="99" s="1"/>
  <c r="V77" i="99" s="1"/>
  <c r="V78" i="99" s="1"/>
  <c r="V79" i="99" s="1"/>
  <c r="V80" i="99" s="1"/>
  <c r="V81" i="99" s="1"/>
  <c r="V82" i="99" s="1"/>
  <c r="V34" i="101"/>
  <c r="V35" i="101" s="1"/>
  <c r="V36" i="101" s="1"/>
  <c r="V37" i="101" s="1"/>
  <c r="V38" i="101" s="1"/>
  <c r="V39" i="101" s="1"/>
  <c r="V40" i="101" s="1"/>
  <c r="V41" i="101" s="1"/>
  <c r="V42" i="101" s="1"/>
  <c r="V43" i="101" s="1"/>
  <c r="V44" i="101" s="1"/>
  <c r="V45" i="101" s="1"/>
  <c r="V46" i="101" s="1"/>
  <c r="V47" i="101" s="1"/>
  <c r="V48" i="101" s="1"/>
  <c r="V49" i="101" s="1"/>
  <c r="V50" i="101" s="1"/>
  <c r="V51" i="101" s="1"/>
  <c r="V52" i="101" s="1"/>
  <c r="V53" i="101" s="1"/>
  <c r="V54" i="101" s="1"/>
  <c r="V55" i="101" s="1"/>
  <c r="V56" i="101" s="1"/>
  <c r="V57" i="101" s="1"/>
  <c r="V58" i="101" s="1"/>
  <c r="V59" i="101" s="1"/>
  <c r="V60" i="101" s="1"/>
  <c r="V61" i="101" s="1"/>
  <c r="V62" i="101" s="1"/>
  <c r="V63" i="101" s="1"/>
  <c r="V64" i="101" s="1"/>
  <c r="V65" i="101" s="1"/>
  <c r="V66" i="101" s="1"/>
  <c r="V67" i="101" s="1"/>
  <c r="V68" i="101" s="1"/>
  <c r="V69" i="101" s="1"/>
  <c r="V70" i="101" s="1"/>
  <c r="V71" i="101" s="1"/>
  <c r="V72" i="101" s="1"/>
  <c r="V73" i="101" s="1"/>
  <c r="V74" i="101" s="1"/>
  <c r="V75" i="101" s="1"/>
  <c r="V76" i="101" s="1"/>
  <c r="V77" i="101" s="1"/>
  <c r="V78" i="101" s="1"/>
  <c r="V79" i="101" s="1"/>
  <c r="V80" i="101" s="1"/>
  <c r="V81" i="101" s="1"/>
  <c r="V82" i="101" s="1"/>
  <c r="V34" i="102"/>
  <c r="V35" i="102" s="1"/>
  <c r="V36" i="102" s="1"/>
  <c r="V37" i="102" s="1"/>
  <c r="V38" i="102" s="1"/>
  <c r="V39" i="102" s="1"/>
  <c r="V40" i="102" s="1"/>
  <c r="V41" i="102" s="1"/>
  <c r="V42" i="102" s="1"/>
  <c r="V43" i="102" s="1"/>
  <c r="V44" i="102" s="1"/>
  <c r="V45" i="102" s="1"/>
  <c r="V46" i="102" s="1"/>
  <c r="V47" i="102" s="1"/>
  <c r="V48" i="102" s="1"/>
  <c r="V49" i="102" s="1"/>
  <c r="V50" i="102" s="1"/>
  <c r="V51" i="102" s="1"/>
  <c r="V52" i="102" s="1"/>
  <c r="V53" i="102" s="1"/>
  <c r="V54" i="102" s="1"/>
  <c r="V55" i="102" s="1"/>
  <c r="V56" i="102" s="1"/>
  <c r="V57" i="102" s="1"/>
  <c r="V58" i="102" s="1"/>
  <c r="V59" i="102" s="1"/>
  <c r="V60" i="102" s="1"/>
  <c r="V61" i="102" s="1"/>
  <c r="V62" i="102" s="1"/>
  <c r="V63" i="102" s="1"/>
  <c r="V64" i="102" s="1"/>
  <c r="V65" i="102" s="1"/>
  <c r="V66" i="102" s="1"/>
  <c r="V67" i="102" s="1"/>
  <c r="V68" i="102" s="1"/>
  <c r="V69" i="102" s="1"/>
  <c r="V70" i="102" s="1"/>
  <c r="V71" i="102" s="1"/>
  <c r="V72" i="102" s="1"/>
  <c r="V73" i="102" s="1"/>
  <c r="V74" i="102" s="1"/>
  <c r="V75" i="102" s="1"/>
  <c r="V76" i="102" s="1"/>
  <c r="V77" i="102" s="1"/>
  <c r="V78" i="102" s="1"/>
  <c r="V79" i="102" s="1"/>
  <c r="V80" i="102" s="1"/>
  <c r="V81" i="102" s="1"/>
  <c r="V82" i="102" s="1"/>
  <c r="V34" i="112"/>
  <c r="V35" i="112" s="1"/>
  <c r="V36" i="112" s="1"/>
  <c r="V37" i="112" s="1"/>
  <c r="V38" i="112" s="1"/>
  <c r="V39" i="112" s="1"/>
  <c r="V40" i="112" s="1"/>
  <c r="V41" i="112" s="1"/>
  <c r="V42" i="112" s="1"/>
  <c r="V43" i="112" s="1"/>
  <c r="V44" i="112" s="1"/>
  <c r="V45" i="112" s="1"/>
  <c r="V46" i="112" s="1"/>
  <c r="V47" i="112" s="1"/>
  <c r="V48" i="112" s="1"/>
  <c r="V49" i="112" s="1"/>
  <c r="V50" i="112" s="1"/>
  <c r="V51" i="112" s="1"/>
  <c r="V52" i="112" s="1"/>
  <c r="V53" i="112" s="1"/>
  <c r="V54" i="112" s="1"/>
  <c r="V55" i="112" s="1"/>
  <c r="V56" i="112" s="1"/>
  <c r="V57" i="112" s="1"/>
  <c r="V58" i="112" s="1"/>
  <c r="V59" i="112" s="1"/>
  <c r="V60" i="112" s="1"/>
  <c r="V61" i="112" s="1"/>
  <c r="V62" i="112" s="1"/>
  <c r="V63" i="112" s="1"/>
  <c r="V64" i="112" s="1"/>
  <c r="V65" i="112" s="1"/>
  <c r="V66" i="112" s="1"/>
  <c r="V67" i="112" s="1"/>
  <c r="V68" i="112" s="1"/>
  <c r="V69" i="112" s="1"/>
  <c r="V70" i="112" s="1"/>
  <c r="V71" i="112" s="1"/>
  <c r="V72" i="112" s="1"/>
  <c r="V73" i="112" s="1"/>
  <c r="V74" i="112" s="1"/>
  <c r="V75" i="112" s="1"/>
  <c r="V76" i="112" s="1"/>
  <c r="V77" i="112" s="1"/>
  <c r="V78" i="112" s="1"/>
  <c r="V79" i="112" s="1"/>
  <c r="V80" i="112" s="1"/>
  <c r="V81" i="112" s="1"/>
  <c r="V82" i="112" s="1"/>
  <c r="V34" i="114"/>
  <c r="V35" i="114" s="1"/>
  <c r="V36" i="114" s="1"/>
  <c r="V37" i="114" s="1"/>
  <c r="V38" i="114" s="1"/>
  <c r="V39" i="114" s="1"/>
  <c r="V40" i="114" s="1"/>
  <c r="V41" i="114" s="1"/>
  <c r="V42" i="114" s="1"/>
  <c r="V43" i="114" s="1"/>
  <c r="V44" i="114" s="1"/>
  <c r="V45" i="114" s="1"/>
  <c r="V46" i="114" s="1"/>
  <c r="V47" i="114" s="1"/>
  <c r="V48" i="114" s="1"/>
  <c r="V49" i="114" s="1"/>
  <c r="V50" i="114" s="1"/>
  <c r="V51" i="114" s="1"/>
  <c r="V52" i="114" s="1"/>
  <c r="V53" i="114" s="1"/>
  <c r="V54" i="114" s="1"/>
  <c r="V55" i="114" s="1"/>
  <c r="V56" i="114" s="1"/>
  <c r="V57" i="114" s="1"/>
  <c r="V58" i="114" s="1"/>
  <c r="V59" i="114" s="1"/>
  <c r="V60" i="114" s="1"/>
  <c r="V61" i="114" s="1"/>
  <c r="V62" i="114" s="1"/>
  <c r="V63" i="114" s="1"/>
  <c r="V64" i="114" s="1"/>
  <c r="V65" i="114" s="1"/>
  <c r="V66" i="114" s="1"/>
  <c r="V67" i="114" s="1"/>
  <c r="V68" i="114" s="1"/>
  <c r="V69" i="114" s="1"/>
  <c r="V70" i="114" s="1"/>
  <c r="V71" i="114" s="1"/>
  <c r="V72" i="114" s="1"/>
  <c r="V73" i="114" s="1"/>
  <c r="V74" i="114" s="1"/>
  <c r="V75" i="114" s="1"/>
  <c r="V76" i="114" s="1"/>
  <c r="V77" i="114" s="1"/>
  <c r="V78" i="114" s="1"/>
  <c r="V79" i="114" s="1"/>
  <c r="V80" i="114" s="1"/>
  <c r="V81" i="114" s="1"/>
  <c r="V82" i="114" s="1"/>
  <c r="V34" i="115"/>
  <c r="V35" i="115" s="1"/>
  <c r="V36" i="115" s="1"/>
  <c r="V37" i="115" s="1"/>
  <c r="V38" i="115" s="1"/>
  <c r="V39" i="115" s="1"/>
  <c r="V40" i="115" s="1"/>
  <c r="V41" i="115" s="1"/>
  <c r="V42" i="115" s="1"/>
  <c r="V43" i="115" s="1"/>
  <c r="V44" i="115" s="1"/>
  <c r="V45" i="115" s="1"/>
  <c r="V46" i="115" s="1"/>
  <c r="V47" i="115" s="1"/>
  <c r="V48" i="115" s="1"/>
  <c r="V49" i="115" s="1"/>
  <c r="V50" i="115" s="1"/>
  <c r="V51" i="115" s="1"/>
  <c r="V52" i="115" s="1"/>
  <c r="V53" i="115" s="1"/>
  <c r="V54" i="115" s="1"/>
  <c r="V55" i="115" s="1"/>
  <c r="V56" i="115" s="1"/>
  <c r="V57" i="115" s="1"/>
  <c r="V58" i="115" s="1"/>
  <c r="V59" i="115" s="1"/>
  <c r="V60" i="115" s="1"/>
  <c r="V61" i="115" s="1"/>
  <c r="V62" i="115" s="1"/>
  <c r="V63" i="115" s="1"/>
  <c r="V64" i="115" s="1"/>
  <c r="V65" i="115" s="1"/>
  <c r="V66" i="115" s="1"/>
  <c r="V67" i="115" s="1"/>
  <c r="V68" i="115" s="1"/>
  <c r="V69" i="115" s="1"/>
  <c r="V70" i="115" s="1"/>
  <c r="V71" i="115" s="1"/>
  <c r="V72" i="115" s="1"/>
  <c r="V73" i="115" s="1"/>
  <c r="V74" i="115" s="1"/>
  <c r="V75" i="115" s="1"/>
  <c r="V76" i="115" s="1"/>
  <c r="V77" i="115" s="1"/>
  <c r="V78" i="115" s="1"/>
  <c r="V79" i="115" s="1"/>
  <c r="V80" i="115" s="1"/>
  <c r="V81" i="115" s="1"/>
  <c r="V82" i="115" s="1"/>
  <c r="V34" i="116"/>
  <c r="V35" i="116" s="1"/>
  <c r="V36" i="116" s="1"/>
  <c r="V37" i="116" s="1"/>
  <c r="V38" i="116" s="1"/>
  <c r="V39" i="116" s="1"/>
  <c r="V40" i="116" s="1"/>
  <c r="V41" i="116" s="1"/>
  <c r="V42" i="116" s="1"/>
  <c r="V43" i="116" s="1"/>
  <c r="V44" i="116" s="1"/>
  <c r="V45" i="116" s="1"/>
  <c r="V46" i="116" s="1"/>
  <c r="V47" i="116" s="1"/>
  <c r="V48" i="116" s="1"/>
  <c r="V49" i="116" s="1"/>
  <c r="V50" i="116" s="1"/>
  <c r="V51" i="116" s="1"/>
  <c r="V52" i="116" s="1"/>
  <c r="V53" i="116" s="1"/>
  <c r="V54" i="116" s="1"/>
  <c r="V55" i="116" s="1"/>
  <c r="V56" i="116" s="1"/>
  <c r="V57" i="116" s="1"/>
  <c r="V58" i="116" s="1"/>
  <c r="V59" i="116" s="1"/>
  <c r="V60" i="116" s="1"/>
  <c r="V61" i="116" s="1"/>
  <c r="V62" i="116" s="1"/>
  <c r="V63" i="116" s="1"/>
  <c r="V64" i="116" s="1"/>
  <c r="V65" i="116" s="1"/>
  <c r="V66" i="116" s="1"/>
  <c r="V67" i="116" s="1"/>
  <c r="V68" i="116" s="1"/>
  <c r="V69" i="116" s="1"/>
  <c r="V70" i="116" s="1"/>
  <c r="V71" i="116" s="1"/>
  <c r="V72" i="116" s="1"/>
  <c r="V73" i="116" s="1"/>
  <c r="V74" i="116" s="1"/>
  <c r="V75" i="116" s="1"/>
  <c r="V76" i="116" s="1"/>
  <c r="V77" i="116" s="1"/>
  <c r="V78" i="116" s="1"/>
  <c r="V79" i="116" s="1"/>
  <c r="V80" i="116" s="1"/>
  <c r="V81" i="116" s="1"/>
  <c r="V82" i="116" s="1"/>
  <c r="V34" i="119"/>
  <c r="V35" i="119" s="1"/>
  <c r="V36" i="119" s="1"/>
  <c r="V37" i="119" s="1"/>
  <c r="V38" i="119" s="1"/>
  <c r="V39" i="119" s="1"/>
  <c r="V40" i="119" s="1"/>
  <c r="V41" i="119" s="1"/>
  <c r="V42" i="119" s="1"/>
  <c r="V43" i="119" s="1"/>
  <c r="V44" i="119" s="1"/>
  <c r="V45" i="119" s="1"/>
  <c r="V46" i="119" s="1"/>
  <c r="V47" i="119" s="1"/>
  <c r="V48" i="119" s="1"/>
  <c r="V49" i="119" s="1"/>
  <c r="V50" i="119" s="1"/>
  <c r="V51" i="119" s="1"/>
  <c r="V52" i="119" s="1"/>
  <c r="V53" i="119" s="1"/>
  <c r="V54" i="119" s="1"/>
  <c r="V55" i="119" s="1"/>
  <c r="V56" i="119" s="1"/>
  <c r="V57" i="119" s="1"/>
  <c r="V58" i="119" s="1"/>
  <c r="V59" i="119" s="1"/>
  <c r="V60" i="119" s="1"/>
  <c r="V61" i="119" s="1"/>
  <c r="V62" i="119" s="1"/>
  <c r="V63" i="119" s="1"/>
  <c r="V64" i="119" s="1"/>
  <c r="V65" i="119" s="1"/>
  <c r="V66" i="119" s="1"/>
  <c r="V67" i="119" s="1"/>
  <c r="V68" i="119" s="1"/>
  <c r="V69" i="119" s="1"/>
  <c r="V70" i="119" s="1"/>
  <c r="V71" i="119" s="1"/>
  <c r="V72" i="119" s="1"/>
  <c r="V73" i="119" s="1"/>
  <c r="V74" i="119" s="1"/>
  <c r="V75" i="119" s="1"/>
  <c r="V76" i="119" s="1"/>
  <c r="V77" i="119" s="1"/>
  <c r="V78" i="119" s="1"/>
  <c r="V79" i="119" s="1"/>
  <c r="V80" i="119" s="1"/>
  <c r="V81" i="119" s="1"/>
  <c r="V82" i="119" s="1"/>
  <c r="V29" i="111"/>
  <c r="M35" i="116"/>
  <c r="M36" i="116" s="1"/>
  <c r="M37" i="116" s="1"/>
  <c r="M38" i="116" s="1"/>
  <c r="M39" i="116" s="1"/>
  <c r="M40" i="116" s="1"/>
  <c r="M41" i="116" s="1"/>
  <c r="M42" i="116" s="1"/>
  <c r="M43" i="116" s="1"/>
  <c r="M44" i="116" s="1"/>
  <c r="M45" i="116" s="1"/>
  <c r="M46" i="116" s="1"/>
  <c r="M47" i="116" s="1"/>
  <c r="M48" i="116" s="1"/>
  <c r="M49" i="116" s="1"/>
  <c r="M50" i="116" s="1"/>
  <c r="M51" i="116" s="1"/>
  <c r="M52" i="116" s="1"/>
  <c r="M53" i="116" s="1"/>
  <c r="M54" i="116" s="1"/>
  <c r="M55" i="116" s="1"/>
  <c r="M56" i="116" s="1"/>
  <c r="M57" i="116" s="1"/>
  <c r="M58" i="116" s="1"/>
  <c r="M59" i="116" s="1"/>
  <c r="M60" i="116" s="1"/>
  <c r="M61" i="116" s="1"/>
  <c r="M62" i="116" s="1"/>
  <c r="M63" i="116" s="1"/>
  <c r="M64" i="116" s="1"/>
  <c r="M65" i="116" s="1"/>
  <c r="M66" i="116" s="1"/>
  <c r="M67" i="116" s="1"/>
  <c r="M68" i="116" s="1"/>
  <c r="M69" i="116" s="1"/>
  <c r="M70" i="116" s="1"/>
  <c r="M71" i="116" s="1"/>
  <c r="M72" i="116" s="1"/>
  <c r="M73" i="116" s="1"/>
  <c r="M74" i="116" s="1"/>
  <c r="M75" i="116" s="1"/>
  <c r="M76" i="116" s="1"/>
  <c r="M77" i="116" s="1"/>
  <c r="M78" i="116" s="1"/>
  <c r="M79" i="116" s="1"/>
  <c r="M80" i="116" s="1"/>
  <c r="M81" i="116" s="1"/>
  <c r="M82" i="116" s="1"/>
  <c r="M83" i="116" s="1"/>
  <c r="M84" i="116" s="1"/>
  <c r="M85" i="116" s="1"/>
  <c r="M86" i="116" s="1"/>
  <c r="M87" i="116" s="1"/>
  <c r="M88" i="116" s="1"/>
  <c r="M89" i="116" s="1"/>
  <c r="M90" i="116" s="1"/>
  <c r="M91" i="116" s="1"/>
  <c r="M92" i="116" s="1"/>
  <c r="M93" i="116" s="1"/>
  <c r="M94" i="116" s="1"/>
  <c r="M95" i="116" s="1"/>
  <c r="M96" i="116" s="1"/>
  <c r="M97" i="116" s="1"/>
  <c r="M98" i="116" s="1"/>
  <c r="M99" i="116" s="1"/>
  <c r="M100" i="116" s="1"/>
  <c r="M101" i="116" s="1"/>
  <c r="M102" i="116" s="1"/>
  <c r="M103" i="116" s="1"/>
  <c r="M104" i="116" s="1"/>
  <c r="M105" i="116" s="1"/>
  <c r="M106" i="116" s="1"/>
  <c r="M107" i="116" s="1"/>
  <c r="M108" i="116" s="1"/>
  <c r="M109" i="116" s="1"/>
  <c r="M110" i="116" s="1"/>
  <c r="M111" i="116" s="1"/>
  <c r="M112" i="116" s="1"/>
  <c r="M113" i="116" s="1"/>
  <c r="M114" i="116" s="1"/>
  <c r="M115" i="116" s="1"/>
  <c r="M116" i="116" s="1"/>
  <c r="M117" i="116" s="1"/>
  <c r="M118" i="116" s="1"/>
  <c r="M119" i="116" s="1"/>
  <c r="M120" i="116" s="1"/>
  <c r="M121" i="116" s="1"/>
  <c r="M122" i="116" s="1"/>
  <c r="M123" i="116" s="1"/>
  <c r="M124" i="116" s="1"/>
  <c r="M125" i="116" s="1"/>
  <c r="M126" i="116" s="1"/>
  <c r="M127" i="116" s="1"/>
  <c r="M128" i="116" s="1"/>
  <c r="M129" i="116" s="1"/>
  <c r="M130" i="116" s="1"/>
  <c r="M34" i="115"/>
  <c r="M35" i="115" s="1"/>
  <c r="M36" i="115" s="1"/>
  <c r="M37" i="115" s="1"/>
  <c r="M38" i="115" s="1"/>
  <c r="M39" i="115" s="1"/>
  <c r="M40" i="115" s="1"/>
  <c r="M41" i="115" s="1"/>
  <c r="M42" i="115" s="1"/>
  <c r="M43" i="115" s="1"/>
  <c r="M44" i="115" s="1"/>
  <c r="M45" i="115" s="1"/>
  <c r="M46" i="115" s="1"/>
  <c r="M47" i="115" s="1"/>
  <c r="M48" i="115" s="1"/>
  <c r="M49" i="115" s="1"/>
  <c r="M50" i="115" s="1"/>
  <c r="M51" i="115" s="1"/>
  <c r="M52" i="115" s="1"/>
  <c r="M53" i="115" s="1"/>
  <c r="M54" i="115" s="1"/>
  <c r="M55" i="115" s="1"/>
  <c r="M56" i="115" s="1"/>
  <c r="M57" i="115" s="1"/>
  <c r="M58" i="115" s="1"/>
  <c r="M59" i="115" s="1"/>
  <c r="M60" i="115" s="1"/>
  <c r="M61" i="115" s="1"/>
  <c r="M62" i="115" s="1"/>
  <c r="M63" i="115" s="1"/>
  <c r="M64" i="115" s="1"/>
  <c r="M65" i="115" s="1"/>
  <c r="M66" i="115" s="1"/>
  <c r="M67" i="115" s="1"/>
  <c r="M68" i="115" s="1"/>
  <c r="M69" i="115" s="1"/>
  <c r="M70" i="115" s="1"/>
  <c r="M71" i="115" s="1"/>
  <c r="M72" i="115" s="1"/>
  <c r="M73" i="115" s="1"/>
  <c r="M74" i="115" s="1"/>
  <c r="M75" i="115" s="1"/>
  <c r="M76" i="115" s="1"/>
  <c r="M77" i="115" s="1"/>
  <c r="M78" i="115" s="1"/>
  <c r="M79" i="115" s="1"/>
  <c r="M80" i="115" s="1"/>
  <c r="M81" i="115" s="1"/>
  <c r="M82" i="115" s="1"/>
  <c r="M83" i="115" s="1"/>
  <c r="M84" i="115" s="1"/>
  <c r="M85" i="115" s="1"/>
  <c r="M86" i="115" s="1"/>
  <c r="M87" i="115" s="1"/>
  <c r="M88" i="115" s="1"/>
  <c r="M89" i="115" s="1"/>
  <c r="M90" i="115" s="1"/>
  <c r="M91" i="115" s="1"/>
  <c r="M92" i="115" s="1"/>
  <c r="M93" i="115" s="1"/>
  <c r="M94" i="115" s="1"/>
  <c r="M95" i="115" s="1"/>
  <c r="M96" i="115" s="1"/>
  <c r="M97" i="115" s="1"/>
  <c r="M98" i="115" s="1"/>
  <c r="M99" i="115" s="1"/>
  <c r="M100" i="115" s="1"/>
  <c r="M101" i="115" s="1"/>
  <c r="M102" i="115" s="1"/>
  <c r="M103" i="115" s="1"/>
  <c r="M104" i="115" s="1"/>
  <c r="M105" i="115" s="1"/>
  <c r="M106" i="115" s="1"/>
  <c r="M107" i="115" s="1"/>
  <c r="M108" i="115" s="1"/>
  <c r="M109" i="115" s="1"/>
  <c r="M110" i="115" s="1"/>
  <c r="M111" i="115" s="1"/>
  <c r="M112" i="115" s="1"/>
  <c r="M113" i="115" s="1"/>
  <c r="M114" i="115" s="1"/>
  <c r="M115" i="115" s="1"/>
  <c r="M116" i="115" s="1"/>
  <c r="M117" i="115" s="1"/>
  <c r="M118" i="115" s="1"/>
  <c r="M119" i="115" s="1"/>
  <c r="M120" i="115" s="1"/>
  <c r="M121" i="115" s="1"/>
  <c r="M122" i="115" s="1"/>
  <c r="M123" i="115" s="1"/>
  <c r="M124" i="115" s="1"/>
  <c r="M125" i="115" s="1"/>
  <c r="M126" i="115" s="1"/>
  <c r="M127" i="115" s="1"/>
  <c r="M128" i="115" s="1"/>
  <c r="M129" i="115" s="1"/>
  <c r="M130" i="115" s="1"/>
  <c r="M34" i="114"/>
  <c r="M35" i="114" s="1"/>
  <c r="M36" i="114" s="1"/>
  <c r="M37" i="114" s="1"/>
  <c r="M38" i="114" s="1"/>
  <c r="M39" i="114" s="1"/>
  <c r="M40" i="114" s="1"/>
  <c r="M41" i="114" s="1"/>
  <c r="M42" i="114" s="1"/>
  <c r="M43" i="114" s="1"/>
  <c r="M44" i="114" s="1"/>
  <c r="M45" i="114" s="1"/>
  <c r="M46" i="114" s="1"/>
  <c r="M47" i="114" s="1"/>
  <c r="M48" i="114" s="1"/>
  <c r="M49" i="114" s="1"/>
  <c r="M50" i="114" s="1"/>
  <c r="M51" i="114" s="1"/>
  <c r="M52" i="114" s="1"/>
  <c r="M53" i="114" s="1"/>
  <c r="M54" i="114" s="1"/>
  <c r="M55" i="114" s="1"/>
  <c r="M56" i="114" s="1"/>
  <c r="M57" i="114" s="1"/>
  <c r="M58" i="114" s="1"/>
  <c r="M59" i="114" s="1"/>
  <c r="M60" i="114" s="1"/>
  <c r="M61" i="114" s="1"/>
  <c r="M62" i="114" s="1"/>
  <c r="M63" i="114" s="1"/>
  <c r="M64" i="114" s="1"/>
  <c r="M65" i="114" s="1"/>
  <c r="M66" i="114" s="1"/>
  <c r="M67" i="114" s="1"/>
  <c r="M68" i="114" s="1"/>
  <c r="M69" i="114" s="1"/>
  <c r="M70" i="114" s="1"/>
  <c r="M71" i="114" s="1"/>
  <c r="M72" i="114" s="1"/>
  <c r="M73" i="114" s="1"/>
  <c r="M74" i="114" s="1"/>
  <c r="M75" i="114" s="1"/>
  <c r="M76" i="114" s="1"/>
  <c r="M77" i="114" s="1"/>
  <c r="M78" i="114" s="1"/>
  <c r="M79" i="114" s="1"/>
  <c r="M80" i="114" s="1"/>
  <c r="M81" i="114" s="1"/>
  <c r="M82" i="114" s="1"/>
  <c r="M83" i="114" s="1"/>
  <c r="M84" i="114" s="1"/>
  <c r="M85" i="114" s="1"/>
  <c r="M86" i="114" s="1"/>
  <c r="M87" i="114" s="1"/>
  <c r="M88" i="114" s="1"/>
  <c r="M89" i="114" s="1"/>
  <c r="M90" i="114" s="1"/>
  <c r="M91" i="114" s="1"/>
  <c r="M92" i="114" s="1"/>
  <c r="M93" i="114" s="1"/>
  <c r="M94" i="114" s="1"/>
  <c r="M95" i="114" s="1"/>
  <c r="M96" i="114" s="1"/>
  <c r="M97" i="114" s="1"/>
  <c r="M98" i="114" s="1"/>
  <c r="M99" i="114" s="1"/>
  <c r="M100" i="114" s="1"/>
  <c r="M101" i="114" s="1"/>
  <c r="M102" i="114" s="1"/>
  <c r="M103" i="114" s="1"/>
  <c r="M104" i="114" s="1"/>
  <c r="M105" i="114" s="1"/>
  <c r="M106" i="114" s="1"/>
  <c r="M107" i="114" s="1"/>
  <c r="M108" i="114" s="1"/>
  <c r="M109" i="114" s="1"/>
  <c r="M110" i="114" s="1"/>
  <c r="M111" i="114" s="1"/>
  <c r="M112" i="114" s="1"/>
  <c r="M113" i="114" s="1"/>
  <c r="M114" i="114" s="1"/>
  <c r="M115" i="114" s="1"/>
  <c r="M116" i="114" s="1"/>
  <c r="M117" i="114" s="1"/>
  <c r="M118" i="114" s="1"/>
  <c r="M119" i="114" s="1"/>
  <c r="M120" i="114" s="1"/>
  <c r="M121" i="114" s="1"/>
  <c r="M122" i="114" s="1"/>
  <c r="M123" i="114" s="1"/>
  <c r="M124" i="114" s="1"/>
  <c r="M125" i="114" s="1"/>
  <c r="M126" i="114" s="1"/>
  <c r="M127" i="114" s="1"/>
  <c r="M128" i="114" s="1"/>
  <c r="M129" i="114" s="1"/>
  <c r="M130" i="114" s="1"/>
  <c r="M34" i="112"/>
  <c r="V34" i="109"/>
  <c r="V35" i="109" s="1"/>
  <c r="V36" i="109" s="1"/>
  <c r="V37" i="109" s="1"/>
  <c r="V38" i="109" s="1"/>
  <c r="V39" i="109" s="1"/>
  <c r="V40" i="109" s="1"/>
  <c r="V41" i="109" s="1"/>
  <c r="V42" i="109" s="1"/>
  <c r="V43" i="109" s="1"/>
  <c r="V44" i="109" s="1"/>
  <c r="V45" i="109" s="1"/>
  <c r="V46" i="109" s="1"/>
  <c r="V47" i="109" s="1"/>
  <c r="V48" i="109" s="1"/>
  <c r="V49" i="109" s="1"/>
  <c r="V50" i="109" s="1"/>
  <c r="V51" i="109" s="1"/>
  <c r="V52" i="109" s="1"/>
  <c r="V53" i="109" s="1"/>
  <c r="V54" i="109" s="1"/>
  <c r="V55" i="109" s="1"/>
  <c r="V56" i="109" s="1"/>
  <c r="V57" i="109" s="1"/>
  <c r="V58" i="109" s="1"/>
  <c r="V59" i="109" s="1"/>
  <c r="V60" i="109" s="1"/>
  <c r="V61" i="109" s="1"/>
  <c r="V62" i="109" s="1"/>
  <c r="V63" i="109" s="1"/>
  <c r="V64" i="109" s="1"/>
  <c r="V65" i="109" s="1"/>
  <c r="V66" i="109" s="1"/>
  <c r="V67" i="109" s="1"/>
  <c r="V68" i="109" s="1"/>
  <c r="V69" i="109" s="1"/>
  <c r="V70" i="109" s="1"/>
  <c r="V71" i="109" s="1"/>
  <c r="V72" i="109" s="1"/>
  <c r="V73" i="109" s="1"/>
  <c r="V74" i="109" s="1"/>
  <c r="V75" i="109" s="1"/>
  <c r="V76" i="109" s="1"/>
  <c r="V77" i="109" s="1"/>
  <c r="V78" i="109" s="1"/>
  <c r="V79" i="109" s="1"/>
  <c r="V80" i="109" s="1"/>
  <c r="V81" i="109" s="1"/>
  <c r="V82" i="109" s="1"/>
  <c r="M35" i="109"/>
  <c r="M36" i="109" s="1"/>
  <c r="M37" i="109" s="1"/>
  <c r="M38" i="109" s="1"/>
  <c r="M39" i="109" s="1"/>
  <c r="M40" i="109" s="1"/>
  <c r="M41" i="109" s="1"/>
  <c r="M42" i="109" s="1"/>
  <c r="M43" i="109" s="1"/>
  <c r="M44" i="109" s="1"/>
  <c r="M45" i="109" s="1"/>
  <c r="M46" i="109" s="1"/>
  <c r="M47" i="109" s="1"/>
  <c r="M48" i="109" s="1"/>
  <c r="M49" i="109" s="1"/>
  <c r="M50" i="109" s="1"/>
  <c r="M51" i="109" s="1"/>
  <c r="M52" i="109" s="1"/>
  <c r="M53" i="109" s="1"/>
  <c r="M54" i="109" s="1"/>
  <c r="M55" i="109" s="1"/>
  <c r="M56" i="109" s="1"/>
  <c r="M57" i="109" s="1"/>
  <c r="M58" i="109" s="1"/>
  <c r="M59" i="109" s="1"/>
  <c r="M60" i="109" s="1"/>
  <c r="M61" i="109" s="1"/>
  <c r="M62" i="109" s="1"/>
  <c r="M63" i="109" s="1"/>
  <c r="M64" i="109" s="1"/>
  <c r="M65" i="109" s="1"/>
  <c r="M66" i="109" s="1"/>
  <c r="M67" i="109" s="1"/>
  <c r="M68" i="109" s="1"/>
  <c r="M69" i="109" s="1"/>
  <c r="M70" i="109" s="1"/>
  <c r="M71" i="109" s="1"/>
  <c r="M72" i="109" s="1"/>
  <c r="M73" i="109" s="1"/>
  <c r="M74" i="109" s="1"/>
  <c r="M75" i="109" s="1"/>
  <c r="M76" i="109" s="1"/>
  <c r="M77" i="109" s="1"/>
  <c r="M78" i="109" s="1"/>
  <c r="M79" i="109" s="1"/>
  <c r="M80" i="109" s="1"/>
  <c r="M81" i="109" s="1"/>
  <c r="M82" i="109" s="1"/>
  <c r="M83" i="109" s="1"/>
  <c r="M84" i="109" s="1"/>
  <c r="M85" i="109" s="1"/>
  <c r="M86" i="109" s="1"/>
  <c r="M87" i="109" s="1"/>
  <c r="M88" i="109" s="1"/>
  <c r="M89" i="109" s="1"/>
  <c r="M90" i="109" s="1"/>
  <c r="M91" i="109" s="1"/>
  <c r="M92" i="109" s="1"/>
  <c r="M93" i="109" s="1"/>
  <c r="M94" i="109" s="1"/>
  <c r="M95" i="109" s="1"/>
  <c r="M96" i="109" s="1"/>
  <c r="M97" i="109" s="1"/>
  <c r="M98" i="109" s="1"/>
  <c r="M99" i="109" s="1"/>
  <c r="M100" i="109" s="1"/>
  <c r="M101" i="109" s="1"/>
  <c r="M102" i="109" s="1"/>
  <c r="M103" i="109" s="1"/>
  <c r="M104" i="109" s="1"/>
  <c r="M105" i="109" s="1"/>
  <c r="M106" i="109" s="1"/>
  <c r="M107" i="109" s="1"/>
  <c r="M108" i="109" s="1"/>
  <c r="M109" i="109" s="1"/>
  <c r="M110" i="109" s="1"/>
  <c r="M111" i="109" s="1"/>
  <c r="M112" i="109" s="1"/>
  <c r="M113" i="109" s="1"/>
  <c r="M114" i="109" s="1"/>
  <c r="M115" i="109" s="1"/>
  <c r="M116" i="109" s="1"/>
  <c r="M117" i="109" s="1"/>
  <c r="M118" i="109" s="1"/>
  <c r="M119" i="109" s="1"/>
  <c r="M120" i="109" s="1"/>
  <c r="M121" i="109" s="1"/>
  <c r="M122" i="109" s="1"/>
  <c r="M123" i="109" s="1"/>
  <c r="M124" i="109" s="1"/>
  <c r="M125" i="109" s="1"/>
  <c r="M126" i="109" s="1"/>
  <c r="M127" i="109" s="1"/>
  <c r="M128" i="109" s="1"/>
  <c r="M129" i="109" s="1"/>
  <c r="M130" i="109" s="1"/>
  <c r="Q31" i="111" a="1"/>
  <c r="Q31" i="111" s="1"/>
  <c r="L30" i="111" s="1"/>
  <c r="U29" i="111" s="1"/>
  <c r="Z31" i="111" a="1"/>
  <c r="Z31" i="111" s="1"/>
  <c r="U30" i="111" s="1"/>
  <c r="M34" i="119"/>
  <c r="M35" i="119" s="1"/>
  <c r="M36" i="119" s="1"/>
  <c r="M37" i="119" s="1"/>
  <c r="M38" i="119" s="1"/>
  <c r="M39" i="119" s="1"/>
  <c r="M40" i="119" s="1"/>
  <c r="M41" i="119" s="1"/>
  <c r="M42" i="119" s="1"/>
  <c r="M43" i="119" s="1"/>
  <c r="M44" i="119" s="1"/>
  <c r="M45" i="119" s="1"/>
  <c r="M46" i="119" s="1"/>
  <c r="M47" i="119" s="1"/>
  <c r="M48" i="119" s="1"/>
  <c r="M49" i="119" s="1"/>
  <c r="M50" i="119" s="1"/>
  <c r="M51" i="119" s="1"/>
  <c r="M52" i="119" s="1"/>
  <c r="M53" i="119" s="1"/>
  <c r="M54" i="119" s="1"/>
  <c r="M55" i="119" s="1"/>
  <c r="M56" i="119" s="1"/>
  <c r="M57" i="119" s="1"/>
  <c r="M58" i="119" s="1"/>
  <c r="M59" i="119" s="1"/>
  <c r="M60" i="119" s="1"/>
  <c r="M61" i="119" s="1"/>
  <c r="M62" i="119" s="1"/>
  <c r="M63" i="119" s="1"/>
  <c r="M64" i="119" s="1"/>
  <c r="M65" i="119" s="1"/>
  <c r="M66" i="119" s="1"/>
  <c r="M67" i="119" s="1"/>
  <c r="M68" i="119" s="1"/>
  <c r="M69" i="119" s="1"/>
  <c r="M70" i="119" s="1"/>
  <c r="M71" i="119" s="1"/>
  <c r="M72" i="119" s="1"/>
  <c r="M73" i="119" s="1"/>
  <c r="M74" i="119" s="1"/>
  <c r="M75" i="119" s="1"/>
  <c r="M76" i="119" s="1"/>
  <c r="M77" i="119" s="1"/>
  <c r="M78" i="119" s="1"/>
  <c r="M79" i="119" s="1"/>
  <c r="M80" i="119" s="1"/>
  <c r="M81" i="119" s="1"/>
  <c r="M82" i="119" s="1"/>
  <c r="M83" i="119" s="1"/>
  <c r="M84" i="119" s="1"/>
  <c r="M85" i="119" s="1"/>
  <c r="M86" i="119" s="1"/>
  <c r="M87" i="119" s="1"/>
  <c r="M88" i="119" s="1"/>
  <c r="M89" i="119" s="1"/>
  <c r="M90" i="119" s="1"/>
  <c r="M91" i="119" s="1"/>
  <c r="M92" i="119" s="1"/>
  <c r="M93" i="119" s="1"/>
  <c r="M94" i="119" s="1"/>
  <c r="M95" i="119" s="1"/>
  <c r="M96" i="119" s="1"/>
  <c r="M97" i="119" s="1"/>
  <c r="M98" i="119" s="1"/>
  <c r="M99" i="119" s="1"/>
  <c r="M100" i="119" s="1"/>
  <c r="M101" i="119" s="1"/>
  <c r="M102" i="119" s="1"/>
  <c r="M103" i="119" s="1"/>
  <c r="M104" i="119" s="1"/>
  <c r="M105" i="119" s="1"/>
  <c r="M106" i="119" s="1"/>
  <c r="M107" i="119" s="1"/>
  <c r="M108" i="119" s="1"/>
  <c r="M109" i="119" s="1"/>
  <c r="M110" i="119" s="1"/>
  <c r="M111" i="119" s="1"/>
  <c r="M112" i="119" s="1"/>
  <c r="M113" i="119" s="1"/>
  <c r="M114" i="119" s="1"/>
  <c r="M115" i="119" s="1"/>
  <c r="M116" i="119" s="1"/>
  <c r="M117" i="119" s="1"/>
  <c r="M118" i="119" s="1"/>
  <c r="M119" i="119" s="1"/>
  <c r="M120" i="119" s="1"/>
  <c r="M121" i="119" s="1"/>
  <c r="M122" i="119" s="1"/>
  <c r="M123" i="119" s="1"/>
  <c r="M124" i="119" s="1"/>
  <c r="M125" i="119" s="1"/>
  <c r="M126" i="119" s="1"/>
  <c r="M127" i="119" s="1"/>
  <c r="M128" i="119" s="1"/>
  <c r="M129" i="119" s="1"/>
  <c r="M130" i="119" s="1"/>
  <c r="M34" i="102"/>
  <c r="M35" i="102" s="1"/>
  <c r="M36" i="102" s="1"/>
  <c r="M37" i="102" s="1"/>
  <c r="M38" i="102" s="1"/>
  <c r="M39" i="102" s="1"/>
  <c r="M40" i="102" s="1"/>
  <c r="M41" i="102" s="1"/>
  <c r="M42" i="102" s="1"/>
  <c r="M43" i="102" s="1"/>
  <c r="M44" i="102" s="1"/>
  <c r="M45" i="102" s="1"/>
  <c r="M46" i="102" s="1"/>
  <c r="M47" i="102" s="1"/>
  <c r="M48" i="102" s="1"/>
  <c r="M49" i="102" s="1"/>
  <c r="M50" i="102" s="1"/>
  <c r="M51" i="102" s="1"/>
  <c r="M52" i="102" s="1"/>
  <c r="M53" i="102" s="1"/>
  <c r="M54" i="102" s="1"/>
  <c r="M55" i="102" s="1"/>
  <c r="M56" i="102" s="1"/>
  <c r="M57" i="102" s="1"/>
  <c r="M58" i="102" s="1"/>
  <c r="M59" i="102" s="1"/>
  <c r="M60" i="102" s="1"/>
  <c r="M61" i="102" s="1"/>
  <c r="M62" i="102" s="1"/>
  <c r="M63" i="102" s="1"/>
  <c r="M64" i="102" s="1"/>
  <c r="M65" i="102" s="1"/>
  <c r="M66" i="102" s="1"/>
  <c r="M67" i="102" s="1"/>
  <c r="M68" i="102" s="1"/>
  <c r="M69" i="102" s="1"/>
  <c r="M70" i="102" s="1"/>
  <c r="M71" i="102" s="1"/>
  <c r="M72" i="102" s="1"/>
  <c r="M73" i="102" s="1"/>
  <c r="M74" i="102" s="1"/>
  <c r="M75" i="102" s="1"/>
  <c r="M76" i="102" s="1"/>
  <c r="M77" i="102" s="1"/>
  <c r="M78" i="102" s="1"/>
  <c r="M79" i="102" s="1"/>
  <c r="M80" i="102" s="1"/>
  <c r="M81" i="102" s="1"/>
  <c r="M82" i="102" s="1"/>
  <c r="M83" i="102" s="1"/>
  <c r="M84" i="102" s="1"/>
  <c r="M85" i="102" s="1"/>
  <c r="M86" i="102" s="1"/>
  <c r="M87" i="102" s="1"/>
  <c r="M88" i="102" s="1"/>
  <c r="M89" i="102" s="1"/>
  <c r="M90" i="102" s="1"/>
  <c r="M91" i="102" s="1"/>
  <c r="M92" i="102" s="1"/>
  <c r="M93" i="102" s="1"/>
  <c r="M94" i="102" s="1"/>
  <c r="M95" i="102" s="1"/>
  <c r="M96" i="102" s="1"/>
  <c r="M97" i="102" s="1"/>
  <c r="M98" i="102" s="1"/>
  <c r="M99" i="102" s="1"/>
  <c r="M100" i="102" s="1"/>
  <c r="M101" i="102" s="1"/>
  <c r="M102" i="102" s="1"/>
  <c r="M103" i="102" s="1"/>
  <c r="M104" i="102" s="1"/>
  <c r="M105" i="102" s="1"/>
  <c r="M106" i="102" s="1"/>
  <c r="M107" i="102" s="1"/>
  <c r="M108" i="102" s="1"/>
  <c r="M109" i="102" s="1"/>
  <c r="M110" i="102" s="1"/>
  <c r="M111" i="102" s="1"/>
  <c r="M112" i="102" s="1"/>
  <c r="M113" i="102" s="1"/>
  <c r="M114" i="102" s="1"/>
  <c r="M115" i="102" s="1"/>
  <c r="M116" i="102" s="1"/>
  <c r="M117" i="102" s="1"/>
  <c r="M118" i="102" s="1"/>
  <c r="M119" i="102" s="1"/>
  <c r="M120" i="102" s="1"/>
  <c r="M121" i="102" s="1"/>
  <c r="M122" i="102" s="1"/>
  <c r="M123" i="102" s="1"/>
  <c r="M124" i="102" s="1"/>
  <c r="M125" i="102" s="1"/>
  <c r="M126" i="102" s="1"/>
  <c r="M127" i="102" s="1"/>
  <c r="M128" i="102" s="1"/>
  <c r="M129" i="102" s="1"/>
  <c r="M130" i="102" s="1"/>
  <c r="M35" i="101"/>
  <c r="M36" i="101" s="1"/>
  <c r="M37" i="101" s="1"/>
  <c r="M38" i="101" s="1"/>
  <c r="M39" i="101" s="1"/>
  <c r="M40" i="101" s="1"/>
  <c r="M41" i="101" s="1"/>
  <c r="M42" i="101" s="1"/>
  <c r="M43" i="101" s="1"/>
  <c r="M44" i="101" s="1"/>
  <c r="M45" i="101" s="1"/>
  <c r="M46" i="101" s="1"/>
  <c r="M47" i="101" s="1"/>
  <c r="M48" i="101" s="1"/>
  <c r="M49" i="101" s="1"/>
  <c r="M50" i="101" s="1"/>
  <c r="M51" i="101" s="1"/>
  <c r="M52" i="101" s="1"/>
  <c r="M53" i="101" s="1"/>
  <c r="M54" i="101" s="1"/>
  <c r="M55" i="101" s="1"/>
  <c r="M56" i="101" s="1"/>
  <c r="M57" i="101" s="1"/>
  <c r="M58" i="101" s="1"/>
  <c r="M59" i="101" s="1"/>
  <c r="M60" i="101" s="1"/>
  <c r="M61" i="101" s="1"/>
  <c r="M62" i="101" s="1"/>
  <c r="M63" i="101" s="1"/>
  <c r="M64" i="101" s="1"/>
  <c r="M65" i="101" s="1"/>
  <c r="M66" i="101" s="1"/>
  <c r="M67" i="101" s="1"/>
  <c r="M68" i="101" s="1"/>
  <c r="M69" i="101" s="1"/>
  <c r="M70" i="101" s="1"/>
  <c r="M71" i="101" s="1"/>
  <c r="M72" i="101" s="1"/>
  <c r="M73" i="101" s="1"/>
  <c r="M74" i="101" s="1"/>
  <c r="M75" i="101" s="1"/>
  <c r="M76" i="101" s="1"/>
  <c r="M77" i="101" s="1"/>
  <c r="M78" i="101" s="1"/>
  <c r="M79" i="101" s="1"/>
  <c r="M80" i="101" s="1"/>
  <c r="M81" i="101" s="1"/>
  <c r="M82" i="101" s="1"/>
  <c r="M83" i="101" s="1"/>
  <c r="M84" i="101" s="1"/>
  <c r="M85" i="101" s="1"/>
  <c r="M86" i="101" s="1"/>
  <c r="M87" i="101" s="1"/>
  <c r="M88" i="101" s="1"/>
  <c r="M89" i="101" s="1"/>
  <c r="M90" i="101" s="1"/>
  <c r="M91" i="101" s="1"/>
  <c r="M92" i="101" s="1"/>
  <c r="M93" i="101" s="1"/>
  <c r="M94" i="101" s="1"/>
  <c r="M95" i="101" s="1"/>
  <c r="M96" i="101" s="1"/>
  <c r="M97" i="101" s="1"/>
  <c r="M98" i="101" s="1"/>
  <c r="M99" i="101" s="1"/>
  <c r="M100" i="101" s="1"/>
  <c r="M101" i="101" s="1"/>
  <c r="M102" i="101" s="1"/>
  <c r="M103" i="101" s="1"/>
  <c r="M104" i="101" s="1"/>
  <c r="M105" i="101" s="1"/>
  <c r="M106" i="101" s="1"/>
  <c r="M107" i="101" s="1"/>
  <c r="M108" i="101" s="1"/>
  <c r="M109" i="101" s="1"/>
  <c r="M110" i="101" s="1"/>
  <c r="M111" i="101" s="1"/>
  <c r="M112" i="101" s="1"/>
  <c r="M113" i="101" s="1"/>
  <c r="M114" i="101" s="1"/>
  <c r="M115" i="101" s="1"/>
  <c r="M116" i="101" s="1"/>
  <c r="M117" i="101" s="1"/>
  <c r="M118" i="101" s="1"/>
  <c r="M119" i="101" s="1"/>
  <c r="M120" i="101" s="1"/>
  <c r="M121" i="101" s="1"/>
  <c r="M122" i="101" s="1"/>
  <c r="M123" i="101" s="1"/>
  <c r="M124" i="101" s="1"/>
  <c r="M125" i="101" s="1"/>
  <c r="M126" i="101" s="1"/>
  <c r="M127" i="101" s="1"/>
  <c r="M128" i="101" s="1"/>
  <c r="M129" i="101" s="1"/>
  <c r="M130" i="101" s="1"/>
  <c r="M34" i="98"/>
  <c r="M35" i="98" s="1"/>
  <c r="M36" i="98" s="1"/>
  <c r="M37" i="98" s="1"/>
  <c r="M38" i="98" s="1"/>
  <c r="M39" i="98" s="1"/>
  <c r="M40" i="98" s="1"/>
  <c r="M41" i="98" s="1"/>
  <c r="M42" i="98" s="1"/>
  <c r="M43" i="98" s="1"/>
  <c r="M44" i="98" s="1"/>
  <c r="M45" i="98" s="1"/>
  <c r="M46" i="98" s="1"/>
  <c r="M47" i="98" s="1"/>
  <c r="M48" i="98" s="1"/>
  <c r="M49" i="98" s="1"/>
  <c r="M50" i="98" s="1"/>
  <c r="M51" i="98" s="1"/>
  <c r="M52" i="98" s="1"/>
  <c r="M53" i="98" s="1"/>
  <c r="M54" i="98" s="1"/>
  <c r="M55" i="98" s="1"/>
  <c r="M56" i="98" s="1"/>
  <c r="M57" i="98" s="1"/>
  <c r="M58" i="98" s="1"/>
  <c r="M59" i="98" s="1"/>
  <c r="M60" i="98" s="1"/>
  <c r="M61" i="98" s="1"/>
  <c r="M62" i="98" s="1"/>
  <c r="M63" i="98" s="1"/>
  <c r="M64" i="98" s="1"/>
  <c r="M65" i="98" s="1"/>
  <c r="M66" i="98" s="1"/>
  <c r="M67" i="98" s="1"/>
  <c r="M68" i="98" s="1"/>
  <c r="M69" i="98" s="1"/>
  <c r="M70" i="98" s="1"/>
  <c r="M71" i="98" s="1"/>
  <c r="M72" i="98" s="1"/>
  <c r="M73" i="98" s="1"/>
  <c r="M74" i="98" s="1"/>
  <c r="M75" i="98" s="1"/>
  <c r="M76" i="98" s="1"/>
  <c r="M77" i="98" s="1"/>
  <c r="M78" i="98" s="1"/>
  <c r="M79" i="98" s="1"/>
  <c r="M80" i="98" s="1"/>
  <c r="M81" i="98" s="1"/>
  <c r="M82" i="98" s="1"/>
  <c r="M83" i="98" s="1"/>
  <c r="M84" i="98" s="1"/>
  <c r="M85" i="98" s="1"/>
  <c r="M86" i="98" s="1"/>
  <c r="M87" i="98" s="1"/>
  <c r="M88" i="98" s="1"/>
  <c r="M89" i="98" s="1"/>
  <c r="M90" i="98" s="1"/>
  <c r="M91" i="98" s="1"/>
  <c r="M92" i="98" s="1"/>
  <c r="M93" i="98" s="1"/>
  <c r="M94" i="98" s="1"/>
  <c r="M95" i="98" s="1"/>
  <c r="M96" i="98" s="1"/>
  <c r="M97" i="98" s="1"/>
  <c r="M98" i="98" s="1"/>
  <c r="M99" i="98" s="1"/>
  <c r="M100" i="98" s="1"/>
  <c r="M101" i="98" s="1"/>
  <c r="M102" i="98" s="1"/>
  <c r="M103" i="98" s="1"/>
  <c r="M104" i="98" s="1"/>
  <c r="M105" i="98" s="1"/>
  <c r="M106" i="98" s="1"/>
  <c r="M107" i="98" s="1"/>
  <c r="M108" i="98" s="1"/>
  <c r="M109" i="98" s="1"/>
  <c r="M110" i="98" s="1"/>
  <c r="M111" i="98" s="1"/>
  <c r="M112" i="98" s="1"/>
  <c r="M113" i="98" s="1"/>
  <c r="M114" i="98" s="1"/>
  <c r="M115" i="98" s="1"/>
  <c r="M116" i="98" s="1"/>
  <c r="M117" i="98" s="1"/>
  <c r="M118" i="98" s="1"/>
  <c r="M119" i="98" s="1"/>
  <c r="M120" i="98" s="1"/>
  <c r="M121" i="98" s="1"/>
  <c r="M122" i="98" s="1"/>
  <c r="M123" i="98" s="1"/>
  <c r="M124" i="98" s="1"/>
  <c r="M125" i="98" s="1"/>
  <c r="M126" i="98" s="1"/>
  <c r="M127" i="98" s="1"/>
  <c r="M128" i="98" s="1"/>
  <c r="M129" i="98" s="1"/>
  <c r="M130" i="98" s="1"/>
  <c r="M35" i="99"/>
  <c r="M36" i="99" s="1"/>
  <c r="M37" i="99" s="1"/>
  <c r="M38" i="99" s="1"/>
  <c r="M39" i="99" s="1"/>
  <c r="M40" i="99" s="1"/>
  <c r="M41" i="99" s="1"/>
  <c r="M42" i="99" s="1"/>
  <c r="M43" i="99" s="1"/>
  <c r="M44" i="99" s="1"/>
  <c r="M45" i="99" s="1"/>
  <c r="M46" i="99" s="1"/>
  <c r="M47" i="99" s="1"/>
  <c r="M48" i="99" s="1"/>
  <c r="M49" i="99" s="1"/>
  <c r="M50" i="99" s="1"/>
  <c r="M51" i="99" s="1"/>
  <c r="M52" i="99" s="1"/>
  <c r="M53" i="99" s="1"/>
  <c r="M54" i="99" s="1"/>
  <c r="M55" i="99" s="1"/>
  <c r="M56" i="99" s="1"/>
  <c r="M57" i="99" s="1"/>
  <c r="M58" i="99" s="1"/>
  <c r="M59" i="99" s="1"/>
  <c r="M60" i="99" s="1"/>
  <c r="M61" i="99" s="1"/>
  <c r="M62" i="99" s="1"/>
  <c r="M63" i="99" s="1"/>
  <c r="M64" i="99" s="1"/>
  <c r="M65" i="99" s="1"/>
  <c r="M66" i="99" s="1"/>
  <c r="M67" i="99" s="1"/>
  <c r="M68" i="99" s="1"/>
  <c r="M69" i="99" s="1"/>
  <c r="M70" i="99" s="1"/>
  <c r="M71" i="99" s="1"/>
  <c r="M72" i="99" s="1"/>
  <c r="M73" i="99" s="1"/>
  <c r="M74" i="99" s="1"/>
  <c r="M75" i="99" s="1"/>
  <c r="M76" i="99" s="1"/>
  <c r="M77" i="99" s="1"/>
  <c r="M78" i="99" s="1"/>
  <c r="M79" i="99" s="1"/>
  <c r="M80" i="99" s="1"/>
  <c r="M81" i="99" s="1"/>
  <c r="M82" i="99" s="1"/>
  <c r="M83" i="99" s="1"/>
  <c r="M84" i="99" s="1"/>
  <c r="M85" i="99" s="1"/>
  <c r="M86" i="99" s="1"/>
  <c r="M87" i="99" s="1"/>
  <c r="M88" i="99" s="1"/>
  <c r="M89" i="99" s="1"/>
  <c r="M90" i="99" s="1"/>
  <c r="M91" i="99" s="1"/>
  <c r="M92" i="99" s="1"/>
  <c r="M93" i="99" s="1"/>
  <c r="M94" i="99" s="1"/>
  <c r="M95" i="99" s="1"/>
  <c r="M96" i="99" s="1"/>
  <c r="M97" i="99" s="1"/>
  <c r="M98" i="99" s="1"/>
  <c r="M99" i="99" s="1"/>
  <c r="M100" i="99" s="1"/>
  <c r="M101" i="99" s="1"/>
  <c r="M102" i="99" s="1"/>
  <c r="M103" i="99" s="1"/>
  <c r="M104" i="99" s="1"/>
  <c r="M105" i="99" s="1"/>
  <c r="M106" i="99" s="1"/>
  <c r="M107" i="99" s="1"/>
  <c r="M108" i="99" s="1"/>
  <c r="M109" i="99" s="1"/>
  <c r="M110" i="99" s="1"/>
  <c r="M111" i="99" s="1"/>
  <c r="M112" i="99" s="1"/>
  <c r="M113" i="99" s="1"/>
  <c r="M114" i="99" s="1"/>
  <c r="M115" i="99" s="1"/>
  <c r="M116" i="99" s="1"/>
  <c r="M117" i="99" s="1"/>
  <c r="M118" i="99" s="1"/>
  <c r="M119" i="99" s="1"/>
  <c r="M120" i="99" s="1"/>
  <c r="M121" i="99" s="1"/>
  <c r="M122" i="99" s="1"/>
  <c r="M123" i="99" s="1"/>
  <c r="M124" i="99" s="1"/>
  <c r="M125" i="99" s="1"/>
  <c r="M126" i="99" s="1"/>
  <c r="M127" i="99" s="1"/>
  <c r="M128" i="99" s="1"/>
  <c r="M129" i="99" s="1"/>
  <c r="M130" i="99" s="1"/>
  <c r="M34" i="103"/>
  <c r="M34" i="106"/>
  <c r="M35" i="106" s="1"/>
  <c r="M36" i="106" s="1"/>
  <c r="M37" i="106" s="1"/>
  <c r="M38" i="106" s="1"/>
  <c r="M39" i="106" s="1"/>
  <c r="M40" i="106" s="1"/>
  <c r="M41" i="106" s="1"/>
  <c r="M42" i="106" s="1"/>
  <c r="M43" i="106" s="1"/>
  <c r="M44" i="106" s="1"/>
  <c r="M45" i="106" s="1"/>
  <c r="M46" i="106" s="1"/>
  <c r="M47" i="106" s="1"/>
  <c r="M48" i="106" s="1"/>
  <c r="M49" i="106" s="1"/>
  <c r="M50" i="106" s="1"/>
  <c r="M51" i="106" s="1"/>
  <c r="M52" i="106" s="1"/>
  <c r="M53" i="106" s="1"/>
  <c r="M54" i="106" s="1"/>
  <c r="M55" i="106" s="1"/>
  <c r="M56" i="106" s="1"/>
  <c r="M57" i="106" s="1"/>
  <c r="M58" i="106" s="1"/>
  <c r="M59" i="106" s="1"/>
  <c r="M60" i="106" s="1"/>
  <c r="M61" i="106" s="1"/>
  <c r="M62" i="106" s="1"/>
  <c r="M63" i="106" s="1"/>
  <c r="M64" i="106" s="1"/>
  <c r="M65" i="106" s="1"/>
  <c r="M66" i="106" s="1"/>
  <c r="M67" i="106" s="1"/>
  <c r="M68" i="106" s="1"/>
  <c r="M69" i="106" s="1"/>
  <c r="M70" i="106" s="1"/>
  <c r="M71" i="106" s="1"/>
  <c r="M72" i="106" s="1"/>
  <c r="M73" i="106" s="1"/>
  <c r="M74" i="106" s="1"/>
  <c r="M75" i="106" s="1"/>
  <c r="M76" i="106" s="1"/>
  <c r="M77" i="106" s="1"/>
  <c r="M78" i="106" s="1"/>
  <c r="M79" i="106" s="1"/>
  <c r="M80" i="106" s="1"/>
  <c r="M81" i="106" s="1"/>
  <c r="M82" i="106" s="1"/>
  <c r="M83" i="106" s="1"/>
  <c r="M84" i="106" s="1"/>
  <c r="M85" i="106" s="1"/>
  <c r="M86" i="106" s="1"/>
  <c r="M87" i="106" s="1"/>
  <c r="M88" i="106" s="1"/>
  <c r="M89" i="106" s="1"/>
  <c r="M90" i="106" s="1"/>
  <c r="M91" i="106" s="1"/>
  <c r="M92" i="106" s="1"/>
  <c r="M93" i="106" s="1"/>
  <c r="M94" i="106" s="1"/>
  <c r="M95" i="106" s="1"/>
  <c r="M96" i="106" s="1"/>
  <c r="M97" i="106" s="1"/>
  <c r="M98" i="106" s="1"/>
  <c r="M99" i="106" s="1"/>
  <c r="M100" i="106" s="1"/>
  <c r="M101" i="106" s="1"/>
  <c r="M102" i="106" s="1"/>
  <c r="M103" i="106" s="1"/>
  <c r="M104" i="106" s="1"/>
  <c r="M105" i="106" s="1"/>
  <c r="M106" i="106" s="1"/>
  <c r="M107" i="106" s="1"/>
  <c r="M108" i="106" s="1"/>
  <c r="M109" i="106" s="1"/>
  <c r="M110" i="106" s="1"/>
  <c r="M111" i="106" s="1"/>
  <c r="M112" i="106" s="1"/>
  <c r="M113" i="106" s="1"/>
  <c r="M114" i="106" s="1"/>
  <c r="M115" i="106" s="1"/>
  <c r="M116" i="106" s="1"/>
  <c r="M117" i="106" s="1"/>
  <c r="M118" i="106" s="1"/>
  <c r="M119" i="106" s="1"/>
  <c r="M120" i="106" s="1"/>
  <c r="M121" i="106" s="1"/>
  <c r="M122" i="106" s="1"/>
  <c r="M123" i="106" s="1"/>
  <c r="M124" i="106" s="1"/>
  <c r="M125" i="106" s="1"/>
  <c r="M126" i="106" s="1"/>
  <c r="M127" i="106" s="1"/>
  <c r="M128" i="106" s="1"/>
  <c r="M129" i="106" s="1"/>
  <c r="M130" i="106" s="1"/>
  <c r="M34" i="105"/>
  <c r="V34" i="105"/>
  <c r="V35" i="105" s="1"/>
  <c r="V36" i="105" s="1"/>
  <c r="V37" i="105" s="1"/>
  <c r="V38" i="105" s="1"/>
  <c r="V39" i="105" s="1"/>
  <c r="V40" i="105" s="1"/>
  <c r="V41" i="105" s="1"/>
  <c r="V42" i="105" s="1"/>
  <c r="V43" i="105" s="1"/>
  <c r="V44" i="105" s="1"/>
  <c r="V45" i="105" s="1"/>
  <c r="V46" i="105" s="1"/>
  <c r="V47" i="105" s="1"/>
  <c r="V48" i="105" s="1"/>
  <c r="V49" i="105" s="1"/>
  <c r="V50" i="105" s="1"/>
  <c r="V51" i="105" s="1"/>
  <c r="V52" i="105" s="1"/>
  <c r="V53" i="105" s="1"/>
  <c r="V54" i="105" s="1"/>
  <c r="V55" i="105" s="1"/>
  <c r="V56" i="105" s="1"/>
  <c r="V57" i="105" s="1"/>
  <c r="V58" i="105" s="1"/>
  <c r="V59" i="105" s="1"/>
  <c r="V60" i="105" s="1"/>
  <c r="V61" i="105" s="1"/>
  <c r="V62" i="105" s="1"/>
  <c r="V63" i="105" s="1"/>
  <c r="V64" i="105" s="1"/>
  <c r="V65" i="105" s="1"/>
  <c r="V66" i="105" s="1"/>
  <c r="V67" i="105" s="1"/>
  <c r="V68" i="105" s="1"/>
  <c r="V69" i="105" s="1"/>
  <c r="V70" i="105" s="1"/>
  <c r="V71" i="105" s="1"/>
  <c r="V72" i="105" s="1"/>
  <c r="V73" i="105" s="1"/>
  <c r="V74" i="105" s="1"/>
  <c r="V75" i="105" s="1"/>
  <c r="V76" i="105" s="1"/>
  <c r="V77" i="105" s="1"/>
  <c r="V78" i="105" s="1"/>
  <c r="V79" i="105" s="1"/>
  <c r="V80" i="105" s="1"/>
  <c r="V81" i="105" s="1"/>
  <c r="V82" i="105" s="1"/>
  <c r="V34" i="106"/>
  <c r="V35" i="106" s="1"/>
  <c r="V36" i="106" s="1"/>
  <c r="V37" i="106" s="1"/>
  <c r="V38" i="106" s="1"/>
  <c r="V39" i="106" s="1"/>
  <c r="V40" i="106" s="1"/>
  <c r="V41" i="106" s="1"/>
  <c r="V42" i="106" s="1"/>
  <c r="V43" i="106" s="1"/>
  <c r="V44" i="106" s="1"/>
  <c r="V45" i="106" s="1"/>
  <c r="V46" i="106" s="1"/>
  <c r="V47" i="106" s="1"/>
  <c r="V48" i="106" s="1"/>
  <c r="V49" i="106" s="1"/>
  <c r="V50" i="106" s="1"/>
  <c r="V51" i="106" s="1"/>
  <c r="V52" i="106" s="1"/>
  <c r="V53" i="106" s="1"/>
  <c r="V54" i="106" s="1"/>
  <c r="V55" i="106" s="1"/>
  <c r="V56" i="106" s="1"/>
  <c r="V57" i="106" s="1"/>
  <c r="V58" i="106" s="1"/>
  <c r="V59" i="106" s="1"/>
  <c r="V60" i="106" s="1"/>
  <c r="V61" i="106" s="1"/>
  <c r="V62" i="106" s="1"/>
  <c r="V63" i="106" s="1"/>
  <c r="V64" i="106" s="1"/>
  <c r="V65" i="106" s="1"/>
  <c r="V66" i="106" s="1"/>
  <c r="V67" i="106" s="1"/>
  <c r="V68" i="106" s="1"/>
  <c r="V69" i="106" s="1"/>
  <c r="V70" i="106" s="1"/>
  <c r="V71" i="106" s="1"/>
  <c r="V72" i="106" s="1"/>
  <c r="V73" i="106" s="1"/>
  <c r="V74" i="106" s="1"/>
  <c r="V75" i="106" s="1"/>
  <c r="V76" i="106" s="1"/>
  <c r="V77" i="106" s="1"/>
  <c r="V78" i="106" s="1"/>
  <c r="V79" i="106" s="1"/>
  <c r="V80" i="106" s="1"/>
  <c r="V81" i="106" s="1"/>
  <c r="V82" i="106" s="1"/>
  <c r="M35" i="95"/>
  <c r="M36" i="95" s="1"/>
  <c r="M37" i="95" s="1"/>
  <c r="M38" i="95" s="1"/>
  <c r="M39" i="95" s="1"/>
  <c r="M40" i="95" s="1"/>
  <c r="M41" i="95" s="1"/>
  <c r="M42" i="95" s="1"/>
  <c r="M43" i="95" s="1"/>
  <c r="M44" i="95" s="1"/>
  <c r="M45" i="95" s="1"/>
  <c r="M46" i="95" s="1"/>
  <c r="M47" i="95" s="1"/>
  <c r="M48" i="95" s="1"/>
  <c r="M49" i="95" s="1"/>
  <c r="M50" i="95" s="1"/>
  <c r="M51" i="95" s="1"/>
  <c r="M52" i="95" s="1"/>
  <c r="M53" i="95" s="1"/>
  <c r="M54" i="95" s="1"/>
  <c r="M55" i="95" s="1"/>
  <c r="M56" i="95" s="1"/>
  <c r="M57" i="95" s="1"/>
  <c r="M58" i="95" s="1"/>
  <c r="M59" i="95" s="1"/>
  <c r="M60" i="95" s="1"/>
  <c r="M61" i="95" s="1"/>
  <c r="M62" i="95" s="1"/>
  <c r="M63" i="95" s="1"/>
  <c r="M64" i="95" s="1"/>
  <c r="M65" i="95" s="1"/>
  <c r="M66" i="95" s="1"/>
  <c r="M67" i="95" s="1"/>
  <c r="M68" i="95" s="1"/>
  <c r="M69" i="95" s="1"/>
  <c r="M70" i="95" s="1"/>
  <c r="M71" i="95" s="1"/>
  <c r="M72" i="95" s="1"/>
  <c r="M73" i="95" s="1"/>
  <c r="M74" i="95" s="1"/>
  <c r="M75" i="95" s="1"/>
  <c r="M76" i="95" s="1"/>
  <c r="M77" i="95" s="1"/>
  <c r="M78" i="95" s="1"/>
  <c r="M79" i="95" s="1"/>
  <c r="M80" i="95" s="1"/>
  <c r="M81" i="95" s="1"/>
  <c r="M82" i="95" s="1"/>
  <c r="M83" i="95" s="1"/>
  <c r="M84" i="95" s="1"/>
  <c r="M85" i="95" s="1"/>
  <c r="M86" i="95" s="1"/>
  <c r="M87" i="95" s="1"/>
  <c r="M88" i="95" s="1"/>
  <c r="M89" i="95" s="1"/>
  <c r="M90" i="95" s="1"/>
  <c r="M91" i="95" s="1"/>
  <c r="M92" i="95" s="1"/>
  <c r="M93" i="95" s="1"/>
  <c r="M94" i="95" s="1"/>
  <c r="M95" i="95" s="1"/>
  <c r="M96" i="95" s="1"/>
  <c r="M97" i="95" s="1"/>
  <c r="M98" i="95" s="1"/>
  <c r="M99" i="95" s="1"/>
  <c r="M100" i="95" s="1"/>
  <c r="M101" i="95" s="1"/>
  <c r="M102" i="95" s="1"/>
  <c r="M103" i="95" s="1"/>
  <c r="M104" i="95" s="1"/>
  <c r="M105" i="95" s="1"/>
  <c r="M106" i="95" s="1"/>
  <c r="M107" i="95" s="1"/>
  <c r="M108" i="95" s="1"/>
  <c r="M109" i="95" s="1"/>
  <c r="M110" i="95" s="1"/>
  <c r="M111" i="95" s="1"/>
  <c r="M112" i="95" s="1"/>
  <c r="M113" i="95" s="1"/>
  <c r="M114" i="95" s="1"/>
  <c r="M115" i="95" s="1"/>
  <c r="M116" i="95" s="1"/>
  <c r="M117" i="95" s="1"/>
  <c r="M118" i="95" s="1"/>
  <c r="M119" i="95" s="1"/>
  <c r="M120" i="95" s="1"/>
  <c r="M121" i="95" s="1"/>
  <c r="M122" i="95" s="1"/>
  <c r="M123" i="95" s="1"/>
  <c r="M124" i="95" s="1"/>
  <c r="M125" i="95" s="1"/>
  <c r="M126" i="95" s="1"/>
  <c r="M127" i="95" s="1"/>
  <c r="M128" i="95" s="1"/>
  <c r="M129" i="95" s="1"/>
  <c r="M130" i="95" s="1"/>
  <c r="R29" i="15"/>
  <c r="Y22" i="15"/>
  <c r="AA22" i="15"/>
  <c r="Y34" i="15" a="1"/>
  <c r="Z20" i="15" a="1"/>
  <c r="Z21" i="15" a="1"/>
  <c r="C21" i="15" a="1"/>
  <c r="C20" i="15" a="1"/>
  <c r="C21" i="15" l="1"/>
  <c r="C20" i="15"/>
  <c r="M67" i="121"/>
  <c r="M68" i="121" s="1"/>
  <c r="M69" i="121" s="1"/>
  <c r="M70" i="121" s="1"/>
  <c r="M71" i="121" s="1"/>
  <c r="M72" i="121" s="1"/>
  <c r="M73" i="121" s="1"/>
  <c r="M74" i="121" s="1"/>
  <c r="M75" i="121" s="1"/>
  <c r="M76" i="121" s="1"/>
  <c r="M77" i="121" s="1"/>
  <c r="M78" i="121" s="1"/>
  <c r="M79" i="121" s="1"/>
  <c r="M80" i="121" s="1"/>
  <c r="M81" i="121" s="1"/>
  <c r="M82" i="121" s="1"/>
  <c r="M83" i="121" s="1"/>
  <c r="M84" i="121" s="1"/>
  <c r="M85" i="121" s="1"/>
  <c r="M86" i="121" s="1"/>
  <c r="M87" i="121" s="1"/>
  <c r="M88" i="121" s="1"/>
  <c r="M89" i="121" s="1"/>
  <c r="M90" i="121" s="1"/>
  <c r="M91" i="121" s="1"/>
  <c r="M92" i="121" s="1"/>
  <c r="M93" i="121" s="1"/>
  <c r="M94" i="121" s="1"/>
  <c r="M95" i="121" s="1"/>
  <c r="M96" i="121" s="1"/>
  <c r="M97" i="121" s="1"/>
  <c r="M98" i="121" s="1"/>
  <c r="M99" i="121" s="1"/>
  <c r="M100" i="121" s="1"/>
  <c r="M101" i="121" s="1"/>
  <c r="M102" i="121" s="1"/>
  <c r="M103" i="121" s="1"/>
  <c r="M104" i="121" s="1"/>
  <c r="M105" i="121" s="1"/>
  <c r="M106" i="121" s="1"/>
  <c r="M107" i="121" s="1"/>
  <c r="M108" i="121" s="1"/>
  <c r="M109" i="121" s="1"/>
  <c r="M110" i="121" s="1"/>
  <c r="M111" i="121" s="1"/>
  <c r="M112" i="121" s="1"/>
  <c r="M113" i="121" s="1"/>
  <c r="M114" i="121" s="1"/>
  <c r="M115" i="121" s="1"/>
  <c r="M116" i="121" s="1"/>
  <c r="M117" i="121" s="1"/>
  <c r="M118" i="121" s="1"/>
  <c r="M119" i="121" s="1"/>
  <c r="M120" i="121" s="1"/>
  <c r="M121" i="121" s="1"/>
  <c r="M122" i="121" s="1"/>
  <c r="M123" i="121" s="1"/>
  <c r="M124" i="121" s="1"/>
  <c r="M125" i="121" s="1"/>
  <c r="M126" i="121" s="1"/>
  <c r="M127" i="121" s="1"/>
  <c r="M128" i="121" s="1"/>
  <c r="M129" i="121" s="1"/>
  <c r="M130" i="121" s="1"/>
  <c r="Z31" i="121" a="1"/>
  <c r="Z31" i="121" s="1"/>
  <c r="U30" i="121" s="1"/>
  <c r="W29" i="111"/>
  <c r="Z31" i="116" a="1"/>
  <c r="Z31" i="116" s="1"/>
  <c r="U30" i="116" s="1"/>
  <c r="V29" i="116"/>
  <c r="Q31" i="116" a="1"/>
  <c r="Q31" i="116" s="1"/>
  <c r="L30" i="116" s="1"/>
  <c r="U29" i="116" s="1"/>
  <c r="W29" i="116" s="1"/>
  <c r="Z31" i="115" a="1"/>
  <c r="Z31" i="115" s="1"/>
  <c r="U30" i="115" s="1"/>
  <c r="Q31" i="115" a="1"/>
  <c r="Q31" i="115" s="1"/>
  <c r="L30" i="115" s="1"/>
  <c r="U29" i="115" s="1"/>
  <c r="W29" i="115" s="1"/>
  <c r="V29" i="115"/>
  <c r="Z31" i="114" a="1"/>
  <c r="Z31" i="114" s="1"/>
  <c r="U30" i="114" s="1"/>
  <c r="V29" i="114"/>
  <c r="Q31" i="114" a="1"/>
  <c r="Q31" i="114" s="1"/>
  <c r="L30" i="114" s="1"/>
  <c r="U29" i="114" s="1"/>
  <c r="W29" i="114" s="1"/>
  <c r="Z31" i="112" a="1"/>
  <c r="Z31" i="112" s="1"/>
  <c r="U30" i="112" s="1"/>
  <c r="M35" i="112"/>
  <c r="M36" i="112" s="1"/>
  <c r="M37" i="112" s="1"/>
  <c r="M38" i="112" s="1"/>
  <c r="M39" i="112" s="1"/>
  <c r="M40" i="112" s="1"/>
  <c r="M41" i="112" s="1"/>
  <c r="M42" i="112" s="1"/>
  <c r="M43" i="112" s="1"/>
  <c r="M44" i="112" s="1"/>
  <c r="M45" i="112" s="1"/>
  <c r="M46" i="112" s="1"/>
  <c r="M47" i="112" s="1"/>
  <c r="M48" i="112" s="1"/>
  <c r="M49" i="112" s="1"/>
  <c r="M50" i="112" s="1"/>
  <c r="M51" i="112" s="1"/>
  <c r="M52" i="112" s="1"/>
  <c r="M53" i="112" s="1"/>
  <c r="M54" i="112" s="1"/>
  <c r="M55" i="112" s="1"/>
  <c r="M56" i="112" s="1"/>
  <c r="M57" i="112" s="1"/>
  <c r="M58" i="112" s="1"/>
  <c r="M59" i="112" s="1"/>
  <c r="M60" i="112" s="1"/>
  <c r="M61" i="112" s="1"/>
  <c r="M62" i="112" s="1"/>
  <c r="M63" i="112" s="1"/>
  <c r="M64" i="112" s="1"/>
  <c r="M65" i="112" s="1"/>
  <c r="M66" i="112" s="1"/>
  <c r="M67" i="112" s="1"/>
  <c r="M68" i="112" s="1"/>
  <c r="M69" i="112" s="1"/>
  <c r="M70" i="112" s="1"/>
  <c r="M71" i="112" s="1"/>
  <c r="M72" i="112" s="1"/>
  <c r="M73" i="112" s="1"/>
  <c r="M74" i="112" s="1"/>
  <c r="M75" i="112" s="1"/>
  <c r="M76" i="112" s="1"/>
  <c r="M77" i="112" s="1"/>
  <c r="M78" i="112" s="1"/>
  <c r="M79" i="112" s="1"/>
  <c r="M80" i="112" s="1"/>
  <c r="M81" i="112" s="1"/>
  <c r="M82" i="112" s="1"/>
  <c r="M83" i="112" s="1"/>
  <c r="M84" i="112" s="1"/>
  <c r="M85" i="112" s="1"/>
  <c r="M86" i="112" s="1"/>
  <c r="M87" i="112" s="1"/>
  <c r="M88" i="112" s="1"/>
  <c r="M89" i="112" s="1"/>
  <c r="M90" i="112" s="1"/>
  <c r="M91" i="112" s="1"/>
  <c r="M92" i="112" s="1"/>
  <c r="M93" i="112" s="1"/>
  <c r="M94" i="112" s="1"/>
  <c r="M95" i="112" s="1"/>
  <c r="M96" i="112" s="1"/>
  <c r="M97" i="112" s="1"/>
  <c r="M98" i="112" s="1"/>
  <c r="M99" i="112" s="1"/>
  <c r="M100" i="112" s="1"/>
  <c r="M101" i="112" s="1"/>
  <c r="M102" i="112" s="1"/>
  <c r="M103" i="112" s="1"/>
  <c r="M104" i="112" s="1"/>
  <c r="M105" i="112" s="1"/>
  <c r="M106" i="112" s="1"/>
  <c r="M107" i="112" s="1"/>
  <c r="M108" i="112" s="1"/>
  <c r="M109" i="112" s="1"/>
  <c r="M110" i="112" s="1"/>
  <c r="M111" i="112" s="1"/>
  <c r="M112" i="112" s="1"/>
  <c r="M113" i="112" s="1"/>
  <c r="M114" i="112" s="1"/>
  <c r="M115" i="112" s="1"/>
  <c r="M116" i="112" s="1"/>
  <c r="M117" i="112" s="1"/>
  <c r="M118" i="112" s="1"/>
  <c r="M119" i="112" s="1"/>
  <c r="M120" i="112" s="1"/>
  <c r="M121" i="112" s="1"/>
  <c r="M122" i="112" s="1"/>
  <c r="M123" i="112" s="1"/>
  <c r="M124" i="112" s="1"/>
  <c r="M125" i="112" s="1"/>
  <c r="M126" i="112" s="1"/>
  <c r="M127" i="112" s="1"/>
  <c r="M128" i="112" s="1"/>
  <c r="M129" i="112" s="1"/>
  <c r="M130" i="112" s="1"/>
  <c r="Q31" i="109" a="1"/>
  <c r="Q31" i="109" s="1"/>
  <c r="L30" i="109" s="1"/>
  <c r="U29" i="109" s="1"/>
  <c r="V29" i="109"/>
  <c r="Z31" i="109" a="1"/>
  <c r="Z31" i="109" s="1"/>
  <c r="U30" i="109" s="1"/>
  <c r="Z31" i="119" a="1"/>
  <c r="Z31" i="119" s="1"/>
  <c r="U30" i="119" s="1"/>
  <c r="V29" i="119"/>
  <c r="Q31" i="119" a="1"/>
  <c r="Q31" i="119" s="1"/>
  <c r="L30" i="119" s="1"/>
  <c r="U29" i="119" s="1"/>
  <c r="W29" i="119" s="1"/>
  <c r="Z31" i="101" a="1"/>
  <c r="Z31" i="101" s="1"/>
  <c r="U30" i="101" s="1"/>
  <c r="Z31" i="102" a="1"/>
  <c r="Z31" i="102" s="1"/>
  <c r="U30" i="102" s="1"/>
  <c r="V29" i="101"/>
  <c r="Q31" i="101" a="1"/>
  <c r="Q31" i="101" s="1"/>
  <c r="L30" i="101" s="1"/>
  <c r="U29" i="101" s="1"/>
  <c r="W29" i="101" s="1"/>
  <c r="V29" i="102"/>
  <c r="Q31" i="102" a="1"/>
  <c r="Q31" i="102" s="1"/>
  <c r="L30" i="102" s="1"/>
  <c r="Z31" i="99" a="1"/>
  <c r="Z31" i="99" s="1"/>
  <c r="U30" i="99" s="1"/>
  <c r="Q31" i="99" a="1"/>
  <c r="Q31" i="99" s="1"/>
  <c r="L30" i="99" s="1"/>
  <c r="U29" i="99" s="1"/>
  <c r="W29" i="99" s="1"/>
  <c r="Q31" i="98" a="1"/>
  <c r="Q31" i="98" s="1"/>
  <c r="L30" i="98" s="1"/>
  <c r="U29" i="98" s="1"/>
  <c r="W29" i="98" s="1"/>
  <c r="V29" i="98"/>
  <c r="V29" i="99"/>
  <c r="Z31" i="98" a="1"/>
  <c r="Z31" i="98" s="1"/>
  <c r="U30" i="98" s="1"/>
  <c r="M35" i="103"/>
  <c r="M36" i="103" s="1"/>
  <c r="M37" i="103" s="1"/>
  <c r="M38" i="103" s="1"/>
  <c r="M39" i="103" s="1"/>
  <c r="M40" i="103" s="1"/>
  <c r="M41" i="103" s="1"/>
  <c r="M42" i="103" s="1"/>
  <c r="M43" i="103" s="1"/>
  <c r="M44" i="103" s="1"/>
  <c r="M45" i="103" s="1"/>
  <c r="M46" i="103" s="1"/>
  <c r="M47" i="103" s="1"/>
  <c r="M48" i="103" s="1"/>
  <c r="M49" i="103" s="1"/>
  <c r="M50" i="103" s="1"/>
  <c r="M51" i="103" s="1"/>
  <c r="M52" i="103" s="1"/>
  <c r="M53" i="103" s="1"/>
  <c r="M54" i="103" s="1"/>
  <c r="M55" i="103" s="1"/>
  <c r="M56" i="103" s="1"/>
  <c r="M57" i="103" s="1"/>
  <c r="M58" i="103" s="1"/>
  <c r="M59" i="103" s="1"/>
  <c r="M60" i="103" s="1"/>
  <c r="M61" i="103" s="1"/>
  <c r="M62" i="103" s="1"/>
  <c r="M63" i="103" s="1"/>
  <c r="M64" i="103" s="1"/>
  <c r="M65" i="103" s="1"/>
  <c r="M66" i="103" s="1"/>
  <c r="M67" i="103" s="1"/>
  <c r="M68" i="103" s="1"/>
  <c r="M69" i="103" s="1"/>
  <c r="M70" i="103" s="1"/>
  <c r="M71" i="103" s="1"/>
  <c r="M72" i="103" s="1"/>
  <c r="M73" i="103" s="1"/>
  <c r="M74" i="103" s="1"/>
  <c r="M75" i="103" s="1"/>
  <c r="M76" i="103" s="1"/>
  <c r="M77" i="103" s="1"/>
  <c r="M78" i="103" s="1"/>
  <c r="M79" i="103" s="1"/>
  <c r="M80" i="103" s="1"/>
  <c r="M81" i="103" s="1"/>
  <c r="M82" i="103" s="1"/>
  <c r="M83" i="103" s="1"/>
  <c r="M84" i="103" s="1"/>
  <c r="M85" i="103" s="1"/>
  <c r="M86" i="103" s="1"/>
  <c r="M87" i="103" s="1"/>
  <c r="M88" i="103" s="1"/>
  <c r="M89" i="103" s="1"/>
  <c r="M90" i="103" s="1"/>
  <c r="M91" i="103" s="1"/>
  <c r="M92" i="103" s="1"/>
  <c r="M93" i="103" s="1"/>
  <c r="M94" i="103" s="1"/>
  <c r="M95" i="103" s="1"/>
  <c r="M96" i="103" s="1"/>
  <c r="M97" i="103" s="1"/>
  <c r="M98" i="103" s="1"/>
  <c r="M99" i="103" s="1"/>
  <c r="M100" i="103" s="1"/>
  <c r="M101" i="103" s="1"/>
  <c r="M102" i="103" s="1"/>
  <c r="M103" i="103" s="1"/>
  <c r="M104" i="103" s="1"/>
  <c r="M105" i="103" s="1"/>
  <c r="M106" i="103" s="1"/>
  <c r="M107" i="103" s="1"/>
  <c r="M108" i="103" s="1"/>
  <c r="M109" i="103" s="1"/>
  <c r="M110" i="103" s="1"/>
  <c r="M111" i="103" s="1"/>
  <c r="M112" i="103" s="1"/>
  <c r="M113" i="103" s="1"/>
  <c r="M114" i="103" s="1"/>
  <c r="M115" i="103" s="1"/>
  <c r="M116" i="103" s="1"/>
  <c r="M117" i="103" s="1"/>
  <c r="M118" i="103" s="1"/>
  <c r="M119" i="103" s="1"/>
  <c r="M120" i="103" s="1"/>
  <c r="M121" i="103" s="1"/>
  <c r="M122" i="103" s="1"/>
  <c r="M123" i="103" s="1"/>
  <c r="M124" i="103" s="1"/>
  <c r="M125" i="103" s="1"/>
  <c r="M126" i="103" s="1"/>
  <c r="M127" i="103" s="1"/>
  <c r="M128" i="103" s="1"/>
  <c r="M129" i="103" s="1"/>
  <c r="M130" i="103" s="1"/>
  <c r="Z31" i="103" a="1"/>
  <c r="Z31" i="103" s="1"/>
  <c r="U30" i="103" s="1"/>
  <c r="Q31" i="106" a="1"/>
  <c r="Q31" i="106" s="1"/>
  <c r="L30" i="106" s="1"/>
  <c r="U29" i="106" s="1"/>
  <c r="V29" i="106"/>
  <c r="Z31" i="106" a="1"/>
  <c r="Z31" i="106" s="1"/>
  <c r="U30" i="106" s="1"/>
  <c r="Z31" i="105" a="1"/>
  <c r="Z31" i="105" s="1"/>
  <c r="U30" i="105" s="1"/>
  <c r="M35" i="105"/>
  <c r="M36" i="105" s="1"/>
  <c r="M37" i="105" s="1"/>
  <c r="M38" i="105" s="1"/>
  <c r="M39" i="105" s="1"/>
  <c r="M40" i="105" s="1"/>
  <c r="M41" i="105" s="1"/>
  <c r="M42" i="105" s="1"/>
  <c r="M43" i="105" s="1"/>
  <c r="M44" i="105" s="1"/>
  <c r="M45" i="105" s="1"/>
  <c r="M46" i="105" s="1"/>
  <c r="M47" i="105" s="1"/>
  <c r="M48" i="105" s="1"/>
  <c r="M49" i="105" s="1"/>
  <c r="M50" i="105" s="1"/>
  <c r="M51" i="105" s="1"/>
  <c r="M52" i="105" s="1"/>
  <c r="M53" i="105" s="1"/>
  <c r="M54" i="105" s="1"/>
  <c r="M55" i="105" s="1"/>
  <c r="M56" i="105" s="1"/>
  <c r="M57" i="105" s="1"/>
  <c r="M58" i="105" s="1"/>
  <c r="M59" i="105" s="1"/>
  <c r="M60" i="105" s="1"/>
  <c r="M61" i="105" s="1"/>
  <c r="M62" i="105" s="1"/>
  <c r="M63" i="105" s="1"/>
  <c r="M64" i="105" s="1"/>
  <c r="M65" i="105" s="1"/>
  <c r="M66" i="105" s="1"/>
  <c r="M67" i="105" s="1"/>
  <c r="M68" i="105" s="1"/>
  <c r="M69" i="105" s="1"/>
  <c r="M70" i="105" s="1"/>
  <c r="M71" i="105" s="1"/>
  <c r="M72" i="105" s="1"/>
  <c r="M73" i="105" s="1"/>
  <c r="M74" i="105" s="1"/>
  <c r="M75" i="105" s="1"/>
  <c r="M76" i="105" s="1"/>
  <c r="M77" i="105" s="1"/>
  <c r="M78" i="105" s="1"/>
  <c r="M79" i="105" s="1"/>
  <c r="M80" i="105" s="1"/>
  <c r="M81" i="105" s="1"/>
  <c r="M82" i="105" s="1"/>
  <c r="M83" i="105" s="1"/>
  <c r="M84" i="105" s="1"/>
  <c r="M85" i="105" s="1"/>
  <c r="M86" i="105" s="1"/>
  <c r="M87" i="105" s="1"/>
  <c r="M88" i="105" s="1"/>
  <c r="M89" i="105" s="1"/>
  <c r="M90" i="105" s="1"/>
  <c r="M91" i="105" s="1"/>
  <c r="M92" i="105" s="1"/>
  <c r="M93" i="105" s="1"/>
  <c r="M94" i="105" s="1"/>
  <c r="M95" i="105" s="1"/>
  <c r="M96" i="105" s="1"/>
  <c r="M97" i="105" s="1"/>
  <c r="M98" i="105" s="1"/>
  <c r="M99" i="105" s="1"/>
  <c r="M100" i="105" s="1"/>
  <c r="M101" i="105" s="1"/>
  <c r="M102" i="105" s="1"/>
  <c r="M103" i="105" s="1"/>
  <c r="M104" i="105" s="1"/>
  <c r="M105" i="105" s="1"/>
  <c r="M106" i="105" s="1"/>
  <c r="M107" i="105" s="1"/>
  <c r="M108" i="105" s="1"/>
  <c r="M109" i="105" s="1"/>
  <c r="M110" i="105" s="1"/>
  <c r="M111" i="105" s="1"/>
  <c r="M112" i="105" s="1"/>
  <c r="M113" i="105" s="1"/>
  <c r="M114" i="105" s="1"/>
  <c r="M115" i="105" s="1"/>
  <c r="M116" i="105" s="1"/>
  <c r="M117" i="105" s="1"/>
  <c r="M118" i="105" s="1"/>
  <c r="M119" i="105" s="1"/>
  <c r="M120" i="105" s="1"/>
  <c r="M121" i="105" s="1"/>
  <c r="M122" i="105" s="1"/>
  <c r="M123" i="105" s="1"/>
  <c r="M124" i="105" s="1"/>
  <c r="M125" i="105" s="1"/>
  <c r="M126" i="105" s="1"/>
  <c r="M127" i="105" s="1"/>
  <c r="M128" i="105" s="1"/>
  <c r="M129" i="105" s="1"/>
  <c r="M130" i="105" s="1"/>
  <c r="Q31" i="95" a="1"/>
  <c r="Q31" i="95" s="1"/>
  <c r="L30" i="95" s="1"/>
  <c r="U29" i="95" s="1"/>
  <c r="V29" i="95"/>
  <c r="Z31" i="95" a="1"/>
  <c r="Z31" i="95" s="1"/>
  <c r="U30" i="95" s="1"/>
  <c r="Z21" i="15"/>
  <c r="Z20" i="15"/>
  <c r="Y34" i="15"/>
  <c r="C22" i="15" a="1"/>
  <c r="G21" i="15" a="1"/>
  <c r="Z22" i="15" a="1"/>
  <c r="G20" i="15" a="1"/>
  <c r="P21" i="15" a="1"/>
  <c r="U21" i="15" a="1"/>
  <c r="C22" i="15" l="1"/>
  <c r="W29" i="95"/>
  <c r="F23" i="95"/>
  <c r="U29" i="102"/>
  <c r="W29" i="102" s="1"/>
  <c r="V29" i="121"/>
  <c r="Q31" i="121" a="1"/>
  <c r="Q31" i="121" s="1"/>
  <c r="L30" i="121" s="1"/>
  <c r="U29" i="121" s="1"/>
  <c r="W29" i="121" s="1"/>
  <c r="Q31" i="112" a="1"/>
  <c r="Q31" i="112" s="1"/>
  <c r="L30" i="112" s="1"/>
  <c r="U29" i="112" s="1"/>
  <c r="V29" i="112"/>
  <c r="W29" i="106"/>
  <c r="F23" i="106"/>
  <c r="W29" i="109"/>
  <c r="P21" i="15"/>
  <c r="Q31" i="103" a="1"/>
  <c r="Q31" i="103" s="1"/>
  <c r="L30" i="103" s="1"/>
  <c r="U29" i="103" s="1"/>
  <c r="V29" i="103"/>
  <c r="Q31" i="105" a="1"/>
  <c r="Q31" i="105" s="1"/>
  <c r="L30" i="105" s="1"/>
  <c r="U29" i="105" s="1"/>
  <c r="V29" i="105"/>
  <c r="G21" i="15"/>
  <c r="U21" i="15"/>
  <c r="Z22" i="15"/>
  <c r="G20" i="15"/>
  <c r="D22" i="15" a="1"/>
  <c r="R20" i="15" a="1"/>
  <c r="E22" i="15" a="1"/>
  <c r="E21" i="15" a="1"/>
  <c r="G33" i="15" a="1"/>
  <c r="R21" i="15" a="1"/>
  <c r="G22" i="15" a="1"/>
  <c r="J21" i="15" a="1"/>
  <c r="J20" i="15" a="1"/>
  <c r="M21" i="15" a="1"/>
  <c r="D21" i="15" a="1"/>
  <c r="H21" i="15" a="1"/>
  <c r="Q21" i="15"/>
  <c r="R20" i="15" l="1"/>
  <c r="W29" i="112"/>
  <c r="H21" i="15"/>
  <c r="W29" i="105"/>
  <c r="W29" i="103"/>
  <c r="J21" i="15"/>
  <c r="R21" i="15"/>
  <c r="M21" i="15"/>
  <c r="D21" i="15"/>
  <c r="J20" i="15"/>
  <c r="G22" i="15"/>
  <c r="E22" i="15"/>
  <c r="E21" i="15"/>
  <c r="G33" i="15"/>
  <c r="D22" i="15"/>
  <c r="P20" i="15" a="1"/>
  <c r="J22" i="15" a="1"/>
  <c r="R22" i="15" a="1"/>
  <c r="M20" i="15" a="1"/>
  <c r="K21" i="15"/>
  <c r="N21" i="15" a="1"/>
  <c r="F21" i="106" l="1"/>
  <c r="F21" i="121"/>
  <c r="F23" i="121"/>
  <c r="F21" i="109"/>
  <c r="F23" i="109"/>
  <c r="R22" i="15"/>
  <c r="M20" i="15"/>
  <c r="N21" i="15"/>
  <c r="P20" i="15"/>
  <c r="J22" i="15"/>
  <c r="F23" i="103" s="1"/>
  <c r="B42" i="6"/>
  <c r="B41" i="6" s="1"/>
  <c r="B39" i="6"/>
  <c r="B38" i="6" s="1"/>
  <c r="B34" i="6"/>
  <c r="B33" i="6" s="1"/>
  <c r="B26" i="6"/>
  <c r="G34" i="15" a="1"/>
  <c r="E33" i="15" a="1"/>
  <c r="P22" i="15" a="1"/>
  <c r="M22" i="15" a="1"/>
  <c r="E34" i="15" a="1"/>
  <c r="H22" i="15" a="1"/>
  <c r="K20" i="15" a="1"/>
  <c r="Q20" i="15" a="1"/>
  <c r="E34" i="15" l="1"/>
  <c r="G34" i="15"/>
  <c r="F23" i="112"/>
  <c r="F21" i="112"/>
  <c r="H22" i="15"/>
  <c r="F21" i="103"/>
  <c r="K20" i="15"/>
  <c r="Q20" i="15"/>
  <c r="E33" i="15"/>
  <c r="M22" i="15"/>
  <c r="P22" i="15"/>
  <c r="B28" i="9"/>
  <c r="B27" i="9"/>
  <c r="B26" i="9"/>
  <c r="B25" i="9"/>
  <c r="B22" i="6"/>
  <c r="B23" i="6"/>
  <c r="J33" i="15" a="1"/>
  <c r="K22" i="15" a="1"/>
  <c r="Q22" i="15" a="1"/>
  <c r="F21" i="98" l="1"/>
  <c r="F23" i="98"/>
  <c r="F21" i="105"/>
  <c r="F23" i="105"/>
  <c r="K22" i="15"/>
  <c r="F21" i="95" s="1"/>
  <c r="Q22" i="15"/>
  <c r="F21" i="101"/>
  <c r="F23" i="101"/>
  <c r="J33" i="15"/>
  <c r="M33" i="15" a="1"/>
  <c r="M34" i="15" a="1"/>
  <c r="P33" i="15" a="1"/>
  <c r="H34" i="15" a="1"/>
  <c r="N22" i="15" a="1"/>
  <c r="H20" i="15"/>
  <c r="M33" i="15" l="1"/>
  <c r="M34" i="15"/>
  <c r="F21" i="102"/>
  <c r="F23" i="102"/>
  <c r="H34" i="15"/>
  <c r="N22" i="15"/>
  <c r="F21" i="99" s="1"/>
  <c r="F23" i="99"/>
  <c r="P33" i="15"/>
  <c r="E20" i="15" a="1"/>
  <c r="E20" i="15" l="1"/>
  <c r="D20" i="15" a="1"/>
  <c r="N20" i="15"/>
  <c r="D20" i="15" l="1"/>
  <c r="D34" i="15" a="1"/>
  <c r="H33" i="15" a="1"/>
  <c r="D33" i="15" a="1"/>
  <c r="D33" i="15" l="1"/>
  <c r="H33" i="15"/>
  <c r="D34" i="15"/>
  <c r="C69" i="15" a="1"/>
  <c r="C70" i="15" a="1"/>
  <c r="C78" i="15" a="1"/>
  <c r="C69" i="15" l="1"/>
  <c r="C78" i="15"/>
  <c r="C70" i="15"/>
  <c r="C73" i="15" a="1"/>
  <c r="C68" i="15" a="1"/>
  <c r="C32" i="15" a="1"/>
  <c r="C66" i="15" a="1"/>
  <c r="C74" i="15" a="1"/>
  <c r="C76" i="15" a="1"/>
  <c r="C67" i="15" a="1"/>
  <c r="C75" i="15" a="1"/>
  <c r="C32" i="15" l="1"/>
  <c r="C73" i="15"/>
  <c r="C68" i="15"/>
  <c r="C66" i="15"/>
  <c r="C75" i="15"/>
  <c r="C74" i="15"/>
  <c r="C76" i="15"/>
  <c r="C67" i="15"/>
  <c r="F33" i="15" a="1"/>
  <c r="F34" i="15" a="1"/>
  <c r="C29" i="15" l="1"/>
  <c r="F34" i="15"/>
  <c r="F33" i="15"/>
  <c r="N33" i="15" a="1"/>
  <c r="N34" i="15" a="1"/>
  <c r="F21" i="111" l="1"/>
  <c r="F23" i="111"/>
  <c r="N34" i="15"/>
  <c r="N33" i="15"/>
  <c r="C34" i="15" a="1"/>
  <c r="C33" i="15" a="1"/>
  <c r="C33" i="15" l="1"/>
  <c r="C34" i="15"/>
  <c r="U70" i="15" a="1"/>
  <c r="S77" i="15" a="1"/>
  <c r="S69" i="15" a="1"/>
  <c r="W69" i="15" a="1"/>
  <c r="T77" i="15" a="1"/>
  <c r="V70" i="15" a="1"/>
  <c r="T70" i="15" a="1"/>
  <c r="W78" i="15" a="1"/>
  <c r="W77" i="15" a="1"/>
  <c r="U69" i="15" a="1"/>
  <c r="S78" i="15" a="1"/>
  <c r="V69" i="15" a="1"/>
  <c r="U78" i="15" a="1"/>
  <c r="T78" i="15" a="1"/>
  <c r="V78" i="15" a="1"/>
  <c r="K33" i="15" a="1"/>
  <c r="V77" i="15" a="1"/>
  <c r="U77" i="15" a="1"/>
  <c r="W70" i="15" a="1"/>
  <c r="T69" i="15" a="1"/>
  <c r="Q33" i="15" a="1"/>
  <c r="S70" i="15" a="1"/>
  <c r="W78" i="15" l="1"/>
  <c r="W70" i="15"/>
  <c r="W77" i="15"/>
  <c r="W69" i="15"/>
  <c r="V78" i="15"/>
  <c r="V70" i="15"/>
  <c r="V77" i="15"/>
  <c r="V69" i="15"/>
  <c r="U78" i="15"/>
  <c r="U70" i="15"/>
  <c r="U77" i="15"/>
  <c r="U69" i="15"/>
  <c r="S77" i="15"/>
  <c r="S78" i="15"/>
  <c r="T70" i="15"/>
  <c r="T69" i="15"/>
  <c r="T78" i="15"/>
  <c r="S70" i="15"/>
  <c r="T77" i="15"/>
  <c r="S69" i="15"/>
  <c r="Q33" i="15"/>
  <c r="K33" i="15"/>
  <c r="U73" i="15" a="1"/>
  <c r="T68" i="15" a="1"/>
  <c r="R34" i="15" a="1"/>
  <c r="T66" i="15" a="1"/>
  <c r="X69" i="15" a="1"/>
  <c r="X77" i="15" a="1"/>
  <c r="S67" i="15" a="1"/>
  <c r="V75" i="15" a="1"/>
  <c r="T75" i="15" a="1"/>
  <c r="V74" i="15" a="1"/>
  <c r="R33" i="15" a="1"/>
  <c r="V65" i="15" a="1"/>
  <c r="T65" i="15" a="1"/>
  <c r="V67" i="15" a="1"/>
  <c r="W65" i="15" a="1"/>
  <c r="S76" i="15" a="1"/>
  <c r="U76" i="15" a="1"/>
  <c r="S32" i="15" a="1"/>
  <c r="W75" i="15" a="1"/>
  <c r="U74" i="15" a="1"/>
  <c r="S73" i="15" a="1"/>
  <c r="T74" i="15" a="1"/>
  <c r="V66" i="15" a="1"/>
  <c r="V76" i="15" a="1"/>
  <c r="T67" i="15" a="1"/>
  <c r="T32" i="15" a="1"/>
  <c r="U32" i="15" a="1"/>
  <c r="T73" i="15" a="1"/>
  <c r="T76" i="15" a="1"/>
  <c r="W68" i="15" a="1"/>
  <c r="S65" i="15" a="1"/>
  <c r="S68" i="15" a="1"/>
  <c r="V68" i="15" a="1"/>
  <c r="V73" i="15" a="1"/>
  <c r="W67" i="15" a="1"/>
  <c r="U75" i="15" a="1"/>
  <c r="X78" i="15" a="1"/>
  <c r="W73" i="15" a="1"/>
  <c r="S75" i="15" a="1"/>
  <c r="W76" i="15" a="1"/>
  <c r="W74" i="15" a="1"/>
  <c r="X70" i="15" a="1"/>
  <c r="S74" i="15" a="1"/>
  <c r="W66" i="15" a="1"/>
  <c r="S66" i="15" a="1"/>
  <c r="W67" i="15" l="1"/>
  <c r="W68" i="15"/>
  <c r="W73" i="15"/>
  <c r="W65" i="15"/>
  <c r="W74" i="15"/>
  <c r="W76" i="15"/>
  <c r="W75" i="15"/>
  <c r="W66" i="15"/>
  <c r="V73" i="15"/>
  <c r="V75" i="15"/>
  <c r="V66" i="15"/>
  <c r="V68" i="15"/>
  <c r="V74" i="15"/>
  <c r="V76" i="15"/>
  <c r="V65" i="15"/>
  <c r="V67" i="15"/>
  <c r="T32" i="15"/>
  <c r="S32" i="15"/>
  <c r="U32" i="15"/>
  <c r="U75" i="15"/>
  <c r="T76" i="15"/>
  <c r="S74" i="15"/>
  <c r="S75" i="15"/>
  <c r="S73" i="15"/>
  <c r="S67" i="15"/>
  <c r="T74" i="15"/>
  <c r="T75" i="15"/>
  <c r="S66" i="15"/>
  <c r="U74" i="15"/>
  <c r="U76" i="15"/>
  <c r="U73" i="15"/>
  <c r="S68" i="15"/>
  <c r="T73" i="15"/>
  <c r="S76" i="15"/>
  <c r="T68" i="15"/>
  <c r="T66" i="15"/>
  <c r="T65" i="15"/>
  <c r="T67" i="15"/>
  <c r="S65" i="15"/>
  <c r="X69" i="15"/>
  <c r="X78" i="15"/>
  <c r="X70" i="15"/>
  <c r="X77" i="15"/>
  <c r="R34" i="15"/>
  <c r="R33" i="15"/>
  <c r="X73" i="15" a="1"/>
  <c r="X76" i="15" a="1"/>
  <c r="X32" i="15" a="1"/>
  <c r="X67" i="15" a="1"/>
  <c r="X66" i="15" a="1"/>
  <c r="X75" i="15" a="1"/>
  <c r="X74" i="15" a="1"/>
  <c r="X65" i="15" a="1"/>
  <c r="X68" i="15" a="1"/>
  <c r="U29" i="15" l="1"/>
  <c r="W29" i="15"/>
  <c r="S29" i="15"/>
  <c r="T29" i="15"/>
  <c r="V29" i="15"/>
  <c r="X32" i="15"/>
  <c r="X73" i="15"/>
  <c r="X76" i="15"/>
  <c r="X75" i="15"/>
  <c r="X74" i="15"/>
  <c r="X66" i="15"/>
  <c r="X67" i="15"/>
  <c r="X68" i="15"/>
  <c r="X65" i="15"/>
  <c r="T20" i="15" a="1"/>
  <c r="T21" i="15" a="1"/>
  <c r="X29" i="15" l="1"/>
  <c r="T21" i="15"/>
  <c r="T20" i="15"/>
  <c r="S21" i="15" a="1"/>
  <c r="U20" i="15" a="1"/>
  <c r="W20" i="15" a="1"/>
  <c r="V20" i="15" a="1"/>
  <c r="V21" i="15" a="1"/>
  <c r="T22" i="15" a="1"/>
  <c r="W21" i="15" a="1"/>
  <c r="W21" i="15" l="1"/>
  <c r="W20" i="15"/>
  <c r="V20" i="15"/>
  <c r="V21" i="15"/>
  <c r="S21" i="15"/>
  <c r="U20" i="15"/>
  <c r="T22" i="15"/>
  <c r="W22" i="15" a="1"/>
  <c r="W33" i="15" a="1"/>
  <c r="X20" i="15" a="1"/>
  <c r="U22" i="15" a="1"/>
  <c r="S20" i="15" a="1"/>
  <c r="X21" i="15" a="1"/>
  <c r="F21" i="117" l="1"/>
  <c r="F23" i="117"/>
  <c r="F23" i="115"/>
  <c r="F21" i="115"/>
  <c r="X21" i="15"/>
  <c r="W22" i="15"/>
  <c r="F21" i="118" s="1"/>
  <c r="W33" i="15"/>
  <c r="U22" i="15"/>
  <c r="F21" i="116" s="1"/>
  <c r="S20" i="15"/>
  <c r="X20" i="15"/>
  <c r="T34" i="15" a="1"/>
  <c r="T33" i="15" a="1"/>
  <c r="V34" i="15" a="1"/>
  <c r="V33" i="15" a="1"/>
  <c r="S22" i="15" a="1"/>
  <c r="X22" i="15" a="1"/>
  <c r="W34" i="15" a="1"/>
  <c r="V33" i="15" l="1"/>
  <c r="W34" i="15"/>
  <c r="V34" i="15"/>
  <c r="X22" i="15"/>
  <c r="S22" i="15"/>
  <c r="T33" i="15"/>
  <c r="T34" i="15"/>
  <c r="U33" i="15" a="1"/>
  <c r="U34" i="15" a="1"/>
  <c r="F21" i="114" l="1"/>
  <c r="F23" i="114"/>
  <c r="F23" i="119"/>
  <c r="F21" i="119"/>
  <c r="U33" i="15"/>
  <c r="U34" i="15"/>
  <c r="S34" i="15" a="1"/>
  <c r="X33" i="15" a="1"/>
  <c r="S33" i="15" a="1"/>
  <c r="X34" i="15" a="1"/>
  <c r="S34" i="15" l="1"/>
  <c r="S33" i="15"/>
  <c r="X34" i="15"/>
  <c r="X3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Nik Zurin, Nik Mohamed Azeim</author>
  </authors>
  <commentList>
    <comment ref="C1" authorId="0" shapeId="0" xr:uid="{0CDDF904-C703-4725-A4F4-4B093CAC9F10}">
      <text>
        <r>
          <rPr>
            <b/>
            <sz val="9"/>
            <color indexed="81"/>
            <rFont val="Tahoma"/>
            <family val="2"/>
          </rPr>
          <t>Refers to applicable rows in the Summary tab that can be defined by the user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F4CF6E68-962E-474F-80F3-4E96857FBEDE}">
      <text>
        <r>
          <rPr>
            <b/>
            <sz val="9"/>
            <color indexed="81"/>
            <rFont val="Tahoma"/>
            <family val="2"/>
          </rPr>
          <t>Hooi, Ivan Teek Lung:</t>
        </r>
        <r>
          <rPr>
            <sz val="9"/>
            <color indexed="81"/>
            <rFont val="Tahoma"/>
            <family val="2"/>
          </rPr>
          <t xml:space="preserve">
spec are refer to max rise only</t>
        </r>
      </text>
    </comment>
    <comment ref="H7" authorId="0" shapeId="0" xr:uid="{5BD93FA0-FA5A-405A-BC13-D228AA24E033}">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4C935A53-3156-4745-8F88-1BC7DA5BB9AD}">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Song, Wil Choon</author>
  </authors>
  <commentList>
    <comment ref="Y4" authorId="0" shapeId="0" xr:uid="{6C48CD5F-471A-48CB-A154-3BCC9F818A57}">
      <text>
        <r>
          <rPr>
            <b/>
            <sz val="9"/>
            <color indexed="81"/>
            <rFont val="Tahoma"/>
            <family val="2"/>
          </rPr>
          <t>Song, Wil Choon:</t>
        </r>
        <r>
          <rPr>
            <sz val="9"/>
            <color indexed="81"/>
            <rFont val="Tahoma"/>
            <family val="2"/>
          </rPr>
          <t xml:space="preserve">
SoC Rx only
IMVP Tx</t>
        </r>
      </text>
    </comment>
    <comment ref="Y11" authorId="0" shapeId="0" xr:uid="{0ADF9589-F4E8-4AC0-8924-8D46C228DB47}">
      <text>
        <r>
          <rPr>
            <b/>
            <sz val="9"/>
            <color indexed="81"/>
            <rFont val="Tahoma"/>
            <family val="2"/>
          </rPr>
          <t>Song, Wil Choon:</t>
        </r>
        <r>
          <rPr>
            <sz val="9"/>
            <color indexed="81"/>
            <rFont val="Tahoma"/>
            <family val="2"/>
          </rPr>
          <t xml:space="preserve">
2021 May 21: realistically not so big, just put a big placeholder for now</t>
        </r>
      </text>
    </comment>
    <comment ref="Z11" authorId="0" shapeId="0" xr:uid="{9CDE0986-025D-45F9-884E-35616136C222}">
      <text>
        <r>
          <rPr>
            <b/>
            <sz val="9"/>
            <color indexed="81"/>
            <rFont val="Tahoma"/>
            <family val="2"/>
          </rPr>
          <t>Song, Wil Choon:</t>
        </r>
        <r>
          <rPr>
            <sz val="9"/>
            <color indexed="81"/>
            <rFont val="Tahoma"/>
            <family val="2"/>
          </rPr>
          <t xml:space="preserve">
2021 May 21: realistically not so big, just put a big placeholder for now</t>
        </r>
      </text>
    </comment>
    <comment ref="AA11" authorId="0" shapeId="0" xr:uid="{76991FDC-B21B-433A-9CAB-1B52EE406691}">
      <text>
        <r>
          <rPr>
            <b/>
            <sz val="9"/>
            <color indexed="81"/>
            <rFont val="Tahoma"/>
            <family val="2"/>
          </rPr>
          <t>Song, Wil Choon:</t>
        </r>
        <r>
          <rPr>
            <sz val="9"/>
            <color indexed="81"/>
            <rFont val="Tahoma"/>
            <family val="2"/>
          </rPr>
          <t xml:space="preserve">
2021 May 21: realistically not so big, just put a big placeholder for now</t>
        </r>
      </text>
    </comment>
    <comment ref="Z97" authorId="0" shapeId="0" xr:uid="{D784CFCE-F8E6-440A-A82C-E8FEBCCF6B9E}">
      <text>
        <r>
          <rPr>
            <b/>
            <sz val="9"/>
            <color indexed="81"/>
            <rFont val="Tahoma"/>
            <family val="2"/>
          </rPr>
          <t>Song, Wil Choon:</t>
        </r>
        <r>
          <rPr>
            <sz val="9"/>
            <color indexed="81"/>
            <rFont val="Tahoma"/>
            <family val="2"/>
          </rPr>
          <t xml:space="preserve">
2021 May 21: realistically not so big range, just put a big placeholder for now</t>
        </r>
      </text>
    </comment>
    <comment ref="AA97" authorId="0" shapeId="0" xr:uid="{3245FD9C-BE69-4187-860D-0028071E1540}">
      <text>
        <r>
          <rPr>
            <b/>
            <sz val="9"/>
            <color indexed="81"/>
            <rFont val="Tahoma"/>
            <family val="2"/>
          </rPr>
          <t>Song, Wil Choon:</t>
        </r>
        <r>
          <rPr>
            <sz val="9"/>
            <color indexed="81"/>
            <rFont val="Tahoma"/>
            <family val="2"/>
          </rPr>
          <t xml:space="preserve">
2021 May 21: realistically not so big range, just put a big placeholder for now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A413C9EE-1A69-4EEF-AFCA-35B66EA76054}">
      <text>
        <r>
          <rPr>
            <b/>
            <sz val="9"/>
            <color indexed="81"/>
            <rFont val="Tahoma"/>
            <family val="2"/>
          </rPr>
          <t>Hooi, Ivan Teek Lung:</t>
        </r>
        <r>
          <rPr>
            <sz val="9"/>
            <color indexed="81"/>
            <rFont val="Tahoma"/>
            <family val="2"/>
          </rPr>
          <t xml:space="preserve">
spec are refer to max rise only</t>
        </r>
      </text>
    </comment>
    <comment ref="H7" authorId="0" shapeId="0" xr:uid="{41AB1BAF-9CD4-4F3F-AC5C-15A164DF8253}">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D40C29A3-AB8B-460C-BB56-65CDF769C8FB}">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tc={A3092831-5968-4074-87DC-F59653669E9F}</author>
    <author>tc={CC517718-8C76-4BA8-B75F-48414D92EDB9}</author>
    <author>tc={B953C298-479B-4FDD-B28C-9488C01C796E}</author>
    <author>tc={5F655E56-1E5E-4931-B95D-63F19EA7F9F3}</author>
  </authors>
  <commentList>
    <comment ref="V9" authorId="0" shapeId="0" xr:uid="{A3092831-5968-4074-87DC-F59653669E9F}">
      <text>
        <t xml:space="preserve">[Threaded comment]
Your version of Excel allows you to read this threaded comment; however, any edits to it will get removed if the file is opened in a newer version of Excel. Learn more: https://go.microsoft.com/fwlink/?linkid=870924
Comment:
    Fail 60pF
</t>
      </text>
    </comment>
    <comment ref="Y9" authorId="1" shapeId="0" xr:uid="{CC517718-8C76-4BA8-B75F-48414D92EDB9}">
      <text>
        <t xml:space="preserve">[Threaded comment]
Your version of Excel allows you to read this threaded comment; however, any edits to it will get removed if the file is opened in a newer version of Excel. Learn more: https://go.microsoft.com/fwlink/?linkid=870924
Comment:
    Fail 85pF
</t>
      </text>
    </comment>
    <comment ref="Y11" authorId="2" shapeId="0" xr:uid="{B953C298-479B-4FDD-B28C-9488C01C796E}">
      <text>
        <t xml:space="preserve">[Threaded comment]
Your version of Excel allows you to read this threaded comment; however, any edits to it will get removed if the file is opened in a newer version of Excel. Learn more: https://go.microsoft.com/fwlink/?linkid=870924
Comment:
    Fail 160pF
</t>
      </text>
    </comment>
    <comment ref="Y12" authorId="3" shapeId="0" xr:uid="{5F655E56-1E5E-4931-B95D-63F19EA7F9F3}">
      <text>
        <t xml:space="preserve">[Threaded comment]
Your version of Excel allows you to read this threaded comment; however, any edits to it will get removed if the file is opened in a newer version of Excel. Learn more: https://go.microsoft.com/fwlink/?linkid=870924
Comment:
    Fail 170pF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8339657B-75B5-48DD-B153-7452BB3B378D}">
      <text>
        <r>
          <rPr>
            <b/>
            <sz val="9"/>
            <color indexed="81"/>
            <rFont val="Tahoma"/>
            <family val="2"/>
          </rPr>
          <t>Hooi, Ivan Teek Lung:</t>
        </r>
        <r>
          <rPr>
            <sz val="9"/>
            <color indexed="81"/>
            <rFont val="Tahoma"/>
            <family val="2"/>
          </rPr>
          <t xml:space="preserve">
spec are refer to max rise only</t>
        </r>
      </text>
    </comment>
    <comment ref="H7" authorId="0" shapeId="0" xr:uid="{175B5863-1F14-43EC-923F-57DAD597B9B9}">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ADFE9A78-7254-4233-A3B1-8F178F0A9C58}">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9406498E-C09D-4616-AC70-30A7FB655F8E}">
      <text>
        <r>
          <rPr>
            <b/>
            <sz val="9"/>
            <color indexed="81"/>
            <rFont val="Tahoma"/>
            <family val="2"/>
          </rPr>
          <t>Hooi, Ivan Teek Lung:</t>
        </r>
        <r>
          <rPr>
            <sz val="9"/>
            <color indexed="81"/>
            <rFont val="Tahoma"/>
            <family val="2"/>
          </rPr>
          <t xml:space="preserve">
spec are refer to max rise only</t>
        </r>
      </text>
    </comment>
    <comment ref="H7" authorId="0" shapeId="0" xr:uid="{498CA93E-26A9-4850-9242-AFA2944FBAC1}">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E0FB2B1C-E8E1-4E6F-A3DA-B34060EC3917}">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12FBB7F0-3AB0-4955-A8BF-332915048962}">
      <text>
        <r>
          <rPr>
            <b/>
            <sz val="9"/>
            <color indexed="81"/>
            <rFont val="Tahoma"/>
            <family val="2"/>
          </rPr>
          <t>Hooi, Ivan Teek Lung:</t>
        </r>
        <r>
          <rPr>
            <sz val="9"/>
            <color indexed="81"/>
            <rFont val="Tahoma"/>
            <family val="2"/>
          </rPr>
          <t xml:space="preserve">
spec are refer to max rise only</t>
        </r>
      </text>
    </comment>
    <comment ref="H7" authorId="0" shapeId="0" xr:uid="{6754DD2F-D6BB-4FC4-B5F4-BD8E8AE3F309}">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5139EB87-3881-4A61-B832-9F86F61B52B7}">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451752A4-DB90-482C-8304-6C763D10FC1D}">
      <text>
        <r>
          <rPr>
            <b/>
            <sz val="9"/>
            <color indexed="81"/>
            <rFont val="Tahoma"/>
            <family val="2"/>
          </rPr>
          <t>Hooi, Ivan Teek Lung:</t>
        </r>
        <r>
          <rPr>
            <sz val="9"/>
            <color indexed="81"/>
            <rFont val="Tahoma"/>
            <family val="2"/>
          </rPr>
          <t xml:space="preserve">
spec are refer to max rise only</t>
        </r>
      </text>
    </comment>
    <comment ref="H7" authorId="0" shapeId="0" xr:uid="{A028176F-3A2E-44DF-B6C3-96D1BDD4A960}">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53C976C0-F046-4A34-892F-8EE9743E4799}">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08329BEA-F8C1-43EE-A91A-CA3A83658531}">
      <text>
        <r>
          <rPr>
            <b/>
            <sz val="9"/>
            <color indexed="81"/>
            <rFont val="Tahoma"/>
            <family val="2"/>
          </rPr>
          <t>Hooi, Ivan Teek Lung:</t>
        </r>
        <r>
          <rPr>
            <sz val="9"/>
            <color indexed="81"/>
            <rFont val="Tahoma"/>
            <family val="2"/>
          </rPr>
          <t xml:space="preserve">
spec are refer to max rise only</t>
        </r>
      </text>
    </comment>
    <comment ref="H7" authorId="0" shapeId="0" xr:uid="{B746B407-8CF1-42E9-831B-C5FA35F713E2}">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A32AD585-1ACD-4EFC-ACEE-D1A30653CD24}">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4D071E6A-4A2D-47B0-BA4C-F9445AA71029}">
      <text>
        <r>
          <rPr>
            <b/>
            <sz val="9"/>
            <color indexed="81"/>
            <rFont val="Tahoma"/>
            <family val="2"/>
          </rPr>
          <t>Hooi, Ivan Teek Lung:</t>
        </r>
        <r>
          <rPr>
            <sz val="9"/>
            <color indexed="81"/>
            <rFont val="Tahoma"/>
            <family val="2"/>
          </rPr>
          <t xml:space="preserve">
spec are refer to max rise only</t>
        </r>
      </text>
    </comment>
    <comment ref="H7" authorId="0" shapeId="0" xr:uid="{A45A8B45-D982-420A-86F6-811203CA56EA}">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74E7AC0B-E682-4E83-A1B4-401EFE229CBF}">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33762AC3-EFBF-4005-B045-3F556C3E6129}">
      <text>
        <r>
          <rPr>
            <b/>
            <sz val="9"/>
            <color indexed="81"/>
            <rFont val="Tahoma"/>
            <family val="2"/>
          </rPr>
          <t>Hooi, Ivan Teek Lung:</t>
        </r>
        <r>
          <rPr>
            <sz val="9"/>
            <color indexed="81"/>
            <rFont val="Tahoma"/>
            <family val="2"/>
          </rPr>
          <t xml:space="preserve">
spec are refer to max rise only</t>
        </r>
      </text>
    </comment>
    <comment ref="H7" authorId="0" shapeId="0" xr:uid="{1517335C-F4DC-4F74-A20E-795747AC896A}">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A18FBC38-E1B0-49E7-9E2F-AAE0BDDAA0DD}">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0BFA5874-702E-41EA-BE1A-52BBADF9E851}">
      <text>
        <r>
          <rPr>
            <b/>
            <sz val="9"/>
            <color indexed="81"/>
            <rFont val="Tahoma"/>
            <family val="2"/>
          </rPr>
          <t>Hooi, Ivan Teek Lung:</t>
        </r>
        <r>
          <rPr>
            <sz val="9"/>
            <color indexed="81"/>
            <rFont val="Tahoma"/>
            <family val="2"/>
          </rPr>
          <t xml:space="preserve">
spec are refer to max rise only</t>
        </r>
      </text>
    </comment>
    <comment ref="H7" authorId="0" shapeId="0" xr:uid="{D2235797-881F-4F0A-B32B-066F22BA752F}">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431A0357-955F-4C55-9098-D85D7AB0204B}">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DEAF336C-DF4E-4024-8618-15DD4510EFAB}">
      <text>
        <r>
          <rPr>
            <b/>
            <sz val="9"/>
            <color indexed="81"/>
            <rFont val="Tahoma"/>
            <family val="2"/>
          </rPr>
          <t>Hooi, Ivan Teek Lung:</t>
        </r>
        <r>
          <rPr>
            <sz val="9"/>
            <color indexed="81"/>
            <rFont val="Tahoma"/>
            <family val="2"/>
          </rPr>
          <t xml:space="preserve">
spec are refer to max rise only</t>
        </r>
      </text>
    </comment>
    <comment ref="H7" authorId="0" shapeId="0" xr:uid="{94BABBCA-54F5-4FD7-A2DE-C6F1D93A49A8}">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1480A4AC-E485-4DB3-B230-0BF123122F8B}">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440E9D77-7E65-4BE9-A6EE-E71A04A9D3FA}">
      <text>
        <r>
          <rPr>
            <b/>
            <sz val="9"/>
            <color indexed="81"/>
            <rFont val="Tahoma"/>
            <family val="2"/>
          </rPr>
          <t>Hooi, Ivan Teek Lung:</t>
        </r>
        <r>
          <rPr>
            <sz val="9"/>
            <color indexed="81"/>
            <rFont val="Tahoma"/>
            <family val="2"/>
          </rPr>
          <t xml:space="preserve">
spec are refer to max rise only</t>
        </r>
      </text>
    </comment>
    <comment ref="H7" authorId="0" shapeId="0" xr:uid="{EB9E6977-F15A-46C8-AA80-42CCB7C62CB6}">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F621748B-7984-4BDB-9F1A-69220E9E197F}">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33762AC3-EFBF-4005-B045-3F556C3E6129}">
      <text>
        <r>
          <rPr>
            <b/>
            <sz val="9"/>
            <color indexed="81"/>
            <rFont val="Tahoma"/>
            <family val="2"/>
          </rPr>
          <t>Hooi, Ivan Teek Lung:</t>
        </r>
        <r>
          <rPr>
            <sz val="9"/>
            <color indexed="81"/>
            <rFont val="Tahoma"/>
            <family val="2"/>
          </rPr>
          <t xml:space="preserve">
spec are refer to max rise only</t>
        </r>
      </text>
    </comment>
    <comment ref="H7" authorId="0" shapeId="0" xr:uid="{2CBDE2BF-9E75-4791-A4BE-E2DC5D3F706F}">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A18FBC38-E1B0-49E7-9E2F-AAE0BDDAA0DD}">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25FB6AAF-99BE-4098-9F9D-4354800B6060}">
      <text>
        <r>
          <rPr>
            <b/>
            <sz val="9"/>
            <color indexed="81"/>
            <rFont val="Tahoma"/>
            <family val="2"/>
          </rPr>
          <t>Hooi, Ivan Teek Lung:</t>
        </r>
        <r>
          <rPr>
            <sz val="9"/>
            <color indexed="81"/>
            <rFont val="Tahoma"/>
            <family val="2"/>
          </rPr>
          <t xml:space="preserve">
spec are refer to max rise only</t>
        </r>
      </text>
    </comment>
    <comment ref="H7" authorId="0" shapeId="0" xr:uid="{55FAD96D-F60F-499A-98CC-B0C16DB4F0E8}">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D3071D90-592B-4DC2-902C-063CB41F67D5}">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0356EF3C-53C6-4E50-866B-094F365E6F45}">
      <text>
        <r>
          <rPr>
            <b/>
            <sz val="9"/>
            <color indexed="81"/>
            <rFont val="Tahoma"/>
            <family val="2"/>
          </rPr>
          <t>Hooi, Ivan Teek Lung:</t>
        </r>
        <r>
          <rPr>
            <sz val="9"/>
            <color indexed="81"/>
            <rFont val="Tahoma"/>
            <family val="2"/>
          </rPr>
          <t xml:space="preserve">
spec are refer to max rise only</t>
        </r>
      </text>
    </comment>
    <comment ref="H7" authorId="0" shapeId="0" xr:uid="{521C3286-24FF-481D-8D07-D78E990700FB}">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E588DA4B-B6EF-4998-AE2F-C1C64199F9B3}">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028DCB48-86A6-404C-8CB1-D7DC9EC4A871}">
      <text>
        <r>
          <rPr>
            <b/>
            <sz val="9"/>
            <color indexed="81"/>
            <rFont val="Tahoma"/>
            <family val="2"/>
          </rPr>
          <t>Hooi, Ivan Teek Lung:</t>
        </r>
        <r>
          <rPr>
            <sz val="9"/>
            <color indexed="81"/>
            <rFont val="Tahoma"/>
            <family val="2"/>
          </rPr>
          <t xml:space="preserve">
spec are refer to max rise only</t>
        </r>
      </text>
    </comment>
    <comment ref="H7" authorId="0" shapeId="0" xr:uid="{45B77C42-A31A-4B45-878F-68C2EFDC8E36}">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085C812E-331A-4751-8D26-99BE51BB1483}">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7BA0832F-2D58-406C-938C-2B3B350E31C9}">
      <text>
        <r>
          <rPr>
            <b/>
            <sz val="9"/>
            <color indexed="81"/>
            <rFont val="Tahoma"/>
            <family val="2"/>
          </rPr>
          <t>Hooi, Ivan Teek Lung:</t>
        </r>
        <r>
          <rPr>
            <sz val="9"/>
            <color indexed="81"/>
            <rFont val="Tahoma"/>
            <family val="2"/>
          </rPr>
          <t xml:space="preserve">
spec are refer to max rise only</t>
        </r>
      </text>
    </comment>
    <comment ref="H7" authorId="0" shapeId="0" xr:uid="{E31D33BA-42A8-4FBB-8100-1FDCDCEF9D35}">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1FEC9801-C4EC-4A02-953D-4365DF582313}">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51C94E18-F71A-4A5D-A7C4-063F86362CCB}">
      <text>
        <r>
          <rPr>
            <b/>
            <sz val="9"/>
            <color indexed="81"/>
            <rFont val="Tahoma"/>
            <family val="2"/>
          </rPr>
          <t>Hooi, Ivan Teek Lung:</t>
        </r>
        <r>
          <rPr>
            <sz val="9"/>
            <color indexed="81"/>
            <rFont val="Tahoma"/>
            <family val="2"/>
          </rPr>
          <t xml:space="preserve">
spec are refer to max rise only</t>
        </r>
      </text>
    </comment>
    <comment ref="H7" authorId="0" shapeId="0" xr:uid="{CBFEC94F-49A3-4990-A946-40BDECC5DC47}">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D2D872AC-67E7-4787-B2D9-D6053AB75C81}">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81C2162E-BDF4-4185-A34E-CBA375E573C1}">
      <text>
        <r>
          <rPr>
            <b/>
            <sz val="9"/>
            <color indexed="81"/>
            <rFont val="Tahoma"/>
            <family val="2"/>
          </rPr>
          <t>Hooi, Ivan Teek Lung:</t>
        </r>
        <r>
          <rPr>
            <sz val="9"/>
            <color indexed="81"/>
            <rFont val="Tahoma"/>
            <family val="2"/>
          </rPr>
          <t xml:space="preserve">
spec are refer to max rise only</t>
        </r>
      </text>
    </comment>
    <comment ref="H7" authorId="0" shapeId="0" xr:uid="{326797F3-8D18-4B67-A68E-F47059C0521A}">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210F56F0-CB42-48FC-9C60-0FCD8629AAD3}">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96C23D24-A5BA-4419-B526-8B4489C40407}">
      <text>
        <r>
          <rPr>
            <b/>
            <sz val="9"/>
            <color indexed="81"/>
            <rFont val="Tahoma"/>
            <family val="2"/>
          </rPr>
          <t>Hooi, Ivan Teek Lung:</t>
        </r>
        <r>
          <rPr>
            <sz val="9"/>
            <color indexed="81"/>
            <rFont val="Tahoma"/>
            <family val="2"/>
          </rPr>
          <t xml:space="preserve">
spec are refer to max rise only</t>
        </r>
      </text>
    </comment>
    <comment ref="H7" authorId="0" shapeId="0" xr:uid="{ECBC5144-B37C-4AF4-AFD3-A6BECEAC7109}">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A95B8378-A949-4310-A6CE-C46293BA0E05}">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99BDBA81-AD8F-4113-8B2E-BD7948655442}">
      <text>
        <r>
          <rPr>
            <b/>
            <sz val="9"/>
            <color indexed="81"/>
            <rFont val="Tahoma"/>
            <family val="2"/>
          </rPr>
          <t>Hooi, Ivan Teek Lung:</t>
        </r>
        <r>
          <rPr>
            <sz val="9"/>
            <color indexed="81"/>
            <rFont val="Tahoma"/>
            <family val="2"/>
          </rPr>
          <t xml:space="preserve">
spec are refer to max rise only</t>
        </r>
      </text>
    </comment>
    <comment ref="H7" authorId="0" shapeId="0" xr:uid="{108F197C-6DAE-4947-8276-F76C082B4548}">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62C41559-27A5-4745-9BD4-B039E839B0EF}">
      <text>
        <r>
          <rPr>
            <b/>
            <sz val="9"/>
            <color indexed="81"/>
            <rFont val="Tahoma"/>
            <family val="2"/>
          </rPr>
          <t>Nik Zurin, Nik Mohamed Azeim:</t>
        </r>
        <r>
          <rPr>
            <sz val="9"/>
            <color indexed="81"/>
            <rFont val="Tahoma"/>
            <family val="2"/>
          </rPr>
          <t xml:space="preserve">
not applicable for CLK, empty if applicable</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Hooi, Ivan Teek Lung</author>
    <author>Nik Zurin, Nik Mohamed Azeim</author>
  </authors>
  <commentList>
    <comment ref="F5" authorId="0" shapeId="0" xr:uid="{5900F4B2-4459-41BF-8CE8-B127B6B9C549}">
      <text>
        <r>
          <rPr>
            <b/>
            <sz val="9"/>
            <color indexed="81"/>
            <rFont val="Tahoma"/>
            <family val="2"/>
          </rPr>
          <t>Hooi, Ivan Teek Lung:</t>
        </r>
        <r>
          <rPr>
            <sz val="9"/>
            <color indexed="81"/>
            <rFont val="Tahoma"/>
            <family val="2"/>
          </rPr>
          <t xml:space="preserve">
spec are refer to max rise only</t>
        </r>
      </text>
    </comment>
    <comment ref="H7" authorId="0" shapeId="0" xr:uid="{CC12E960-74E4-4CA9-B15E-C5F154C39B28}">
      <text>
        <r>
          <rPr>
            <b/>
            <sz val="9"/>
            <color indexed="81"/>
            <rFont val="Tahoma"/>
            <family val="2"/>
          </rPr>
          <t>Hooi, Ivan Teek Lung:</t>
        </r>
        <r>
          <rPr>
            <sz val="9"/>
            <color indexed="81"/>
            <rFont val="Tahoma"/>
            <family val="2"/>
          </rPr>
          <t xml:space="preserve">
currently still not seeing intel implement absolute spec, so excluded the max-fall-time for minR on intel Rx</t>
        </r>
      </text>
    </comment>
    <comment ref="A18" authorId="1" shapeId="0" xr:uid="{964402F8-E25E-47E3-B81A-BE386DE24CCF}">
      <text>
        <r>
          <rPr>
            <b/>
            <sz val="9"/>
            <color indexed="81"/>
            <rFont val="Tahoma"/>
            <family val="2"/>
          </rPr>
          <t>Nik Zurin, Nik Mohamed Azeim:</t>
        </r>
        <r>
          <rPr>
            <sz val="9"/>
            <color indexed="81"/>
            <rFont val="Tahoma"/>
            <family val="2"/>
          </rPr>
          <t xml:space="preserve">
not applicable for CLK, empty if applicable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<sst xmlns="http://schemas.openxmlformats.org/spreadsheetml/2006/main" count="5383" uniqueCount="502">
  <si>
    <t>Revision History</t>
  </si>
  <si>
    <t>Revision Number</t>
  </si>
  <si>
    <t>Description</t>
  </si>
  <si>
    <t>Revision Date</t>
  </si>
  <si>
    <t>Initial release</t>
  </si>
  <si>
    <t>Steps</t>
  </si>
  <si>
    <t>Instructions</t>
  </si>
  <si>
    <t>Rows</t>
  </si>
  <si>
    <t>Notes</t>
  </si>
  <si>
    <t>Define trace electrical properties (R, Resistance and C, Capacitance)</t>
  </si>
  <si>
    <t>8 - 9</t>
  </si>
  <si>
    <t>This is specific to the PCB stackup and trace geometry. 
The values in the spreadsheet are based on Intel PDG reference stackup.</t>
  </si>
  <si>
    <t>Set up board conditions</t>
  </si>
  <si>
    <t>10 - 18</t>
  </si>
  <si>
    <t>Board conditions include total trace length, placement of PU, number of devices, additional components.
Initial "Total MB trace length" is currently set to 25 inch or less.</t>
  </si>
  <si>
    <t>Fine tune the board pullup (PU), Intel silicon pulldown (PD), and Intel silicon clock current assist setting</t>
  </si>
  <si>
    <t>24 - 27</t>
  </si>
  <si>
    <t>Based on board conditions from Step 2, the tool will provide an initial recommendation on the board PU value (rows 20 - 23). 
Depending on whether the recommendation is sufficient to pass, the user would have to further tune the resistors until a passing solution is found.</t>
  </si>
  <si>
    <t xml:space="preserve">Check Pass/Fail </t>
  </si>
  <si>
    <t>29, 32 - 34</t>
  </si>
  <si>
    <t>If Pass, all the electrical and timing requirements of that interface are met for this set of board conditions.
If Fail, refer to rows 32 - 34 for details on failure and recommendation on how to fix the failure. The recommendations typically involve going back to the previous steps.</t>
  </si>
  <si>
    <t>General Notes</t>
  </si>
  <si>
    <t>Refer to the General Design Guidelines tab for additional details</t>
  </si>
  <si>
    <t>This spreadsheet only supports 1 port/config per I2C speed mode. For multiple ports/configs, user will need to create multiple instances of this spreadsheet</t>
  </si>
  <si>
    <t xml:space="preserve">For Intel silicon pulldown and Intel silicon clock current assist settings, refer to the "BIOS Writer Guide" for more details </t>
  </si>
  <si>
    <t>For PU placement (rows 13 - 14), 0% represents placement closest to Intel Silicon, 100% represents placement closest to the last device</t>
  </si>
  <si>
    <t>package cap</t>
  </si>
  <si>
    <t>package resistance</t>
  </si>
  <si>
    <t>Board</t>
  </si>
  <si>
    <t>MB trace resistance per length</t>
  </si>
  <si>
    <t xml:space="preserve">MB trace capacitance per length </t>
  </si>
  <si>
    <t>I2C/SMBus/SMLink/Display I2C/DDR5 SPD Guidelines</t>
  </si>
  <si>
    <t>Details</t>
  </si>
  <si>
    <t>Stackup layer (microstrip / stripline/ dual stripline)</t>
  </si>
  <si>
    <t>MS/ SL/ DSL.</t>
  </si>
  <si>
    <t>Characteristic impedance</t>
  </si>
  <si>
    <t>30 Ω to 70 Ω.</t>
  </si>
  <si>
    <t xml:space="preserve">Trace spacing: between SCL and other signals </t>
  </si>
  <si>
    <t>Trace spacing: between SDA and other signals</t>
  </si>
  <si>
    <t xml:space="preserve">0.125 mm </t>
  </si>
  <si>
    <t>Number of vias allowed</t>
  </si>
  <si>
    <t>N/A</t>
  </si>
  <si>
    <t>Length matching between SDA and SCL signals</t>
  </si>
  <si>
    <t>25.4 mm</t>
  </si>
  <si>
    <t>Reference</t>
  </si>
  <si>
    <t>Signal List</t>
  </si>
  <si>
    <t>Interface</t>
  </si>
  <si>
    <t>Pins/ Signals Name</t>
  </si>
  <si>
    <t>I2C</t>
  </si>
  <si>
    <t>I2C[0:5]_SDA</t>
  </si>
  <si>
    <t>I2C[0:5]_SCL</t>
  </si>
  <si>
    <t>ISH_I2C[0:2]_SDA</t>
  </si>
  <si>
    <t>ISH_I2C[0:2]_SCL</t>
  </si>
  <si>
    <t>ISH_I2C2A_SDA</t>
  </si>
  <si>
    <t>ISH_I2C2A_SCL</t>
  </si>
  <si>
    <t>THC_I2C[0:1]_SCL</t>
  </si>
  <si>
    <t>THC_I2C[0:1]_SDA</t>
  </si>
  <si>
    <t>SML[0:1]CLK</t>
  </si>
  <si>
    <t>SML[0:1]DATA</t>
  </si>
  <si>
    <t>SML0BCLK</t>
  </si>
  <si>
    <t>SML0BDATA</t>
  </si>
  <si>
    <t>Display I2C</t>
  </si>
  <si>
    <t>DDPA_CTRLCLK</t>
  </si>
  <si>
    <t>DDPA_CTRLDATA</t>
  </si>
  <si>
    <t>SPD</t>
  </si>
  <si>
    <t>PROCHOT</t>
  </si>
  <si>
    <t>CATERR</t>
  </si>
  <si>
    <t>THERMTRIP</t>
  </si>
  <si>
    <t>Speed Modes</t>
  </si>
  <si>
    <t>Cell Reference</t>
  </si>
  <si>
    <t>I2C Standard Mode</t>
  </si>
  <si>
    <t>I2C Fast Mode</t>
  </si>
  <si>
    <t>I2C Fast Mode Plus</t>
  </si>
  <si>
    <t>I2C STD (HS1.7 Data compatible)</t>
  </si>
  <si>
    <t>I2C FST (HS1.7 Data compatible)</t>
  </si>
  <si>
    <t>I2C High Speed 1.7MHz - DATA</t>
  </si>
  <si>
    <t>I2C STD (HS1.7 CLK compatible)</t>
  </si>
  <si>
    <t>I2C FST (HS1.7 CLK compatible)</t>
  </si>
  <si>
    <t>I2C High Speed 1.7MHz - CLK</t>
  </si>
  <si>
    <t>I2C STD (HS3.4 DATA compatible)</t>
  </si>
  <si>
    <t>I2C FST (HS3.4 DATA compatible)</t>
  </si>
  <si>
    <t>I2C High Speed 3.4MHz - DATA</t>
  </si>
  <si>
    <t>I2C STD (HS3.4 CLK compatible)</t>
  </si>
  <si>
    <t>I2C FST (HS3.4 CLK compatible)</t>
  </si>
  <si>
    <t>I2C High Speed 3.4MHz - CLK</t>
  </si>
  <si>
    <t>DDR5 SPD Standard Mode</t>
  </si>
  <si>
    <t>DDR5 SPD Fast Mode</t>
  </si>
  <si>
    <t>DDR5 SPD Fast Mode Plus</t>
  </si>
  <si>
    <t xml:space="preserve">Frequency </t>
  </si>
  <si>
    <t>100kHz</t>
  </si>
  <si>
    <t>400kHz</t>
  </si>
  <si>
    <t>1MHz</t>
  </si>
  <si>
    <t>1.7MHz</t>
  </si>
  <si>
    <t>3.4MHz</t>
  </si>
  <si>
    <t>toggle PD options (Intel)</t>
  </si>
  <si>
    <t>toggle PD requirements (Device1)</t>
  </si>
  <si>
    <t>current assist options (intel)</t>
  </si>
  <si>
    <t>disable</t>
  </si>
  <si>
    <t>001</t>
  </si>
  <si>
    <t>010</t>
  </si>
  <si>
    <t>011</t>
  </si>
  <si>
    <t>100</t>
  </si>
  <si>
    <t>101</t>
  </si>
  <si>
    <t>110</t>
  </si>
  <si>
    <t>MB trace resistance per meter (ohm / meter)</t>
  </si>
  <si>
    <t>current_assist_max (1.8V)</t>
  </si>
  <si>
    <t>MB trace capacitance per meter (Farad / meter)</t>
  </si>
  <si>
    <t>current_assist_min (1.8V)</t>
  </si>
  <si>
    <t>Total MB trace length (inch)</t>
  </si>
  <si>
    <t>current_assist_max (3.3V)</t>
  </si>
  <si>
    <t>MB component resistance (ohm)</t>
  </si>
  <si>
    <t>current_assist_min (3.3V)</t>
  </si>
  <si>
    <t>MB component capacitance (Farad)</t>
  </si>
  <si>
    <t>pullup value tolerance</t>
  </si>
  <si>
    <t>Min PU placement from Intel to furthest device</t>
  </si>
  <si>
    <t>Max PU placement from Intel to furthest device</t>
  </si>
  <si>
    <t>Number of devices</t>
  </si>
  <si>
    <t>Voltage supply (V)</t>
  </si>
  <si>
    <t>Device VCC tolerance (%)</t>
  </si>
  <si>
    <t>Intel VCC tolerance (%)</t>
  </si>
  <si>
    <t>Recommended board pullup (ohm)</t>
  </si>
  <si>
    <t>U29</t>
  </si>
  <si>
    <t>Min board pullup (ohm)</t>
  </si>
  <si>
    <t>V29</t>
  </si>
  <si>
    <t>Max board pullup (ohm)</t>
  </si>
  <si>
    <t>W29</t>
  </si>
  <si>
    <t>Board pullup value tolerance (%)</t>
  </si>
  <si>
    <t>X29</t>
  </si>
  <si>
    <t>Board pullup (ohm)</t>
  </si>
  <si>
    <t>Intel silicon pulldown (ohm)</t>
  </si>
  <si>
    <t xml:space="preserve">Intel silicon clock current assist setting </t>
  </si>
  <si>
    <t>Pass/Fail</t>
  </si>
  <si>
    <t>Recommendation</t>
  </si>
  <si>
    <t>Device Rx - current assist</t>
  </si>
  <si>
    <t>F22</t>
  </si>
  <si>
    <t>Device Rx - MB length</t>
  </si>
  <si>
    <t>F23</t>
  </si>
  <si>
    <t>Intel Rx</t>
  </si>
  <si>
    <t>F21</t>
  </si>
  <si>
    <t>Device Spec</t>
  </si>
  <si>
    <t>VIH/VIL absolute/relative toggle</t>
  </si>
  <si>
    <t>relative</t>
  </si>
  <si>
    <t>absolute</t>
  </si>
  <si>
    <t xml:space="preserve">DC Vil </t>
  </si>
  <si>
    <t xml:space="preserve">DC Vih </t>
  </si>
  <si>
    <t>DC Vil (internal - relative)</t>
  </si>
  <si>
    <t>DC Vih (internal - relative)</t>
  </si>
  <si>
    <t xml:space="preserve">AC Vil </t>
  </si>
  <si>
    <t xml:space="preserve">AC Vih </t>
  </si>
  <si>
    <t xml:space="preserve">Rx toggle max rise time </t>
  </si>
  <si>
    <t xml:space="preserve">Rx toggle max fall time </t>
  </si>
  <si>
    <t xml:space="preserve">Rx toggle min rise time </t>
  </si>
  <si>
    <t xml:space="preserve">Rx toggle min fall time </t>
  </si>
  <si>
    <t>Intel Spec</t>
  </si>
  <si>
    <t xml:space="preserve">Intel spec waiver - min fall time </t>
  </si>
  <si>
    <t>Guardband</t>
  </si>
  <si>
    <t>DC Guardband</t>
  </si>
  <si>
    <t>Device Rx</t>
  </si>
  <si>
    <t>Expected max rise time</t>
  </si>
  <si>
    <t>G19</t>
  </si>
  <si>
    <t>Expected max fall time</t>
  </si>
  <si>
    <t>I19</t>
  </si>
  <si>
    <t>Expected min rise time</t>
  </si>
  <si>
    <t>F19</t>
  </si>
  <si>
    <t>Expected min fall time</t>
  </si>
  <si>
    <t>H19</t>
  </si>
  <si>
    <t>Expected vlow (%)</t>
  </si>
  <si>
    <t>E19</t>
  </si>
  <si>
    <t>Expected vhigh (%)</t>
  </si>
  <si>
    <t>D19</t>
  </si>
  <si>
    <t>G18</t>
  </si>
  <si>
    <t>I18</t>
  </si>
  <si>
    <t>F18</t>
  </si>
  <si>
    <t>H18</t>
  </si>
  <si>
    <t>E18</t>
  </si>
  <si>
    <t>D18</t>
  </si>
  <si>
    <t>Intel</t>
  </si>
  <si>
    <t>silicon cpad (F)</t>
  </si>
  <si>
    <t xml:space="preserve">base die capacitance, Min (F) </t>
  </si>
  <si>
    <t>base die capacitance , Max (F)</t>
  </si>
  <si>
    <t>base die resistance, Min (ohm)</t>
  </si>
  <si>
    <t>base die resistance, Max (ohm)</t>
  </si>
  <si>
    <t>package cap (F)</t>
  </si>
  <si>
    <t>package resistance (ohm)</t>
  </si>
  <si>
    <t>PD variation min (%)</t>
  </si>
  <si>
    <t>PD variation max (%)</t>
  </si>
  <si>
    <t>PU strength (ohm)</t>
  </si>
  <si>
    <t>PU variation min (%)</t>
  </si>
  <si>
    <t>PU variation max (%)</t>
  </si>
  <si>
    <t>Device</t>
  </si>
  <si>
    <t>Cpin, Min (F)</t>
  </si>
  <si>
    <t>Cpin, Max (F)</t>
  </si>
  <si>
    <t>PD strength requirement (ohm)</t>
  </si>
  <si>
    <t>Total bus capacitance, Min (F)</t>
  </si>
  <si>
    <t>Total bus capacitance, Max (F)</t>
  </si>
  <si>
    <t>Total bus resistance, Min (ohm)</t>
  </si>
  <si>
    <t>Total bus resistance, Max (ohm)</t>
  </si>
  <si>
    <t>length</t>
  </si>
  <si>
    <t>C</t>
  </si>
  <si>
    <t>R</t>
  </si>
  <si>
    <t>100k</t>
  </si>
  <si>
    <t>400k</t>
  </si>
  <si>
    <t>1M</t>
  </si>
  <si>
    <t>1.7M - SDA</t>
  </si>
  <si>
    <t>1.7M - SCL</t>
  </si>
  <si>
    <t>3.4M - SDA</t>
  </si>
  <si>
    <t>pd strength</t>
  </si>
  <si>
    <t>50pF</t>
  </si>
  <si>
    <t>8.2k</t>
  </si>
  <si>
    <t>3.3k</t>
  </si>
  <si>
    <t>1.2k</t>
  </si>
  <si>
    <t>Up to 50 pF</t>
  </si>
  <si>
    <t>1.8k</t>
  </si>
  <si>
    <t>1k</t>
  </si>
  <si>
    <t>100pF</t>
  </si>
  <si>
    <t>4.7k</t>
  </si>
  <si>
    <t>1.5k</t>
  </si>
  <si>
    <t>Up to 100 pF</t>
  </si>
  <si>
    <t>Up to 75 pF (001)</t>
  </si>
  <si>
    <t>200pF</t>
  </si>
  <si>
    <t>2.2k</t>
  </si>
  <si>
    <t>60 pF to 240 pF</t>
  </si>
  <si>
    <t>85 pF to 140 pF (001)</t>
  </si>
  <si>
    <t>65 pF to 85 pF (010)</t>
  </si>
  <si>
    <t>300pF</t>
  </si>
  <si>
    <t>125 pF to 185 pF (011)</t>
  </si>
  <si>
    <t>75 pF to 100 pF (011)</t>
  </si>
  <si>
    <t>310pF</t>
  </si>
  <si>
    <t>160 pF to 210 pF (100)</t>
  </si>
  <si>
    <t>400pF</t>
  </si>
  <si>
    <t>170 pF to 240 pF (110)</t>
  </si>
  <si>
    <t>can relax min rise spec?</t>
  </si>
  <si>
    <t>current_assist_min</t>
  </si>
  <si>
    <t>Spec</t>
  </si>
  <si>
    <t>Rx strap logic</t>
  </si>
  <si>
    <t>strap PU</t>
  </si>
  <si>
    <t>strap PU (min)</t>
  </si>
  <si>
    <t>strap PU (max)</t>
  </si>
  <si>
    <t>strap PD</t>
  </si>
  <si>
    <t>strap PD (min)</t>
  </si>
  <si>
    <t>strap PD (max)</t>
  </si>
  <si>
    <t>Buffer Type</t>
  </si>
  <si>
    <t>Buffer voltage</t>
  </si>
  <si>
    <t>toggle PU</t>
  </si>
  <si>
    <t>toggle PU (min)</t>
  </si>
  <si>
    <t>toggle PU (max)</t>
  </si>
  <si>
    <t>toggle PD</t>
  </si>
  <si>
    <t>toggle PD (min)</t>
  </si>
  <si>
    <t>toggle PD (max)</t>
  </si>
  <si>
    <t>current_assist_setting</t>
  </si>
  <si>
    <t>DC VIL</t>
  </si>
  <si>
    <t>DC VIH</t>
  </si>
  <si>
    <t>AC VIL</t>
  </si>
  <si>
    <t>AC VIH</t>
  </si>
  <si>
    <t>Rx toggle max rise time</t>
  </si>
  <si>
    <t>Rx toggle max fall time</t>
  </si>
  <si>
    <t>Strap max rise/fall time</t>
  </si>
  <si>
    <t>Rx toggle min rise time</t>
  </si>
  <si>
    <t>Rx toggle min fall time</t>
  </si>
  <si>
    <t>min rise/fall time (EMI/RF)</t>
  </si>
  <si>
    <t>silicon Cpad</t>
  </si>
  <si>
    <t>base die cap</t>
  </si>
  <si>
    <t>base die resistance</t>
  </si>
  <si>
    <t>Absolute/Relative</t>
  </si>
  <si>
    <t>current_assist_max</t>
  </si>
  <si>
    <t>OD</t>
  </si>
  <si>
    <t>Device 1</t>
  </si>
  <si>
    <t>strap voltage</t>
  </si>
  <si>
    <t>strap time</t>
  </si>
  <si>
    <t>Intel Rx max</t>
  </si>
  <si>
    <t>Device1 Rx max</t>
  </si>
  <si>
    <t>Intel Rx min</t>
  </si>
  <si>
    <t>Device1 Rx min</t>
  </si>
  <si>
    <t>preferred max</t>
  </si>
  <si>
    <t>max</t>
  </si>
  <si>
    <t>DC Threshold Guardband</t>
  </si>
  <si>
    <t xml:space="preserve">R2 </t>
  </si>
  <si>
    <t>R7 min</t>
  </si>
  <si>
    <t>new strap % (with board resistor)</t>
  </si>
  <si>
    <t>board resistance</t>
  </si>
  <si>
    <t>board resistor tol %</t>
  </si>
  <si>
    <t>board PU</t>
  </si>
  <si>
    <t xml:space="preserve">total MB trace length </t>
  </si>
  <si>
    <t xml:space="preserve">pkg + silicon capacitance </t>
  </si>
  <si>
    <t>pkg + silicon resistance</t>
  </si>
  <si>
    <t>Intel_VCC_max</t>
  </si>
  <si>
    <t>board PD</t>
  </si>
  <si>
    <t>inch</t>
  </si>
  <si>
    <t>F</t>
  </si>
  <si>
    <t>ohm</t>
  </si>
  <si>
    <t>Intel_VCC_min</t>
  </si>
  <si>
    <t>estimated pkg resistance ~ 2.593ohm</t>
  </si>
  <si>
    <t>Dev_VCC_max</t>
  </si>
  <si>
    <t>trace resistance per length</t>
  </si>
  <si>
    <t>trace capacitance per length</t>
  </si>
  <si>
    <t>Dev_VCC_min</t>
  </si>
  <si>
    <t>ohm/meter</t>
  </si>
  <si>
    <t>F/meter</t>
  </si>
  <si>
    <t>Measurements</t>
  </si>
  <si>
    <t>rise time</t>
  </si>
  <si>
    <t>fall time</t>
  </si>
  <si>
    <t>strap % (min)</t>
  </si>
  <si>
    <t>strap % (max)</t>
  </si>
  <si>
    <t>toggle high %</t>
  </si>
  <si>
    <t>toggle low %</t>
  </si>
  <si>
    <t>min</t>
  </si>
  <si>
    <t>estimated bus capacitance (from length, stackup, etc)</t>
  </si>
  <si>
    <t>Max</t>
  </si>
  <si>
    <t>pF</t>
  </si>
  <si>
    <t>Device1 Rx</t>
  </si>
  <si>
    <t>Min</t>
  </si>
  <si>
    <t>estimated bus resistance (from length, stackup, etc)</t>
  </si>
  <si>
    <t>recommendation #1</t>
  </si>
  <si>
    <t>max strap voltage</t>
  </si>
  <si>
    <t>recommendation #2</t>
  </si>
  <si>
    <t>PU placement location from Intel</t>
  </si>
  <si>
    <t>worse case for Intel Rx</t>
  </si>
  <si>
    <t>worse case for Device1 Rx</t>
  </si>
  <si>
    <t>R1</t>
  </si>
  <si>
    <t>Link to summary</t>
  </si>
  <si>
    <t>R2</t>
  </si>
  <si>
    <t>Rpu_currentassist = VCC / (2*current_assist_value)</t>
  </si>
  <si>
    <t>R3</t>
  </si>
  <si>
    <t>tr(max) = constant * Rmax * C</t>
  </si>
  <si>
    <t>R4</t>
  </si>
  <si>
    <t>Rmax = tr(max)/(constant * C)</t>
  </si>
  <si>
    <t>%</t>
  </si>
  <si>
    <t>R5</t>
  </si>
  <si>
    <t>Recommended PU</t>
  </si>
  <si>
    <t>R6</t>
  </si>
  <si>
    <t>PU @ 5%</t>
  </si>
  <si>
    <t>PU @ 10%</t>
  </si>
  <si>
    <t>R7</t>
  </si>
  <si>
    <t>R8</t>
  </si>
  <si>
    <t>mult</t>
  </si>
  <si>
    <t>nom</t>
  </si>
  <si>
    <t xml:space="preserve">min </t>
  </si>
  <si>
    <t>if meets  spec</t>
  </si>
  <si>
    <t>Dev_Tr_MinR</t>
  </si>
  <si>
    <t>Dev_Tr_MaxR</t>
  </si>
  <si>
    <t>Intel_Tr_MinR</t>
  </si>
  <si>
    <t>Intel_Tr_MaxR</t>
  </si>
  <si>
    <t>Dev_maxTf_minR</t>
  </si>
  <si>
    <t>Intel_maxTf_minR</t>
  </si>
  <si>
    <t>V1</t>
  </si>
  <si>
    <t>V2</t>
  </si>
  <si>
    <t>V3</t>
  </si>
  <si>
    <t>Vx (spec)</t>
  </si>
  <si>
    <t>Vy (spec)</t>
  </si>
  <si>
    <t>Vz (spec)</t>
  </si>
  <si>
    <t>Vx</t>
  </si>
  <si>
    <t>Vy</t>
  </si>
  <si>
    <t>Vz</t>
  </si>
  <si>
    <t>min strap voltage</t>
  </si>
  <si>
    <t>Intel Tx Device1 Rx</t>
  </si>
  <si>
    <t>Tx high</t>
  </si>
  <si>
    <t xml:space="preserve">Intel Tx vlow </t>
  </si>
  <si>
    <t>device Rx - max rise time</t>
  </si>
  <si>
    <t>device Rx - max fall time</t>
  </si>
  <si>
    <t>device Rx - min rise time</t>
  </si>
  <si>
    <t>device Rx - min fall time</t>
  </si>
  <si>
    <t>R1_c.assist</t>
  </si>
  <si>
    <t>Device1 Tx Intel Rx</t>
  </si>
  <si>
    <t>Device Tx - vlow</t>
  </si>
  <si>
    <t>Intel Rx - max rise time</t>
  </si>
  <si>
    <t>Intel Rx - max fall time</t>
  </si>
  <si>
    <t>intel Rx - min rise time</t>
  </si>
  <si>
    <t>intel Rx - min fall time</t>
  </si>
  <si>
    <t>Cmin = assume dev Cpin is 1pF</t>
  </si>
  <si>
    <t>Vlspec</t>
  </si>
  <si>
    <t>VLrel</t>
  </si>
  <si>
    <t>Vlspec(rel)</t>
  </si>
  <si>
    <t>ln(1)-ln(VL)</t>
  </si>
  <si>
    <t>R = a,b,c,  d,f,g  h,i</t>
  </si>
  <si>
    <t>power supplies = m,n,o</t>
  </si>
  <si>
    <t>x</t>
  </si>
  <si>
    <t>(m-x)/a + (0-x)/g + (y-x)/d = 0</t>
  </si>
  <si>
    <t>y</t>
  </si>
  <si>
    <t>(n-y)/b + (x-y)/d + (z-y)/f + (0-y)/h = 0</t>
  </si>
  <si>
    <t>node voltage = x,y,z</t>
  </si>
  <si>
    <t>z</t>
  </si>
  <si>
    <t>(o-z)/c + (y-z)/f + (0-z)/i = 0</t>
  </si>
  <si>
    <t>a</t>
  </si>
  <si>
    <t>b</t>
  </si>
  <si>
    <t>c</t>
  </si>
  <si>
    <t>d</t>
  </si>
  <si>
    <t>f</t>
  </si>
  <si>
    <t>g</t>
  </si>
  <si>
    <t>h</t>
  </si>
  <si>
    <t>i</t>
  </si>
  <si>
    <t>current scr</t>
  </si>
  <si>
    <t>s</t>
  </si>
  <si>
    <t>m</t>
  </si>
  <si>
    <t>n</t>
  </si>
  <si>
    <t>o</t>
  </si>
  <si>
    <t>x = agy+dgm / ad+ag+dg</t>
  </si>
  <si>
    <t>y = bdhz+bfhx+dfhn / bdf+bdh+bfh+dfh</t>
  </si>
  <si>
    <t>z = ciy+fio / cf+ci+fi</t>
  </si>
  <si>
    <t>To find</t>
  </si>
  <si>
    <t>R2 (max)</t>
  </si>
  <si>
    <t>replace z in y</t>
  </si>
  <si>
    <t>Intel Vih</t>
  </si>
  <si>
    <t>y = bcfhx+bchix+bdhio+bfhix+cdfhn+cdhin+dfhin / bcdf+bcdh+bcdi+bcfh+bchi+bdfi+bdhi+bfhi+cdfh+cdhi+dfhi</t>
  </si>
  <si>
    <t>R2 (min)</t>
  </si>
  <si>
    <t>Intel Vil</t>
  </si>
  <si>
    <t>R7 (min)</t>
  </si>
  <si>
    <t>replace y in x</t>
  </si>
  <si>
    <t>x = abghio+acfghn+acghin+afghin+bcdfgm+bcdghm+bcdgim+bcfghm+bcghim+bdfgim+bdghim+bfghim+cdfghm+cdghim+dfghim / abcdf+abcdh+abcdi+abcfg+abcfh+abcgh+abcgi+abchi+abdfi+abdhi+abfgi+abfhi+abghi+acdfh+acdhi+acfgh+acghi+adfhi+afghi+bcdfg+bcdgh+bcdgi+bcfgh+bcghi+bdfgi+bdghi+bfghi+cdfgh+cdghi+dfghi</t>
  </si>
  <si>
    <t>to find z, replace x in y</t>
  </si>
  <si>
    <t>y = abdhz+abghz+adfhn+afghn+bdghz+bfghm+dfghn / abdf+abdh+abfg+abfh+abgh+adfh+afgh+bdfg+bdgh+bfgh+dfgh</t>
  </si>
  <si>
    <t>Device1 Vih</t>
  </si>
  <si>
    <t>repalce y in z</t>
  </si>
  <si>
    <t>z = abdfio+abdhio+abfgio+abfhio+abghio+acdhin+acghin+adfhio+afghio+bcghim+bdfgio+bdghio+bfghio+cdghin+dfghio / abcdf+abcdh+abcdi+abcfg+abcfh+abcgh+abcgi+abchi+abdfi+abdhi+abfgi+abfhi+abghi+acdfh+acdhi+acfgh+acghi+adfhi+afghi+bcdfg+bcdgh+bcdgi+bcfgh+bcghi+bdfgi+bdghi+bfghi+cdfgh+cdghi+dfghi</t>
  </si>
  <si>
    <t>Device1 Vil</t>
  </si>
  <si>
    <t>to find y</t>
  </si>
  <si>
    <t>replace x &amp; z in y</t>
  </si>
  <si>
    <t>y = abdhio+abghio+acdfhn+acdhin+acfghn+acghin+adfhin+afghin+bcfghm+bcghim+bdghio+bfghim+cdfghn+cdghin+dfghin / abcdf+abcdh+abcdi+abcfg+abcfh+abcgh+abcgi+abchi+abdfi+abdhi+abfgi+abfhi+abghi+acdfh+acdhi+acfgh+acghi+adfhi+afghi+bcdfg+bcdgh+bcdgi+bcfgh+bcghi+bdfgi+bdghi+bfghi+cdfgh+cdghi+dfghi</t>
  </si>
  <si>
    <t>to find board pull-up for Intel Rx</t>
  </si>
  <si>
    <t>b = (−acdfhx−acdhix+acfghn−acfghx+acghin−acghix−adfhix+afghin−afghix+cdfghm−cdfghx+cdghim−cdghix+dfghim−dfghix) / (acdfx+acdhx+acdix+acfgx+acfhx+acghx+acgix+achix+adfix+adhix+afgix+afhix−aghio+aghix−cdfgm+cdfgx−cdghm+cdghx−cdgim+cdgix−cfghm+cfghx−cghim+cghix−dfgim+dfgix−dghim+dghix−fghim+fghix)</t>
  </si>
  <si>
    <t>to find board pull-down for Intel Rx</t>
  </si>
  <si>
    <t>h = (−abcdfx−abcdix−abcfgx−abcgix−abdfix−abfgix+bcdfgm−bcdfgx+bcdgim−bcdgix+bdfgim−bdfgix) / (abcdx+abcfx+abcgx+abcix+abdix+abfix−abgio+abgix+acdfx+acdix−acfgn+acfgx−acgin+acgix+adfix−afgin+afgix−bcdgm+bcdgx−bcfgm+bcfgx−bcgim+bcgix−bdgim+bdgix−bfgim+bfgix−cdfgm+cdfgx−cdgim+cdgix−dfgim+dfgix)</t>
  </si>
  <si>
    <t>to find board pull-up for Device1 Rx</t>
  </si>
  <si>
    <t>b = (−acdfhz+acdhin−acdhiz−acfghz+acghin−acghiz+adfhio−adfhiz+afghio−afghiz−cdfghz+cdghin−cdghiz+dfghio−dfghiz) / (acdfz+acdhz+acdiz+acfgz+acfhz+acghz+acgiz+achiz−adfio+adfiz−adhio+adhiz−afgio+afgiz−afhio+afhiz−aghio+aghiz+cdfgz+cdghz+cdgiz+cfghz−cghim+cghiz−dfgio+dfgiz−dghio+dghiz−fghio+fghiz)</t>
  </si>
  <si>
    <t>to find board pull-down for Device1 Rx</t>
  </si>
  <si>
    <t>h = (−abcdfz−abcdiz−abcfgz−abcgiz+abdfio−abdfiz+abfgio−abfgiz−bcdfgz−bcdgiz+bdfgio−bdfgiz) / (abcdz+abcfz+abcgz+abciz−abdio+abdiz−abfio+abfiz−abgio+abgiz+acdfz−acdin+acdiz+acfgz−acgin+acgiz−adfio+adfiz−afgio+afgiz+bcdgz+bcfgz−bcgim+bcgiz−bdgio+bdgiz−bfgio+bfgiz+cdfgz−cdgin+cdgiz−dfgio+dfgiz)</t>
  </si>
  <si>
    <t>acdfhn−acdfhy+acdhin−acdhiy+acfghn−acfghy+acghin−acghiy+adfhin−adfhiy+afghin−afghiy+cdfghn−cdfghy+cdghin−cdghiy+dfghin−dfghiy</t>
  </si>
  <si>
    <t>acdfy+acdhy+acdiy+acfgy+acfhy+acghy+acgiy+achiy+adfiy−adhio+adhiy+afgiy+afhiy−aghio+aghiy+cdfgy+cdghy+cdgiy−cfghm+cfghy−cghim+cghiy+dfgiy−dghio+dghiy−fghim+fghiy</t>
  </si>
  <si>
    <t>formula to replace</t>
  </si>
  <si>
    <t>x = (bcdfgs+bcdghs+bcdgis+bcfghs+bcghis+bdfgis+bdghis+bfghis+cdfghs+cdghis+dfghis+bghio+cfghn+cghin+fghin) / (bcdf+bcdh+bcdi+bcfg+bcfh+bcgh+bcgi+bchi+bdfi+bdhi+bfgi+bfhi+bghi+cdfh+cdhi+cfgh+cghi+dfhi+fghi)</t>
  </si>
  <si>
    <t>B</t>
  </si>
  <si>
    <t>+</t>
  </si>
  <si>
    <t>−</t>
  </si>
  <si>
    <t>-</t>
  </si>
  <si>
    <t>(</t>
  </si>
  <si>
    <t>(o-z)/c + (y-z)/f + (0-z)/i + (w-z)/j= 0</t>
  </si>
  <si>
    <t>w</t>
  </si>
  <si>
    <t>(p-w)/k + (z-w)/j + (0-w)/l=0</t>
  </si>
  <si>
    <t>R9</t>
  </si>
  <si>
    <t>j</t>
  </si>
  <si>
    <t>R10</t>
  </si>
  <si>
    <t>k</t>
  </si>
  <si>
    <t>R11</t>
  </si>
  <si>
    <t>l</t>
  </si>
  <si>
    <t>V4</t>
  </si>
  <si>
    <t>p</t>
  </si>
  <si>
    <t>Vw</t>
  </si>
  <si>
    <t>z = cfiw+cijy+fijo / cfi+cfj+cij+fij</t>
  </si>
  <si>
    <t>w = jlp+klz / jk+jl+kl</t>
  </si>
  <si>
    <t>to find x</t>
  </si>
  <si>
    <t>replace w in z</t>
  </si>
  <si>
    <t>z = cfilp+cijky+cijly+cikly+fijko+fijlo+fiklo / cfik+cfil+cfjk+cfjl+cfkl+cijk+cijl+cikl+fijk+fijl+fikl</t>
  </si>
  <si>
    <t>y = bcdhilp+bcfhikx+bcfhilx+bcfhjkx+bcfhjlx+bcfhklx+bchijkx+bchijlx+bchiklx+bdhijko+bdhijlo+bdhiklo+bfhijkx+bfhijlx+bfhiklx+cdfhikn+cdfhiln+cdfhjkn+cdfhjln+cdfhkln+cdhijkn+cdhijln+cdhikln+dfhijkn+dfhijln+dfhikln / bcdfik+bcdfil+bcdfjk+bcdfjl+bcdfkl+bcdhik+bcdhil+bcdhjk+bcdhjl+bcdhkl+bcdijk+bcdijl+bcdikl+bcfhik+bcfhil+bcfhjk+bcfhjl+bcfhkl+bchijk+bchijl+bchikl+bdfijk+bdfijl+bdfikl+bdhijk+bdhijl+bdhikl+bfhijk+bfhijl+bfhikl+cdfhik+cdfhil+cdfhjk+cdfhjl+cdfhkl+cdhijk+cdhijl+cdhikl+dfhijk+dfhijl+dfhikl</t>
  </si>
  <si>
    <t>y = bcdhilp+bcfhikx+bcfhilx+bcfhjkx+bcfhjlx+bcfhklx+bchijkx+bchijlx+bchiklx+bdhijko+bdhijlo+bdhiklo+bfhijkx+bfhijlx+bfhiklx+cdfhikn+cdfhil*n+cdfhjkn+cdfhjl*n+cdfhkl*n+cdhijkn+cdhijl*n+cdhikl*n+dfhijkn+dfhijl*n+dfhikl*n / bcdfik+bcdfil+bcdfjk+bcdfjl+bcdfkl+bcdhik+bcdhil+bcdhjk+bcdhjl+bcdhkl+bcdijk+bcdijl+bcdikl+bcfhik+bcfhil+bcfhjk+bcfhjl+bcfhkl+bchijk+bchijl+bchikl+bdfijk+bdfijl+bdfikl+bdhijk+bdhijl+bdhikl+bfhijk+bfhijl+bfhikl+cdfhik+cdfhil+cdfhjk+cdfhjl+cdfhkl+cdhijk+cdhijl+cdhikl+dfhijk+dfhijl+dfhikl</t>
  </si>
  <si>
    <t>x = (abcghilp+abghijko+abghijlo+abghiklo+acfghikn+acfghiln+acfghjkn+acfghjln+acfghkln+acghijkn+acghijln+acghikln+afghijkn+afghijln+afghikln+bcdfgikm+bcdfgilm+bcdfgjkm+bcdfgjlm+bcdfgklm+bcdghikm+bcdghilm+bcdghjkm+bcdghjlm+bcdghklm+bcdgijkm+bcdgijlm+bcdgiklm+bcfghikm+bcfghilm+bcfghjkm+bcfghjlm+bcfghklm+bcghijkm+bcghijlm+bcghiklm+bdfgijkm+bdfgijlm+bdfgiklm+bdghijkm+bdghijlm+bdghiklm+bfghijkm+bfghijlm+bfghiklm+cdfghikm+cdfghilm+cdfghjkm+cdfghjlm+cdfghklm+cdghijkm+cdghijlm+cdghiklm+dfghijkm+dfghijlm+dfghiklm) / (abcdfik+abcdfil+abcdfjk+abcdfjl+abcdfkl+abcdhik+abcdhil+abcdhjk+abcdhjl+abcdhkl+abcdijk+abcdijl+abcdikl+abcfgik+abcfgil+abcfgjk+abcfgjl+abcfgkl+abcfhik+abcfhil+abcfhjk+abcfhjl+abcfhkl+abcghik+abcghil+abcghjk+abcghjl+abcghkl+abcgijk+abcgijl+abcgikl+abchijk+abchijl+abchikl+abdfijk+abdfijl+abdfikl+abdhijk+abdhijl+abdhikl+abfgijk+abfgijl+abfgikl+abfhijk+abfhijl+abfhikl+abghijk+abghijl+abghikl+acdfhik+acdfhil+acdfhjk+acdfhjl+acdfhkl+acdhijk+acdhijl+acdhikl+acfghik+acfghil+acfghjk+acfghjl+acfghkl+acghijk+acghijl+acghikl+adfhijk+adfhijl+adfhikl+afghijk+afghijl+afghikl+bcdfgik+bcdfgil+bcdfgjk+bcdfgjl+bcdfgkl+bcdghik+bcdghil+bcdghjk+bcdghjl+bcdghkl+bcdgijk+bcdgijl+bcdgikl+bcfghik+bcfghil+bcfghjk+bcfghjl+bcfghkl+bcghijk+bcghijl+bcghikl+bdfgijk+bdfgijl+bdfgikl+bdghijk+bdghijl+bdghikl+bfghijk+bfghijl+bfghikl+cdfghik+cdfghil+cdfghjk+cdfghjl+cdfghkl+cdghijk+cdghijl+cdghikl+dfghijk+dfghijl+dfghikl)</t>
  </si>
  <si>
    <t>replace z &amp; x in y</t>
  </si>
  <si>
    <t>y = (abcdhilp+abcghilp+abdhijko+abdhijlo+abdhiklo+abghijko+abghijlo+abghiklo+acdfhikn+acdfhiln+acdfhjkn+acdfhjln+acdfhkln+acdhijkn+acdhijln+acdhikln+acfghikn+acfghiln+acfghjkn+acfghjln+acfghkln+acghijkn+acghijln+acghikln+adfhijkn+adfhijln+adfhikln+afghijkn+afghijln+afghikln+bcdghilp+bcfghikm+bcfghilm+bcfghjkm+bcfghjlm+bcfghklm+bcghijkm+bcghijlm+bcghiklm+bdghijko+bdghijlo+bdghiklo+bfghijkm+bfghijlm+bfghiklm+cdfghikn+cdfghiln+cdfghjkn+cdfghjln+cdfghkln+cdghijkn+cdghijln+cdghikln+dfghijkn+dfghijln+dfghikln) / (abcdfik+abcdfil+abcdfjk+abcdfjl+abcdfkl+abcdhik+abcdhil+abcdhjk+abcdhjl+abcdhkl+abcdijk+abcdijl+abcdikl+abcfgik+abcfgil+abcfgjk+abcfgjl+abcfgkl+abcfhik+abcfhil+abcfhjk+abcfhjl+abcfhkl+abcghik+abcghil+abcghjk+abcghjl+abcghkl+abcgijk+abcgijl+abcgikl+abchijk+abchijl+abchikl+abdfijk+abdfijl+abdfikl+abdhijk+abdhijl+abdhikl+abfgijk+abfgijl+abfgikl+abfhijk+abfhijl+abfhikl+abghijk+abghijl+abghikl+acdfhik+acdfhil+acdfhjk+acdfhjl+acdfhkl+acdhijk+acdhijl+acdhikl+acfghik+acfghil+acfghjk+acfghjl+acfghkl+acghijk+acghijl+acghikl+adfhijk+adfhijl+adfhikl+afghijk+afghijl+afghikl+bcdfgik+bcdfgil+bcdfgjk+bcdfgjl+bcdfgkl+bcdghik+bcdghil+bcdghjk+bcdghjl+bcdghkl+bcdgijk+bcdgijl+bcdgikl+bcfghik+bcfghil+bcfghjk+bcfghjl+bcfghkl+bcghijk+bcghijl+bcghikl+bdfgijk+bdfgijl+bdfgikl+bdghijk+bdghijl+bdghikl+bfghijk+bfghijl+bfghikl+cdfghik+cdfghil+cdfghjk+cdfghjl+cdfghkl+cdghijk+cdghijl+cdghikl+dfghijk+dfghijl+dfghikl)</t>
  </si>
  <si>
    <t>to find z</t>
  </si>
  <si>
    <t>replace x in y</t>
  </si>
  <si>
    <t>replace w, y in z</t>
  </si>
  <si>
    <t>z = (abcdfilp+abcdhilp+abcfgilp+abcfhilp+abcghilp+abdfijko+abdfijlo+abdfiklo+abdhijko+abdhijlo+abdhiklo+abfgijko+abfgijlo+abfgiklo+abfhijko+abfhijlo+abfhiklo+abghijko+abghijlo+abghiklo+acdfhilp+acdhijkn+acdhijln+acdhikln+acfghilp+acghijkn+acghijln+acghikln+adfhijko+adfhijlo+adfhiklo+afghijko+afghijlo+afghiklo+bcdfgilp+bcdghilp+bcfghilp+bcghijkm+bcghijlm+bcghiklm+bdfgijko+bdfgijlo+bdfgiklo+bdghijko+bdghijlo+bdghiklo+bfghijko+bfghijlo+bfghiklo+cdfghilp+cdghijkn+cdghijln+cdghikln+dfghijko+dfghijlo+dfghiklo) / (abcdfik+abcdfil+abcdfjk+abcdfjl+abcdfkl+abcdhik+abcdhil+abcdhjk+abcdhjl+abcdhkl+abcdijk+abcdijl+abcdikl+abcfgik+abcfgil+abcfgjk+abcfgjl+abcfgkl+abcfhik+abcfhil+abcfhjk+abcfhjl+abcfhkl+abcghik+abcghil+abcghjk+abcghjl+abcghkl+abcgijk+abcgijl+abcgikl+abchijk+abchijl+abchikl+abdfijk+abdfijl+abdfikl+abdhijk+abdhijl+abdhikl+abfgijk+abfgijl+abfgikl+abfhijk+abfhijl+abfhikl+abghijk+abghijl+abghikl+acdfhik+acdfhil+acdfhjk+acdfhjl+acdfhkl+acdhijk+acdhijl+acdhikl+acfghik+acfghil+acfghjk+acfghjl+acfghkl+acghijk+acghijl+acghikl+adfhijk+adfhijl+adfhikl+afghijk+afghijl+afghikl+bcdfgik+bcdfgil+bcdfgjk+bcdfgjl+bcdfgkl+bcdghik+bcdghil+bcdghjk+bcdghjl+bcdghkl+bcdgijk+bcdgijl+bcdgikl+bcfghik+bcfghil+bcfghjk+bcfghjl+bcfghkl+bcghijk+bcghijl+bcghikl+bdfgijk+bdfgijl+bdfgikl+bdghijk+bdghijl+bdghikl+bfghijk+bfghijl+bfghikl+cdfghik+cdfghil+cdfghjk+cdfghjl+cdfghkl+cdghijk+cdghijl+cdghikl+dfghijk+dfghijl+dfghikl)</t>
  </si>
  <si>
    <t>to find w</t>
  </si>
  <si>
    <t>replace y in z</t>
  </si>
  <si>
    <t>z = abcdfiw+abcdhiw+abcfgiw+abcfhiw+abcghiw+abdfijo+abdhijo+abfgijo+abfhijo+abghijo+acdfhiw+acdhijn+acfghiw+acghijn+adfhijo+afghijo+bcdfgiw+bcdghiw+bcfghiw+bcghijm+bdfgijo+bdghijo+bfghijo+cdfghiw+cdghijn+dfghijo / abcdfi+abcdfj+abcdhi+abcdhj+abcdij+abcfgi+abcfgj+abcfhi+abcfhj+abcghi+abcghj+abcgij+abchij+abdfij+abdhij+abfgij+abfhij+abghij+acdfhi+acdfhj+acdhij+acfghi+acfghj+acghij+adfhij+afghij+bcdfgi+bcdfgj+bcdghi+bcdghj+bcdgij+bcfghi+bcfghj+bcghij+bdfgij+bdghij+bfghij+cdfghi+cdfghj+cdghij+dfghij</t>
  </si>
  <si>
    <t>replace w &amp; y in z</t>
  </si>
  <si>
    <t>w = (abcdfilp+abcdfjlp+abcdhilp+abcdhjlp+abcdijlp+abcfgilp+abcfgjlp+abcfhilp+abcfhjlp+abcghilp+abcghjlp+abcgijlp+abchijlp+abdfijlp+abdfiklo+abdhijlp+abdhiklo+abfgijlp+abfgiklo+abfhijlp+abfhiklo+abghijlp+abghiklo+acdfhilp+acdfhjlp+acdhijlp+acdhikln+acfghilp+acfghjlp+acghijlp+acghikln+adfhijlp+adfhiklo+afghijlp+afghiklo+bcdfgilp+bcdfgjlp+bcdghilp+bcdghjlp+bcdgijlp+bcfghilp+bcfghjlp+bcghijlp+bcghiklm+bdfgijlp+bdfgiklo+bdghijlp+bdghiklo+bfghijlp+bfghiklo+cdfghilp+cdfghjlp+cdghijlp+cdghikln+dfghijlp+dfghiklo) / (abcdfik+abcdfil+abcdfjk+abcdfjl+abcdfkl+abcdhik+abcdhil+abcdhjk+abcdhjl+abcdhkl+abcdijk+abcdijl+abcdikl+abcfgik+abcfgil+abcfgjk+abcfgjl+abcfgkl+abcfhik+abcfhil+abcfhjk+abcfhjl+abcfhkl+abcghik+abcghil+abcghjk+abcghjl+abcghkl+abcgijk+abcgijl+abcgikl+abchijk+abchijl+abchikl+abdfijk+abdfijl+abdfikl+abdhijk+abdhijl+abdhikl+abfgijk+abfgijl+abfgikl+abfhijk+abfhijl+abfhikl+abghijk+abghijl+abghikl+acdfhik+acdfhil+acdfhjk+acdfhjl+acdfhkl+acdhijk+acdhijl+acdhikl+acfghik+acfghil+acfghjk+acfghjl+acfghkl+acghijk+acghijl+acghikl+adfhijk+adfhijl+adfhikl+afghijk+afghijl+afghikl+bcdfgik+bcdfgil+bcdfgjk+bcdfgjl+bcdfgkl+bcdghik+bcdghil+bcdghjk+bcdghjl+bcdghkl+bcdgijk+bcdgijl+bcdgikl+bcfghik+bcfghil+bcfghjk+bcfghjl+bcfghkl+bcghijk+bcghijl+bcghikl+bdfgijk+bdfgijl+bdfgikl+bdghijk+bdghijl+bdghikl+bfghijk+bfghijl+bfghikl+cdfghik+cdfghil+cdfghjk+cdfghjl+cdfghkl+cdghijk+cdghijl+cdghikl+dfghijk+dfghijl+dfghikl)</t>
  </si>
  <si>
    <t>RGB color code for formating</t>
  </si>
  <si>
    <t>good</t>
  </si>
  <si>
    <t>bad</t>
  </si>
  <si>
    <t>tr</t>
  </si>
  <si>
    <t>typ</t>
  </si>
  <si>
    <t>plot only IBIS rise time</t>
  </si>
  <si>
    <t>currentsrc</t>
  </si>
  <si>
    <t>v</t>
  </si>
  <si>
    <t>VCC</t>
  </si>
  <si>
    <t>000</t>
  </si>
  <si>
    <t>I2C[3A:5A]_SDA</t>
  </si>
  <si>
    <t>I2C[3A:5A]_SCL</t>
  </si>
  <si>
    <t>SMLink</t>
  </si>
  <si>
    <t>SML0BALERT#</t>
  </si>
  <si>
    <t>SML[0:1]ALERT#</t>
  </si>
  <si>
    <t>USB-C_SMLCLK</t>
  </si>
  <si>
    <t>USB-C_SMLDATA</t>
  </si>
  <si>
    <t>PSE_SMLCLK</t>
  </si>
  <si>
    <t>PSE_SMLDATA</t>
  </si>
  <si>
    <t>PSE_SMLALERT#</t>
  </si>
  <si>
    <t>DDP[0:2]_CTRLCLK</t>
  </si>
  <si>
    <t>DDP[0:2]_CTRLDATA</t>
  </si>
  <si>
    <t>DDP4_CTRLCLK</t>
  </si>
  <si>
    <t>DDP4_CTRLDATA</t>
  </si>
  <si>
    <t>[1] 0.375 mm: Frequency of other signals &gt; 1 GHz.
[2] 0.250 mm: Frequency of other signals &gt; 100 MHz.
[3] 0.125 mm: Frequency of other signals ≤ 100 MHz.</t>
  </si>
  <si>
    <t>20 Ω/meter.
Note: Board MB trace resistance number were based on PDG reference stackup.</t>
  </si>
  <si>
    <t>208 pF/meter.
Note: Board MB trace capacitance number were based on PDG reference stackup.</t>
  </si>
  <si>
    <t>SMLink Standard Mode</t>
  </si>
  <si>
    <t>SMLink Fast Mode</t>
  </si>
  <si>
    <t>SMLink Fast Mode Plus</t>
  </si>
  <si>
    <t>Intel Confidential</t>
  </si>
  <si>
    <t>Document Number: 855310</t>
  </si>
  <si>
    <t>Revision Update Only - Power Map Updated</t>
  </si>
  <si>
    <t xml:space="preserve">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 activation. Check with your system manufacturer or retailer.
The products described may contain design defects or errors known as errata which may cause the product to deviate from published specifications. Currently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that have an order number and are referenced in this document may be obtained by calling 1-800-548-4725 or visit www.intel.com/design/literature.htm.
Intel, and the Intel logo, are trademarks of Intel Corporation in the U.S. and/or other countries. 
*Other names and brands may be claimed as the property of others.
© 2025-2026 Intel Corporation. All rights reserved.
</t>
  </si>
  <si>
    <t>Revision Update Only</t>
  </si>
  <si>
    <t>Nova Lake Mobile Platform Layout Review Checklist</t>
  </si>
  <si>
    <t>Revision: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</si>
</sst>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00"/>
    <numFmt numFmtId="166" formatCode="[$-409]mmm\-yy;@"/>
    <numFmt numFmtId="167" formatCode="##0.00E+0"/>
    <numFmt numFmtId="168" formatCode="0.000000000000000"/>
    <numFmt numFmtId="169" formatCode="_([$€-2]* #,##0.00_);_([$€-2]* \(#,##0.00\);_([$€-2]* &quot;-&quot;??_)"/>
    <numFmt numFmtId="170" formatCode="0.\5.\1"/>
    <numFmt numFmtId="171" formatCode="0.\7.\1"/>
  </numFmts>
  <fonts count="39" x14ac:knownFonts="1">
    <font>
      <sz val="11"/>
      <color theme="1"/>
      <name val="Calibri"/>
      <family val="2"/>
      <scheme val="minor"/>
    </font>
    <font>
      <b/>
      <u/>
      <sz val="11"/>
      <color theme="1"/>
      <name val="Calibri"/>
      <family val="2"/>
      <scheme val="minor"/>
    </font>
    <font>
      <b/>
      <sz val="11"/>
      <color theme="1"/>
      <name val="Calibri"/>
      <family val="2"/>
      <scheme val="minor"/>
    </font>
    <font>
      <b/>
      <sz val="10"/>
      <color theme="0" tint="-0.34998626667073579"/>
      <name val="Consolas"/>
      <family val="3"/>
    </font>
    <font>
      <b/>
      <sz val="15"/>
      <color theme="0"/>
      <name val="Calibri"/>
      <family val="2"/>
      <scheme val="minor"/>
    </font>
    <font>
      <b/>
      <sz val="13"/>
      <color theme="0"/>
      <name val="Calibri"/>
      <family val="2"/>
      <scheme val="minor"/>
    </font>
    <font>
      <b/>
      <sz val="11"/>
      <color rgb="FF0070C0"/>
      <name val="Calibri"/>
      <family val="2"/>
      <scheme val="minor"/>
    </font>
    <font>
      <sz val="11"/>
      <color rgb="FF0070C0"/>
      <name val="Calibri"/>
      <family val="2"/>
      <scheme val="minor"/>
    </font>
    <font>
      <sz val="11"/>
      <name val="Calibri"/>
      <family val="2"/>
      <scheme val="minor"/>
    </font>
    <font>
      <sz val="11"/>
      <color rgb="FF006100"/>
      <name val="Calibri"/>
      <family val="2"/>
      <scheme val="minor"/>
    </font>
    <font>
      <sz val="11"/>
      <color rgb="FF9C0006"/>
      <name val="Calibri"/>
      <family val="2"/>
      <scheme val="minor"/>
    </font>
    <font>
      <strike/>
      <sz val="11"/>
      <color theme="1"/>
      <name val="Calibri"/>
      <family val="2"/>
      <scheme val="minor"/>
    </font>
    <font>
      <sz val="11"/>
      <color theme="1"/>
      <name val="Calibri"/>
      <family val="2"/>
      <scheme val="minor"/>
    </font>
    <font>
      <sz val="16"/>
      <color theme="1"/>
      <name val="Calibri"/>
      <family val="2"/>
      <scheme val="minor"/>
    </font>
    <font>
      <u/>
      <sz val="11"/>
      <color theme="1"/>
      <name val="Calibri"/>
      <family val="2"/>
      <scheme val="minor"/>
    </font>
    <font>
      <sz val="9"/>
      <color indexed="81"/>
      <name val="Tahoma"/>
      <family val="2"/>
    </font>
    <font>
      <b/>
      <sz val="9"/>
      <color indexed="81"/>
      <name val="Tahoma"/>
      <family val="2"/>
    </font>
    <font>
      <sz val="11"/>
      <color theme="0"/>
      <name val="Calibri"/>
      <family val="2"/>
      <scheme val="minor"/>
    </font>
    <font>
      <sz val="11"/>
      <color rgb="FF3F3F76"/>
      <name val="Calibri"/>
      <family val="2"/>
      <scheme val="minor"/>
    </font>
    <font>
      <u/>
      <sz val="11"/>
      <color theme="10"/>
      <name val="Calibri"/>
      <family val="2"/>
      <scheme val="minor"/>
    </font>
    <font>
      <sz val="12"/>
      <color theme="1"/>
      <name val="Calibri"/>
      <family val="2"/>
      <scheme val="minor"/>
    </font>
    <font>
      <b/>
      <sz val="16"/>
      <color theme="1"/>
      <name val="Calibri"/>
      <family val="2"/>
      <scheme val="minor"/>
    </font>
    <font>
      <b/>
      <sz val="12"/>
      <color theme="1"/>
      <name val="Calibri"/>
      <family val="2"/>
      <scheme val="minor"/>
    </font>
    <font>
      <b/>
      <u/>
      <sz val="16"/>
      <color theme="1"/>
      <name val="Calibri"/>
      <family val="2"/>
      <scheme val="minor"/>
    </font>
    <font>
      <u/>
      <sz val="12"/>
      <color theme="10"/>
      <name val="Calibri"/>
      <family val="2"/>
      <scheme val="minor"/>
    </font>
    <font>
      <b/>
      <sz val="15"/>
      <color theme="3"/>
      <name val="Calibri"/>
      <family val="2"/>
      <scheme val="minor"/>
    </font>
    <font>
      <b/>
      <sz val="11"/>
      <name val="Calibri"/>
      <family val="2"/>
      <scheme val="minor"/>
    </font>
    <font>
      <b/>
      <sz val="11"/>
      <color theme="3"/>
      <name val="Calibri"/>
      <family val="2"/>
      <scheme val="minor"/>
    </font>
    <font>
      <u/>
      <sz val="12"/>
      <color theme="1"/>
      <name val="Calibri"/>
      <family val="2"/>
      <scheme val="minor"/>
    </font>
    <font>
      <b/>
      <sz val="14"/>
      <name val="Calibri"/>
      <family val="2"/>
      <scheme val="minor"/>
    </font>
    <font>
      <b/>
      <sz val="14"/>
      <color theme="1"/>
      <name val="Calibri"/>
      <family val="2"/>
      <scheme val="minor"/>
    </font>
    <font>
      <sz val="10"/>
      <name val="Arial"/>
      <family val="2"/>
    </font>
    <font>
      <sz val="11"/>
      <color rgb="FFFF0000"/>
      <name val="Calibri"/>
      <family val="2"/>
      <scheme val="minor"/>
    </font>
    <font>
      <b/>
      <sz val="16"/>
      <color theme="0"/>
      <name val="Verdana"/>
      <family val="2"/>
    </font>
    <font>
      <b/>
      <sz val="16"/>
      <color indexed="10"/>
      <name val="Verdana"/>
      <family val="2"/>
    </font>
    <font>
      <b/>
      <sz val="10"/>
      <name val="Verdana"/>
      <family val="2"/>
    </font>
    <font>
      <b/>
      <sz val="9"/>
      <name val="Verdana"/>
      <family val="2"/>
    </font>
    <font>
      <b/>
      <sz val="10"/>
      <color theme="0"/>
      <name val="Arial"/>
      <family val="2"/>
    </font>
    <font>
      <sz val="10"/>
      <color theme="1"/>
      <name val="Arial"/>
      <family val="2"/>
    </font>
  </fonts>
  <fills count="3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79998168889431442"/>
        <bgColor indexed="65"/>
      </patternFill>
    </fill>
    <fill>
      <patternFill patternType="solid">
        <fgColor theme="6"/>
      </patternFill>
    </fill>
    <fill>
      <patternFill patternType="solid">
        <fgColor rgb="FFFFCC99"/>
      </patternFill>
    </fill>
    <fill>
      <patternFill patternType="solid">
        <fgColor theme="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rgb="FFFFC7CE"/>
        <bgColor indexed="64"/>
      </patternFill>
    </fill>
    <fill>
      <patternFill patternType="solid">
        <fgColor rgb="FF92D050"/>
        <bgColor indexed="64"/>
      </patternFill>
    </fill>
    <fill>
      <patternFill patternType="solid">
        <fgColor rgb="FFFFE1E1"/>
        <bgColor indexed="64"/>
      </patternFill>
    </fill>
    <fill>
      <patternFill patternType="solid">
        <fgColor theme="9" tint="0.79998168889431442"/>
        <bgColor indexed="64"/>
      </patternFill>
    </fill>
    <fill>
      <patternFill patternType="solid">
        <fgColor rgb="FFFFFF99"/>
        <bgColor indexed="64"/>
      </patternFill>
    </fill>
    <fill>
      <patternFill patternType="solid">
        <fgColor theme="8"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indexed="12"/>
        <bgColor indexed="64"/>
      </patternFill>
    </fill>
    <fill>
      <patternFill patternType="solid">
        <fgColor indexed="4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style="thin">
        <color indexed="64"/>
      </right>
      <top style="thin">
        <color indexed="64"/>
      </top>
      <bottom style="thin">
        <color indexed="64"/>
      </bottom>
      <diagonal/>
    </border>
    <border>
      <left/>
      <right/>
      <top/>
      <bottom style="thick">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9">
    <xf numFmtId="0" fontId="0" fillId="0" borderId="0"/>
    <xf numFmtId="0" fontId="3" fillId="0" borderId="0"/>
    <xf numFmtId="0" fontId="4" fillId="6" borderId="0" applyNumberFormat="0" applyAlignment="0" applyProtection="0"/>
    <xf numFmtId="0" fontId="5" fillId="7" borderId="0" applyNumberFormat="0" applyAlignment="0"/>
    <xf numFmtId="0" fontId="6" fillId="8" borderId="1"/>
    <xf numFmtId="0" fontId="7" fillId="0" borderId="1"/>
    <xf numFmtId="0" fontId="9" fillId="9" borderId="0" applyNumberFormat="0" applyBorder="0" applyAlignment="0" applyProtection="0"/>
    <xf numFmtId="0" fontId="10"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7" fillId="14" borderId="0" applyNumberFormat="0" applyBorder="0" applyAlignment="0" applyProtection="0"/>
    <xf numFmtId="0" fontId="18" fillId="15" borderId="10" applyNumberFormat="0" applyAlignment="0" applyProtection="0"/>
    <xf numFmtId="9" fontId="12" fillId="0" borderId="0" applyFont="0" applyFill="0" applyBorder="0" applyAlignment="0" applyProtection="0"/>
    <xf numFmtId="0" fontId="19" fillId="0" borderId="0" applyNumberFormat="0" applyFill="0" applyBorder="0" applyAlignment="0" applyProtection="0"/>
    <xf numFmtId="0" fontId="25" fillId="0" borderId="12" applyNumberFormat="0" applyFill="0" applyAlignment="0" applyProtection="0"/>
    <xf numFmtId="0" fontId="31" fillId="0" borderId="0"/>
    <xf numFmtId="169" fontId="31" fillId="0" borderId="0"/>
    <xf numFmtId="169" fontId="31" fillId="0" borderId="0"/>
  </cellStyleXfs>
  <cellXfs count="178">
    <xf numFmtId="0" fontId="0" fillId="0" borderId="0" xfId="0"/>
    <xf numFmtId="2" fontId="0" fillId="0" borderId="0" xfId="0" applyNumberFormat="1"/>
    <xf numFmtId="164" fontId="0" fillId="0" borderId="0" xfId="0" applyNumberFormat="1"/>
    <xf numFmtId="0" fontId="0" fillId="2" borderId="0" xfId="0" applyFill="1"/>
    <xf numFmtId="11" fontId="0" fillId="2" borderId="0" xfId="0" applyNumberFormat="1" applyFill="1"/>
    <xf numFmtId="2" fontId="0" fillId="2" borderId="0" xfId="0" applyNumberFormat="1" applyFill="1"/>
    <xf numFmtId="0" fontId="1" fillId="2" borderId="0" xfId="0" applyFont="1" applyFill="1"/>
    <xf numFmtId="0" fontId="0" fillId="3" borderId="0" xfId="0" applyFill="1"/>
    <xf numFmtId="0" fontId="0" fillId="5" borderId="0" xfId="0" applyFill="1"/>
    <xf numFmtId="11" fontId="0" fillId="0" borderId="0" xfId="0" applyNumberFormat="1"/>
    <xf numFmtId="1" fontId="0" fillId="2" borderId="0" xfId="0" applyNumberFormat="1" applyFill="1"/>
    <xf numFmtId="1" fontId="0" fillId="0" borderId="0" xfId="0" applyNumberFormat="1"/>
    <xf numFmtId="0" fontId="9" fillId="9" borderId="0" xfId="6"/>
    <xf numFmtId="0" fontId="11" fillId="0" borderId="0" xfId="0" applyFont="1"/>
    <xf numFmtId="0" fontId="10" fillId="10" borderId="0" xfId="7"/>
    <xf numFmtId="9" fontId="0" fillId="2" borderId="0" xfId="0" applyNumberFormat="1" applyFill="1"/>
    <xf numFmtId="9" fontId="0" fillId="0" borderId="0" xfId="0" applyNumberFormat="1"/>
    <xf numFmtId="0" fontId="12" fillId="11" borderId="0" xfId="8"/>
    <xf numFmtId="10" fontId="12" fillId="11" borderId="0" xfId="8" applyNumberFormat="1"/>
    <xf numFmtId="0" fontId="1" fillId="11" borderId="0" xfId="8" applyFont="1"/>
    <xf numFmtId="0" fontId="13" fillId="0" borderId="0" xfId="0" applyFont="1"/>
    <xf numFmtId="0" fontId="12" fillId="12" borderId="0" xfId="9"/>
    <xf numFmtId="0" fontId="0" fillId="0" borderId="0" xfId="0" quotePrefix="1" applyAlignment="1">
      <alignment horizontal="left"/>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xf>
    <xf numFmtId="2" fontId="0" fillId="0" borderId="9" xfId="0" applyNumberFormat="1" applyBorder="1" applyAlignment="1">
      <alignment horizontal="center"/>
    </xf>
    <xf numFmtId="0" fontId="0" fillId="0" borderId="5" xfId="0" applyBorder="1"/>
    <xf numFmtId="0" fontId="0" fillId="0" borderId="6" xfId="0" applyBorder="1"/>
    <xf numFmtId="0" fontId="12" fillId="0" borderId="0" xfId="8" applyFill="1"/>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horizontal="left" indent="2"/>
    </xf>
    <xf numFmtId="0" fontId="0" fillId="0" borderId="1" xfId="0" applyBorder="1" applyAlignment="1">
      <alignment horizontal="left"/>
    </xf>
    <xf numFmtId="48" fontId="0" fillId="0" borderId="1" xfId="0" applyNumberFormat="1" applyBorder="1"/>
    <xf numFmtId="48" fontId="0" fillId="0" borderId="1" xfId="0" applyNumberFormat="1" applyBorder="1" applyAlignment="1">
      <alignment horizontal="right"/>
    </xf>
    <xf numFmtId="165" fontId="0" fillId="0" borderId="1" xfId="0" applyNumberFormat="1" applyBorder="1" applyAlignment="1">
      <alignment horizontal="right"/>
    </xf>
    <xf numFmtId="9" fontId="0" fillId="0" borderId="1" xfId="0" applyNumberFormat="1" applyBorder="1" applyAlignment="1">
      <alignment horizontal="right"/>
    </xf>
    <xf numFmtId="48" fontId="0" fillId="2" borderId="0" xfId="0" applyNumberFormat="1" applyFill="1"/>
    <xf numFmtId="0" fontId="2" fillId="0" borderId="1" xfId="0" applyFont="1" applyBorder="1"/>
    <xf numFmtId="0" fontId="12" fillId="13" borderId="1" xfId="10" applyBorder="1"/>
    <xf numFmtId="0" fontId="8" fillId="0" borderId="1" xfId="11" applyFont="1" applyFill="1" applyBorder="1"/>
    <xf numFmtId="0" fontId="8" fillId="0" borderId="1" xfId="0" applyFont="1" applyBorder="1"/>
    <xf numFmtId="2" fontId="0" fillId="0" borderId="1" xfId="0" applyNumberFormat="1" applyBorder="1"/>
    <xf numFmtId="1" fontId="0" fillId="0" borderId="1" xfId="0" applyNumberFormat="1" applyBorder="1" applyAlignment="1">
      <alignment horizontal="right"/>
    </xf>
    <xf numFmtId="0" fontId="2" fillId="0" borderId="1" xfId="0" applyFont="1" applyBorder="1" applyAlignment="1">
      <alignment horizontal="center"/>
    </xf>
    <xf numFmtId="48" fontId="0" fillId="0" borderId="0" xfId="0" applyNumberFormat="1"/>
    <xf numFmtId="0" fontId="0" fillId="0" borderId="0" xfId="0" applyAlignment="1">
      <alignment horizontal="center"/>
    </xf>
    <xf numFmtId="0" fontId="0" fillId="0" borderId="0" xfId="0" quotePrefix="1"/>
    <xf numFmtId="0" fontId="18" fillId="15" borderId="1" xfId="12" applyBorder="1" applyAlignment="1">
      <alignment horizontal="right"/>
    </xf>
    <xf numFmtId="48" fontId="18" fillId="15" borderId="1" xfId="12" applyNumberFormat="1" applyBorder="1" applyAlignment="1">
      <alignment horizontal="right"/>
    </xf>
    <xf numFmtId="9" fontId="18" fillId="15" borderId="1" xfId="12" applyNumberFormat="1" applyBorder="1" applyAlignment="1">
      <alignment horizontal="right"/>
    </xf>
    <xf numFmtId="0" fontId="18" fillId="15" borderId="1" xfId="12" applyBorder="1"/>
    <xf numFmtId="0" fontId="18" fillId="0" borderId="1" xfId="12" applyFill="1" applyBorder="1" applyAlignment="1">
      <alignment horizontal="right"/>
    </xf>
    <xf numFmtId="0" fontId="0" fillId="0" borderId="1" xfId="0" applyBorder="1" applyAlignment="1">
      <alignment horizontal="right"/>
    </xf>
    <xf numFmtId="10" fontId="0" fillId="0" borderId="1" xfId="0" applyNumberFormat="1" applyBorder="1" applyAlignment="1">
      <alignment horizontal="right"/>
    </xf>
    <xf numFmtId="2" fontId="0" fillId="0" borderId="1" xfId="0" applyNumberFormat="1" applyBorder="1" applyAlignment="1">
      <alignment horizontal="right"/>
    </xf>
    <xf numFmtId="9" fontId="0" fillId="0" borderId="1" xfId="0" applyNumberFormat="1" applyBorder="1"/>
    <xf numFmtId="2" fontId="12" fillId="11" borderId="0" xfId="8" applyNumberFormat="1"/>
    <xf numFmtId="9" fontId="0" fillId="0" borderId="0" xfId="0" applyNumberFormat="1" applyAlignment="1">
      <alignment horizontal="right"/>
    </xf>
    <xf numFmtId="9" fontId="0" fillId="16" borderId="1" xfId="0" applyNumberFormat="1" applyFill="1" applyBorder="1" applyAlignment="1">
      <alignment horizontal="right"/>
    </xf>
    <xf numFmtId="9" fontId="0" fillId="0" borderId="0" xfId="13" applyFont="1"/>
    <xf numFmtId="0" fontId="18" fillId="0" borderId="1" xfId="12" applyFill="1" applyBorder="1"/>
    <xf numFmtId="1" fontId="12" fillId="11" borderId="0" xfId="8" applyNumberFormat="1"/>
    <xf numFmtId="9" fontId="0" fillId="0" borderId="1" xfId="13" applyFont="1" applyBorder="1" applyAlignment="1">
      <alignment horizontal="right"/>
    </xf>
    <xf numFmtId="1" fontId="18" fillId="15" borderId="1" xfId="12" applyNumberFormat="1" applyBorder="1" applyAlignment="1">
      <alignment horizontal="right"/>
    </xf>
    <xf numFmtId="1" fontId="18" fillId="0" borderId="1" xfId="12" applyNumberFormat="1" applyFill="1" applyBorder="1" applyAlignment="1">
      <alignment horizontal="right"/>
    </xf>
    <xf numFmtId="10" fontId="0" fillId="0" borderId="1" xfId="0" applyNumberFormat="1" applyBorder="1"/>
    <xf numFmtId="10" fontId="12" fillId="12" borderId="0" xfId="9" applyNumberFormat="1"/>
    <xf numFmtId="0" fontId="19" fillId="0" borderId="0" xfId="14"/>
    <xf numFmtId="10" fontId="0" fillId="0" borderId="0" xfId="0" applyNumberFormat="1"/>
    <xf numFmtId="0" fontId="21" fillId="0" borderId="1" xfId="0" applyFont="1" applyBorder="1"/>
    <xf numFmtId="0" fontId="13" fillId="0" borderId="1" xfId="0" applyFont="1" applyBorder="1" applyAlignment="1">
      <alignment horizontal="left" vertical="center" indent="2"/>
    </xf>
    <xf numFmtId="0" fontId="23" fillId="0" borderId="1" xfId="0" applyFont="1" applyBorder="1"/>
    <xf numFmtId="0" fontId="22" fillId="0" borderId="1" xfId="0" applyFont="1" applyBorder="1" applyAlignment="1">
      <alignment horizontal="left" vertical="center"/>
    </xf>
    <xf numFmtId="0" fontId="22" fillId="0" borderId="1" xfId="0" applyFont="1" applyBorder="1" applyAlignment="1">
      <alignment horizontal="center" vertical="center" wrapText="1"/>
    </xf>
    <xf numFmtId="0" fontId="24" fillId="23" borderId="1" xfId="14" applyFont="1" applyFill="1" applyBorder="1" applyAlignment="1">
      <alignment horizontal="center" vertical="center" wrapText="1"/>
    </xf>
    <xf numFmtId="0" fontId="24" fillId="17" borderId="1" xfId="14" applyFont="1" applyFill="1" applyBorder="1" applyAlignment="1">
      <alignment horizontal="center" vertical="center" wrapText="1"/>
    </xf>
    <xf numFmtId="0" fontId="24" fillId="18" borderId="1" xfId="14" applyFont="1" applyFill="1" applyBorder="1" applyAlignment="1">
      <alignment horizontal="center" vertical="center" wrapText="1"/>
    </xf>
    <xf numFmtId="0" fontId="24" fillId="19" borderId="1" xfId="14" applyFont="1" applyFill="1" applyBorder="1" applyAlignment="1">
      <alignment horizontal="center" vertical="center" wrapText="1"/>
    </xf>
    <xf numFmtId="0" fontId="24" fillId="20" borderId="1" xfId="14" applyFont="1" applyFill="1" applyBorder="1" applyAlignment="1">
      <alignment horizontal="center" vertical="center" wrapText="1"/>
    </xf>
    <xf numFmtId="0" fontId="24" fillId="3" borderId="1" xfId="14" applyFont="1" applyFill="1" applyBorder="1" applyAlignment="1">
      <alignment horizontal="center" vertical="center" wrapText="1"/>
    </xf>
    <xf numFmtId="0" fontId="24" fillId="22" borderId="1" xfId="14" applyFont="1" applyFill="1" applyBorder="1" applyAlignment="1">
      <alignment horizontal="center" vertical="center" wrapText="1"/>
    </xf>
    <xf numFmtId="0" fontId="20" fillId="0" borderId="0" xfId="0" applyFont="1"/>
    <xf numFmtId="0" fontId="0" fillId="0" borderId="1" xfId="0" applyBorder="1" applyAlignment="1">
      <alignment vertical="center" wrapText="1"/>
    </xf>
    <xf numFmtId="0" fontId="18" fillId="15" borderId="10" xfId="12" applyAlignment="1">
      <alignment horizontal="right"/>
    </xf>
    <xf numFmtId="9" fontId="18" fillId="15" borderId="10" xfId="12" applyNumberFormat="1" applyAlignment="1">
      <alignment horizontal="right"/>
    </xf>
    <xf numFmtId="0" fontId="19" fillId="2" borderId="1" xfId="14" applyFill="1" applyBorder="1" applyAlignment="1">
      <alignment horizontal="center" vertical="center" wrapText="1"/>
    </xf>
    <xf numFmtId="0" fontId="8" fillId="0" borderId="1" xfId="5" applyFont="1" applyAlignment="1">
      <alignment vertical="center" wrapText="1"/>
    </xf>
    <xf numFmtId="0" fontId="8" fillId="0" borderId="1" xfId="5" applyFont="1" applyAlignment="1">
      <alignment vertical="center"/>
    </xf>
    <xf numFmtId="0" fontId="8" fillId="0" borderId="13" xfId="5" applyFont="1" applyBorder="1" applyAlignment="1">
      <alignment horizontal="left" vertical="center"/>
    </xf>
    <xf numFmtId="0" fontId="26" fillId="0" borderId="1" xfId="4" applyFont="1" applyFill="1" applyAlignment="1">
      <alignment vertical="center"/>
    </xf>
    <xf numFmtId="0" fontId="8" fillId="0" borderId="1" xfId="5" applyFont="1" applyAlignment="1">
      <alignment horizontal="left" vertical="center"/>
    </xf>
    <xf numFmtId="0" fontId="8" fillId="0" borderId="1" xfId="0" applyFont="1" applyBorder="1" applyAlignment="1">
      <alignment vertical="center"/>
    </xf>
    <xf numFmtId="0" fontId="8" fillId="0" borderId="1" xfId="0" applyFont="1" applyBorder="1" applyAlignment="1">
      <alignment horizontal="left" vertical="center" wrapText="1"/>
    </xf>
    <xf numFmtId="9" fontId="18" fillId="15" borderId="1" xfId="12" applyNumberFormat="1" applyBorder="1"/>
    <xf numFmtId="9" fontId="18" fillId="0" borderId="1" xfId="13" applyFont="1" applyFill="1" applyBorder="1" applyAlignment="1">
      <alignment horizontal="right"/>
    </xf>
    <xf numFmtId="9" fontId="18" fillId="15" borderId="1" xfId="13" applyFont="1" applyFill="1" applyBorder="1" applyAlignment="1">
      <alignment horizontal="right"/>
    </xf>
    <xf numFmtId="10" fontId="18" fillId="15" borderId="1" xfId="12" applyNumberFormat="1" applyBorder="1"/>
    <xf numFmtId="0" fontId="0" fillId="0" borderId="0" xfId="0" applyAlignment="1">
      <alignment vertical="center"/>
    </xf>
    <xf numFmtId="0" fontId="20" fillId="0" borderId="0" xfId="0" applyFont="1" applyAlignment="1">
      <alignment vertical="center"/>
    </xf>
    <xf numFmtId="0" fontId="27" fillId="0" borderId="12" xfId="15" applyFont="1" applyAlignment="1">
      <alignment horizontal="center" vertical="center"/>
    </xf>
    <xf numFmtId="0" fontId="27" fillId="0" borderId="12" xfId="15" applyFont="1" applyAlignment="1">
      <alignment vertical="center"/>
    </xf>
    <xf numFmtId="0" fontId="0" fillId="0" borderId="0" xfId="0" applyAlignment="1">
      <alignment horizontal="center" vertical="center"/>
    </xf>
    <xf numFmtId="0" fontId="28" fillId="0" borderId="0" xfId="0" applyFont="1" applyAlignment="1">
      <alignment vertical="center"/>
    </xf>
    <xf numFmtId="0" fontId="29" fillId="0" borderId="0" xfId="5" applyFont="1" applyBorder="1" applyAlignment="1">
      <alignment vertical="center"/>
    </xf>
    <xf numFmtId="0" fontId="30" fillId="0" borderId="0" xfId="0" applyFont="1"/>
    <xf numFmtId="0" fontId="27" fillId="0" borderId="12" xfId="15" applyFont="1" applyAlignment="1">
      <alignment horizontal="left" vertical="center"/>
    </xf>
    <xf numFmtId="49" fontId="0" fillId="0" borderId="0" xfId="0" applyNumberFormat="1" applyAlignment="1">
      <alignment horizontal="left" vertical="center"/>
    </xf>
    <xf numFmtId="0" fontId="0" fillId="0" borderId="0" xfId="0" applyAlignment="1">
      <alignment vertical="center" wrapText="1"/>
    </xf>
    <xf numFmtId="0" fontId="0" fillId="0" borderId="11" xfId="0" applyBorder="1"/>
    <xf numFmtId="10" fontId="12" fillId="0" borderId="1" xfId="8" applyNumberFormat="1" applyFill="1" applyBorder="1"/>
    <xf numFmtId="48" fontId="0" fillId="16" borderId="1" xfId="0" applyNumberFormat="1" applyFill="1" applyBorder="1"/>
    <xf numFmtId="48" fontId="0" fillId="16" borderId="1" xfId="0" applyNumberFormat="1" applyFill="1" applyBorder="1" applyAlignment="1">
      <alignment horizontal="right"/>
    </xf>
    <xf numFmtId="2" fontId="0" fillId="16" borderId="1" xfId="0" applyNumberFormat="1" applyFill="1" applyBorder="1" applyAlignment="1">
      <alignment horizontal="right"/>
    </xf>
    <xf numFmtId="0" fontId="0" fillId="16" borderId="1" xfId="0" applyFill="1" applyBorder="1" applyAlignment="1">
      <alignment horizontal="right"/>
    </xf>
    <xf numFmtId="0" fontId="0" fillId="0" borderId="0" xfId="0" applyAlignment="1">
      <alignment horizontal="left" vertical="center"/>
    </xf>
    <xf numFmtId="0" fontId="32" fillId="0" borderId="0" xfId="0" applyFont="1"/>
    <xf numFmtId="1" fontId="32" fillId="0" borderId="0" xfId="0" applyNumberFormat="1" applyFont="1"/>
    <xf numFmtId="11" fontId="32" fillId="0" borderId="0" xfId="0" applyNumberFormat="1" applyFont="1"/>
    <xf numFmtId="0" fontId="32" fillId="0" borderId="7" xfId="0" applyFont="1" applyBorder="1"/>
    <xf numFmtId="0" fontId="32" fillId="0" borderId="8" xfId="0" applyFont="1" applyBorder="1"/>
    <xf numFmtId="2" fontId="32" fillId="0" borderId="0" xfId="0" applyNumberFormat="1" applyFont="1"/>
    <xf numFmtId="167" fontId="32" fillId="0" borderId="0" xfId="0" applyNumberFormat="1" applyFont="1"/>
    <xf numFmtId="0" fontId="32" fillId="2" borderId="0" xfId="0" applyFont="1" applyFill="1"/>
    <xf numFmtId="167" fontId="0" fillId="0" borderId="0" xfId="0" applyNumberFormat="1"/>
    <xf numFmtId="0" fontId="32" fillId="0" borderId="9" xfId="0" applyFont="1" applyBorder="1"/>
    <xf numFmtId="167" fontId="0" fillId="2" borderId="0" xfId="0" applyNumberFormat="1" applyFill="1"/>
    <xf numFmtId="167" fontId="10" fillId="10" borderId="0" xfId="7" applyNumberFormat="1"/>
    <xf numFmtId="48" fontId="12" fillId="11" borderId="0" xfId="8" applyNumberFormat="1"/>
    <xf numFmtId="49" fontId="12" fillId="13" borderId="1" xfId="10" applyNumberFormat="1" applyBorder="1"/>
    <xf numFmtId="49" fontId="0" fillId="2" borderId="0" xfId="0" applyNumberFormat="1" applyFill="1"/>
    <xf numFmtId="0" fontId="0" fillId="0" borderId="1" xfId="0" applyBorder="1" applyAlignment="1">
      <alignment vertical="top" wrapText="1"/>
    </xf>
    <xf numFmtId="0" fontId="0" fillId="16" borderId="1" xfId="0" applyFill="1" applyBorder="1" applyAlignment="1">
      <alignment vertical="top" wrapText="1"/>
    </xf>
    <xf numFmtId="0" fontId="0" fillId="0" borderId="14" xfId="0" applyBorder="1"/>
    <xf numFmtId="168" fontId="0" fillId="0" borderId="0" xfId="0" applyNumberFormat="1"/>
    <xf numFmtId="0" fontId="0" fillId="0" borderId="0" xfId="0" applyAlignment="1">
      <alignment horizontal="right"/>
    </xf>
    <xf numFmtId="0" fontId="0" fillId="20" borderId="0" xfId="0" applyFill="1" applyAlignment="1">
      <alignment horizontal="right"/>
    </xf>
    <xf numFmtId="0" fontId="0" fillId="25" borderId="0" xfId="0" applyFill="1" applyAlignment="1">
      <alignment horizontal="right"/>
    </xf>
    <xf numFmtId="0" fontId="7" fillId="0" borderId="1" xfId="5"/>
    <xf numFmtId="0" fontId="7" fillId="0" borderId="1" xfId="4" applyFont="1" applyFill="1" applyAlignment="1">
      <alignment wrapText="1"/>
    </xf>
    <xf numFmtId="0" fontId="0" fillId="4" borderId="0" xfId="0" applyFill="1" applyAlignment="1">
      <alignment horizontal="right"/>
    </xf>
    <xf numFmtId="0" fontId="0" fillId="26" borderId="0" xfId="0" applyFill="1" applyAlignment="1">
      <alignment horizontal="right"/>
    </xf>
    <xf numFmtId="48" fontId="0" fillId="26" borderId="0" xfId="0" applyNumberFormat="1" applyFill="1"/>
    <xf numFmtId="0" fontId="0" fillId="26" borderId="0" xfId="0" applyFill="1"/>
    <xf numFmtId="48" fontId="0" fillId="4" borderId="0" xfId="0" applyNumberFormat="1" applyFill="1"/>
    <xf numFmtId="0" fontId="0" fillId="4" borderId="0" xfId="0" applyFill="1"/>
    <xf numFmtId="48" fontId="0" fillId="27" borderId="0" xfId="0" applyNumberFormat="1" applyFill="1"/>
    <xf numFmtId="0" fontId="0" fillId="27" borderId="0" xfId="0" applyFill="1"/>
    <xf numFmtId="0" fontId="24" fillId="21" borderId="1" xfId="14" applyFont="1" applyFill="1" applyBorder="1" applyAlignment="1">
      <alignment horizontal="center" vertical="center" wrapText="1"/>
    </xf>
    <xf numFmtId="0" fontId="33" fillId="28" borderId="15" xfId="17" applyNumberFormat="1" applyFont="1" applyFill="1" applyBorder="1" applyAlignment="1">
      <alignment horizontal="center" wrapText="1"/>
    </xf>
    <xf numFmtId="0" fontId="34" fillId="28" borderId="15" xfId="17" applyNumberFormat="1" applyFont="1" applyFill="1" applyBorder="1" applyAlignment="1">
      <alignment horizontal="center"/>
    </xf>
    <xf numFmtId="164" fontId="35" fillId="29" borderId="15" xfId="17" applyNumberFormat="1" applyFont="1" applyFill="1" applyBorder="1" applyAlignment="1">
      <alignment horizontal="center"/>
    </xf>
    <xf numFmtId="17" fontId="35" fillId="29" borderId="15" xfId="17" applyNumberFormat="1" applyFont="1" applyFill="1" applyBorder="1" applyAlignment="1">
      <alignment horizontal="center"/>
    </xf>
    <xf numFmtId="0" fontId="35" fillId="29" borderId="15" xfId="17" applyNumberFormat="1" applyFont="1" applyFill="1" applyBorder="1" applyAlignment="1">
      <alignment horizontal="center"/>
    </xf>
    <xf numFmtId="0" fontId="31" fillId="0" borderId="15" xfId="18" applyNumberFormat="1" applyBorder="1" applyAlignment="1" applyProtection="1">
      <alignment horizontal="center" wrapText="1"/>
      <protection locked="0"/>
    </xf>
    <xf numFmtId="0" fontId="37" fillId="24" borderId="1" xfId="0" applyFont="1" applyFill="1" applyBorder="1" applyAlignment="1">
      <alignment horizontal="center" vertical="center" wrapText="1"/>
    </xf>
    <xf numFmtId="0" fontId="31" fillId="0" borderId="1" xfId="16" applyBorder="1" applyAlignment="1">
      <alignment horizontal="center" vertical="center" wrapText="1"/>
    </xf>
    <xf numFmtId="0" fontId="31" fillId="0" borderId="1" xfId="16" applyBorder="1" applyAlignment="1">
      <alignment horizontal="left" vertical="center" wrapText="1"/>
    </xf>
    <xf numFmtId="166" fontId="31" fillId="0" borderId="1" xfId="16" applyNumberFormat="1" applyBorder="1" applyAlignment="1">
      <alignment horizontal="center" vertical="center" wrapText="1"/>
    </xf>
    <xf numFmtId="0" fontId="31" fillId="0" borderId="1" xfId="16" quotePrefix="1" applyBorder="1" applyAlignment="1">
      <alignment horizontal="left" vertical="center" wrapText="1"/>
    </xf>
    <xf numFmtId="0" fontId="38" fillId="0" borderId="0" xfId="0" applyFont="1"/>
    <xf numFmtId="170" fontId="31" fillId="0" borderId="1" xfId="16" applyNumberFormat="1" applyBorder="1" applyAlignment="1">
      <alignment horizontal="center" vertical="center" wrapText="1"/>
    </xf>
    <xf numFmtId="171" fontId="31" fillId="0" borderId="1" xfId="16" applyNumberFormat="1" applyBorder="1" applyAlignment="1">
      <alignment horizontal="center" vertical="center" wrapText="1"/>
    </xf>
    <xf numFmtId="0" fontId="36" fillId="29" borderId="15" xfId="17" applyNumberFormat="1" applyFont="1" applyFill="1" applyBorder="1" applyAlignment="1">
      <alignment vertical="top" wrapText="1"/>
    </xf>
    <xf numFmtId="0" fontId="36" fillId="29" borderId="16" xfId="17" applyNumberFormat="1" applyFont="1" applyFill="1" applyBorder="1" applyAlignment="1">
      <alignment vertical="top" wrapText="1"/>
    </xf>
    <xf numFmtId="0" fontId="37" fillId="24" borderId="1" xfId="16" applyFont="1" applyFill="1" applyBorder="1" applyAlignment="1">
      <alignment horizontal="center" vertical="center" wrapText="1"/>
    </xf>
    <xf numFmtId="0" fontId="0" fillId="0" borderId="1" xfId="0" applyBorder="1" applyAlignment="1">
      <alignment horizontal="left" vertical="center"/>
    </xf>
    <xf numFmtId="0" fontId="0" fillId="4" borderId="0" xfId="0" applyFill="1" applyAlignment="1">
      <alignment horizontal="center"/>
    </xf>
    <xf numFmtId="0" fontId="14" fillId="0" borderId="2" xfId="0" applyFont="1" applyBorder="1" applyAlignment="1">
      <alignment horizontal="center"/>
    </xf>
    <xf numFmtId="0" fontId="14" fillId="0" borderId="3" xfId="0" applyFont="1" applyBorder="1" applyAlignment="1">
      <alignment horizontal="center"/>
    </xf>
    <xf numFmtId="0" fontId="14" fillId="0" borderId="4" xfId="0" applyFont="1" applyBorder="1" applyAlignment="1">
      <alignment horizontal="center"/>
    </xf>
    <xf numFmtId="0" fontId="32" fillId="0" borderId="0" xfId="0" applyFont="1" applyAlignment="1">
      <alignment horizontal="left" vertical="center"/>
    </xf>
    <xf numFmtId="0" fontId="0" fillId="0" borderId="1" xfId="0" applyBorder="1" applyAlignment="1">
      <alignment horizontal="right"/>
    </xf>
    <xf numFmtId="164" fontId="31" fillId="0" borderId="1" xfId="16" applyNumberFormat="1" applyBorder="1" applyAlignment="1">
      <alignment horizontal="center" vertical="center" wrapText="1"/>
    </xf>
  </cellXfs>
  <cellStyles count="19">
    <cellStyle name="20% - Accent1" xfId="10" builtinId="30"/>
    <cellStyle name="20% - Accent5" xfId="8" builtinId="46"/>
    <cellStyle name="20% - Accent6" xfId="9" builtinId="50"/>
    <cellStyle name="Accent3" xfId="11" builtinId="37"/>
    <cellStyle name="Bad" xfId="7" builtinId="27"/>
    <cellStyle name="Data-Marker" xfId="1" xr:uid="{609A160A-4BF9-4D11-B6AA-4855B770431A}"/>
    <cellStyle name="Good" xfId="6" builtinId="26"/>
    <cellStyle name="Heading 1" xfId="15" builtinId="16"/>
    <cellStyle name="Heading 1 2" xfId="2" xr:uid="{0DC89EA7-794F-4945-AC98-50F646DE65F4}"/>
    <cellStyle name="Heading 2 2" xfId="3" xr:uid="{6790B79F-8825-4FA5-876C-FD1B0E5BC471}"/>
    <cellStyle name="Hyperlink" xfId="14" builtinId="8"/>
    <cellStyle name="Input" xfId="12" builtinId="20"/>
    <cellStyle name="Normal" xfId="0" builtinId="0"/>
    <cellStyle name="Normal - Style1 10 2" xfId="16" xr:uid="{B34FFD22-225A-41DE-9710-E56BEF8762D3}"/>
    <cellStyle name="Normal 21" xfId="18" xr:uid="{A378FDB0-3603-40DF-92F1-D1975FDF2C4C}"/>
    <cellStyle name="Normal_temo 2" xfId="17" xr:uid="{9E338A79-BCE7-44BC-B7BB-52BE303F10BC}"/>
    <cellStyle name="Percent" xfId="13" builtinId="5"/>
    <cellStyle name="Table-Body" xfId="5" xr:uid="{1691D2C2-7839-40B8-BDF5-82F9B961ECCA}"/>
    <cellStyle name="Table-Header" xfId="4" xr:uid="{CD998E4F-3672-4118-9706-D27EFCF63923}"/>
  </cellStyles>
  <dxfs count="1348">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006100"/>
      </font>
      <fill>
        <patternFill>
          <fgColor auto="1"/>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006100"/>
      </font>
      <fill>
        <patternFill>
          <fgColor auto="1"/>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none">
          <bgColor auto="1"/>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none">
          <bgColor auto="1"/>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patternType="none">
          <bgColor auto="1"/>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fgColor rgb="FFFF9999"/>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fgColor auto="1"/>
          <bgColor rgb="FFC6EFCE"/>
        </patternFill>
      </fill>
    </dxf>
    <dxf>
      <font>
        <color rgb="FF9C0006"/>
      </font>
      <fill>
        <patternFill>
          <bgColor rgb="FFFFC7CE"/>
        </patternFill>
      </fill>
    </dxf>
    <dxf>
      <font>
        <color rgb="FF006100"/>
      </font>
      <fill>
        <patternFill>
          <fgColor auto="1"/>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7"/>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colors>
    <mruColors>
      <color rgb="FFFFFF99"/>
      <color rgb="FFFFE1E1"/>
      <color rgb="FFFFC7CE"/>
      <color rgb="FF9C0006"/>
      <color rgb="FFFF8F8F"/>
      <color rgb="FF006100"/>
      <color rgb="FFFFEB9C"/>
      <color rgb="FF9C6500"/>
      <color rgb="FFFF9999"/>
      <color rgb="FFFF89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emf"/></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png"/></Relationships>
</file>

<file path=xl/drawings/_rels/drawing27.xml.rels><?xml version="1.0" encoding="UTF-8" standalone="yes"?>
<Relationships xmlns="http://schemas.openxmlformats.org/package/2006/relationships"><Relationship Id="rId3" Type="http://schemas.openxmlformats.org/officeDocument/2006/relationships/image" Target="../media/image100.png"/><Relationship Id="rId2" Type="http://schemas.openxmlformats.org/officeDocument/2006/relationships/customXml" Target="../ink/ink1.xml"/><Relationship Id="rId1" Type="http://schemas.openxmlformats.org/officeDocument/2006/relationships/image" Target="../media/image12.png"/><Relationship Id="rId5" Type="http://schemas.openxmlformats.org/officeDocument/2006/relationships/image" Target="../media/image110.png"/><Relationship Id="rId4" Type="http://schemas.openxmlformats.org/officeDocument/2006/relationships/customXml" Target="../ink/ink2.xml"/></Relationships>
</file>

<file path=xl/drawings/_rels/drawing2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29.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customXml" Target="../ink/ink6.xml"/><Relationship Id="rId18" Type="http://schemas.openxmlformats.org/officeDocument/2006/relationships/image" Target="../media/image33.png"/><Relationship Id="rId26" Type="http://schemas.openxmlformats.org/officeDocument/2006/relationships/customXml" Target="../ink/ink13.xml"/><Relationship Id="rId3" Type="http://schemas.openxmlformats.org/officeDocument/2006/relationships/image" Target="../media/image16.png"/><Relationship Id="rId21" Type="http://schemas.openxmlformats.org/officeDocument/2006/relationships/customXml" Target="../ink/ink10.xml"/><Relationship Id="rId7" Type="http://schemas.openxmlformats.org/officeDocument/2006/relationships/customXml" Target="../ink/ink3.xml"/><Relationship Id="rId12" Type="http://schemas.openxmlformats.org/officeDocument/2006/relationships/image" Target="../media/image30.png"/><Relationship Id="rId17" Type="http://schemas.openxmlformats.org/officeDocument/2006/relationships/customXml" Target="../ink/ink8.xml"/><Relationship Id="rId25" Type="http://schemas.openxmlformats.org/officeDocument/2006/relationships/customXml" Target="../ink/ink12.xml"/><Relationship Id="rId2" Type="http://schemas.openxmlformats.org/officeDocument/2006/relationships/image" Target="../media/image15.png"/><Relationship Id="rId16" Type="http://schemas.openxmlformats.org/officeDocument/2006/relationships/image" Target="../media/image32.png"/><Relationship Id="rId20" Type="http://schemas.openxmlformats.org/officeDocument/2006/relationships/image" Target="../media/image34.png"/><Relationship Id="rId29" Type="http://schemas.openxmlformats.org/officeDocument/2006/relationships/image" Target="../media/image1.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customXml" Target="../ink/ink5.xml"/><Relationship Id="rId24" Type="http://schemas.openxmlformats.org/officeDocument/2006/relationships/customXml" Target="../ink/ink11.xml"/><Relationship Id="rId5" Type="http://schemas.openxmlformats.org/officeDocument/2006/relationships/image" Target="../media/image18.png"/><Relationship Id="rId15" Type="http://schemas.openxmlformats.org/officeDocument/2006/relationships/customXml" Target="../ink/ink7.xml"/><Relationship Id="rId23" Type="http://schemas.openxmlformats.org/officeDocument/2006/relationships/image" Target="../media/image20.png"/><Relationship Id="rId28" Type="http://schemas.openxmlformats.org/officeDocument/2006/relationships/image" Target="../media/image21.png"/><Relationship Id="rId10" Type="http://schemas.openxmlformats.org/officeDocument/2006/relationships/image" Target="../media/image29.png"/><Relationship Id="rId19" Type="http://schemas.openxmlformats.org/officeDocument/2006/relationships/customXml" Target="../ink/ink9.xml"/><Relationship Id="rId4" Type="http://schemas.openxmlformats.org/officeDocument/2006/relationships/image" Target="../media/image17.png"/><Relationship Id="rId9" Type="http://schemas.openxmlformats.org/officeDocument/2006/relationships/customXml" Target="../ink/ink4.xml"/><Relationship Id="rId14" Type="http://schemas.openxmlformats.org/officeDocument/2006/relationships/image" Target="../media/image31.png"/><Relationship Id="rId22" Type="http://schemas.openxmlformats.org/officeDocument/2006/relationships/image" Target="../media/image35.png"/><Relationship Id="rId27" Type="http://schemas.openxmlformats.org/officeDocument/2006/relationships/customXml" Target="../ink/ink14.xml"/><Relationship Id="rId30"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xdr:from>
      <xdr:col>1</xdr:col>
      <xdr:colOff>174623</xdr:colOff>
      <xdr:row>22</xdr:row>
      <xdr:rowOff>4234</xdr:rowOff>
    </xdr:from>
    <xdr:to>
      <xdr:col>1</xdr:col>
      <xdr:colOff>4153657</xdr:colOff>
      <xdr:row>24</xdr:row>
      <xdr:rowOff>135469</xdr:rowOff>
    </xdr:to>
    <xdr:sp macro="" textlink="">
      <xdr:nvSpPr>
        <xdr:cNvPr id="2" name="Rectangle 1">
          <a:extLst>
            <a:ext uri="{FF2B5EF4-FFF2-40B4-BE49-F238E27FC236}">
              <a16:creationId xmlns:a16="http://schemas.microsoft.com/office/drawing/2014/main" id="{C7E05A82-F200-4089-B80C-D000E47F3483}"/>
            </a:ext>
          </a:extLst>
        </xdr:cNvPr>
        <xdr:cNvSpPr/>
      </xdr:nvSpPr>
      <xdr:spPr>
        <a:xfrm>
          <a:off x="679448" y="5966884"/>
          <a:ext cx="3979034" cy="5122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Set</a:t>
          </a:r>
          <a:r>
            <a:rPr lang="en-US" sz="2000" baseline="0"/>
            <a:t> up board conditions</a:t>
          </a:r>
          <a:endParaRPr lang="en-US" sz="2000"/>
        </a:p>
      </xdr:txBody>
    </xdr:sp>
    <xdr:clientData/>
  </xdr:twoCellAnchor>
  <xdr:twoCellAnchor>
    <xdr:from>
      <xdr:col>1</xdr:col>
      <xdr:colOff>185207</xdr:colOff>
      <xdr:row>27</xdr:row>
      <xdr:rowOff>139698</xdr:rowOff>
    </xdr:from>
    <xdr:to>
      <xdr:col>1</xdr:col>
      <xdr:colOff>4145187</xdr:colOff>
      <xdr:row>32</xdr:row>
      <xdr:rowOff>21169</xdr:rowOff>
    </xdr:to>
    <xdr:sp macro="" textlink="">
      <xdr:nvSpPr>
        <xdr:cNvPr id="3" name="Rectangle 2">
          <a:extLst>
            <a:ext uri="{FF2B5EF4-FFF2-40B4-BE49-F238E27FC236}">
              <a16:creationId xmlns:a16="http://schemas.microsoft.com/office/drawing/2014/main" id="{593F7F1F-749A-4079-99FF-29146350364A}"/>
            </a:ext>
          </a:extLst>
        </xdr:cNvPr>
        <xdr:cNvSpPr/>
      </xdr:nvSpPr>
      <xdr:spPr>
        <a:xfrm>
          <a:off x="690032" y="7054848"/>
          <a:ext cx="3959980" cy="83397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Fine tune board PU,</a:t>
          </a:r>
          <a:r>
            <a:rPr lang="en-US" sz="2000" baseline="0"/>
            <a:t> Intel silicon PD, Intel silicon clock current assist</a:t>
          </a:r>
          <a:endParaRPr lang="en-US" sz="2000"/>
        </a:p>
      </xdr:txBody>
    </xdr:sp>
    <xdr:clientData/>
  </xdr:twoCellAnchor>
  <xdr:twoCellAnchor>
    <xdr:from>
      <xdr:col>1</xdr:col>
      <xdr:colOff>128808</xdr:colOff>
      <xdr:row>35</xdr:row>
      <xdr:rowOff>13761</xdr:rowOff>
    </xdr:from>
    <xdr:to>
      <xdr:col>1</xdr:col>
      <xdr:colOff>4153656</xdr:colOff>
      <xdr:row>37</xdr:row>
      <xdr:rowOff>99485</xdr:rowOff>
    </xdr:to>
    <xdr:sp macro="" textlink="">
      <xdr:nvSpPr>
        <xdr:cNvPr id="4" name="Rectangle 3">
          <a:extLst>
            <a:ext uri="{FF2B5EF4-FFF2-40B4-BE49-F238E27FC236}">
              <a16:creationId xmlns:a16="http://schemas.microsoft.com/office/drawing/2014/main" id="{D58AC73A-6C10-4EFE-BF87-EE9FBB76CD2B}"/>
            </a:ext>
          </a:extLst>
        </xdr:cNvPr>
        <xdr:cNvSpPr/>
      </xdr:nvSpPr>
      <xdr:spPr>
        <a:xfrm>
          <a:off x="633633" y="8452911"/>
          <a:ext cx="4024848" cy="4667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Check Pass/Fail</a:t>
          </a:r>
        </a:p>
      </xdr:txBody>
    </xdr:sp>
    <xdr:clientData/>
  </xdr:twoCellAnchor>
  <xdr:twoCellAnchor>
    <xdr:from>
      <xdr:col>1</xdr:col>
      <xdr:colOff>1920421</xdr:colOff>
      <xdr:row>24</xdr:row>
      <xdr:rowOff>142875</xdr:rowOff>
    </xdr:from>
    <xdr:to>
      <xdr:col>1</xdr:col>
      <xdr:colOff>2398032</xdr:colOff>
      <xdr:row>27</xdr:row>
      <xdr:rowOff>133350</xdr:rowOff>
    </xdr:to>
    <xdr:sp macro="" textlink="">
      <xdr:nvSpPr>
        <xdr:cNvPr id="5" name="Arrow: Down 4">
          <a:extLst>
            <a:ext uri="{FF2B5EF4-FFF2-40B4-BE49-F238E27FC236}">
              <a16:creationId xmlns:a16="http://schemas.microsoft.com/office/drawing/2014/main" id="{2638F62D-002C-4072-BB73-AA2174C8311E}"/>
            </a:ext>
          </a:extLst>
        </xdr:cNvPr>
        <xdr:cNvSpPr/>
      </xdr:nvSpPr>
      <xdr:spPr>
        <a:xfrm>
          <a:off x="2425246" y="6486525"/>
          <a:ext cx="477611" cy="561975"/>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1918304</xdr:colOff>
      <xdr:row>32</xdr:row>
      <xdr:rowOff>25399</xdr:rowOff>
    </xdr:from>
    <xdr:to>
      <xdr:col>1</xdr:col>
      <xdr:colOff>2395915</xdr:colOff>
      <xdr:row>35</xdr:row>
      <xdr:rowOff>15873</xdr:rowOff>
    </xdr:to>
    <xdr:sp macro="" textlink="">
      <xdr:nvSpPr>
        <xdr:cNvPr id="6" name="Arrow: Down 5">
          <a:extLst>
            <a:ext uri="{FF2B5EF4-FFF2-40B4-BE49-F238E27FC236}">
              <a16:creationId xmlns:a16="http://schemas.microsoft.com/office/drawing/2014/main" id="{D1661053-82F6-4027-8AF9-DCCA37E5DE1E}"/>
            </a:ext>
          </a:extLst>
        </xdr:cNvPr>
        <xdr:cNvSpPr/>
      </xdr:nvSpPr>
      <xdr:spPr>
        <a:xfrm>
          <a:off x="2423129" y="7893049"/>
          <a:ext cx="477611" cy="561974"/>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1920420</xdr:colOff>
      <xdr:row>37</xdr:row>
      <xdr:rowOff>105832</xdr:rowOff>
    </xdr:from>
    <xdr:to>
      <xdr:col>1</xdr:col>
      <xdr:colOff>2398031</xdr:colOff>
      <xdr:row>40</xdr:row>
      <xdr:rowOff>124883</xdr:rowOff>
    </xdr:to>
    <xdr:sp macro="" textlink="">
      <xdr:nvSpPr>
        <xdr:cNvPr id="7" name="Arrow: Down 6">
          <a:extLst>
            <a:ext uri="{FF2B5EF4-FFF2-40B4-BE49-F238E27FC236}">
              <a16:creationId xmlns:a16="http://schemas.microsoft.com/office/drawing/2014/main" id="{6EDC4E32-0819-4826-8897-093C38CA0714}"/>
            </a:ext>
          </a:extLst>
        </xdr:cNvPr>
        <xdr:cNvSpPr/>
      </xdr:nvSpPr>
      <xdr:spPr>
        <a:xfrm>
          <a:off x="2425245" y="8925982"/>
          <a:ext cx="477611" cy="590551"/>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4327412</xdr:colOff>
      <xdr:row>28</xdr:row>
      <xdr:rowOff>104773</xdr:rowOff>
    </xdr:from>
    <xdr:to>
      <xdr:col>2</xdr:col>
      <xdr:colOff>395966</xdr:colOff>
      <xdr:row>36</xdr:row>
      <xdr:rowOff>104566</xdr:rowOff>
    </xdr:to>
    <xdr:sp macro="" textlink="">
      <xdr:nvSpPr>
        <xdr:cNvPr id="8" name="Arrow: Curved Right 7">
          <a:extLst>
            <a:ext uri="{FF2B5EF4-FFF2-40B4-BE49-F238E27FC236}">
              <a16:creationId xmlns:a16="http://schemas.microsoft.com/office/drawing/2014/main" id="{392D3341-734B-467A-AB74-B1DC4C9DB59E}"/>
            </a:ext>
          </a:extLst>
        </xdr:cNvPr>
        <xdr:cNvSpPr/>
      </xdr:nvSpPr>
      <xdr:spPr>
        <a:xfrm rot="10800000">
          <a:off x="4832237" y="7210423"/>
          <a:ext cx="707229" cy="1523793"/>
        </a:xfrm>
        <a:prstGeom prst="curvedRigh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1432530</xdr:colOff>
      <xdr:row>40</xdr:row>
      <xdr:rowOff>132292</xdr:rowOff>
    </xdr:from>
    <xdr:to>
      <xdr:col>1</xdr:col>
      <xdr:colOff>2864002</xdr:colOff>
      <xdr:row>43</xdr:row>
      <xdr:rowOff>27516</xdr:rowOff>
    </xdr:to>
    <xdr:sp macro="" textlink="">
      <xdr:nvSpPr>
        <xdr:cNvPr id="9" name="Rectangle 9">
          <a:extLst>
            <a:ext uri="{FF2B5EF4-FFF2-40B4-BE49-F238E27FC236}">
              <a16:creationId xmlns:a16="http://schemas.microsoft.com/office/drawing/2014/main" id="{4F0747BF-C08D-4118-BA02-DEE15F204354}"/>
            </a:ext>
          </a:extLst>
        </xdr:cNvPr>
        <xdr:cNvSpPr/>
      </xdr:nvSpPr>
      <xdr:spPr>
        <a:xfrm>
          <a:off x="1937355" y="9523942"/>
          <a:ext cx="1431472" cy="4667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Done</a:t>
          </a:r>
        </a:p>
      </xdr:txBody>
    </xdr:sp>
    <xdr:clientData/>
  </xdr:twoCellAnchor>
  <xdr:twoCellAnchor>
    <xdr:from>
      <xdr:col>1</xdr:col>
      <xdr:colOff>2704193</xdr:colOff>
      <xdr:row>37</xdr:row>
      <xdr:rowOff>180974</xdr:rowOff>
    </xdr:from>
    <xdr:to>
      <xdr:col>1</xdr:col>
      <xdr:colOff>3553278</xdr:colOff>
      <xdr:row>40</xdr:row>
      <xdr:rowOff>76200</xdr:rowOff>
    </xdr:to>
    <xdr:sp macro="" textlink="">
      <xdr:nvSpPr>
        <xdr:cNvPr id="10" name="Rectangle: Rounded Corners 10">
          <a:extLst>
            <a:ext uri="{FF2B5EF4-FFF2-40B4-BE49-F238E27FC236}">
              <a16:creationId xmlns:a16="http://schemas.microsoft.com/office/drawing/2014/main" id="{736070B2-CF8E-4086-B2BF-7DA0AEAA5B8C}"/>
            </a:ext>
          </a:extLst>
        </xdr:cNvPr>
        <xdr:cNvSpPr/>
      </xdr:nvSpPr>
      <xdr:spPr>
        <a:xfrm>
          <a:off x="3209018" y="9001124"/>
          <a:ext cx="849085" cy="466726"/>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a:t>PASS</a:t>
          </a:r>
        </a:p>
      </xdr:txBody>
    </xdr:sp>
    <xdr:clientData/>
  </xdr:twoCellAnchor>
  <xdr:twoCellAnchor>
    <xdr:from>
      <xdr:col>1</xdr:col>
      <xdr:colOff>4327415</xdr:colOff>
      <xdr:row>21</xdr:row>
      <xdr:rowOff>142874</xdr:rowOff>
    </xdr:from>
    <xdr:to>
      <xdr:col>3</xdr:col>
      <xdr:colOff>273504</xdr:colOff>
      <xdr:row>36</xdr:row>
      <xdr:rowOff>171244</xdr:rowOff>
    </xdr:to>
    <xdr:sp macro="" textlink="">
      <xdr:nvSpPr>
        <xdr:cNvPr id="11" name="Arrow: Curved Right 11">
          <a:extLst>
            <a:ext uri="{FF2B5EF4-FFF2-40B4-BE49-F238E27FC236}">
              <a16:creationId xmlns:a16="http://schemas.microsoft.com/office/drawing/2014/main" id="{5E9BAD88-276D-49C1-ACAF-F4D8CD1C64E1}"/>
            </a:ext>
          </a:extLst>
        </xdr:cNvPr>
        <xdr:cNvSpPr/>
      </xdr:nvSpPr>
      <xdr:spPr>
        <a:xfrm rot="10800000">
          <a:off x="4832240" y="5915024"/>
          <a:ext cx="1099114" cy="2885870"/>
        </a:xfrm>
        <a:prstGeom prst="curvedRight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xdr:col>
      <xdr:colOff>303742</xdr:colOff>
      <xdr:row>15</xdr:row>
      <xdr:rowOff>32959</xdr:rowOff>
    </xdr:from>
    <xdr:to>
      <xdr:col>1</xdr:col>
      <xdr:colOff>4026656</xdr:colOff>
      <xdr:row>19</xdr:row>
      <xdr:rowOff>10583</xdr:rowOff>
    </xdr:to>
    <xdr:sp macro="" textlink="">
      <xdr:nvSpPr>
        <xdr:cNvPr id="12" name="Rectangle 12">
          <a:extLst>
            <a:ext uri="{FF2B5EF4-FFF2-40B4-BE49-F238E27FC236}">
              <a16:creationId xmlns:a16="http://schemas.microsoft.com/office/drawing/2014/main" id="{4E5E3261-979E-474F-82E4-282D0171C8EA}"/>
            </a:ext>
          </a:extLst>
        </xdr:cNvPr>
        <xdr:cNvSpPr/>
      </xdr:nvSpPr>
      <xdr:spPr>
        <a:xfrm>
          <a:off x="808567" y="4662109"/>
          <a:ext cx="3722914" cy="73962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Define</a:t>
          </a:r>
          <a:r>
            <a:rPr lang="en-US" sz="2000" baseline="0"/>
            <a:t> trace electrical properties</a:t>
          </a:r>
        </a:p>
        <a:p>
          <a:pPr algn="ctr"/>
          <a:r>
            <a:rPr lang="en-US" sz="2000" baseline="0"/>
            <a:t>(R and C)</a:t>
          </a:r>
          <a:endParaRPr lang="en-US" sz="2000"/>
        </a:p>
      </xdr:txBody>
    </xdr:sp>
    <xdr:clientData/>
  </xdr:twoCellAnchor>
  <xdr:twoCellAnchor>
    <xdr:from>
      <xdr:col>1</xdr:col>
      <xdr:colOff>1926771</xdr:colOff>
      <xdr:row>19</xdr:row>
      <xdr:rowOff>19050</xdr:rowOff>
    </xdr:from>
    <xdr:to>
      <xdr:col>1</xdr:col>
      <xdr:colOff>2404382</xdr:colOff>
      <xdr:row>22</xdr:row>
      <xdr:rowOff>9524</xdr:rowOff>
    </xdr:to>
    <xdr:sp macro="" textlink="">
      <xdr:nvSpPr>
        <xdr:cNvPr id="13" name="Arrow: Down 13">
          <a:extLst>
            <a:ext uri="{FF2B5EF4-FFF2-40B4-BE49-F238E27FC236}">
              <a16:creationId xmlns:a16="http://schemas.microsoft.com/office/drawing/2014/main" id="{5DE3C501-9304-4259-8B6C-D5A9F9F22598}"/>
            </a:ext>
          </a:extLst>
        </xdr:cNvPr>
        <xdr:cNvSpPr/>
      </xdr:nvSpPr>
      <xdr:spPr>
        <a:xfrm>
          <a:off x="2431596" y="5410200"/>
          <a:ext cx="477611" cy="561974"/>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454479</xdr:colOff>
      <xdr:row>28</xdr:row>
      <xdr:rowOff>85724</xdr:rowOff>
    </xdr:from>
    <xdr:to>
      <xdr:col>3</xdr:col>
      <xdr:colOff>1314450</xdr:colOff>
      <xdr:row>30</xdr:row>
      <xdr:rowOff>171449</xdr:rowOff>
    </xdr:to>
    <xdr:sp macro="" textlink="">
      <xdr:nvSpPr>
        <xdr:cNvPr id="14" name="Rectangle: Rounded Corners 15">
          <a:extLst>
            <a:ext uri="{FF2B5EF4-FFF2-40B4-BE49-F238E27FC236}">
              <a16:creationId xmlns:a16="http://schemas.microsoft.com/office/drawing/2014/main" id="{F6F8E16E-03A6-4E90-BD9A-733E44900C50}"/>
            </a:ext>
          </a:extLst>
        </xdr:cNvPr>
        <xdr:cNvSpPr/>
      </xdr:nvSpPr>
      <xdr:spPr>
        <a:xfrm>
          <a:off x="6112329" y="7191374"/>
          <a:ext cx="859971" cy="466725"/>
        </a:xfrm>
        <a:prstGeom prst="roundRect">
          <a:avLst/>
        </a:prstGeom>
        <a:solidFill>
          <a:srgbClr val="FF000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a:t>Fail</a:t>
          </a:r>
        </a:p>
      </xdr:txBody>
    </xdr:sp>
    <xdr:clientData/>
  </xdr:twoCellAnchor>
  <xdr:oneCellAnchor>
    <xdr:from>
      <xdr:col>1</xdr:col>
      <xdr:colOff>1421946</xdr:colOff>
      <xdr:row>12</xdr:row>
      <xdr:rowOff>88446</xdr:rowOff>
    </xdr:from>
    <xdr:ext cx="1428661" cy="468013"/>
    <xdr:sp macro="" textlink="">
      <xdr:nvSpPr>
        <xdr:cNvPr id="15" name="TextBox 235">
          <a:extLst>
            <a:ext uri="{FF2B5EF4-FFF2-40B4-BE49-F238E27FC236}">
              <a16:creationId xmlns:a16="http://schemas.microsoft.com/office/drawing/2014/main" id="{CF07FBE4-9D17-4349-BEBD-7028DF3C38E8}"/>
            </a:ext>
          </a:extLst>
        </xdr:cNvPr>
        <xdr:cNvSpPr txBox="1"/>
      </xdr:nvSpPr>
      <xdr:spPr>
        <a:xfrm>
          <a:off x="1926771" y="4146096"/>
          <a:ext cx="142866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u="sng"/>
            <a:t>Flowchart</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436971</xdr:colOff>
      <xdr:row>60</xdr:row>
      <xdr:rowOff>136707</xdr:rowOff>
    </xdr:to>
    <xdr:pic>
      <xdr:nvPicPr>
        <xdr:cNvPr id="2" name="Picture 1">
          <a:extLst>
            <a:ext uri="{FF2B5EF4-FFF2-40B4-BE49-F238E27FC236}">
              <a16:creationId xmlns:a16="http://schemas.microsoft.com/office/drawing/2014/main" id="{5E145E09-50F1-466B-B70F-6FDD4133AB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167640</xdr:rowOff>
    </xdr:to>
    <xdr:pic>
      <xdr:nvPicPr>
        <xdr:cNvPr id="3" name="Picture 2">
          <a:extLst>
            <a:ext uri="{FF2B5EF4-FFF2-40B4-BE49-F238E27FC236}">
              <a16:creationId xmlns:a16="http://schemas.microsoft.com/office/drawing/2014/main" id="{81807C3A-5D80-45A4-B4CE-87A9F97E22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126330</xdr:rowOff>
    </xdr:to>
    <xdr:pic>
      <xdr:nvPicPr>
        <xdr:cNvPr id="4" name="Picture 3">
          <a:extLst>
            <a:ext uri="{FF2B5EF4-FFF2-40B4-BE49-F238E27FC236}">
              <a16:creationId xmlns:a16="http://schemas.microsoft.com/office/drawing/2014/main" id="{FDDB1275-12A9-4948-AEC3-8679FF87F137}"/>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D22A1559-1D84-4C18-B8B6-F90B3194C891}"/>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F86ED792-B1BA-4238-B1F6-C69397C2C176}"/>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8084B596-D87B-4EF1-B552-116132486D54}"/>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81034006-4790-4717-A58D-02DF182E2415}"/>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31</xdr:col>
      <xdr:colOff>587525</xdr:colOff>
      <xdr:row>31</xdr:row>
      <xdr:rowOff>1510845</xdr:rowOff>
    </xdr:from>
    <xdr:to>
      <xdr:col>39</xdr:col>
      <xdr:colOff>66825</xdr:colOff>
      <xdr:row>37</xdr:row>
      <xdr:rowOff>52916</xdr:rowOff>
    </xdr:to>
    <xdr:sp macro="" textlink="">
      <xdr:nvSpPr>
        <xdr:cNvPr id="5" name="Rectangle 1">
          <a:extLst>
            <a:ext uri="{FF2B5EF4-FFF2-40B4-BE49-F238E27FC236}">
              <a16:creationId xmlns:a16="http://schemas.microsoft.com/office/drawing/2014/main" id="{3A32C9D5-994B-4630-A8F1-88681ECE7E8F}"/>
            </a:ext>
          </a:extLst>
        </xdr:cNvPr>
        <xdr:cNvSpPr/>
      </xdr:nvSpPr>
      <xdr:spPr>
        <a:xfrm>
          <a:off x="41365108" y="11205178"/>
          <a:ext cx="4389967" cy="287065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r>
            <a:rPr lang="en-US">
              <a:effectLst/>
            </a:rPr>
            <a:t>assumptions:</a:t>
          </a:r>
        </a:p>
        <a:p>
          <a:r>
            <a:rPr lang="en-US">
              <a:effectLst/>
            </a:rPr>
            <a:t>PU placement</a:t>
          </a:r>
          <a:r>
            <a:rPr lang="en-US" baseline="0">
              <a:effectLst/>
            </a:rPr>
            <a:t> is 0 to 100</a:t>
          </a:r>
        </a:p>
        <a:p>
          <a:r>
            <a:rPr lang="en-US" baseline="0">
              <a:effectLst/>
            </a:rPr>
            <a:t>MB trace resistance per meter  = 50 ohm / meter</a:t>
          </a:r>
        </a:p>
        <a:p>
          <a:r>
            <a:rPr lang="en-US" baseline="0">
              <a:effectLst/>
            </a:rPr>
            <a:t>MB trace capacitance per meter = 196.9 pF / meter</a:t>
          </a:r>
        </a:p>
        <a:p>
          <a:r>
            <a:rPr lang="en-US" baseline="0">
              <a:effectLst/>
            </a:rPr>
            <a:t>no additional component besides device</a:t>
          </a:r>
        </a:p>
        <a:p>
          <a:r>
            <a:rPr lang="en-US" baseline="0">
              <a:effectLst/>
            </a:rPr>
            <a:t>number of devices = 2</a:t>
          </a:r>
        </a:p>
        <a:p>
          <a:r>
            <a:rPr lang="en-US" baseline="0">
              <a:effectLst/>
            </a:rPr>
            <a:t>max basedie DCR = 17</a:t>
          </a:r>
        </a:p>
        <a:p>
          <a:r>
            <a:rPr lang="en-US" baseline="0">
              <a:effectLst/>
            </a:rPr>
            <a:t>board PU tolerance = 5%</a:t>
          </a:r>
        </a:p>
        <a:p>
          <a:r>
            <a:rPr lang="en-US" baseline="0">
              <a:effectLst/>
            </a:rPr>
            <a:t>Device/Intel VCC tolerance = 5%</a:t>
          </a:r>
        </a:p>
        <a:p>
          <a:endParaRPr lang="en-US">
            <a:effectLst/>
          </a:endParaRPr>
        </a:p>
        <a:p>
          <a:r>
            <a:rPr lang="en-US" sz="1100" b="0" baseline="0">
              <a:solidFill>
                <a:schemeClr val="dk1"/>
              </a:solidFill>
              <a:effectLst/>
              <a:latin typeface="+mn-lt"/>
              <a:ea typeface="+mn-ea"/>
              <a:cs typeface="+mn-cs"/>
            </a:rPr>
            <a:t>-identify max length/load that can be supported for each mode</a:t>
          </a:r>
        </a:p>
        <a:p>
          <a:r>
            <a:rPr lang="en-US" sz="1100" b="0" u="none" baseline="0">
              <a:solidFill>
                <a:schemeClr val="dk1"/>
              </a:solidFill>
              <a:effectLst/>
              <a:latin typeface="+mn-lt"/>
              <a:ea typeface="+mn-ea"/>
              <a:cs typeface="+mn-cs"/>
            </a:rPr>
            <a:t>STD - 400pF ~ 72in</a:t>
          </a:r>
        </a:p>
        <a:p>
          <a:r>
            <a:rPr lang="en-US" sz="1100" b="0" u="none" baseline="0">
              <a:solidFill>
                <a:schemeClr val="dk1"/>
              </a:solidFill>
              <a:effectLst/>
              <a:latin typeface="+mn-lt"/>
              <a:ea typeface="+mn-ea"/>
              <a:cs typeface="+mn-cs"/>
            </a:rPr>
            <a:t>FST - 258pF ~ 45in</a:t>
          </a:r>
        </a:p>
        <a:p>
          <a:r>
            <a:rPr lang="en-US" sz="1100" b="0" u="none" baseline="0">
              <a:solidFill>
                <a:schemeClr val="dk1"/>
              </a:solidFill>
              <a:effectLst/>
              <a:latin typeface="+mn-lt"/>
              <a:ea typeface="+mn-ea"/>
              <a:cs typeface="+mn-cs"/>
            </a:rPr>
            <a:t>FST+ - 128pF ~ 19in</a:t>
          </a:r>
        </a:p>
        <a:p>
          <a:r>
            <a:rPr lang="en-US" sz="1100" b="0" u="none" baseline="0">
              <a:solidFill>
                <a:schemeClr val="dk1"/>
              </a:solidFill>
              <a:effectLst/>
              <a:latin typeface="+mn-lt"/>
              <a:ea typeface="+mn-ea"/>
              <a:cs typeface="+mn-cs"/>
            </a:rPr>
            <a:t>HS1.7 - 153pF ~24in</a:t>
          </a:r>
        </a:p>
        <a:p>
          <a:r>
            <a:rPr lang="en-US" sz="1100" b="0" u="sng" baseline="0">
              <a:solidFill>
                <a:schemeClr val="dk1"/>
              </a:solidFill>
              <a:effectLst/>
              <a:latin typeface="+mn-lt"/>
              <a:ea typeface="+mn-ea"/>
              <a:cs typeface="+mn-cs"/>
            </a:rPr>
            <a:t>HS3.4 - 83pF ~ 10in             </a:t>
          </a:r>
        </a:p>
        <a:p>
          <a:r>
            <a:rPr lang="en-US" sz="1100" b="0" u="none" baseline="0">
              <a:solidFill>
                <a:schemeClr val="dk1"/>
              </a:solidFill>
              <a:effectLst/>
              <a:latin typeface="+mn-lt"/>
              <a:ea typeface="+mn-ea"/>
              <a:cs typeface="+mn-cs"/>
            </a:rPr>
            <a:t>SMB STD - 413pF ~ 76in</a:t>
          </a:r>
          <a:endParaRPr lang="en-US">
            <a:effectLst/>
          </a:endParaRPr>
        </a:p>
        <a:p>
          <a:r>
            <a:rPr lang="en-US" sz="1100" b="0" baseline="0">
              <a:solidFill>
                <a:schemeClr val="dk1"/>
              </a:solidFill>
              <a:effectLst/>
              <a:latin typeface="+mn-lt"/>
              <a:ea typeface="+mn-ea"/>
              <a:cs typeface="+mn-cs"/>
            </a:rPr>
            <a:t>SMB FST - 163pF ~ 26in</a:t>
          </a:r>
          <a:endParaRPr lang="en-US">
            <a:effectLst/>
          </a:endParaRPr>
        </a:p>
        <a:p>
          <a:r>
            <a:rPr lang="en-US" sz="1100" b="0" u="sng" baseline="0">
              <a:solidFill>
                <a:schemeClr val="dk1"/>
              </a:solidFill>
              <a:effectLst/>
              <a:latin typeface="+mn-lt"/>
              <a:ea typeface="+mn-ea"/>
              <a:cs typeface="+mn-cs"/>
            </a:rPr>
            <a:t>SMB FST+ - 73pF ~ 8in</a:t>
          </a:r>
        </a:p>
        <a:p>
          <a:r>
            <a:rPr lang="en-US" u="sng">
              <a:effectLst/>
            </a:rPr>
            <a:t>DDR5 SPD </a:t>
          </a:r>
          <a:r>
            <a:rPr lang="en-US" sz="1100" b="0" u="sng" baseline="0">
              <a:solidFill>
                <a:schemeClr val="dk1"/>
              </a:solidFill>
              <a:effectLst/>
              <a:latin typeface="+mn-lt"/>
              <a:ea typeface="+mn-ea"/>
              <a:cs typeface="+mn-cs"/>
            </a:rPr>
            <a:t>- 78pF ~ 9in</a:t>
          </a:r>
          <a:endParaRPr lang="en-US" u="sng">
            <a:effectLst/>
          </a:endParaRPr>
        </a:p>
        <a:p>
          <a:r>
            <a:rPr lang="en-US" u="sng">
              <a:effectLst/>
            </a:rPr>
            <a:t>Display I2C - 258pF</a:t>
          </a:r>
          <a:r>
            <a:rPr lang="en-US" u="sng" baseline="0">
              <a:effectLst/>
            </a:rPr>
            <a:t> ~</a:t>
          </a:r>
          <a:r>
            <a:rPr lang="en-US" u="sng">
              <a:effectLst/>
            </a:rPr>
            <a:t> 45in</a:t>
          </a:r>
          <a:endParaRPr lang="en-US">
            <a:effectLst/>
          </a:endParaRPr>
        </a:p>
        <a:p>
          <a:endParaRPr lang="en-US" sz="1100" b="0" u="none" baseline="0">
            <a:solidFill>
              <a:schemeClr val="dk1"/>
            </a:solidFill>
            <a:effectLst/>
            <a:latin typeface="+mn-lt"/>
            <a:ea typeface="+mn-ea"/>
            <a:cs typeface="+mn-cs"/>
          </a:endParaRPr>
        </a:p>
        <a:p>
          <a:endParaRPr lang="en-US" sz="1100" b="0" u="none" baseline="0">
            <a:solidFill>
              <a:schemeClr val="dk1"/>
            </a:solidFill>
            <a:effectLst/>
            <a:latin typeface="+mn-lt"/>
            <a:ea typeface="+mn-ea"/>
            <a:cs typeface="+mn-cs"/>
          </a:endParaRPr>
        </a:p>
        <a:p>
          <a:endParaRPr lang="en-US" sz="1100" b="0" u="none" baseline="0">
            <a:solidFill>
              <a:schemeClr val="dk1"/>
            </a:solidFill>
            <a:effectLst/>
            <a:latin typeface="+mn-lt"/>
            <a:ea typeface="+mn-ea"/>
            <a:cs typeface="+mn-cs"/>
          </a:endParaRPr>
        </a:p>
        <a:p>
          <a:endParaRPr lang="en-US" sz="1100" b="0" u="none" baseline="0">
            <a:solidFill>
              <a:sysClr val="windowText" lastClr="000000"/>
            </a:solidFill>
          </a:endParaRPr>
        </a:p>
      </xdr:txBody>
    </xdr:sp>
    <xdr:clientData/>
  </xdr:twoCellAnchor>
  <xdr:twoCellAnchor>
    <xdr:from>
      <xdr:col>36</xdr:col>
      <xdr:colOff>413809</xdr:colOff>
      <xdr:row>17</xdr:row>
      <xdr:rowOff>20108</xdr:rowOff>
    </xdr:from>
    <xdr:to>
      <xdr:col>48</xdr:col>
      <xdr:colOff>487892</xdr:colOff>
      <xdr:row>32</xdr:row>
      <xdr:rowOff>581449</xdr:rowOff>
    </xdr:to>
    <xdr:sp macro="" textlink="">
      <xdr:nvSpPr>
        <xdr:cNvPr id="3" name="Rectangle 1">
          <a:extLst>
            <a:ext uri="{FF2B5EF4-FFF2-40B4-BE49-F238E27FC236}">
              <a16:creationId xmlns:a16="http://schemas.microsoft.com/office/drawing/2014/main" id="{F1E7BA8F-A7ED-47D5-B7C9-635228BA278D}"/>
            </a:ext>
          </a:extLst>
        </xdr:cNvPr>
        <xdr:cNvSpPr/>
      </xdr:nvSpPr>
      <xdr:spPr>
        <a:xfrm>
          <a:off x="47345389" y="4569248"/>
          <a:ext cx="8456083" cy="4523741"/>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u="sng">
              <a:solidFill>
                <a:srgbClr val="FF0000"/>
              </a:solidFill>
            </a:rPr>
            <a:t>Deadline:</a:t>
          </a:r>
          <a:r>
            <a:rPr lang="en-US" sz="1100" b="1" u="sng" baseline="0">
              <a:solidFill>
                <a:srgbClr val="FF0000"/>
              </a:solidFill>
            </a:rPr>
            <a:t> WW24</a:t>
          </a:r>
          <a:endParaRPr lang="en-US" sz="1100" b="1" u="sng">
            <a:solidFill>
              <a:srgbClr val="FF0000"/>
            </a:solidFill>
          </a:endParaRPr>
        </a:p>
        <a:p>
          <a:r>
            <a:rPr lang="en-US" sz="1100" b="0" baseline="0">
              <a:solidFill>
                <a:srgbClr val="00B050"/>
              </a:solidFill>
              <a:effectLst/>
              <a:latin typeface="+mn-lt"/>
              <a:ea typeface="+mn-ea"/>
              <a:cs typeface="+mn-cs"/>
            </a:rPr>
            <a:t>-proof of concept of commmon solution between std/fastmode with high speed</a:t>
          </a:r>
          <a:endParaRPr lang="en-US" b="0">
            <a:solidFill>
              <a:srgbClr val="00B050"/>
            </a:solidFill>
            <a:effectLst/>
          </a:endParaRPr>
        </a:p>
        <a:p>
          <a:r>
            <a:rPr lang="en-US" sz="1100" b="0" baseline="0">
              <a:solidFill>
                <a:srgbClr val="00B050"/>
              </a:solidFill>
              <a:effectLst/>
              <a:latin typeface="+mn-lt"/>
              <a:ea typeface="+mn-ea"/>
              <a:cs typeface="+mn-cs"/>
            </a:rPr>
            <a:t>-debug issue with board PU range showing no soln/9100ohm</a:t>
          </a:r>
          <a:endParaRPr lang="en-US" b="0">
            <a:solidFill>
              <a:srgbClr val="00B050"/>
            </a:solidFill>
            <a:effectLst/>
          </a:endParaRPr>
        </a:p>
        <a:p>
          <a:r>
            <a:rPr lang="en-US" sz="1100" b="0" baseline="0">
              <a:solidFill>
                <a:srgbClr val="00B050"/>
              </a:solidFill>
              <a:effectLst/>
              <a:latin typeface="+mn-lt"/>
              <a:ea typeface="+mn-ea"/>
              <a:cs typeface="+mn-cs"/>
            </a:rPr>
            <a:t>-create dedicated std/fast mode column tabs for each high speed mode (1.7 vs 3.4, clk vs data</a:t>
          </a:r>
          <a:r>
            <a:rPr lang="en-US" sz="1100" b="0" baseline="0">
              <a:solidFill>
                <a:schemeClr val="dk1"/>
              </a:solidFill>
              <a:effectLst/>
              <a:latin typeface="+mn-lt"/>
              <a:ea typeface="+mn-ea"/>
              <a:cs typeface="+mn-cs"/>
            </a:rPr>
            <a:t>)</a:t>
          </a:r>
        </a:p>
        <a:p>
          <a:r>
            <a:rPr lang="en-US" sz="1100" b="0" baseline="0">
              <a:solidFill>
                <a:srgbClr val="00B050"/>
              </a:solidFill>
              <a:effectLst/>
              <a:latin typeface="+mn-lt"/>
              <a:ea typeface="+mn-ea"/>
              <a:cs typeface="+mn-cs"/>
            </a:rPr>
            <a:t>-fix L30 to cover all the way to row 106 (fix already done for STD mode, need to do for the rest)</a:t>
          </a:r>
        </a:p>
        <a:p>
          <a:r>
            <a:rPr lang="en-US" sz="1100" b="0" baseline="0">
              <a:solidFill>
                <a:srgbClr val="00B050"/>
              </a:solidFill>
              <a:effectLst/>
              <a:latin typeface="+mn-lt"/>
              <a:ea typeface="+mn-ea"/>
              <a:cs typeface="+mn-cs"/>
            </a:rPr>
            <a:t>-fix U30, W29</a:t>
          </a:r>
          <a:endParaRPr lang="en-US" b="0">
            <a:solidFill>
              <a:srgbClr val="00B050"/>
            </a:solidFill>
            <a:effectLst/>
          </a:endParaRPr>
        </a:p>
        <a:p>
          <a:pPr algn="l"/>
          <a:r>
            <a:rPr lang="en-US" sz="1100" b="1" u="sng">
              <a:solidFill>
                <a:srgbClr val="00B050"/>
              </a:solidFill>
            </a:rPr>
            <a:t>-</a:t>
          </a:r>
          <a:r>
            <a:rPr lang="en-US" sz="1100" b="0" u="none">
              <a:solidFill>
                <a:srgbClr val="00B050"/>
              </a:solidFill>
            </a:rPr>
            <a:t>fix</a:t>
          </a:r>
          <a:r>
            <a:rPr lang="en-US" sz="1100" b="0" u="none" baseline="0">
              <a:solidFill>
                <a:srgbClr val="00B050"/>
              </a:solidFill>
            </a:rPr>
            <a:t> Q34: and Z34:</a:t>
          </a:r>
        </a:p>
        <a:p>
          <a:pPr algn="l"/>
          <a:r>
            <a:rPr lang="en-US" sz="1100" b="0" u="none" baseline="0">
              <a:solidFill>
                <a:srgbClr val="00B050"/>
              </a:solidFill>
            </a:rPr>
            <a:t>-apply conditional formatting for row8 and row 12 for all columns</a:t>
          </a:r>
        </a:p>
        <a:p>
          <a:pPr algn="l"/>
          <a:r>
            <a:rPr lang="en-US" sz="1100" b="0" u="none" baseline="0">
              <a:solidFill>
                <a:srgbClr val="00B050"/>
              </a:solidFill>
            </a:rPr>
            <a:t>-ensure cell referencing to summary page is correct (filter by Summary!)</a:t>
          </a:r>
        </a:p>
        <a:p>
          <a:pPr algn="l"/>
          <a:r>
            <a:rPr lang="en-US" sz="1100" b="0" u="none" baseline="0">
              <a:solidFill>
                <a:srgbClr val="00B050"/>
              </a:solidFill>
            </a:rPr>
            <a:t>-fix F21-F23</a:t>
          </a:r>
        </a:p>
        <a:p>
          <a:pPr algn="l"/>
          <a:r>
            <a:rPr lang="en-US" sz="1100" b="0" u="none" baseline="0">
              <a:solidFill>
                <a:srgbClr val="00B050"/>
              </a:solidFill>
            </a:rPr>
            <a:t>-implement formatting for VIL, VIH in summary page</a:t>
          </a:r>
        </a:p>
        <a:p>
          <a:pPr algn="l"/>
          <a:r>
            <a:rPr lang="en-US" sz="1100" b="0" u="none" baseline="0">
              <a:solidFill>
                <a:srgbClr val="00B050"/>
              </a:solidFill>
            </a:rPr>
            <a:t>-add row for expected high voltage</a:t>
          </a:r>
        </a:p>
        <a:p>
          <a:pPr algn="l"/>
          <a:r>
            <a:rPr lang="en-US" sz="1100" b="0" u="none" baseline="0">
              <a:solidFill>
                <a:srgbClr val="00B050"/>
              </a:solidFill>
            </a:rPr>
            <a:t>-cell D18:19, E18:19, formatting needs to account for guardband</a:t>
          </a:r>
        </a:p>
        <a:p>
          <a:pPr algn="l"/>
          <a:r>
            <a:rPr lang="en-US" sz="1100" b="0" u="none" baseline="0">
              <a:solidFill>
                <a:srgbClr val="00B050"/>
              </a:solidFill>
            </a:rPr>
            <a:t>-identify max length/load that can be supported for each mode</a:t>
          </a:r>
        </a:p>
        <a:p>
          <a:pPr algn="l"/>
          <a:r>
            <a:rPr lang="en-US" sz="1100" b="0" u="none" baseline="0">
              <a:solidFill>
                <a:srgbClr val="00B050"/>
              </a:solidFill>
            </a:rPr>
            <a:t>-row 23 pass/fail conditional formatting need to account for VIL/VIH</a:t>
          </a:r>
        </a:p>
        <a:p>
          <a:pPr algn="l"/>
          <a:r>
            <a:rPr lang="en-US" sz="1100" b="0" u="none" baseline="0">
              <a:solidFill>
                <a:srgbClr val="00B050"/>
              </a:solidFill>
            </a:rPr>
            <a:t>-implement guardband row (calc tab to point to summary page)</a:t>
          </a:r>
        </a:p>
        <a:p>
          <a:pPr algn="l"/>
          <a:r>
            <a:rPr lang="en-US" sz="1100" b="0" u="none" baseline="0">
              <a:solidFill>
                <a:srgbClr val="00B050"/>
              </a:solidFill>
            </a:rPr>
            <a:t>-fix F7, G7</a:t>
          </a:r>
          <a:endParaRPr lang="en-US">
            <a:solidFill>
              <a:srgbClr val="00B050"/>
            </a:solidFill>
            <a:effectLst/>
          </a:endParaRPr>
        </a:p>
        <a:p>
          <a:r>
            <a:rPr lang="en-US" sz="1100" b="1" u="sng">
              <a:solidFill>
                <a:srgbClr val="00B050"/>
              </a:solidFill>
              <a:effectLst/>
              <a:latin typeface="+mn-lt"/>
              <a:ea typeface="+mn-ea"/>
              <a:cs typeface="+mn-cs"/>
            </a:rPr>
            <a:t>-re</a:t>
          </a:r>
          <a:r>
            <a:rPr lang="en-US" sz="1100" b="0">
              <a:solidFill>
                <a:srgbClr val="00B050"/>
              </a:solidFill>
              <a:effectLst/>
              <a:latin typeface="+mn-lt"/>
              <a:ea typeface="+mn-ea"/>
              <a:cs typeface="+mn-cs"/>
            </a:rPr>
            <a:t>fix</a:t>
          </a:r>
          <a:r>
            <a:rPr lang="en-US" sz="1100" b="0" baseline="0">
              <a:solidFill>
                <a:srgbClr val="00B050"/>
              </a:solidFill>
              <a:effectLst/>
              <a:latin typeface="+mn-lt"/>
              <a:ea typeface="+mn-ea"/>
              <a:cs typeface="+mn-cs"/>
            </a:rPr>
            <a:t> Q34: and Z34:</a:t>
          </a:r>
        </a:p>
        <a:p>
          <a:r>
            <a:rPr lang="en-US" sz="1100" b="0" baseline="0">
              <a:solidFill>
                <a:srgbClr val="00B050"/>
              </a:solidFill>
              <a:effectLst/>
              <a:latin typeface="+mn-lt"/>
              <a:ea typeface="+mn-ea"/>
              <a:cs typeface="+mn-cs"/>
            </a:rPr>
            <a:t>-dropdown menu for current assist row</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rgbClr val="00B050"/>
              </a:solidFill>
              <a:effectLst/>
              <a:latin typeface="+mn-lt"/>
              <a:ea typeface="+mn-ea"/>
              <a:cs typeface="+mn-cs"/>
            </a:rPr>
            <a:t>-new fix F21-F23</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rgbClr val="00B050"/>
              </a:solidFill>
              <a:effectLst/>
              <a:latin typeface="+mn-lt"/>
              <a:ea typeface="+mn-ea"/>
              <a:cs typeface="+mn-cs"/>
            </a:rPr>
            <a:t>-bug: FM+ row29 shows fail DC low even though PU within range (caused by Q34 formula issue)</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solidFill>
                <a:srgbClr val="00B050"/>
              </a:solidFill>
              <a:effectLst/>
              <a:latin typeface="+mn-lt"/>
              <a:ea typeface="+mn-ea"/>
              <a:cs typeface="+mn-cs"/>
            </a:rPr>
            <a:t>-apply cond. formatting to fail measurement also (currently only applies to spec)</a:t>
          </a:r>
          <a:endParaRPr lang="en-US">
            <a:solidFill>
              <a:srgbClr val="00B050"/>
            </a:solidFill>
            <a:effectLst/>
          </a:endParaRPr>
        </a:p>
        <a:p>
          <a:r>
            <a:rPr lang="en-US">
              <a:solidFill>
                <a:schemeClr val="accent2">
                  <a:lumMod val="75000"/>
                </a:schemeClr>
              </a:solidFill>
              <a:effectLst/>
            </a:rPr>
            <a:t>-bug: F7/G7 doesnt converge</a:t>
          </a:r>
          <a:r>
            <a:rPr lang="en-US" baseline="0">
              <a:solidFill>
                <a:schemeClr val="accent2">
                  <a:lumMod val="75000"/>
                </a:schemeClr>
              </a:solidFill>
              <a:effectLst/>
            </a:rPr>
            <a:t> with G18/G19 - cannot reproduce bug, ZBB</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00B050"/>
              </a:solidFill>
              <a:effectLst/>
              <a:latin typeface="+mn-lt"/>
              <a:ea typeface="+mn-ea"/>
              <a:cs typeface="+mn-cs"/>
            </a:rPr>
            <a:t>- current assist setting standardization - use nominal value and spec min/max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00B050"/>
              </a:solidFill>
              <a:effectLst/>
              <a:latin typeface="+mn-lt"/>
              <a:ea typeface="+mn-ea"/>
              <a:cs typeface="+mn-cs"/>
            </a:rPr>
            <a:t>    - need to add columns AJ, AK</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00B050"/>
              </a:solidFill>
              <a:effectLst/>
              <a:latin typeface="+mn-lt"/>
              <a:ea typeface="+mn-ea"/>
              <a:cs typeface="+mn-cs"/>
            </a:rPr>
            <a:t>    - need to fix D,F,G,H 69</a:t>
          </a:r>
          <a:endParaRPr lang="en-US">
            <a:solidFill>
              <a:srgbClr val="00B050"/>
            </a:solidFill>
            <a:effectLst/>
          </a:endParaRPr>
        </a:p>
        <a:p>
          <a:r>
            <a:rPr lang="en-US" sz="1100" baseline="0">
              <a:solidFill>
                <a:srgbClr val="00B050"/>
              </a:solidFill>
              <a:effectLst/>
              <a:latin typeface="+mn-lt"/>
              <a:ea typeface="+mn-ea"/>
              <a:cs typeface="+mn-cs"/>
            </a:rPr>
            <a:t>-Enable calculator for SMBUS/SMLINK (uses absolute toggling threshold vs relative 0.3/0.7)</a:t>
          </a:r>
        </a:p>
        <a:p>
          <a:r>
            <a:rPr lang="en-US" sz="1100" b="0" baseline="0">
              <a:solidFill>
                <a:srgbClr val="00B050"/>
              </a:solidFill>
              <a:effectLst/>
              <a:latin typeface="+mn-lt"/>
              <a:ea typeface="+mn-ea"/>
              <a:cs typeface="+mn-cs"/>
            </a:rPr>
            <a:t>-identify max length/load that can be supported for each mode for SMBUS, SPD</a:t>
          </a:r>
        </a:p>
        <a:p>
          <a:r>
            <a:rPr lang="en-US" sz="1100" b="0" baseline="0">
              <a:solidFill>
                <a:srgbClr val="00B050"/>
              </a:solidFill>
              <a:effectLst/>
              <a:latin typeface="+mn-lt"/>
              <a:ea typeface="+mn-ea"/>
              <a:cs typeface="+mn-cs"/>
            </a:rPr>
            <a:t>-determine conditions/spec for display I2C - use 400kHz</a:t>
          </a:r>
        </a:p>
        <a:p>
          <a:r>
            <a:rPr lang="en-US" sz="1100" b="0" baseline="0">
              <a:solidFill>
                <a:schemeClr val="dk1"/>
              </a:solidFill>
              <a:effectLst/>
              <a:latin typeface="+mn-lt"/>
              <a:ea typeface="+mn-ea"/>
              <a:cs typeface="+mn-cs"/>
            </a:rPr>
            <a:t>-WW21 set up session with RVP team to demo n use calculator</a:t>
          </a:r>
        </a:p>
        <a:p>
          <a:r>
            <a:rPr lang="en-US" sz="1100" b="0" baseline="0">
              <a:solidFill>
                <a:srgbClr val="00B050"/>
              </a:solidFill>
              <a:effectLst/>
              <a:latin typeface="+mn-lt"/>
              <a:ea typeface="+mn-ea"/>
              <a:cs typeface="+mn-cs"/>
            </a:rPr>
            <a:t>-need to enable absolute voltage toggling (refer to SPD for latest)</a:t>
          </a:r>
        </a:p>
        <a:p>
          <a:r>
            <a:rPr lang="en-US" sz="1100" b="0" baseline="0">
              <a:solidFill>
                <a:srgbClr val="00B050"/>
              </a:solidFill>
              <a:effectLst/>
              <a:latin typeface="+mn-lt"/>
              <a:ea typeface="+mn-ea"/>
              <a:cs typeface="+mn-cs"/>
            </a:rPr>
            <a:t>-fix cond formatting for SPD DC high/low spec</a:t>
          </a:r>
        </a:p>
        <a:p>
          <a:r>
            <a:rPr lang="en-US" sz="1100" b="0" baseline="0">
              <a:solidFill>
                <a:schemeClr val="dk1"/>
              </a:solidFill>
              <a:effectLst/>
              <a:latin typeface="+mn-lt"/>
              <a:ea typeface="+mn-ea"/>
              <a:cs typeface="+mn-cs"/>
            </a:rPr>
            <a:t>-add link between summary and calc tabs</a:t>
          </a:r>
        </a:p>
        <a:p>
          <a:endParaRPr lang="en-US">
            <a:effectLst/>
          </a:endParaRPr>
        </a:p>
        <a:p>
          <a:r>
            <a:rPr lang="en-US" sz="1100" baseline="0">
              <a:solidFill>
                <a:schemeClr val="dk1"/>
              </a:solidFill>
              <a:effectLst/>
              <a:latin typeface="+mn-lt"/>
              <a:ea typeface="+mn-ea"/>
              <a:cs typeface="+mn-cs"/>
            </a:rPr>
            <a:t>-(future) Enable Tx pad CLK rise time calculation (only consider pullup, no board R component) to publish to silicon team to meet</a:t>
          </a:r>
          <a:endParaRPr lang="en-US">
            <a:effectLst/>
          </a:endParaRPr>
        </a:p>
        <a:p>
          <a:r>
            <a:rPr lang="en-US" sz="1100" baseline="0">
              <a:solidFill>
                <a:schemeClr val="dk1"/>
              </a:solidFill>
              <a:effectLst/>
              <a:latin typeface="+mn-lt"/>
              <a:ea typeface="+mn-ea"/>
              <a:cs typeface="+mn-cs"/>
            </a:rPr>
            <a:t>-(future)Level shifter feature implementation, for passive LS that separate CKT, need to discuss n get input from RVP team</a:t>
          </a:r>
        </a:p>
        <a:p>
          <a:r>
            <a:rPr lang="en-US" sz="1100" baseline="0">
              <a:solidFill>
                <a:schemeClr val="dk1"/>
              </a:solidFill>
              <a:effectLst/>
              <a:latin typeface="+mn-lt"/>
              <a:ea typeface="+mn-ea"/>
              <a:cs typeface="+mn-cs"/>
            </a:rPr>
            <a:t>   - need to understand different LS types/usages (ask RVP)</a:t>
          </a:r>
        </a:p>
        <a:p>
          <a:r>
            <a:rPr lang="en-US" sz="1100" baseline="0">
              <a:solidFill>
                <a:schemeClr val="dk1"/>
              </a:solidFill>
              <a:effectLst/>
              <a:latin typeface="+mn-lt"/>
              <a:ea typeface="+mn-ea"/>
              <a:cs typeface="+mn-cs"/>
            </a:rPr>
            <a:t>  </a:t>
          </a:r>
          <a:endParaRPr lang="en-US">
            <a:effectLst/>
          </a:endParaRPr>
        </a:p>
        <a:p>
          <a:r>
            <a:rPr lang="en-US" sz="1100" baseline="0">
              <a:solidFill>
                <a:schemeClr val="dk1"/>
              </a:solidFill>
              <a:effectLst/>
              <a:latin typeface="+mn-lt"/>
              <a:ea typeface="+mn-ea"/>
              <a:cs typeface="+mn-cs"/>
            </a:rPr>
            <a:t>-MB component resistance does not consider placement</a:t>
          </a:r>
        </a:p>
        <a:p>
          <a:r>
            <a:rPr lang="en-US" sz="1100" baseline="0">
              <a:solidFill>
                <a:schemeClr val="dk1"/>
              </a:solidFill>
              <a:effectLst/>
              <a:latin typeface="+mn-lt"/>
              <a:ea typeface="+mn-ea"/>
              <a:cs typeface="+mn-cs"/>
            </a:rPr>
            <a:t>   -need to add disclaimer/assumption (component resistance calculation is an approximation)</a:t>
          </a:r>
          <a:endParaRPr lang="en-US">
            <a:effectLst/>
          </a:endParaRPr>
        </a:p>
        <a:p>
          <a:endParaRPr lang="en-US">
            <a:solidFill>
              <a:schemeClr val="accent2">
                <a:lumMod val="75000"/>
              </a:schemeClr>
            </a:solidFill>
            <a:effectLst/>
          </a:endParaRPr>
        </a:p>
        <a:p>
          <a:pPr algn="l"/>
          <a:endParaRPr lang="en-US" sz="1100" b="0" u="none" baseline="0">
            <a:solidFill>
              <a:sysClr val="windowText" lastClr="000000"/>
            </a:solidFill>
          </a:endParaRPr>
        </a:p>
      </xdr:txBody>
    </xdr:sp>
    <xdr:clientData/>
  </xdr:twoCellAnchor>
  <xdr:twoCellAnchor>
    <xdr:from>
      <xdr:col>29</xdr:col>
      <xdr:colOff>38100</xdr:colOff>
      <xdr:row>93</xdr:row>
      <xdr:rowOff>180976</xdr:rowOff>
    </xdr:from>
    <xdr:to>
      <xdr:col>37</xdr:col>
      <xdr:colOff>85725</xdr:colOff>
      <xdr:row>114</xdr:row>
      <xdr:rowOff>19050</xdr:rowOff>
    </xdr:to>
    <xdr:sp macro="" textlink="">
      <xdr:nvSpPr>
        <xdr:cNvPr id="4" name="Rectangle 3">
          <a:extLst>
            <a:ext uri="{FF2B5EF4-FFF2-40B4-BE49-F238E27FC236}">
              <a16:creationId xmlns:a16="http://schemas.microsoft.com/office/drawing/2014/main" id="{E27D0281-80B2-4453-9E52-C4053CA04941}"/>
            </a:ext>
          </a:extLst>
        </xdr:cNvPr>
        <xdr:cNvSpPr/>
      </xdr:nvSpPr>
      <xdr:spPr>
        <a:xfrm>
          <a:off x="32013525" y="19821526"/>
          <a:ext cx="7639050" cy="325754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u="sng" baseline="0"/>
            <a:t>note on how to duplicate the calc tabs (ex. standard mode) for other speed modes while retaining the proper cell referencing in summary page:</a:t>
          </a:r>
        </a:p>
        <a:p>
          <a:pPr algn="l"/>
          <a:endParaRPr lang="en-US" sz="1100" b="1" u="sng" baseline="0"/>
        </a:p>
        <a:p>
          <a:pPr algn="l"/>
          <a:r>
            <a:rPr lang="en-US" sz="1100" b="0" u="none" baseline="0"/>
            <a:t>1. create copy of latest spreadsheet and open it</a:t>
          </a:r>
        </a:p>
        <a:p>
          <a:pPr algn="l"/>
          <a:r>
            <a:rPr lang="en-US" sz="1100" b="0" u="none" baseline="0"/>
            <a:t>2. in the copy, go to summary tab. Example: if want to copy tab for Fast Mode which is on column D, need to move the current Standard Mode column to where Fast Mode is (move to column D). For Fast Mode Plus, move standard mode to column E, etc.</a:t>
          </a:r>
        </a:p>
        <a:p>
          <a:pPr algn="l"/>
          <a:r>
            <a:rPr lang="en-US" sz="1100" b="0" u="none" baseline="0"/>
            <a:t>3. still on the copy spreadsheet, the standard mode tab now should reference to the new standard mode column in the summary page. Copy this tab to the main spreadsheet and rename accordingly</a:t>
          </a:r>
        </a:p>
      </xdr:txBody>
    </xdr:sp>
    <xdr:clientData/>
  </xdr:twoCellAnchor>
  <xdr:twoCellAnchor>
    <xdr:from>
      <xdr:col>36</xdr:col>
      <xdr:colOff>412532</xdr:colOff>
      <xdr:row>32</xdr:row>
      <xdr:rowOff>883621</xdr:rowOff>
    </xdr:from>
    <xdr:to>
      <xdr:col>47</xdr:col>
      <xdr:colOff>288291</xdr:colOff>
      <xdr:row>76</xdr:row>
      <xdr:rowOff>16933</xdr:rowOff>
    </xdr:to>
    <xdr:sp macro="" textlink="">
      <xdr:nvSpPr>
        <xdr:cNvPr id="67" name="TextBox 1">
          <a:extLst>
            <a:ext uri="{FF2B5EF4-FFF2-40B4-BE49-F238E27FC236}">
              <a16:creationId xmlns:a16="http://schemas.microsoft.com/office/drawing/2014/main" id="{A8935FC1-C910-4021-9233-28554C911D30}"/>
            </a:ext>
          </a:extLst>
        </xdr:cNvPr>
        <xdr:cNvSpPr txBox="1"/>
      </xdr:nvSpPr>
      <xdr:spPr>
        <a:xfrm>
          <a:off x="47344112" y="9395161"/>
          <a:ext cx="7648159" cy="10380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link to trace</a:t>
          </a:r>
          <a:r>
            <a:rPr lang="en-US" sz="1100" baseline="0"/>
            <a:t> resistance calculation:</a:t>
          </a:r>
        </a:p>
        <a:p>
          <a:r>
            <a:rPr lang="en-US" sz="1100" b="0" i="0" u="sng">
              <a:solidFill>
                <a:schemeClr val="dk1"/>
              </a:solidFill>
              <a:effectLst/>
              <a:latin typeface="+mn-lt"/>
              <a:ea typeface="+mn-ea"/>
              <a:cs typeface="+mn-cs"/>
              <a:hlinkClick xmlns:r="http://schemas.openxmlformats.org/officeDocument/2006/relationships" r:id=""/>
            </a:rPr>
            <a:t>https://technick.net/tools/impedance-calculator/</a:t>
          </a:r>
          <a:endParaRPr lang="en-US" sz="1100" b="0" i="0" u="sng">
            <a:solidFill>
              <a:schemeClr val="dk1"/>
            </a:solidFill>
            <a:effectLst/>
            <a:latin typeface="+mn-lt"/>
            <a:ea typeface="+mn-ea"/>
            <a:cs typeface="+mn-cs"/>
          </a:endParaRPr>
        </a:p>
        <a:p>
          <a:r>
            <a:rPr lang="en-US" sz="1100" b="0" i="0" u="sng">
              <a:solidFill>
                <a:schemeClr val="dk1"/>
              </a:solidFill>
              <a:effectLst/>
              <a:latin typeface="+mn-lt"/>
              <a:ea typeface="+mn-ea"/>
              <a:cs typeface="+mn-cs"/>
            </a:rPr>
            <a:t>https://www.allaboutcircuits.com/tools/trace-resistance-calculator/</a:t>
          </a:r>
        </a:p>
        <a:p>
          <a:endParaRPr lang="en-US" sz="1100" b="0" i="0" u="sng">
            <a:solidFill>
              <a:schemeClr val="dk1"/>
            </a:solidFill>
            <a:effectLst/>
            <a:latin typeface="+mn-lt"/>
            <a:ea typeface="+mn-ea"/>
            <a:cs typeface="+mn-cs"/>
          </a:endParaRPr>
        </a:p>
        <a:p>
          <a:r>
            <a:rPr lang="en-US" sz="1100" b="0" i="0" u="none" baseline="0">
              <a:solidFill>
                <a:schemeClr val="dk1"/>
              </a:solidFill>
              <a:effectLst/>
              <a:latin typeface="+mn-lt"/>
              <a:ea typeface="+mn-ea"/>
              <a:cs typeface="+mn-cs"/>
            </a:rPr>
            <a:t>AR: after done with MTL, do same PDG default for ADL. Provide min max range for PU then discuss with WC</a:t>
          </a:r>
          <a:endParaRPr lang="en-US" sz="1100" b="0" i="0" u="none">
            <a:solidFill>
              <a:schemeClr val="dk1"/>
            </a:solidFill>
            <a:effectLst/>
            <a:latin typeface="+mn-lt"/>
            <a:ea typeface="+mn-ea"/>
            <a:cs typeface="+mn-cs"/>
          </a:endParaRPr>
        </a:p>
        <a:p>
          <a:endParaRPr lang="en-US" sz="1100" b="0" i="0" u="sng">
            <a:solidFill>
              <a:schemeClr val="dk1"/>
            </a:solidFill>
            <a:effectLst/>
            <a:latin typeface="+mn-lt"/>
            <a:ea typeface="+mn-ea"/>
            <a:cs typeface="+mn-cs"/>
          </a:endParaRPr>
        </a:p>
        <a:p>
          <a:r>
            <a:rPr lang="en-US" sz="1100" b="0" i="0" u="sng">
              <a:solidFill>
                <a:schemeClr val="dk1"/>
              </a:solidFill>
              <a:effectLst/>
              <a:latin typeface="+mn-lt"/>
              <a:ea typeface="+mn-ea"/>
              <a:cs typeface="+mn-cs"/>
            </a:rPr>
            <a:t>AR WW23</a:t>
          </a:r>
        </a:p>
        <a:p>
          <a:r>
            <a:rPr lang="en-US" sz="1100">
              <a:solidFill>
                <a:srgbClr val="00B050"/>
              </a:solidFill>
            </a:rPr>
            <a:t>SI team to fill out worst case MB/silicon characteristics for use</a:t>
          </a:r>
        </a:p>
        <a:p>
          <a:r>
            <a:rPr lang="en-US" sz="1100">
              <a:solidFill>
                <a:srgbClr val="00B050"/>
              </a:solidFill>
            </a:rPr>
            <a:t>rearrange in order</a:t>
          </a:r>
        </a:p>
        <a:p>
          <a:r>
            <a:rPr lang="en-US" sz="1100">
              <a:solidFill>
                <a:srgbClr val="00B050"/>
              </a:solidFill>
            </a:rPr>
            <a:t>- replace all other tabs using PROCHOT (B-G,</a:t>
          </a:r>
          <a:r>
            <a:rPr lang="en-US" sz="1100" baseline="0">
              <a:solidFill>
                <a:srgbClr val="00B050"/>
              </a:solidFill>
            </a:rPr>
            <a:t> 7)</a:t>
          </a:r>
        </a:p>
        <a:p>
          <a:r>
            <a:rPr lang="en-US" sz="1100" baseline="0">
              <a:solidFill>
                <a:srgbClr val="00B050"/>
              </a:solidFill>
            </a:rPr>
            <a:t>- add list of resistors for 1000s</a:t>
          </a:r>
        </a:p>
        <a:p>
          <a:r>
            <a:rPr lang="en-US" sz="1100" baseline="0">
              <a:solidFill>
                <a:srgbClr val="00B050"/>
              </a:solidFill>
            </a:rPr>
            <a:t>- add signal list in the reference tab </a:t>
          </a:r>
        </a:p>
        <a:p>
          <a:r>
            <a:rPr lang="en-US" sz="1100" baseline="0">
              <a:solidFill>
                <a:srgbClr val="00B050"/>
              </a:solidFill>
            </a:rPr>
            <a:t>- for external version, use Protect Workbook feature</a:t>
          </a:r>
        </a:p>
        <a:p>
          <a:r>
            <a:rPr lang="en-US" sz="1100" baseline="0">
              <a:solidFill>
                <a:srgbClr val="00B050"/>
              </a:solidFill>
            </a:rPr>
            <a:t>- temp work on LS 2 PU </a:t>
          </a:r>
        </a:p>
        <a:p>
          <a:r>
            <a:rPr lang="en-US" sz="1100" baseline="0">
              <a:solidFill>
                <a:srgbClr val="00B050"/>
              </a:solidFill>
            </a:rPr>
            <a:t>- integrate tline Z / spacing recommendation</a:t>
          </a:r>
        </a:p>
        <a:p>
          <a:r>
            <a:rPr lang="en-US" sz="1100" baseline="0">
              <a:solidFill>
                <a:srgbClr val="00B050"/>
              </a:solidFill>
            </a:rPr>
            <a:t>- schedule review with CCE </a:t>
          </a:r>
        </a:p>
        <a:p>
          <a:r>
            <a:rPr lang="en-US" sz="1100" baseline="0">
              <a:solidFill>
                <a:srgbClr val="00B050"/>
              </a:solidFill>
            </a:rPr>
            <a:t>-need to add SPD column for other speeds</a:t>
          </a:r>
        </a:p>
        <a:p>
          <a:endParaRPr lang="en-US" sz="1100" baseline="0">
            <a:solidFill>
              <a:sysClr val="windowText" lastClr="000000"/>
            </a:solidFill>
          </a:endParaRPr>
        </a:p>
        <a:p>
          <a:r>
            <a:rPr lang="en-US" sz="1100" baseline="0">
              <a:solidFill>
                <a:sysClr val="windowText" lastClr="000000"/>
              </a:solidFill>
            </a:rPr>
            <a:t>- </a:t>
          </a:r>
          <a:r>
            <a:rPr lang="en-US" sz="1100" baseline="0">
              <a:solidFill>
                <a:schemeClr val="dk1"/>
              </a:solidFill>
              <a:effectLst/>
              <a:latin typeface="+mn-lt"/>
              <a:ea typeface="+mn-ea"/>
              <a:cs typeface="+mn-cs"/>
            </a:rPr>
            <a:t>(low priority) </a:t>
          </a:r>
          <a:r>
            <a:rPr lang="en-US" sz="1100" baseline="0">
              <a:solidFill>
                <a:sysClr val="windowText" lastClr="000000"/>
              </a:solidFill>
            </a:rPr>
            <a:t>understand behavior on stub length vs branch mismatch</a:t>
          </a:r>
        </a:p>
        <a:p>
          <a:r>
            <a:rPr lang="en-US" sz="1100" baseline="0">
              <a:solidFill>
                <a:sysClr val="windowText" lastClr="000000"/>
              </a:solidFill>
            </a:rPr>
            <a:t>=&gt; understand on impact of damping resistor </a:t>
          </a:r>
        </a:p>
        <a:p>
          <a:r>
            <a:rPr lang="en-US" sz="1100" b="0" i="0" u="none" strike="noStrike">
              <a:solidFill>
                <a:schemeClr val="dk1"/>
              </a:solidFill>
              <a:effectLst/>
              <a:latin typeface="+mn-lt"/>
              <a:ea typeface="+mn-ea"/>
              <a:cs typeface="+mn-cs"/>
            </a:rPr>
            <a:t>stub length:</a:t>
          </a:r>
        </a:p>
        <a:p>
          <a:r>
            <a:rPr lang="en-US" sz="1100" b="0" i="0" u="none" strike="noStrike">
              <a:solidFill>
                <a:schemeClr val="dk1"/>
              </a:solidFill>
              <a:effectLst/>
              <a:latin typeface="+mn-lt"/>
              <a:ea typeface="+mn-ea"/>
              <a:cs typeface="+mn-cs"/>
            </a:rPr>
            <a:t>branch -</a:t>
          </a:r>
          <a:r>
            <a:rPr lang="en-US"/>
            <a:t> </a:t>
          </a:r>
          <a:r>
            <a:rPr lang="en-US" sz="1100" b="0" i="0" u="none" strike="noStrike">
              <a:solidFill>
                <a:schemeClr val="dk1"/>
              </a:solidFill>
              <a:effectLst/>
              <a:latin typeface="+mn-lt"/>
              <a:ea typeface="+mn-ea"/>
              <a:cs typeface="+mn-cs"/>
            </a:rPr>
            <a:t>no limit as long as branches are matched (need to identify length matching req)</a:t>
          </a:r>
          <a:r>
            <a:rPr lang="en-US"/>
            <a:t> </a:t>
          </a:r>
        </a:p>
        <a:p>
          <a:r>
            <a:rPr lang="en-US" sz="1100" b="0" i="0" u="none" strike="noStrike">
              <a:solidFill>
                <a:schemeClr val="dk1"/>
              </a:solidFill>
              <a:effectLst/>
              <a:latin typeface="+mn-lt"/>
              <a:ea typeface="+mn-ea"/>
              <a:cs typeface="+mn-cs"/>
            </a:rPr>
            <a:t>daisy -</a:t>
          </a:r>
          <a:r>
            <a:rPr lang="en-US"/>
            <a:t> </a:t>
          </a:r>
          <a:r>
            <a:rPr lang="en-US" sz="1100" b="0" i="0" u="none" strike="noStrike">
              <a:solidFill>
                <a:schemeClr val="dk1"/>
              </a:solidFill>
              <a:effectLst/>
              <a:latin typeface="+mn-lt"/>
              <a:ea typeface="+mn-ea"/>
              <a:cs typeface="+mn-cs"/>
            </a:rPr>
            <a:t>need to limit 5in</a:t>
          </a:r>
          <a:r>
            <a:rPr lang="en-US"/>
            <a:t> </a:t>
          </a:r>
        </a:p>
        <a:p>
          <a:r>
            <a:rPr lang="en-US" sz="1100">
              <a:solidFill>
                <a:sysClr val="windowText" lastClr="000000"/>
              </a:solidFill>
            </a:rPr>
            <a:t>- power</a:t>
          </a:r>
          <a:r>
            <a:rPr lang="en-US" sz="1100" baseline="0">
              <a:solidFill>
                <a:sysClr val="windowText" lastClr="000000"/>
              </a:solidFill>
            </a:rPr>
            <a:t> supply variation 5 vs 10. AR need to confirm with VR owner Phil</a:t>
          </a:r>
        </a:p>
        <a:p>
          <a:r>
            <a:rPr lang="en-US" sz="1100" baseline="0">
              <a:solidFill>
                <a:srgbClr val="00B050"/>
              </a:solidFill>
            </a:rPr>
            <a:t>- need to add drop down for PU value tolerance</a:t>
          </a:r>
        </a:p>
        <a:p>
          <a:endParaRPr lang="en-US" sz="1100" baseline="0">
            <a:solidFill>
              <a:srgbClr val="00B050"/>
            </a:solidFill>
          </a:endParaRPr>
        </a:p>
        <a:p>
          <a:r>
            <a:rPr lang="en-US" sz="1100" baseline="0">
              <a:solidFill>
                <a:srgbClr val="00B050"/>
              </a:solidFill>
            </a:rPr>
            <a:t>- </a:t>
          </a:r>
          <a:r>
            <a:rPr lang="en-US" sz="1100" baseline="0">
              <a:solidFill>
                <a:sysClr val="windowText" lastClr="000000"/>
              </a:solidFill>
            </a:rPr>
            <a:t>(low priority) need to add 2% list for PU value tolerance?</a:t>
          </a:r>
        </a:p>
        <a:p>
          <a:endParaRPr lang="en-US" sz="1100" baseline="0">
            <a:solidFill>
              <a:sysClr val="windowText" lastClr="000000"/>
            </a:solidFill>
          </a:endParaRPr>
        </a:p>
        <a:p>
          <a:r>
            <a:rPr lang="en-US" sz="1100" b="0" i="0" u="none" strike="noStrike" baseline="0">
              <a:solidFill>
                <a:sysClr val="windowText" lastClr="000000"/>
              </a:solidFill>
              <a:effectLst/>
              <a:latin typeface="+mn-lt"/>
              <a:ea typeface="+mn-ea"/>
              <a:cs typeface="+mn-cs"/>
            </a:rPr>
            <a:t>- </a:t>
          </a:r>
          <a:r>
            <a:rPr lang="en-US" sz="1100" b="0" i="0" u="none" strike="noStrike">
              <a:solidFill>
                <a:schemeClr val="dk1"/>
              </a:solidFill>
              <a:effectLst/>
              <a:latin typeface="+mn-lt"/>
              <a:ea typeface="+mn-ea"/>
              <a:cs typeface="+mn-cs"/>
            </a:rPr>
            <a:t>AR:</a:t>
          </a:r>
          <a:r>
            <a:rPr lang="en-US"/>
            <a:t> </a:t>
          </a:r>
          <a:r>
            <a:rPr lang="en-US" sz="1100" b="0" i="0" u="none" strike="noStrike">
              <a:solidFill>
                <a:schemeClr val="dk1"/>
              </a:solidFill>
              <a:effectLst/>
              <a:latin typeface="+mn-lt"/>
              <a:ea typeface="+mn-ea"/>
              <a:cs typeface="+mn-cs"/>
            </a:rPr>
            <a:t>communicate to RVP team on limited bus cap support for certain modes</a:t>
          </a:r>
          <a:r>
            <a:rPr lang="en-US"/>
            <a:t> </a:t>
          </a:r>
        </a:p>
        <a:p>
          <a:r>
            <a:rPr lang="en-US" sz="1100">
              <a:solidFill>
                <a:sysClr val="windowText" lastClr="000000"/>
              </a:solidFill>
            </a:rPr>
            <a:t>- </a:t>
          </a:r>
          <a:r>
            <a:rPr lang="en-US" sz="1100">
              <a:solidFill>
                <a:srgbClr val="00B050"/>
              </a:solidFill>
            </a:rPr>
            <a:t>no DDR4 in MTL</a:t>
          </a:r>
          <a:r>
            <a:rPr lang="en-US" sz="1100" baseline="0">
              <a:solidFill>
                <a:srgbClr val="00B050"/>
              </a:solidFill>
            </a:rPr>
            <a:t> (RPL is last project with DDR4)</a:t>
          </a:r>
          <a:endParaRPr lang="en-US" sz="1100">
            <a:solidFill>
              <a:srgbClr val="00B050"/>
            </a:solidFill>
          </a:endParaRPr>
        </a:p>
        <a:p>
          <a:endParaRPr lang="en-US" sz="1100"/>
        </a:p>
        <a:p>
          <a:r>
            <a:rPr lang="en-US" sz="1100"/>
            <a:t>bug:</a:t>
          </a:r>
        </a:p>
        <a:p>
          <a:r>
            <a:rPr lang="en-US" sz="1100">
              <a:solidFill>
                <a:srgbClr val="00B050"/>
              </a:solidFill>
            </a:rPr>
            <a:t>recommendation</a:t>
          </a:r>
          <a:r>
            <a:rPr lang="en-US" sz="1100" baseline="0">
              <a:solidFill>
                <a:srgbClr val="00B050"/>
              </a:solidFill>
            </a:rPr>
            <a:t> to consider valid PU when failing rise/fall time</a:t>
          </a:r>
        </a:p>
        <a:p>
          <a:r>
            <a:rPr lang="en-US" sz="1100" baseline="0">
              <a:solidFill>
                <a:srgbClr val="00B050"/>
              </a:solidFill>
            </a:rPr>
            <a:t>potential bug: 1.7MHz CLK, PU smaller than recommended, yet still pass</a:t>
          </a:r>
          <a:br>
            <a:rPr lang="en-US" sz="1100" baseline="0">
              <a:solidFill>
                <a:srgbClr val="00B050"/>
              </a:solidFill>
            </a:rPr>
          </a:br>
          <a:r>
            <a:rPr lang="en-US" sz="1100" baseline="0">
              <a:solidFill>
                <a:srgbClr val="00B050"/>
              </a:solidFill>
            </a:rPr>
            <a:t>potential bug: PROCHOT recommended 2.2k, I tried 2.4k but still not fail</a:t>
          </a:r>
        </a:p>
        <a:p>
          <a:r>
            <a:rPr lang="en-US" sz="1100">
              <a:solidFill>
                <a:srgbClr val="00B050"/>
              </a:solidFill>
            </a:rPr>
            <a:t>when PROCHOT PU entered as 330ohm, failed, but didn't not highlight red on PU cell</a:t>
          </a:r>
        </a:p>
        <a:p>
          <a:r>
            <a:rPr lang="en-US" sz="1100">
              <a:solidFill>
                <a:srgbClr val="00B050"/>
              </a:solidFill>
            </a:rPr>
            <a:t>potential bug with 1.7MHz CLK PU recommendation</a:t>
          </a:r>
        </a:p>
        <a:p>
          <a:r>
            <a:rPr lang="en-US" sz="1100">
              <a:solidFill>
                <a:sysClr val="windowText" lastClr="000000"/>
              </a:solidFill>
            </a:rPr>
            <a:t>-</a:t>
          </a:r>
          <a:r>
            <a:rPr lang="en-US" sz="1100" baseline="0">
              <a:solidFill>
                <a:sysClr val="windowText" lastClr="000000"/>
              </a:solidFill>
            </a:rPr>
            <a:t> (NOTE) for current assist at small loading (~50pF), may fail min rise time spec. This should not be a big concern for end user/customer who rely on calculator only when their solution is not covered in default tables. in other words, user/customer come to this when wanting to design longer lengths, for which the min rise time issue is not a concern</a:t>
          </a:r>
        </a:p>
        <a:p>
          <a:r>
            <a:rPr lang="en-US" sz="1100" baseline="0">
              <a:solidFill>
                <a:srgbClr val="00B050"/>
              </a:solidFill>
            </a:rPr>
            <a:t>-bug at K/Q 17/18 in summary page. need to remove drop down from tolerance fields</a:t>
          </a:r>
          <a:endParaRPr lang="en-US" sz="1100">
            <a:solidFill>
              <a:srgbClr val="00B050"/>
            </a:solidFill>
          </a:endParaRPr>
        </a:p>
        <a:p>
          <a:endParaRPr lang="en-US" sz="1100">
            <a:solidFill>
              <a:sysClr val="windowText" lastClr="000000"/>
            </a:solidFill>
          </a:endParaRPr>
        </a:p>
        <a:p>
          <a:r>
            <a:rPr lang="en-US" sz="1100" b="1" u="sng">
              <a:solidFill>
                <a:sysClr val="windowText" lastClr="000000"/>
              </a:solidFill>
            </a:rPr>
            <a:t>Rev1p0</a:t>
          </a:r>
          <a:r>
            <a:rPr lang="en-US" sz="1100" b="1" u="sng" baseline="0">
              <a:solidFill>
                <a:sysClr val="windowText" lastClr="000000"/>
              </a:solidFill>
            </a:rPr>
            <a:t> PDG plan</a:t>
          </a:r>
          <a:endParaRPr lang="en-US" sz="1100" b="1" u="sng">
            <a:solidFill>
              <a:sysClr val="windowText" lastClr="000000"/>
            </a:solidFill>
          </a:endParaRPr>
        </a:p>
        <a:p>
          <a:r>
            <a:rPr lang="en-US" sz="1100">
              <a:solidFill>
                <a:schemeClr val="dk1"/>
              </a:solidFill>
              <a:effectLst/>
              <a:latin typeface="+mn-lt"/>
              <a:ea typeface="+mn-ea"/>
              <a:cs typeface="+mn-cs"/>
            </a:rPr>
            <a:t>Work with RVP team to integrate level shifter design</a:t>
          </a:r>
          <a:endParaRPr lang="en-US">
            <a:effectLst/>
          </a:endParaRPr>
        </a:p>
        <a:p>
          <a:r>
            <a:rPr lang="en-US" sz="1100">
              <a:solidFill>
                <a:schemeClr val="dk1"/>
              </a:solidFill>
              <a:effectLst/>
              <a:latin typeface="+mn-lt"/>
              <a:ea typeface="+mn-ea"/>
              <a:cs typeface="+mn-cs"/>
            </a:rPr>
            <a:t>-for passive LS, need to use new circuit incorporating 2 PU in between</a:t>
          </a:r>
          <a:endParaRPr lang="en-US">
            <a:effectLst/>
          </a:endParaRPr>
        </a:p>
        <a:p>
          <a:r>
            <a:rPr lang="en-US" sz="1100">
              <a:solidFill>
                <a:schemeClr val="dk1"/>
              </a:solidFill>
              <a:effectLst/>
              <a:latin typeface="+mn-lt"/>
              <a:ea typeface="+mn-ea"/>
              <a:cs typeface="+mn-cs"/>
            </a:rPr>
            <a:t>-to read up on the low-cost LS design/usage</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-internal vs external PU</a:t>
          </a:r>
        </a:p>
        <a:p>
          <a:pPr marL="0" marR="0" lvl="0" indent="0" defTabSz="914400" eaLnBrk="1" fontAlgn="auto" latinLnBrk="0" hangingPunct="1">
            <a:lnSpc>
              <a:spcPct val="100000"/>
            </a:lnSpc>
            <a:spcBef>
              <a:spcPts val="0"/>
            </a:spcBef>
            <a:spcAft>
              <a:spcPts val="0"/>
            </a:spcAft>
            <a:buClrTx/>
            <a:buSzTx/>
            <a:buFontTx/>
            <a:buNone/>
            <a:tabLst/>
            <a:defRPr/>
          </a:pPr>
          <a:endParaRPr lang="en-US">
            <a:effectLst/>
          </a:endParaRPr>
        </a:p>
        <a:p>
          <a:endParaRPr lang="en-US">
            <a:effectLst/>
          </a:endParaRPr>
        </a:p>
        <a:p>
          <a:r>
            <a:rPr lang="en-US" sz="1100" u="sng">
              <a:solidFill>
                <a:sysClr val="windowText" lastClr="000000"/>
              </a:solidFill>
            </a:rPr>
            <a:t>WW25'23</a:t>
          </a:r>
        </a:p>
        <a:p>
          <a:r>
            <a:rPr lang="en-US" sz="1100">
              <a:solidFill>
                <a:srgbClr val="00B050"/>
              </a:solidFill>
            </a:rPr>
            <a:t>update</a:t>
          </a:r>
          <a:r>
            <a:rPr lang="en-US" sz="1100" baseline="0">
              <a:solidFill>
                <a:srgbClr val="00B050"/>
              </a:solidFill>
            </a:rPr>
            <a:t> the cells below (copy from standard mode tab)</a:t>
          </a:r>
          <a:endParaRPr lang="en-US" sz="1100">
            <a:solidFill>
              <a:srgbClr val="00B050"/>
            </a:solidFill>
          </a:endParaRPr>
        </a:p>
        <a:p>
          <a:r>
            <a:rPr lang="en-US" sz="1100">
              <a:solidFill>
                <a:srgbClr val="00B050"/>
              </a:solidFill>
            </a:rPr>
            <a:t>J18-J22, K18-K22</a:t>
          </a:r>
        </a:p>
        <a:p>
          <a:r>
            <a:rPr lang="en-US" sz="1100">
              <a:solidFill>
                <a:srgbClr val="00B050"/>
              </a:solidFill>
            </a:rPr>
            <a:t>G72,G73,H72,H73</a:t>
          </a:r>
        </a:p>
        <a:p>
          <a:r>
            <a:rPr lang="en-US" sz="1100">
              <a:solidFill>
                <a:srgbClr val="00B050"/>
              </a:solidFill>
            </a:rPr>
            <a:t>G92,G93,</a:t>
          </a:r>
          <a:r>
            <a:rPr lang="en-US" sz="1100" baseline="0">
              <a:solidFill>
                <a:srgbClr val="00B050"/>
              </a:solidFill>
            </a:rPr>
            <a:t> H92,H93</a:t>
          </a:r>
        </a:p>
        <a:p>
          <a:r>
            <a:rPr lang="en-US" sz="1100" baseline="0">
              <a:solidFill>
                <a:srgbClr val="00B050"/>
              </a:solidFill>
            </a:rPr>
            <a:t>R33-120, S33-129, AA33-120, AB33-120 - copy from Fast Mode</a:t>
          </a:r>
        </a:p>
        <a:p>
          <a:endParaRPr lang="en-US" sz="1100" baseline="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u="sng">
              <a:solidFill>
                <a:schemeClr val="dk1"/>
              </a:solidFill>
              <a:effectLst/>
              <a:latin typeface="+mn-lt"/>
              <a:ea typeface="+mn-ea"/>
              <a:cs typeface="+mn-cs"/>
            </a:rPr>
            <a:t>WW27'23</a:t>
          </a:r>
          <a:endParaRPr lang="en-US" sz="1100" baseline="0">
            <a:solidFill>
              <a:sysClr val="windowText" lastClr="000000"/>
            </a:solidFill>
          </a:endParaRPr>
        </a:p>
        <a:p>
          <a:r>
            <a:rPr lang="en-US" sz="1100" baseline="0">
              <a:solidFill>
                <a:sysClr val="windowText" lastClr="000000"/>
              </a:solidFill>
            </a:rPr>
            <a:t>H18,H19, I18, I19 - HS 3.4MHz CLK</a:t>
          </a:r>
          <a:endParaRPr lang="en-US" sz="1100">
            <a:solidFill>
              <a:sysClr val="windowText" lastClr="000000"/>
            </a:solidFill>
          </a:endParaRPr>
        </a:p>
      </xdr:txBody>
    </xdr:sp>
    <xdr:clientData/>
  </xdr:twoCellAnchor>
  <xdr:twoCellAnchor>
    <xdr:from>
      <xdr:col>0</xdr:col>
      <xdr:colOff>3039532</xdr:colOff>
      <xdr:row>23</xdr:row>
      <xdr:rowOff>9525</xdr:rowOff>
    </xdr:from>
    <xdr:to>
      <xdr:col>0</xdr:col>
      <xdr:colOff>4075761</xdr:colOff>
      <xdr:row>27</xdr:row>
      <xdr:rowOff>1906</xdr:rowOff>
    </xdr:to>
    <xdr:sp macro="" textlink="">
      <xdr:nvSpPr>
        <xdr:cNvPr id="33" name="Rectangle 1">
          <a:extLst>
            <a:ext uri="{FF2B5EF4-FFF2-40B4-BE49-F238E27FC236}">
              <a16:creationId xmlns:a16="http://schemas.microsoft.com/office/drawing/2014/main" id="{410A1CCA-BD41-49BC-9254-B673C509F049}"/>
            </a:ext>
          </a:extLst>
        </xdr:cNvPr>
        <xdr:cNvSpPr/>
      </xdr:nvSpPr>
      <xdr:spPr>
        <a:xfrm>
          <a:off x="3039532" y="6723592"/>
          <a:ext cx="1036229" cy="73744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u="sng" baseline="0">
              <a:solidFill>
                <a:schemeClr val="bg1"/>
              </a:solidFill>
            </a:rPr>
            <a:t>Step 3:</a:t>
          </a:r>
        </a:p>
      </xdr:txBody>
    </xdr:sp>
    <xdr:clientData/>
  </xdr:twoCellAnchor>
  <xdr:twoCellAnchor>
    <xdr:from>
      <xdr:col>0</xdr:col>
      <xdr:colOff>3047999</xdr:colOff>
      <xdr:row>9</xdr:row>
      <xdr:rowOff>31749</xdr:rowOff>
    </xdr:from>
    <xdr:to>
      <xdr:col>0</xdr:col>
      <xdr:colOff>4084228</xdr:colOff>
      <xdr:row>17</xdr:row>
      <xdr:rowOff>179916</xdr:rowOff>
    </xdr:to>
    <xdr:sp macro="" textlink="">
      <xdr:nvSpPr>
        <xdr:cNvPr id="27" name="Rectangle 1">
          <a:extLst>
            <a:ext uri="{FF2B5EF4-FFF2-40B4-BE49-F238E27FC236}">
              <a16:creationId xmlns:a16="http://schemas.microsoft.com/office/drawing/2014/main" id="{F2253778-45B2-4550-99BB-3783B2ED2460}"/>
            </a:ext>
          </a:extLst>
        </xdr:cNvPr>
        <xdr:cNvSpPr/>
      </xdr:nvSpPr>
      <xdr:spPr>
        <a:xfrm>
          <a:off x="3047999" y="2952749"/>
          <a:ext cx="1036229" cy="167216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u="sng" baseline="0">
              <a:solidFill>
                <a:schemeClr val="bg1"/>
              </a:solidFill>
            </a:rPr>
            <a:t>Step 2:</a:t>
          </a:r>
        </a:p>
      </xdr:txBody>
    </xdr:sp>
    <xdr:clientData/>
  </xdr:twoCellAnchor>
  <xdr:twoCellAnchor>
    <xdr:from>
      <xdr:col>0</xdr:col>
      <xdr:colOff>3048000</xdr:colOff>
      <xdr:row>7</xdr:row>
      <xdr:rowOff>0</xdr:rowOff>
    </xdr:from>
    <xdr:to>
      <xdr:col>0</xdr:col>
      <xdr:colOff>4084229</xdr:colOff>
      <xdr:row>8</xdr:row>
      <xdr:rowOff>179917</xdr:rowOff>
    </xdr:to>
    <xdr:sp macro="" textlink="">
      <xdr:nvSpPr>
        <xdr:cNvPr id="31" name="Rectangle 1">
          <a:extLst>
            <a:ext uri="{FF2B5EF4-FFF2-40B4-BE49-F238E27FC236}">
              <a16:creationId xmlns:a16="http://schemas.microsoft.com/office/drawing/2014/main" id="{F37E34B5-A4AA-4437-B616-4E889E694874}"/>
            </a:ext>
          </a:extLst>
        </xdr:cNvPr>
        <xdr:cNvSpPr/>
      </xdr:nvSpPr>
      <xdr:spPr>
        <a:xfrm>
          <a:off x="3048000" y="2540000"/>
          <a:ext cx="1036229" cy="37041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u="sng" baseline="0">
              <a:solidFill>
                <a:schemeClr val="bg1"/>
              </a:solidFill>
            </a:rPr>
            <a:t>Step 1:</a:t>
          </a:r>
        </a:p>
      </xdr:txBody>
    </xdr:sp>
    <xdr:clientData/>
  </xdr:twoCellAnchor>
  <xdr:twoCellAnchor>
    <xdr:from>
      <xdr:col>0</xdr:col>
      <xdr:colOff>3049057</xdr:colOff>
      <xdr:row>27</xdr:row>
      <xdr:rowOff>180976</xdr:rowOff>
    </xdr:from>
    <xdr:to>
      <xdr:col>0</xdr:col>
      <xdr:colOff>4085286</xdr:colOff>
      <xdr:row>29</xdr:row>
      <xdr:rowOff>9526</xdr:rowOff>
    </xdr:to>
    <xdr:sp macro="" textlink="">
      <xdr:nvSpPr>
        <xdr:cNvPr id="38" name="Rectangle 1">
          <a:extLst>
            <a:ext uri="{FF2B5EF4-FFF2-40B4-BE49-F238E27FC236}">
              <a16:creationId xmlns:a16="http://schemas.microsoft.com/office/drawing/2014/main" id="{0B721496-60DE-4E72-B80B-E20FA5FA3DF4}"/>
            </a:ext>
          </a:extLst>
        </xdr:cNvPr>
        <xdr:cNvSpPr/>
      </xdr:nvSpPr>
      <xdr:spPr>
        <a:xfrm>
          <a:off x="3049057" y="7640109"/>
          <a:ext cx="1036229"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u="sng" baseline="0">
              <a:solidFill>
                <a:schemeClr val="bg1"/>
              </a:solidFill>
            </a:rPr>
            <a:t>Step 4:</a:t>
          </a:r>
        </a:p>
      </xdr:txBody>
    </xdr:sp>
    <xdr:clientData/>
  </xdr:twoCellAnchor>
  <xdr:twoCellAnchor>
    <xdr:from>
      <xdr:col>0</xdr:col>
      <xdr:colOff>3049057</xdr:colOff>
      <xdr:row>30</xdr:row>
      <xdr:rowOff>257175</xdr:rowOff>
    </xdr:from>
    <xdr:to>
      <xdr:col>0</xdr:col>
      <xdr:colOff>4085286</xdr:colOff>
      <xdr:row>33</xdr:row>
      <xdr:rowOff>1390649</xdr:rowOff>
    </xdr:to>
    <xdr:sp macro="" textlink="">
      <xdr:nvSpPr>
        <xdr:cNvPr id="43" name="Rectangle 1">
          <a:extLst>
            <a:ext uri="{FF2B5EF4-FFF2-40B4-BE49-F238E27FC236}">
              <a16:creationId xmlns:a16="http://schemas.microsoft.com/office/drawing/2014/main" id="{F23D3FAD-D41F-4968-A413-4E2ABCCB4930}"/>
            </a:ext>
          </a:extLst>
        </xdr:cNvPr>
        <xdr:cNvSpPr/>
      </xdr:nvSpPr>
      <xdr:spPr>
        <a:xfrm>
          <a:off x="3049057" y="8359775"/>
          <a:ext cx="1036229" cy="4833407"/>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u="sng" baseline="0">
              <a:solidFill>
                <a:schemeClr val="bg1"/>
              </a:solidFill>
            </a:rPr>
            <a:t>Step 4:</a:t>
          </a:r>
        </a:p>
      </xdr:txBody>
    </xdr:sp>
    <xdr:clientData/>
  </xdr:twoCellAnchor>
  <xdr:oneCellAnchor>
    <xdr:from>
      <xdr:col>0</xdr:col>
      <xdr:colOff>33865</xdr:colOff>
      <xdr:row>0</xdr:row>
      <xdr:rowOff>38100</xdr:rowOff>
    </xdr:from>
    <xdr:ext cx="3520440" cy="1121833"/>
    <xdr:pic>
      <xdr:nvPicPr>
        <xdr:cNvPr id="8" name="Picture 10">
          <a:extLst>
            <a:ext uri="{FF2B5EF4-FFF2-40B4-BE49-F238E27FC236}">
              <a16:creationId xmlns:a16="http://schemas.microsoft.com/office/drawing/2014/main" id="{435D38C6-FBA9-4E67-95AC-7FC629C75A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865" y="38100"/>
          <a:ext cx="3520440" cy="1121833"/>
        </a:xfrm>
        <a:prstGeom prst="rect">
          <a:avLst/>
        </a:prstGeom>
        <a:solidFill>
          <a:schemeClr val="bg1"/>
        </a:solidFill>
      </xdr:spPr>
    </xdr:pic>
    <xdr:clientData/>
  </xdr:oneCellAnchor>
  <xdr:twoCellAnchor>
    <xdr:from>
      <xdr:col>29</xdr:col>
      <xdr:colOff>60960</xdr:colOff>
      <xdr:row>43</xdr:row>
      <xdr:rowOff>117259</xdr:rowOff>
    </xdr:from>
    <xdr:to>
      <xdr:col>34</xdr:col>
      <xdr:colOff>1029546</xdr:colOff>
      <xdr:row>92</xdr:row>
      <xdr:rowOff>15240</xdr:rowOff>
    </xdr:to>
    <xdr:sp macro="" textlink="">
      <xdr:nvSpPr>
        <xdr:cNvPr id="19" name="TextBox 5">
          <a:extLst>
            <a:ext uri="{FF2B5EF4-FFF2-40B4-BE49-F238E27FC236}">
              <a16:creationId xmlns:a16="http://schemas.microsoft.com/office/drawing/2014/main" id="{663835B2-B3C1-4656-8554-4A9FED2E16EB}"/>
            </a:ext>
          </a:extLst>
        </xdr:cNvPr>
        <xdr:cNvSpPr txBox="1"/>
      </xdr:nvSpPr>
      <xdr:spPr>
        <a:xfrm>
          <a:off x="39067740" y="13840879"/>
          <a:ext cx="6607386" cy="84933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WW36</a:t>
          </a:r>
          <a:r>
            <a:rPr lang="en-US" sz="1100" baseline="0"/>
            <a:t> </a:t>
          </a:r>
          <a:r>
            <a:rPr lang="en-US" sz="1100"/>
            <a:t>AR:</a:t>
          </a:r>
        </a:p>
        <a:p>
          <a:r>
            <a:rPr lang="en-US" sz="1100">
              <a:solidFill>
                <a:srgbClr val="00B050"/>
              </a:solidFill>
            </a:rPr>
            <a:t>- rename current assist for SEC to register bits eg. 000,</a:t>
          </a:r>
          <a:r>
            <a:rPr lang="en-US" sz="1100" baseline="0">
              <a:solidFill>
                <a:srgbClr val="00B050"/>
              </a:solidFill>
            </a:rPr>
            <a:t> 001, etc.</a:t>
          </a:r>
        </a:p>
        <a:p>
          <a:r>
            <a:rPr lang="en-US" sz="1100" baseline="0">
              <a:solidFill>
                <a:srgbClr val="00B050"/>
              </a:solidFill>
            </a:rPr>
            <a:t>- F22 fixed</a:t>
          </a:r>
        </a:p>
        <a:p>
          <a:r>
            <a:rPr lang="en-US" sz="1100" baseline="0">
              <a:solidFill>
                <a:srgbClr val="00B050"/>
              </a:solidFill>
            </a:rPr>
            <a:t>- D69 fixed</a:t>
          </a:r>
        </a:p>
        <a:p>
          <a:r>
            <a:rPr lang="en-US" sz="1100" baseline="0">
              <a:solidFill>
                <a:srgbClr val="00B050"/>
              </a:solidFill>
            </a:rPr>
            <a:t>- G69 fixed</a:t>
          </a:r>
        </a:p>
        <a:p>
          <a:r>
            <a:rPr lang="en-US" sz="1100" baseline="0">
              <a:solidFill>
                <a:sysClr val="windowText" lastClr="000000"/>
              </a:solidFill>
            </a:rPr>
            <a:t>- update internal PU values selection (should we include all 6 settings, or just up to 50ohm?) need to simulate stronger PD (stronger than 50ohm) if reflection is an issue</a:t>
          </a:r>
        </a:p>
        <a:p>
          <a:r>
            <a:rPr lang="en-US" sz="1100" baseline="0">
              <a:solidFill>
                <a:srgbClr val="00B050"/>
              </a:solidFill>
            </a:rPr>
            <a:t>- F23, error msg should recommend changing silicon PD strength to pass DC low violation</a:t>
          </a:r>
        </a:p>
        <a:p>
          <a:r>
            <a:rPr lang="en-US" sz="1100" baseline="0">
              <a:solidFill>
                <a:srgbClr val="FF0000"/>
              </a:solidFill>
            </a:rPr>
            <a:t>- Fail min rise time but not showing recommendation</a:t>
          </a:r>
        </a:p>
        <a:p>
          <a:r>
            <a:rPr lang="en-US" sz="1100" baseline="0">
              <a:solidFill>
                <a:srgbClr val="FF0000"/>
              </a:solidFill>
            </a:rPr>
            <a:t>- pullup recommendation giving min rise time violation</a:t>
          </a:r>
        </a:p>
        <a:p>
          <a:r>
            <a:rPr lang="en-US" sz="1100" baseline="0">
              <a:solidFill>
                <a:srgbClr val="FF0000"/>
              </a:solidFill>
            </a:rPr>
            <a:t>- fix I7 to use absolute threshold  (fixed in SPD FM)</a:t>
          </a:r>
        </a:p>
        <a:p>
          <a:r>
            <a:rPr lang="en-US" sz="1100" baseline="0">
              <a:solidFill>
                <a:srgbClr val="FF0000"/>
              </a:solidFill>
            </a:rPr>
            <a:t>- F19 R component - why need to subtract the silicon cpad (fixed in SPD FM)</a:t>
          </a:r>
        </a:p>
        <a:p>
          <a:r>
            <a:rPr lang="en-US" sz="1100" baseline="0">
              <a:solidFill>
                <a:srgbClr val="FF0000"/>
              </a:solidFill>
            </a:rPr>
            <a:t>- fix E88</a:t>
          </a:r>
        </a:p>
        <a:p>
          <a:r>
            <a:rPr lang="en-US" sz="1100" baseline="0">
              <a:solidFill>
                <a:srgbClr val="FF0000"/>
              </a:solidFill>
            </a:rPr>
            <a:t>- C84 cond. formatting compares % VIH vs absolute VIH, need to fix</a:t>
          </a:r>
        </a:p>
        <a:p>
          <a:r>
            <a:rPr lang="en-US" sz="1100" baseline="0">
              <a:solidFill>
                <a:srgbClr val="FF0000"/>
              </a:solidFill>
            </a:rPr>
            <a:t>- F18 need to account for N number of device (since subtract device cload), total bus cap should move to calc tab instead of summary</a:t>
          </a:r>
        </a:p>
        <a:p>
          <a:r>
            <a:rPr lang="en-US" sz="1100" baseline="0">
              <a:solidFill>
                <a:srgbClr val="FF0000"/>
              </a:solidFill>
            </a:rPr>
            <a:t>- </a:t>
          </a:r>
          <a:r>
            <a:rPr lang="en-US" sz="1100" baseline="0">
              <a:solidFill>
                <a:srgbClr val="00B050"/>
              </a:solidFill>
            </a:rPr>
            <a:t>M34 - M82 bug fixed</a:t>
          </a:r>
        </a:p>
        <a:p>
          <a:endParaRPr lang="en-US" sz="1100" baseline="0">
            <a:solidFill>
              <a:srgbClr val="00B050"/>
            </a:solidFill>
          </a:endParaRPr>
        </a:p>
        <a:p>
          <a:r>
            <a:rPr lang="en-US" sz="1100" baseline="0">
              <a:solidFill>
                <a:srgbClr val="00B050"/>
              </a:solidFill>
            </a:rPr>
            <a:t>21WW41.1 Fixes on DDR5 SPD Fast Mode:</a:t>
          </a:r>
        </a:p>
        <a:p>
          <a:r>
            <a:rPr lang="en-US" sz="1100" baseline="0">
              <a:solidFill>
                <a:srgbClr val="00B050"/>
              </a:solidFill>
            </a:rPr>
            <a:t>-fixed DC treshold GB calculation E84, E102, B38, C40, F21, F23</a:t>
          </a:r>
        </a:p>
        <a:p>
          <a:r>
            <a:rPr lang="en-US" sz="1100" baseline="0">
              <a:solidFill>
                <a:srgbClr val="00B050"/>
              </a:solidFill>
              <a:effectLst/>
              <a:latin typeface="+mn-lt"/>
              <a:ea typeface="+mn-ea"/>
              <a:cs typeface="+mn-cs"/>
            </a:rPr>
            <a:t>-fixed F18:I19 formula, including relative Vlow &amp; Vhigh fixed, VCC+/-tol, replace dev Cpin to 1pF for min rise/fall time, fixed fall time calculation to calculate real VIL instead of VIL=0.</a:t>
          </a:r>
        </a:p>
        <a:p>
          <a:r>
            <a:rPr lang="en-US" sz="1100" baseline="0">
              <a:solidFill>
                <a:srgbClr val="00B050"/>
              </a:solidFill>
              <a:effectLst/>
              <a:latin typeface="+mn-lt"/>
              <a:ea typeface="+mn-ea"/>
              <a:cs typeface="+mn-cs"/>
            </a:rPr>
            <a:t>-include Cbus-dev_Cpin+1pF on K19.</a:t>
          </a:r>
        </a:p>
        <a:p>
          <a:r>
            <a:rPr lang="en-US" sz="1100" baseline="0">
              <a:solidFill>
                <a:srgbClr val="00B050"/>
              </a:solidFill>
              <a:effectLst/>
              <a:latin typeface="+mn-lt"/>
              <a:ea typeface="+mn-ea"/>
              <a:cs typeface="+mn-cs"/>
            </a:rPr>
            <a:t>-Restructure formula calculation on recommended Rpu for strap time, make change on F7:I7.</a:t>
          </a:r>
        </a:p>
        <a:p>
          <a:r>
            <a:rPr lang="en-US" sz="1100" baseline="0">
              <a:solidFill>
                <a:srgbClr val="00B050"/>
              </a:solidFill>
              <a:effectLst/>
              <a:latin typeface="+mn-lt"/>
              <a:ea typeface="+mn-ea"/>
              <a:cs typeface="+mn-cs"/>
            </a:rPr>
            <a:t>-Add relative/absolute ref from summary at AG2:3</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00B050"/>
              </a:solidFill>
              <a:effectLst/>
              <a:latin typeface="+mn-lt"/>
              <a:ea typeface="+mn-ea"/>
              <a:cs typeface="+mn-cs"/>
            </a:rPr>
            <a:t>-Add Min/Max voltage at R11:S14</a:t>
          </a:r>
          <a:endParaRPr lang="en-US" sz="1100">
            <a:solidFill>
              <a:srgbClr val="00B050"/>
            </a:solidFill>
          </a:endParaRPr>
        </a:p>
        <a:p>
          <a:r>
            <a:rPr lang="en-US" sz="1100">
              <a:solidFill>
                <a:srgbClr val="00B050"/>
              </a:solidFill>
            </a:rPr>
            <a:t>-Apply changes to SMB/DDR5</a:t>
          </a:r>
          <a:r>
            <a:rPr lang="en-US" sz="1100" baseline="0">
              <a:solidFill>
                <a:srgbClr val="00B050"/>
              </a:solidFill>
            </a:rPr>
            <a:t> SPD</a:t>
          </a:r>
        </a:p>
        <a:p>
          <a:endParaRPr lang="en-US" sz="1100" baseline="0">
            <a:solidFill>
              <a:sysClr val="windowText" lastClr="000000"/>
            </a:solidFill>
          </a:endParaRPr>
        </a:p>
        <a:p>
          <a:r>
            <a:rPr lang="en-US" sz="1100" baseline="0">
              <a:solidFill>
                <a:srgbClr val="00B050"/>
              </a:solidFill>
              <a:effectLst/>
              <a:latin typeface="+mn-lt"/>
              <a:ea typeface="+mn-ea"/>
              <a:cs typeface="+mn-cs"/>
            </a:rPr>
            <a:t>21WW41.3</a:t>
          </a:r>
          <a:endParaRPr lang="en-US" sz="1100" baseline="0">
            <a:solidFill>
              <a:srgbClr val="00B050"/>
            </a:solidFill>
          </a:endParaRPr>
        </a:p>
        <a:p>
          <a:r>
            <a:rPr lang="en-US" sz="1100" baseline="0">
              <a:solidFill>
                <a:srgbClr val="00B050"/>
              </a:solidFill>
            </a:rPr>
            <a:t>-Fixed summary pass/fail indicator </a:t>
          </a:r>
          <a:r>
            <a:rPr lang="en-US" sz="1100" baseline="0">
              <a:solidFill>
                <a:srgbClr val="00B050"/>
              </a:solidFill>
              <a:effectLst/>
              <a:latin typeface="+mn-lt"/>
              <a:ea typeface="+mn-ea"/>
              <a:cs typeface="+mn-cs"/>
            </a:rPr>
            <a:t>GB calculation but exclude the VCC tol</a:t>
          </a:r>
          <a:r>
            <a:rPr lang="en-US" sz="1100" baseline="0">
              <a:solidFill>
                <a:srgbClr val="00B050"/>
              </a:solidFill>
            </a:rPr>
            <a:t>, changes apply to Row29, this is just a temporary fix for dev rx abs spec. </a:t>
          </a:r>
          <a:r>
            <a:rPr lang="en-US" sz="1100" baseline="0">
              <a:solidFill>
                <a:sysClr val="windowText" lastClr="000000"/>
              </a:solidFill>
            </a:rPr>
            <a:t>Generic formula fix need to be cover after.</a:t>
          </a:r>
        </a:p>
        <a:p>
          <a:endParaRPr lang="en-US" sz="1100" baseline="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00B050"/>
              </a:solidFill>
              <a:effectLst/>
              <a:latin typeface="+mn-lt"/>
              <a:ea typeface="+mn-ea"/>
              <a:cs typeface="+mn-cs"/>
            </a:rPr>
            <a:t>21WW46.1 (I2C High Speed 1.7MHz - CLK)</a:t>
          </a:r>
          <a:endParaRPr lang="en-US">
            <a:solidFill>
              <a:srgbClr val="00B050"/>
            </a:solidFill>
            <a:effectLst/>
          </a:endParaRPr>
        </a:p>
        <a:p>
          <a:r>
            <a:rPr lang="en-US" sz="1100">
              <a:solidFill>
                <a:srgbClr val="00B050"/>
              </a:solidFill>
            </a:rPr>
            <a:t>-remove</a:t>
          </a:r>
          <a:r>
            <a:rPr lang="en-US" sz="1100" baseline="0">
              <a:solidFill>
                <a:srgbClr val="00B050"/>
              </a:solidFill>
            </a:rPr>
            <a:t> current assist formula at </a:t>
          </a:r>
          <a:r>
            <a:rPr lang="en-US" sz="1100">
              <a:solidFill>
                <a:srgbClr val="00B050"/>
              </a:solidFill>
              <a:effectLst/>
              <a:latin typeface="+mn-lt"/>
              <a:ea typeface="+mn-ea"/>
              <a:cs typeface="+mn-cs"/>
            </a:rPr>
            <a:t>D,F,G,H69.</a:t>
          </a:r>
        </a:p>
        <a:p>
          <a:r>
            <a:rPr lang="en-US" sz="1100">
              <a:solidFill>
                <a:srgbClr val="00B050"/>
              </a:solidFill>
              <a:effectLst/>
              <a:latin typeface="+mn-lt"/>
              <a:ea typeface="+mn-ea"/>
              <a:cs typeface="+mn-cs"/>
            </a:rPr>
            <a:t>-add</a:t>
          </a:r>
          <a:r>
            <a:rPr lang="en-US" sz="1100" baseline="0">
              <a:solidFill>
                <a:srgbClr val="00B050"/>
              </a:solidFill>
              <a:effectLst/>
              <a:latin typeface="+mn-lt"/>
              <a:ea typeface="+mn-ea"/>
              <a:cs typeface="+mn-cs"/>
            </a:rPr>
            <a:t> current assist PU/2 at D,G77</a:t>
          </a:r>
        </a:p>
        <a:p>
          <a:r>
            <a:rPr lang="en-US" sz="1100" baseline="0">
              <a:solidFill>
                <a:srgbClr val="00B050"/>
              </a:solidFill>
              <a:effectLst/>
              <a:latin typeface="+mn-lt"/>
              <a:ea typeface="+mn-ea"/>
              <a:cs typeface="+mn-cs"/>
            </a:rPr>
            <a:t>-apply the changes to all the Mode @ 21ww48.2</a:t>
          </a:r>
          <a:endParaRPr lang="en-US" sz="1100">
            <a:solidFill>
              <a:srgbClr val="00B050"/>
            </a:solidFill>
            <a:effectLst/>
            <a:latin typeface="+mn-lt"/>
            <a:ea typeface="+mn-ea"/>
            <a:cs typeface="+mn-cs"/>
          </a:endParaRPr>
        </a:p>
        <a:p>
          <a:endParaRPr lang="en-US" sz="1100">
            <a:solidFill>
              <a:srgbClr val="00B050"/>
            </a:solidFill>
            <a:effectLst/>
            <a:latin typeface="+mn-lt"/>
            <a:ea typeface="+mn-ea"/>
            <a:cs typeface="+mn-cs"/>
          </a:endParaRPr>
        </a:p>
        <a:p>
          <a:pPr eaLnBrk="1" fontAlgn="auto" latinLnBrk="0" hangingPunct="1"/>
          <a:r>
            <a:rPr lang="en-US" sz="1100" baseline="0">
              <a:solidFill>
                <a:srgbClr val="00B050"/>
              </a:solidFill>
              <a:effectLst/>
              <a:latin typeface="+mn-lt"/>
              <a:ea typeface="+mn-ea"/>
              <a:cs typeface="+mn-cs"/>
            </a:rPr>
            <a:t>21WW46.3 (Summary)</a:t>
          </a:r>
          <a:endParaRPr lang="en-US">
            <a:solidFill>
              <a:srgbClr val="00B050"/>
            </a:solidFill>
            <a:effectLst/>
          </a:endParaRPr>
        </a:p>
        <a:p>
          <a:r>
            <a:rPr lang="en-US" sz="1100">
              <a:solidFill>
                <a:srgbClr val="00B050"/>
              </a:solidFill>
              <a:effectLst/>
              <a:latin typeface="+mn-lt"/>
              <a:ea typeface="+mn-ea"/>
              <a:cs typeface="+mn-cs"/>
            </a:rPr>
            <a:t>-K21,22 include the condition to detect the current assist whether is disable. </a:t>
          </a:r>
        </a:p>
        <a:p>
          <a:endParaRPr lang="en-US" sz="1100">
            <a:solidFill>
              <a:srgbClr val="00B050"/>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rgbClr val="00B050"/>
              </a:solidFill>
              <a:effectLst/>
              <a:latin typeface="+mn-lt"/>
              <a:ea typeface="+mn-ea"/>
              <a:cs typeface="+mn-cs"/>
            </a:rPr>
            <a:t>21WW48.2 (Summary)</a:t>
          </a:r>
          <a:endParaRPr lang="en-US">
            <a:solidFill>
              <a:srgbClr val="00B050"/>
            </a:solidFill>
            <a:effectLst/>
          </a:endParaRPr>
        </a:p>
        <a:p>
          <a:r>
            <a:rPr lang="en-US" sz="1100">
              <a:solidFill>
                <a:srgbClr val="00B050"/>
              </a:solidFill>
            </a:rPr>
            <a:t>-remove</a:t>
          </a:r>
          <a:r>
            <a:rPr lang="en-US" sz="1100" baseline="0">
              <a:solidFill>
                <a:srgbClr val="00B050"/>
              </a:solidFill>
            </a:rPr>
            <a:t> error indicator for 1.7 &amp; 3.4Mhz CLK at I,J,K,O,P,Q34</a:t>
          </a:r>
          <a:endParaRPr lang="en-US" sz="1100">
            <a:solidFill>
              <a:srgbClr val="00B050"/>
            </a:solidFill>
          </a:endParaRPr>
        </a:p>
        <a:p>
          <a:endParaRPr lang="en-US" sz="1100">
            <a:solidFill>
              <a:sysClr val="windowText" lastClr="000000"/>
            </a:solidFill>
          </a:endParaRPr>
        </a:p>
        <a:p>
          <a:r>
            <a:rPr lang="en-US" sz="1100">
              <a:solidFill>
                <a:sysClr val="windowText" lastClr="000000"/>
              </a:solidFill>
            </a:rPr>
            <a:t>changing input PU value will</a:t>
          </a:r>
          <a:r>
            <a:rPr lang="en-US" sz="1100" baseline="0">
              <a:solidFill>
                <a:sysClr val="windowText" lastClr="000000"/>
              </a:solidFill>
            </a:rPr>
            <a:t> modify recommended range</a:t>
          </a:r>
        </a:p>
        <a:p>
          <a:r>
            <a:rPr lang="en-US" sz="1100" baseline="0">
              <a:solidFill>
                <a:sysClr val="windowText" lastClr="000000"/>
              </a:solidFill>
            </a:rPr>
            <a:t>why is row 24 necessary when we already have the recommendation in rows 20-23</a:t>
          </a:r>
        </a:p>
        <a:p>
          <a:r>
            <a:rPr lang="en-US" sz="1100" baseline="0">
              <a:solidFill>
                <a:sysClr val="windowText" lastClr="000000"/>
              </a:solidFill>
            </a:rPr>
            <a:t>device cpin Max=5pF, min=1pF</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436971</xdr:colOff>
      <xdr:row>60</xdr:row>
      <xdr:rowOff>136707</xdr:rowOff>
    </xdr:to>
    <xdr:pic>
      <xdr:nvPicPr>
        <xdr:cNvPr id="2" name="Picture 1">
          <a:extLst>
            <a:ext uri="{FF2B5EF4-FFF2-40B4-BE49-F238E27FC236}">
              <a16:creationId xmlns:a16="http://schemas.microsoft.com/office/drawing/2014/main" id="{67BBB22B-5934-4E50-8E85-7DC7EECFA7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1461" y="7975147"/>
          <a:ext cx="4686300" cy="366395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167640</xdr:rowOff>
    </xdr:to>
    <xdr:pic>
      <xdr:nvPicPr>
        <xdr:cNvPr id="3" name="Picture 2">
          <a:extLst>
            <a:ext uri="{FF2B5EF4-FFF2-40B4-BE49-F238E27FC236}">
              <a16:creationId xmlns:a16="http://schemas.microsoft.com/office/drawing/2014/main" id="{FE224707-D700-45AD-B998-9A6BDBBFB9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09850" y="20593050"/>
          <a:ext cx="7905750"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126330</xdr:rowOff>
    </xdr:to>
    <xdr:pic>
      <xdr:nvPicPr>
        <xdr:cNvPr id="4" name="Picture 3">
          <a:extLst>
            <a:ext uri="{FF2B5EF4-FFF2-40B4-BE49-F238E27FC236}">
              <a16:creationId xmlns:a16="http://schemas.microsoft.com/office/drawing/2014/main" id="{BF453100-572B-47FF-AEBF-AB09FDACF7E1}"/>
            </a:ext>
          </a:extLst>
        </xdr:cNvPr>
        <xdr:cNvPicPr>
          <a:picLocks noChangeAspect="1"/>
        </xdr:cNvPicPr>
      </xdr:nvPicPr>
      <xdr:blipFill>
        <a:blip xmlns:r="http://schemas.openxmlformats.org/officeDocument/2006/relationships" r:embed="rId3"/>
        <a:stretch>
          <a:fillRect/>
        </a:stretch>
      </xdr:blipFill>
      <xdr:spPr>
        <a:xfrm>
          <a:off x="11532054" y="6381750"/>
          <a:ext cx="733527" cy="429637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55A0EE16-A245-4A56-B169-104407AA82E8}"/>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58811A60-FA97-02F1-AE97-2CC56087E66E}"/>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26EFB568-7128-2244-12C7-EF215CEBA299}"/>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174BF4BC-6800-0742-83FD-132671A3155E}"/>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257175</xdr:colOff>
      <xdr:row>15</xdr:row>
      <xdr:rowOff>123825</xdr:rowOff>
    </xdr:from>
    <xdr:to>
      <xdr:col>20</xdr:col>
      <xdr:colOff>549858</xdr:colOff>
      <xdr:row>49</xdr:row>
      <xdr:rowOff>94484</xdr:rowOff>
    </xdr:to>
    <xdr:pic>
      <xdr:nvPicPr>
        <xdr:cNvPr id="8" name="Picture 7">
          <a:extLst>
            <a:ext uri="{FF2B5EF4-FFF2-40B4-BE49-F238E27FC236}">
              <a16:creationId xmlns:a16="http://schemas.microsoft.com/office/drawing/2014/main" id="{8724A34B-2C34-1F22-C31F-9173DD175DB8}"/>
            </a:ext>
          </a:extLst>
        </xdr:cNvPr>
        <xdr:cNvPicPr>
          <a:picLocks noChangeAspect="1"/>
        </xdr:cNvPicPr>
      </xdr:nvPicPr>
      <xdr:blipFill>
        <a:blip xmlns:r="http://schemas.openxmlformats.org/officeDocument/2006/relationships" r:embed="rId1"/>
        <a:stretch>
          <a:fillRect/>
        </a:stretch>
      </xdr:blipFill>
      <xdr:spPr>
        <a:xfrm>
          <a:off x="7572375" y="2838450"/>
          <a:ext cx="5493333" cy="61238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440781</xdr:colOff>
      <xdr:row>60</xdr:row>
      <xdr:rowOff>132897</xdr:rowOff>
    </xdr:to>
    <xdr:pic>
      <xdr:nvPicPr>
        <xdr:cNvPr id="2" name="Picture 1">
          <a:extLst>
            <a:ext uri="{FF2B5EF4-FFF2-40B4-BE49-F238E27FC236}">
              <a16:creationId xmlns:a16="http://schemas.microsoft.com/office/drawing/2014/main" id="{BDF4F536-0E5E-470E-98C3-1C4958B92F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90BC7A21-6B7E-43FC-85DD-38011C5CA2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130140</xdr:rowOff>
    </xdr:to>
    <xdr:pic>
      <xdr:nvPicPr>
        <xdr:cNvPr id="4" name="Picture 3">
          <a:extLst>
            <a:ext uri="{FF2B5EF4-FFF2-40B4-BE49-F238E27FC236}">
              <a16:creationId xmlns:a16="http://schemas.microsoft.com/office/drawing/2014/main" id="{901ADD36-04B2-4E56-897C-19CDF1BCF383}"/>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E25125BC-AA99-4230-9A34-020988861308}"/>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C713A145-1F9A-4149-B15A-564E0CEA1A3D}"/>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ADF8CC88-0CCE-4C72-9685-61FA952F3C05}"/>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6B4B80EA-D3A9-481A-9BB6-BC0DB81E9862}"/>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A2AB31FE-7F0D-45FC-9579-4DAC5759B7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2B1CD4B2-9599-4E68-8FA8-E727F8520B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A2DDB3A1-6EE1-4479-BFF9-64561BE2ADC0}"/>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B4443265-F0B7-4448-A383-0BEF903D5EC0}"/>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F133CC27-4536-4DB8-A650-19EB4AA035D9}"/>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B93F684B-8D6A-43FC-8060-747714F02F47}"/>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ABED1ED0-5F40-4DB0-8AE3-FB4A927D15E5}"/>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66005C3D-9E90-48C8-AD9E-E586832CCE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DE8BCF1C-A802-48FD-A4B1-5210BFDCA4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DFF601E0-1A45-444B-BC4D-0E3451540E73}"/>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E7961DBC-0C6E-487A-AD19-9AFFC26158CA}"/>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29531A63-EBCB-4701-B2E9-71C81FC257EA}"/>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A069B35F-0409-4171-A8D2-9F9FFA5BB91F}"/>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1B289DBB-4622-430B-BD72-8509FEF43037}"/>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46A5B978-59A5-4ACF-A515-C5E2D4CB02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307921BA-1952-4837-A71A-60CCB6C369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5D1591A1-AD37-42AB-935B-EEC480F7FB6A}"/>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502700D7-12E9-451A-93AB-3CAC8378312C}"/>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8F997B2A-66B0-4509-B2A7-4ED48F4F2EFA}"/>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01F4B479-41EF-4DD9-92F1-625F0B5E9F53}"/>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7CEED30B-F973-4777-BC87-BC0E483DFE32}"/>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436971</xdr:colOff>
      <xdr:row>60</xdr:row>
      <xdr:rowOff>136707</xdr:rowOff>
    </xdr:to>
    <xdr:pic>
      <xdr:nvPicPr>
        <xdr:cNvPr id="2" name="Picture 1">
          <a:extLst>
            <a:ext uri="{FF2B5EF4-FFF2-40B4-BE49-F238E27FC236}">
              <a16:creationId xmlns:a16="http://schemas.microsoft.com/office/drawing/2014/main" id="{91E603AE-83E6-460A-8D2A-83A811E51F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167640</xdr:rowOff>
    </xdr:to>
    <xdr:pic>
      <xdr:nvPicPr>
        <xdr:cNvPr id="3" name="Picture 2">
          <a:extLst>
            <a:ext uri="{FF2B5EF4-FFF2-40B4-BE49-F238E27FC236}">
              <a16:creationId xmlns:a16="http://schemas.microsoft.com/office/drawing/2014/main" id="{C4877BF2-1A2D-42CB-B9CD-D2519AF220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126330</xdr:rowOff>
    </xdr:to>
    <xdr:pic>
      <xdr:nvPicPr>
        <xdr:cNvPr id="4" name="Picture 3">
          <a:extLst>
            <a:ext uri="{FF2B5EF4-FFF2-40B4-BE49-F238E27FC236}">
              <a16:creationId xmlns:a16="http://schemas.microsoft.com/office/drawing/2014/main" id="{703BB9F5-A03C-4613-8B2A-3A48FDDFF0A2}"/>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AAD1F498-28E1-487A-85B1-6758F80CB831}"/>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19E7E1C7-EA83-41EF-9624-7BC97E4DECC1}"/>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86251F10-9028-4A0B-8BC0-98D392A7A4F6}"/>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1E40B6E6-C713-4E83-8866-D89D0C032E41}"/>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D40B0AE8-CBCE-4D15-86B1-FF0EA4C05C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C3107304-9B9B-49AE-B748-D94C05B5A6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3D55C517-AE3A-4C7F-983C-868851E3B541}"/>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6B72C83F-52EE-4C6A-842D-D171B5B1AE39}"/>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5A4E3862-7170-4031-83A4-D8B4DDC70B6A}"/>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AA50CE1F-FA0A-4DCC-B23B-0C1B8C3222BA}"/>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C0AE6F92-59C1-4733-B4CA-AF4FF4CA0C0E}"/>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436971</xdr:colOff>
      <xdr:row>60</xdr:row>
      <xdr:rowOff>139882</xdr:rowOff>
    </xdr:to>
    <xdr:pic>
      <xdr:nvPicPr>
        <xdr:cNvPr id="2" name="Picture 1">
          <a:extLst>
            <a:ext uri="{FF2B5EF4-FFF2-40B4-BE49-F238E27FC236}">
              <a16:creationId xmlns:a16="http://schemas.microsoft.com/office/drawing/2014/main" id="{0139E4F4-E16D-427B-A970-F296C1B506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164465</xdr:rowOff>
    </xdr:to>
    <xdr:pic>
      <xdr:nvPicPr>
        <xdr:cNvPr id="3" name="Picture 2">
          <a:extLst>
            <a:ext uri="{FF2B5EF4-FFF2-40B4-BE49-F238E27FC236}">
              <a16:creationId xmlns:a16="http://schemas.microsoft.com/office/drawing/2014/main" id="{86A0C32A-1898-45B4-A5CB-2E488B0C84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123155</xdr:rowOff>
    </xdr:to>
    <xdr:pic>
      <xdr:nvPicPr>
        <xdr:cNvPr id="4" name="Picture 3">
          <a:extLst>
            <a:ext uri="{FF2B5EF4-FFF2-40B4-BE49-F238E27FC236}">
              <a16:creationId xmlns:a16="http://schemas.microsoft.com/office/drawing/2014/main" id="{1606056A-053D-4228-BE5E-2322570FB9B5}"/>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FA45BB52-A8C2-424A-B691-C0DD1FAE8F31}"/>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8C0B7C80-FBFF-493B-BCDB-B938EA36CBEA}"/>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A1FDB60A-C792-480E-BD20-189BEFD507B5}"/>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98CA6E24-D9F8-432D-88B5-0068EEDAC5B9}"/>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C5519BC7-72F4-4291-90BD-31A556D918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83D60B26-A5EB-4EF2-90FE-93DB36BDF9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142EB14A-8E99-493F-8F5E-7AD795EEB5E3}"/>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3F59F116-6421-4C7F-B379-6DE02091662C}"/>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ED6B06B7-B18B-4ABB-B6A6-B243C0B553E5}"/>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328AD380-8057-4CCD-9BCC-479879303FA7}"/>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C1ED1224-7A61-4979-90E9-A712938E11B1}"/>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DC69F010-018C-4DCE-A620-C6CC61D603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D417674E-766A-4F9C-A75F-F42DD1BDAA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9CD4B263-EEF5-4F2B-8102-A9C810A14F7D}"/>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1C81B426-2982-4C08-8726-C31E9C470108}"/>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9D848190-31DE-4A94-99CF-F74A296C253A}"/>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EF8E1002-4DC5-4945-A88A-699579D00890}"/>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4A12FC78-0200-42FF-BF4B-0166E5923C78}"/>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E886B670-2E53-4055-9AAE-FF97D1FCBE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FD2DFF0E-C972-427A-B2A8-56F3E8ED5C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4D089277-5780-4773-8D72-7D536F7F3B4A}"/>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30807FB5-2416-4EEE-A730-08C4E50F2DB6}"/>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F4B404F4-1A7B-46C5-B517-98A5DBA40131}"/>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2BD5351E-7B18-44E5-9A56-C7EEE5FC412C}"/>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4092746E-7FD8-4EDB-AE06-6E0EB3CE4492}"/>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oneCellAnchor>
    <xdr:from>
      <xdr:col>4</xdr:col>
      <xdr:colOff>518886</xdr:colOff>
      <xdr:row>41</xdr:row>
      <xdr:rowOff>88447</xdr:rowOff>
    </xdr:from>
    <xdr:ext cx="4821555" cy="3519170"/>
    <xdr:pic>
      <xdr:nvPicPr>
        <xdr:cNvPr id="2" name="Picture 1">
          <a:extLst>
            <a:ext uri="{FF2B5EF4-FFF2-40B4-BE49-F238E27FC236}">
              <a16:creationId xmlns:a16="http://schemas.microsoft.com/office/drawing/2014/main" id="{4FDAA510-9433-48EE-905E-A806DEBAC9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57286" y="758652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oneCellAnchor>
  <xdr:oneCellAnchor>
    <xdr:from>
      <xdr:col>2</xdr:col>
      <xdr:colOff>314325</xdr:colOff>
      <xdr:row>105</xdr:row>
      <xdr:rowOff>161925</xdr:rowOff>
    </xdr:from>
    <xdr:ext cx="8113395" cy="3484245"/>
    <xdr:pic>
      <xdr:nvPicPr>
        <xdr:cNvPr id="3" name="Picture 2">
          <a:extLst>
            <a:ext uri="{FF2B5EF4-FFF2-40B4-BE49-F238E27FC236}">
              <a16:creationId xmlns:a16="http://schemas.microsoft.com/office/drawing/2014/main" id="{35B7899D-39EA-43A4-8865-1083592041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3525" y="1936432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406854</xdr:colOff>
      <xdr:row>33</xdr:row>
      <xdr:rowOff>19050</xdr:rowOff>
    </xdr:from>
    <xdr:ext cx="733527" cy="4128735"/>
    <xdr:pic>
      <xdr:nvPicPr>
        <xdr:cNvPr id="4" name="Picture 3">
          <a:extLst>
            <a:ext uri="{FF2B5EF4-FFF2-40B4-BE49-F238E27FC236}">
              <a16:creationId xmlns:a16="http://schemas.microsoft.com/office/drawing/2014/main" id="{E49CFD5D-D97E-4ACC-B6CC-DECB9FBDB89A}"/>
            </a:ext>
          </a:extLst>
        </xdr:cNvPr>
        <xdr:cNvPicPr>
          <a:picLocks noChangeAspect="1"/>
        </xdr:cNvPicPr>
      </xdr:nvPicPr>
      <xdr:blipFill>
        <a:blip xmlns:r="http://schemas.openxmlformats.org/officeDocument/2006/relationships" r:embed="rId3"/>
        <a:stretch>
          <a:fillRect/>
        </a:stretch>
      </xdr:blipFill>
      <xdr:spPr>
        <a:xfrm>
          <a:off x="5893254" y="6054090"/>
          <a:ext cx="733527" cy="4128735"/>
        </a:xfrm>
        <a:prstGeom prst="rect">
          <a:avLst/>
        </a:prstGeom>
      </xdr:spPr>
    </xdr:pic>
    <xdr:clientData/>
  </xdr:one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68B9C728-29D3-4007-B6C5-E9B6E73B10C7}"/>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1A19A7DE-2B15-4ECC-9D16-3F2B270ACC1A}"/>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8561AA1B-E08D-483C-B53D-CC6BE48B21CB}"/>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C7168904-C0C1-4AA4-A5AC-970FCF7985DD}"/>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A83C80E2-B76D-4E4D-88B6-7E2D9A008D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D98E042A-CAC9-4576-AFD2-D4AEB202D3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B5CC5C2A-7929-405E-926A-4B534430EF44}"/>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A0541E47-E1A7-4C40-AB4D-91D9BEF3B104}"/>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D86F808E-CB1D-4CAC-84AC-4B46260C7F65}"/>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D768B62D-18CC-45F6-AB50-7537EB6F3A20}"/>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1B48F962-F3C4-469C-9389-C7F583AE2281}"/>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8.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FA984472-92AF-41E5-9645-1FBD421919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636A348A-31D7-4AF8-84BF-04908EA225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B69AF308-318F-4CA0-9B6F-867BE759E254}"/>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95AAF1CB-4501-4E05-8267-E56B7EC809F4}"/>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9DF6AB58-E8A5-45B3-B697-C72691C5C62F}"/>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57B45FF0-81BC-4ECD-ABC0-EEF51CB24765}"/>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10AC20A1-7820-4F98-A554-30A3C9264846}"/>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6F706AEA-DB7B-4897-8FE6-A291203D82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37D2D621-70A1-49A9-8EFE-AD12387A65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2423FBAC-017A-4D7B-8915-03299B012084}"/>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AE08BCF0-E983-494A-8D5D-B6478F7459E9}"/>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AD211614-9E38-4401-B7DC-42B56C8403F7}"/>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C99B86D3-3CF3-4AFA-A52B-45E828EC2A37}"/>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3FFD97BA-EA64-4C8A-B1BF-9D8249D2A80C}"/>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91FCB0AD-FC49-4A3E-ABC2-C421B68F3B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43B3F1EF-D91A-4448-AB6D-8DD2073D02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B0F4D206-6ED5-4D42-AE86-3AF23A1E1ED3}"/>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84D5711B-EBF5-42E1-98D8-571E06C4CD1F}"/>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22990DAB-3B48-40EE-9AD4-9295DCA18298}"/>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EFC2DA5C-6919-4F16-840C-2FA66F21018B}"/>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E719A1DE-FB8A-473D-8CB8-03469BFC50D4}"/>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F0D5B514-4187-4E95-8F2B-E3B5A9F3F7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BD564997-6366-4215-B8EE-FE5D8649BF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5A51A395-F179-4D83-9EFD-A25B7A292FCA}"/>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5CC3EDC0-8744-4777-844E-A190C4BE2074}"/>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EF758A2B-512D-412A-B4FE-52452151512B}"/>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4937CFE4-A522-4380-B39C-018618DBDE73}"/>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37CAA336-4061-4F15-8834-0FE7EAB034C8}"/>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22.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EFB31A10-77FA-46A4-AE65-222B035431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B8DA0995-BA22-4C4A-8938-00B215E941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9A2A0FA8-2459-4BA2-8F68-D1966946144B}"/>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31D4C626-0F07-4BBD-AB43-861AC861D7C1}"/>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10043614-4395-494B-87DB-F4A5B6648752}"/>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362FBB3D-45B5-4A8E-8D3D-B899F8C9790E}"/>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9273BA59-5C2A-437E-9CA3-349731742BD5}"/>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0EC3F5E0-73F0-4056-BE09-6D3ADF24BB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68970404-1C44-413C-8ED4-5748B57920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2255C166-D741-487A-AF06-623164BCE10D}"/>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212C3577-051A-4FA1-81E9-C50B083C6F9C}"/>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384455D4-3658-4915-A776-29DFCA07430F}"/>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518BD3FE-EA26-4F9E-B02B-072A491A3A0B}"/>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FFE748B8-4AA3-4BC8-A2C4-74D459F28D4A}"/>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C2B6CBC2-9707-4BCA-A4B0-A1B3B863C3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876A7818-BC01-4B1A-A75D-76805D4AC8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BD3F381A-FD1C-4A17-881B-0EED5476D997}"/>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E6FE04DC-1E4F-45F7-8FF8-D1A12100BC6F}"/>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6665E455-A464-4272-AFDD-CF8FFE456BB6}"/>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02643D1C-7F31-4493-9F98-CEDE79870E34}"/>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DBB25EF6-78B9-457D-A96D-A362A02F622A}"/>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518886</xdr:colOff>
      <xdr:row>41</xdr:row>
      <xdr:rowOff>88447</xdr:rowOff>
    </xdr:from>
    <xdr:to>
      <xdr:col>8</xdr:col>
      <xdr:colOff>433161</xdr:colOff>
      <xdr:row>60</xdr:row>
      <xdr:rowOff>132897</xdr:rowOff>
    </xdr:to>
    <xdr:pic>
      <xdr:nvPicPr>
        <xdr:cNvPr id="2" name="Picture 1">
          <a:extLst>
            <a:ext uri="{FF2B5EF4-FFF2-40B4-BE49-F238E27FC236}">
              <a16:creationId xmlns:a16="http://schemas.microsoft.com/office/drawing/2014/main" id="{8DAAD7D9-FA84-43F8-98A7-79DDA900C1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20526" y="7670347"/>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314325</xdr:colOff>
      <xdr:row>105</xdr:row>
      <xdr:rowOff>161925</xdr:rowOff>
    </xdr:from>
    <xdr:to>
      <xdr:col>8</xdr:col>
      <xdr:colOff>381000</xdr:colOff>
      <xdr:row>124</xdr:row>
      <xdr:rowOff>171450</xdr:rowOff>
    </xdr:to>
    <xdr:pic>
      <xdr:nvPicPr>
        <xdr:cNvPr id="3" name="Picture 2">
          <a:extLst>
            <a:ext uri="{FF2B5EF4-FFF2-40B4-BE49-F238E27FC236}">
              <a16:creationId xmlns:a16="http://schemas.microsoft.com/office/drawing/2014/main" id="{38A8A15B-5C06-4CE3-8376-790A36989CB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76525" y="19806285"/>
          <a:ext cx="8113395" cy="3484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406854</xdr:colOff>
      <xdr:row>33</xdr:row>
      <xdr:rowOff>19050</xdr:rowOff>
    </xdr:from>
    <xdr:to>
      <xdr:col>9</xdr:col>
      <xdr:colOff>1140381</xdr:colOff>
      <xdr:row>55</xdr:row>
      <xdr:rowOff>124425</xdr:rowOff>
    </xdr:to>
    <xdr:pic>
      <xdr:nvPicPr>
        <xdr:cNvPr id="4" name="Picture 3">
          <a:extLst>
            <a:ext uri="{FF2B5EF4-FFF2-40B4-BE49-F238E27FC236}">
              <a16:creationId xmlns:a16="http://schemas.microsoft.com/office/drawing/2014/main" id="{E9018103-0A14-42B7-9F50-2BF688C6DE14}"/>
            </a:ext>
          </a:extLst>
        </xdr:cNvPr>
        <xdr:cNvPicPr>
          <a:picLocks noChangeAspect="1"/>
        </xdr:cNvPicPr>
      </xdr:nvPicPr>
      <xdr:blipFill>
        <a:blip xmlns:r="http://schemas.openxmlformats.org/officeDocument/2006/relationships" r:embed="rId3"/>
        <a:stretch>
          <a:fillRect/>
        </a:stretch>
      </xdr:blipFill>
      <xdr:spPr>
        <a:xfrm>
          <a:off x="11821614" y="6137910"/>
          <a:ext cx="733527" cy="4128735"/>
        </a:xfrm>
        <a:prstGeom prst="rect">
          <a:avLst/>
        </a:prstGeom>
      </xdr:spPr>
    </xdr:pic>
    <xdr:clientData/>
  </xdr:twoCellAnchor>
  <xdr:twoCellAnchor>
    <xdr:from>
      <xdr:col>5</xdr:col>
      <xdr:colOff>0</xdr:colOff>
      <xdr:row>35</xdr:row>
      <xdr:rowOff>68580</xdr:rowOff>
    </xdr:from>
    <xdr:to>
      <xdr:col>8</xdr:col>
      <xdr:colOff>548641</xdr:colOff>
      <xdr:row>40</xdr:row>
      <xdr:rowOff>159884</xdr:rowOff>
    </xdr:to>
    <xdr:grpSp>
      <xdr:nvGrpSpPr>
        <xdr:cNvPr id="5" name="Group 4">
          <a:extLst>
            <a:ext uri="{FF2B5EF4-FFF2-40B4-BE49-F238E27FC236}">
              <a16:creationId xmlns:a16="http://schemas.microsoft.com/office/drawing/2014/main" id="{DF175F37-32C4-477C-B3CF-21B1E14FAFF2}"/>
            </a:ext>
          </a:extLst>
        </xdr:cNvPr>
        <xdr:cNvGrpSpPr/>
      </xdr:nvGrpSpPr>
      <xdr:grpSpPr>
        <a:xfrm>
          <a:off x="6940550" y="6596380"/>
          <a:ext cx="4218941" cy="1012054"/>
          <a:chOff x="5676899" y="6537381"/>
          <a:chExt cx="4800601" cy="1005704"/>
        </a:xfrm>
      </xdr:grpSpPr>
      <xdr:pic>
        <xdr:nvPicPr>
          <xdr:cNvPr id="6" name="Picture 5">
            <a:extLst>
              <a:ext uri="{FF2B5EF4-FFF2-40B4-BE49-F238E27FC236}">
                <a16:creationId xmlns:a16="http://schemas.microsoft.com/office/drawing/2014/main" id="{17B607EE-162B-4A5C-BCA1-13FCDD447017}"/>
              </a:ext>
            </a:extLst>
          </xdr:cNvPr>
          <xdr:cNvPicPr>
            <a:picLocks noChangeAspect="1"/>
          </xdr:cNvPicPr>
        </xdr:nvPicPr>
        <xdr:blipFill>
          <a:blip xmlns:r="http://schemas.openxmlformats.org/officeDocument/2006/relationships" r:embed="rId4"/>
          <a:stretch>
            <a:fillRect/>
          </a:stretch>
        </xdr:blipFill>
        <xdr:spPr>
          <a:xfrm>
            <a:off x="5676899" y="6992103"/>
            <a:ext cx="2339341" cy="550982"/>
          </a:xfrm>
          <a:prstGeom prst="rect">
            <a:avLst/>
          </a:prstGeom>
        </xdr:spPr>
      </xdr:pic>
      <xdr:pic>
        <xdr:nvPicPr>
          <xdr:cNvPr id="7" name="Picture 6">
            <a:extLst>
              <a:ext uri="{FF2B5EF4-FFF2-40B4-BE49-F238E27FC236}">
                <a16:creationId xmlns:a16="http://schemas.microsoft.com/office/drawing/2014/main" id="{779766DD-B4A5-4BD6-98FE-E2E45D9C232C}"/>
              </a:ext>
            </a:extLst>
          </xdr:cNvPr>
          <xdr:cNvPicPr>
            <a:picLocks noChangeAspect="1"/>
          </xdr:cNvPicPr>
        </xdr:nvPicPr>
        <xdr:blipFill>
          <a:blip xmlns:r="http://schemas.openxmlformats.org/officeDocument/2006/relationships" r:embed="rId5"/>
          <a:stretch>
            <a:fillRect/>
          </a:stretch>
        </xdr:blipFill>
        <xdr:spPr>
          <a:xfrm>
            <a:off x="5707380" y="6537381"/>
            <a:ext cx="1844040" cy="405890"/>
          </a:xfrm>
          <a:prstGeom prst="rect">
            <a:avLst/>
          </a:prstGeom>
        </xdr:spPr>
      </xdr:pic>
      <xdr:pic>
        <xdr:nvPicPr>
          <xdr:cNvPr id="8" name="Picture 7">
            <a:extLst>
              <a:ext uri="{FF2B5EF4-FFF2-40B4-BE49-F238E27FC236}">
                <a16:creationId xmlns:a16="http://schemas.microsoft.com/office/drawing/2014/main" id="{B0FC8A2D-DEE4-4DAD-A867-84CAB0458B79}"/>
              </a:ext>
            </a:extLst>
          </xdr:cNvPr>
          <xdr:cNvPicPr>
            <a:picLocks noChangeAspect="1"/>
          </xdr:cNvPicPr>
        </xdr:nvPicPr>
        <xdr:blipFill>
          <a:blip xmlns:r="http://schemas.openxmlformats.org/officeDocument/2006/relationships" r:embed="rId6"/>
          <a:stretch>
            <a:fillRect/>
          </a:stretch>
        </xdr:blipFill>
        <xdr:spPr>
          <a:xfrm>
            <a:off x="8153400" y="6583680"/>
            <a:ext cx="2324100" cy="755553"/>
          </a:xfrm>
          <a:prstGeom prst="rect">
            <a:avLst/>
          </a:prstGeom>
        </xdr:spPr>
      </xdr:pic>
    </xdr:grpSp>
    <xdr:clientData/>
  </xdr:twoCellAnchor>
</xdr:wsDr>
</file>

<file path=xl/drawings/drawing26.xml><?xml version="1.0" encoding="utf-8"?>
<xdr:wsDr xmlns:xdr="http://schemas.openxmlformats.org/drawingml/2006/spreadsheetDrawing" xmlns:a="http://schemas.openxmlformats.org/drawingml/2006/main">
  <xdr:twoCellAnchor editAs="oneCell">
    <xdr:from>
      <xdr:col>4</xdr:col>
      <xdr:colOff>203200</xdr:colOff>
      <xdr:row>16</xdr:row>
      <xdr:rowOff>31750</xdr:rowOff>
    </xdr:from>
    <xdr:to>
      <xdr:col>7</xdr:col>
      <xdr:colOff>133350</xdr:colOff>
      <xdr:row>19</xdr:row>
      <xdr:rowOff>82550</xdr:rowOff>
    </xdr:to>
    <xdr:pic>
      <xdr:nvPicPr>
        <xdr:cNvPr id="3" name="Picture 2">
          <a:extLst>
            <a:ext uri="{FF2B5EF4-FFF2-40B4-BE49-F238E27FC236}">
              <a16:creationId xmlns:a16="http://schemas.microsoft.com/office/drawing/2014/main" id="{875D25E1-30C6-457D-B7F6-34219BF370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41600" y="2978150"/>
          <a:ext cx="1758950"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133350</xdr:colOff>
      <xdr:row>12</xdr:row>
      <xdr:rowOff>38100</xdr:rowOff>
    </xdr:from>
    <xdr:to>
      <xdr:col>8</xdr:col>
      <xdr:colOff>361950</xdr:colOff>
      <xdr:row>15</xdr:row>
      <xdr:rowOff>19050</xdr:rowOff>
    </xdr:to>
    <xdr:pic>
      <xdr:nvPicPr>
        <xdr:cNvPr id="4" name="Picture 3">
          <a:extLst>
            <a:ext uri="{FF2B5EF4-FFF2-40B4-BE49-F238E27FC236}">
              <a16:creationId xmlns:a16="http://schemas.microsoft.com/office/drawing/2014/main" id="{6B8BE5E4-9456-4806-8B2C-B70E5C4909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0" y="2247900"/>
          <a:ext cx="266700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209550</xdr:colOff>
      <xdr:row>7</xdr:row>
      <xdr:rowOff>114300</xdr:rowOff>
    </xdr:from>
    <xdr:to>
      <xdr:col>7</xdr:col>
      <xdr:colOff>6350</xdr:colOff>
      <xdr:row>10</xdr:row>
      <xdr:rowOff>120650</xdr:rowOff>
    </xdr:to>
    <xdr:pic>
      <xdr:nvPicPr>
        <xdr:cNvPr id="5" name="Picture 4">
          <a:extLst>
            <a:ext uri="{FF2B5EF4-FFF2-40B4-BE49-F238E27FC236}">
              <a16:creationId xmlns:a16="http://schemas.microsoft.com/office/drawing/2014/main" id="{47DF7CDC-AC03-4E39-89D4-B0561DCEE8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47950" y="1403350"/>
          <a:ext cx="16256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196850</xdr:colOff>
      <xdr:row>2</xdr:row>
      <xdr:rowOff>19050</xdr:rowOff>
    </xdr:from>
    <xdr:to>
      <xdr:col>17</xdr:col>
      <xdr:colOff>273050</xdr:colOff>
      <xdr:row>21</xdr:row>
      <xdr:rowOff>63500</xdr:rowOff>
    </xdr:to>
    <xdr:pic>
      <xdr:nvPicPr>
        <xdr:cNvPr id="7" name="Picture 6">
          <a:extLst>
            <a:ext uri="{FF2B5EF4-FFF2-40B4-BE49-F238E27FC236}">
              <a16:creationId xmlns:a16="http://schemas.microsoft.com/office/drawing/2014/main" id="{EB190C0E-A0C1-4C80-A3AA-92FB87DA1DC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83250" y="387350"/>
          <a:ext cx="4953000" cy="3543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320450</xdr:colOff>
      <xdr:row>5</xdr:row>
      <xdr:rowOff>165100</xdr:rowOff>
    </xdr:from>
    <xdr:to>
      <xdr:col>18</xdr:col>
      <xdr:colOff>374649</xdr:colOff>
      <xdr:row>23</xdr:row>
      <xdr:rowOff>6350</xdr:rowOff>
    </xdr:to>
    <xdr:pic>
      <xdr:nvPicPr>
        <xdr:cNvPr id="6" name="Picture 5">
          <a:extLst>
            <a:ext uri="{FF2B5EF4-FFF2-40B4-BE49-F238E27FC236}">
              <a16:creationId xmlns:a16="http://schemas.microsoft.com/office/drawing/2014/main" id="{26BDEC0E-5ED9-41E8-957F-3799D9F019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97250" y="1085850"/>
          <a:ext cx="6150199" cy="3155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380745</xdr:colOff>
      <xdr:row>11</xdr:row>
      <xdr:rowOff>153420</xdr:rowOff>
    </xdr:from>
    <xdr:to>
      <xdr:col>17</xdr:col>
      <xdr:colOff>533745</xdr:colOff>
      <xdr:row>13</xdr:row>
      <xdr:rowOff>180135</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2" name="Ink 1">
              <a:extLst>
                <a:ext uri="{FF2B5EF4-FFF2-40B4-BE49-F238E27FC236}">
                  <a16:creationId xmlns:a16="http://schemas.microsoft.com/office/drawing/2014/main" id="{E26C55C0-6DFA-47E3-95CF-E0FF1B8875BC}"/>
                </a:ext>
              </a:extLst>
            </xdr14:cNvPr>
            <xdr14:cNvContentPartPr/>
          </xdr14:nvContentPartPr>
          <xdr14:nvPr macro=""/>
          <xdr14:xfrm>
            <a:off x="10924920" y="2248920"/>
            <a:ext cx="153000" cy="417240"/>
          </xdr14:xfrm>
        </xdr:contentPart>
      </mc:Choice>
      <mc:Fallback xmlns="">
        <xdr:pic>
          <xdr:nvPicPr>
            <xdr:cNvPr id="2" name="Ink 1">
              <a:extLst>
                <a:ext uri="{FF2B5EF4-FFF2-40B4-BE49-F238E27FC236}">
                  <a16:creationId xmlns:a16="http://schemas.microsoft.com/office/drawing/2014/main" id="{E26C55C0-6DFA-47E3-95CF-E0FF1B8875BC}"/>
                </a:ext>
              </a:extLst>
            </xdr:cNvPr>
            <xdr:cNvPicPr/>
          </xdr:nvPicPr>
          <xdr:blipFill>
            <a:blip xmlns:r="http://schemas.openxmlformats.org/officeDocument/2006/relationships" r:embed="rId3"/>
            <a:stretch>
              <a:fillRect/>
            </a:stretch>
          </xdr:blipFill>
          <xdr:spPr>
            <a:xfrm>
              <a:off x="10907280" y="2231280"/>
              <a:ext cx="188640" cy="452880"/>
            </a:xfrm>
            <a:prstGeom prst="rect">
              <a:avLst/>
            </a:prstGeom>
          </xdr:spPr>
        </xdr:pic>
      </mc:Fallback>
    </mc:AlternateContent>
    <xdr:clientData/>
  </xdr:twoCellAnchor>
  <xdr:twoCellAnchor editAs="oneCell">
    <xdr:from>
      <xdr:col>17</xdr:col>
      <xdr:colOff>561465</xdr:colOff>
      <xdr:row>13</xdr:row>
      <xdr:rowOff>58260</xdr:rowOff>
    </xdr:from>
    <xdr:to>
      <xdr:col>18</xdr:col>
      <xdr:colOff>182625</xdr:colOff>
      <xdr:row>14</xdr:row>
      <xdr:rowOff>68280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5" name="Ink 4">
              <a:extLst>
                <a:ext uri="{FF2B5EF4-FFF2-40B4-BE49-F238E27FC236}">
                  <a16:creationId xmlns:a16="http://schemas.microsoft.com/office/drawing/2014/main" id="{D74FF77F-E0AC-46F3-969F-1FD9446C6C9C}"/>
                </a:ext>
              </a:extLst>
            </xdr14:cNvPr>
            <xdr14:cNvContentPartPr/>
          </xdr14:nvContentPartPr>
          <xdr14:nvPr macro=""/>
          <xdr14:xfrm>
            <a:off x="11105640" y="2534760"/>
            <a:ext cx="230760" cy="200520"/>
          </xdr14:xfrm>
        </xdr:contentPart>
      </mc:Choice>
      <mc:Fallback xmlns="">
        <xdr:pic>
          <xdr:nvPicPr>
            <xdr:cNvPr id="5" name="Ink 4">
              <a:extLst>
                <a:ext uri="{FF2B5EF4-FFF2-40B4-BE49-F238E27FC236}">
                  <a16:creationId xmlns:a16="http://schemas.microsoft.com/office/drawing/2014/main" id="{D74FF77F-E0AC-46F3-969F-1FD9446C6C9C}"/>
                </a:ext>
              </a:extLst>
            </xdr:cNvPr>
            <xdr:cNvPicPr/>
          </xdr:nvPicPr>
          <xdr:blipFill>
            <a:blip xmlns:r="http://schemas.openxmlformats.org/officeDocument/2006/relationships" r:embed="rId5"/>
            <a:stretch>
              <a:fillRect/>
            </a:stretch>
          </xdr:blipFill>
          <xdr:spPr>
            <a:xfrm>
              <a:off x="11088000" y="2516760"/>
              <a:ext cx="266400" cy="236160"/>
            </a:xfrm>
            <a:prstGeom prst="rect">
              <a:avLst/>
            </a:prstGeom>
          </xdr:spPr>
        </xdr:pic>
      </mc:Fallback>
    </mc:AlternateContent>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349250</xdr:colOff>
      <xdr:row>2</xdr:row>
      <xdr:rowOff>114300</xdr:rowOff>
    </xdr:from>
    <xdr:to>
      <xdr:col>5</xdr:col>
      <xdr:colOff>38100</xdr:colOff>
      <xdr:row>19</xdr:row>
      <xdr:rowOff>95250</xdr:rowOff>
    </xdr:to>
    <xdr:pic>
      <xdr:nvPicPr>
        <xdr:cNvPr id="2" name="Picture 1">
          <a:extLst>
            <a:ext uri="{FF2B5EF4-FFF2-40B4-BE49-F238E27FC236}">
              <a16:creationId xmlns:a16="http://schemas.microsoft.com/office/drawing/2014/main" id="{33458BE7-13B8-48C9-B62F-C3864C0B84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9250" y="482600"/>
          <a:ext cx="2736850" cy="311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28575</xdr:colOff>
      <xdr:row>0</xdr:row>
      <xdr:rowOff>152400</xdr:rowOff>
    </xdr:from>
    <xdr:to>
      <xdr:col>19</xdr:col>
      <xdr:colOff>226352</xdr:colOff>
      <xdr:row>18</xdr:row>
      <xdr:rowOff>124300</xdr:rowOff>
    </xdr:to>
    <xdr:pic>
      <xdr:nvPicPr>
        <xdr:cNvPr id="3" name="Picture 2">
          <a:extLst>
            <a:ext uri="{FF2B5EF4-FFF2-40B4-BE49-F238E27FC236}">
              <a16:creationId xmlns:a16="http://schemas.microsoft.com/office/drawing/2014/main" id="{2B27A938-2320-41FE-B942-59B83361C06D}"/>
            </a:ext>
          </a:extLst>
        </xdr:cNvPr>
        <xdr:cNvPicPr>
          <a:picLocks noChangeAspect="1"/>
        </xdr:cNvPicPr>
      </xdr:nvPicPr>
      <xdr:blipFill>
        <a:blip xmlns:r="http://schemas.openxmlformats.org/officeDocument/2006/relationships" r:embed="rId1"/>
        <a:stretch>
          <a:fillRect/>
        </a:stretch>
      </xdr:blipFill>
      <xdr:spPr>
        <a:xfrm>
          <a:off x="638175" y="152400"/>
          <a:ext cx="11193437" cy="3400900"/>
        </a:xfrm>
        <a:prstGeom prst="rect">
          <a:avLst/>
        </a:prstGeom>
      </xdr:spPr>
    </xdr:pic>
    <xdr:clientData/>
  </xdr:twoCellAnchor>
  <xdr:twoCellAnchor editAs="oneCell">
    <xdr:from>
      <xdr:col>0</xdr:col>
      <xdr:colOff>428625</xdr:colOff>
      <xdr:row>21</xdr:row>
      <xdr:rowOff>38100</xdr:rowOff>
    </xdr:from>
    <xdr:to>
      <xdr:col>11</xdr:col>
      <xdr:colOff>410508</xdr:colOff>
      <xdr:row>34</xdr:row>
      <xdr:rowOff>105130</xdr:rowOff>
    </xdr:to>
    <xdr:pic>
      <xdr:nvPicPr>
        <xdr:cNvPr id="4" name="Picture 3">
          <a:extLst>
            <a:ext uri="{FF2B5EF4-FFF2-40B4-BE49-F238E27FC236}">
              <a16:creationId xmlns:a16="http://schemas.microsoft.com/office/drawing/2014/main" id="{59F05381-DE54-4AE2-B31A-41697075A306}"/>
            </a:ext>
          </a:extLst>
        </xdr:cNvPr>
        <xdr:cNvPicPr>
          <a:picLocks noChangeAspect="1"/>
        </xdr:cNvPicPr>
      </xdr:nvPicPr>
      <xdr:blipFill>
        <a:blip xmlns:r="http://schemas.openxmlformats.org/officeDocument/2006/relationships" r:embed="rId2"/>
        <a:stretch>
          <a:fillRect/>
        </a:stretch>
      </xdr:blipFill>
      <xdr:spPr>
        <a:xfrm>
          <a:off x="428625" y="4038600"/>
          <a:ext cx="6687483" cy="2543530"/>
        </a:xfrm>
        <a:prstGeom prst="rect">
          <a:avLst/>
        </a:prstGeom>
      </xdr:spPr>
    </xdr:pic>
    <xdr:clientData/>
  </xdr:twoCellAnchor>
  <xdr:oneCellAnchor>
    <xdr:from>
      <xdr:col>9</xdr:col>
      <xdr:colOff>228600</xdr:colOff>
      <xdr:row>28</xdr:row>
      <xdr:rowOff>9525</xdr:rowOff>
    </xdr:from>
    <xdr:ext cx="640432" cy="468013"/>
    <xdr:sp macro="" textlink="">
      <xdr:nvSpPr>
        <xdr:cNvPr id="6" name="TextBox 5">
          <a:extLst>
            <a:ext uri="{FF2B5EF4-FFF2-40B4-BE49-F238E27FC236}">
              <a16:creationId xmlns:a16="http://schemas.microsoft.com/office/drawing/2014/main" id="{7B8FCC8B-9F17-4CE2-B5DF-0490B4B27D3A}"/>
            </a:ext>
          </a:extLst>
        </xdr:cNvPr>
        <xdr:cNvSpPr txBox="1"/>
      </xdr:nvSpPr>
      <xdr:spPr>
        <a:xfrm>
          <a:off x="5715000" y="5343525"/>
          <a:ext cx="64043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solidFill>
                <a:srgbClr val="FF0000"/>
              </a:solidFill>
            </a:rPr>
            <a:t>SEC</a:t>
          </a:r>
        </a:p>
      </xdr:txBody>
    </xdr:sp>
    <xdr:clientData/>
  </xdr:oneCellAnchor>
  <xdr:twoCellAnchor editAs="oneCell">
    <xdr:from>
      <xdr:col>1</xdr:col>
      <xdr:colOff>142875</xdr:colOff>
      <xdr:row>35</xdr:row>
      <xdr:rowOff>47625</xdr:rowOff>
    </xdr:from>
    <xdr:to>
      <xdr:col>13</xdr:col>
      <xdr:colOff>416352</xdr:colOff>
      <xdr:row>63</xdr:row>
      <xdr:rowOff>162685</xdr:rowOff>
    </xdr:to>
    <xdr:pic>
      <xdr:nvPicPr>
        <xdr:cNvPr id="7" name="Picture 6">
          <a:extLst>
            <a:ext uri="{FF2B5EF4-FFF2-40B4-BE49-F238E27FC236}">
              <a16:creationId xmlns:a16="http://schemas.microsoft.com/office/drawing/2014/main" id="{9EF2B09C-F8F2-4F4A-B68F-1EDCA5274676}"/>
            </a:ext>
          </a:extLst>
        </xdr:cNvPr>
        <xdr:cNvPicPr>
          <a:picLocks noChangeAspect="1"/>
        </xdr:cNvPicPr>
      </xdr:nvPicPr>
      <xdr:blipFill>
        <a:blip xmlns:r="http://schemas.openxmlformats.org/officeDocument/2006/relationships" r:embed="rId3"/>
        <a:stretch>
          <a:fillRect/>
        </a:stretch>
      </xdr:blipFill>
      <xdr:spPr>
        <a:xfrm>
          <a:off x="752475" y="6715125"/>
          <a:ext cx="7611537" cy="5449060"/>
        </a:xfrm>
        <a:prstGeom prst="rect">
          <a:avLst/>
        </a:prstGeom>
      </xdr:spPr>
    </xdr:pic>
    <xdr:clientData/>
  </xdr:twoCellAnchor>
  <xdr:oneCellAnchor>
    <xdr:from>
      <xdr:col>1</xdr:col>
      <xdr:colOff>495299</xdr:colOff>
      <xdr:row>60</xdr:row>
      <xdr:rowOff>152398</xdr:rowOff>
    </xdr:from>
    <xdr:ext cx="7743825" cy="609013"/>
    <xdr:sp macro="" textlink="">
      <xdr:nvSpPr>
        <xdr:cNvPr id="8" name="TextBox 7">
          <a:extLst>
            <a:ext uri="{FF2B5EF4-FFF2-40B4-BE49-F238E27FC236}">
              <a16:creationId xmlns:a16="http://schemas.microsoft.com/office/drawing/2014/main" id="{13E915EA-F2B3-489C-A2DC-E179D7A24E00}"/>
            </a:ext>
          </a:extLst>
        </xdr:cNvPr>
        <xdr:cNvSpPr txBox="1"/>
      </xdr:nvSpPr>
      <xdr:spPr>
        <a:xfrm>
          <a:off x="1104899" y="11582398"/>
          <a:ext cx="7743825" cy="60901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At high cload, signal rise does</a:t>
          </a:r>
          <a:r>
            <a:rPr lang="en-US" sz="1100" baseline="0"/>
            <a:t> not toggle to full swing. However, falling signal is using strong pull down and toggle to GND, so it does not impact the rising edge of the next cycle =&gt; rising edge still starts from the same point (DC LOW), hence giving similar 30-70 rise time across all cycles</a:t>
          </a:r>
          <a:endParaRPr lang="en-US" sz="1100"/>
        </a:p>
      </xdr:txBody>
    </xdr:sp>
    <xdr:clientData/>
  </xdr:oneCellAnchor>
  <xdr:twoCellAnchor editAs="oneCell">
    <xdr:from>
      <xdr:col>1</xdr:col>
      <xdr:colOff>352425</xdr:colOff>
      <xdr:row>1</xdr:row>
      <xdr:rowOff>38100</xdr:rowOff>
    </xdr:from>
    <xdr:to>
      <xdr:col>19</xdr:col>
      <xdr:colOff>140570</xdr:colOff>
      <xdr:row>17</xdr:row>
      <xdr:rowOff>171894</xdr:rowOff>
    </xdr:to>
    <xdr:pic>
      <xdr:nvPicPr>
        <xdr:cNvPr id="2" name="Picture 1">
          <a:extLst>
            <a:ext uri="{FF2B5EF4-FFF2-40B4-BE49-F238E27FC236}">
              <a16:creationId xmlns:a16="http://schemas.microsoft.com/office/drawing/2014/main" id="{639F0404-D52A-4835-B6C4-625185D7F43D}"/>
            </a:ext>
          </a:extLst>
        </xdr:cNvPr>
        <xdr:cNvPicPr>
          <a:picLocks noChangeAspect="1"/>
        </xdr:cNvPicPr>
      </xdr:nvPicPr>
      <xdr:blipFill>
        <a:blip xmlns:r="http://schemas.openxmlformats.org/officeDocument/2006/relationships" r:embed="rId4"/>
        <a:stretch>
          <a:fillRect/>
        </a:stretch>
      </xdr:blipFill>
      <xdr:spPr>
        <a:xfrm>
          <a:off x="962025" y="228600"/>
          <a:ext cx="10783805" cy="3181794"/>
        </a:xfrm>
        <a:prstGeom prst="rect">
          <a:avLst/>
        </a:prstGeom>
      </xdr:spPr>
    </xdr:pic>
    <xdr:clientData/>
  </xdr:twoCellAnchor>
  <xdr:oneCellAnchor>
    <xdr:from>
      <xdr:col>19</xdr:col>
      <xdr:colOff>419100</xdr:colOff>
      <xdr:row>1</xdr:row>
      <xdr:rowOff>47625</xdr:rowOff>
    </xdr:from>
    <xdr:ext cx="903261" cy="468013"/>
    <xdr:sp macro="" textlink="">
      <xdr:nvSpPr>
        <xdr:cNvPr id="5" name="TextBox 4">
          <a:extLst>
            <a:ext uri="{FF2B5EF4-FFF2-40B4-BE49-F238E27FC236}">
              <a16:creationId xmlns:a16="http://schemas.microsoft.com/office/drawing/2014/main" id="{729705FA-6DFB-4697-B36E-A479CC07C994}"/>
            </a:ext>
          </a:extLst>
        </xdr:cNvPr>
        <xdr:cNvSpPr txBox="1"/>
      </xdr:nvSpPr>
      <xdr:spPr>
        <a:xfrm>
          <a:off x="12001500" y="238125"/>
          <a:ext cx="90326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a:solidFill>
                <a:srgbClr val="FF0000"/>
              </a:solidFill>
            </a:rPr>
            <a:t>TSMC</a:t>
          </a:r>
        </a:p>
      </xdr:txBody>
    </xdr:sp>
    <xdr:clientData/>
  </xdr:oneCellAnchor>
  <xdr:twoCellAnchor>
    <xdr:from>
      <xdr:col>12</xdr:col>
      <xdr:colOff>190500</xdr:colOff>
      <xdr:row>5</xdr:row>
      <xdr:rowOff>19050</xdr:rowOff>
    </xdr:from>
    <xdr:to>
      <xdr:col>15</xdr:col>
      <xdr:colOff>409575</xdr:colOff>
      <xdr:row>18</xdr:row>
      <xdr:rowOff>76200</xdr:rowOff>
    </xdr:to>
    <xdr:sp macro="" textlink="">
      <xdr:nvSpPr>
        <xdr:cNvPr id="9" name="Rectangle 8">
          <a:extLst>
            <a:ext uri="{FF2B5EF4-FFF2-40B4-BE49-F238E27FC236}">
              <a16:creationId xmlns:a16="http://schemas.microsoft.com/office/drawing/2014/main" id="{AF580357-EEEC-41FE-9F37-EE78CA81E123}"/>
            </a:ext>
          </a:extLst>
        </xdr:cNvPr>
        <xdr:cNvSpPr/>
      </xdr:nvSpPr>
      <xdr:spPr>
        <a:xfrm>
          <a:off x="7505700" y="971550"/>
          <a:ext cx="2047875" cy="253365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142875</xdr:colOff>
      <xdr:row>48</xdr:row>
      <xdr:rowOff>95250</xdr:rowOff>
    </xdr:from>
    <xdr:to>
      <xdr:col>31</xdr:col>
      <xdr:colOff>601415</xdr:colOff>
      <xdr:row>75</xdr:row>
      <xdr:rowOff>86442</xdr:rowOff>
    </xdr:to>
    <xdr:pic>
      <xdr:nvPicPr>
        <xdr:cNvPr id="10" name="Picture 9">
          <a:extLst>
            <a:ext uri="{FF2B5EF4-FFF2-40B4-BE49-F238E27FC236}">
              <a16:creationId xmlns:a16="http://schemas.microsoft.com/office/drawing/2014/main" id="{6D64D4E5-A95A-4C24-BF6B-36CD49B89F73}"/>
            </a:ext>
          </a:extLst>
        </xdr:cNvPr>
        <xdr:cNvPicPr>
          <a:picLocks noChangeAspect="1"/>
        </xdr:cNvPicPr>
      </xdr:nvPicPr>
      <xdr:blipFill>
        <a:blip xmlns:r="http://schemas.openxmlformats.org/officeDocument/2006/relationships" r:embed="rId5"/>
        <a:stretch>
          <a:fillRect/>
        </a:stretch>
      </xdr:blipFill>
      <xdr:spPr>
        <a:xfrm>
          <a:off x="9896475" y="9239250"/>
          <a:ext cx="9602540" cy="5134692"/>
        </a:xfrm>
        <a:prstGeom prst="rect">
          <a:avLst/>
        </a:prstGeom>
      </xdr:spPr>
    </xdr:pic>
    <xdr:clientData/>
  </xdr:twoCellAnchor>
  <xdr:twoCellAnchor editAs="oneCell">
    <xdr:from>
      <xdr:col>14</xdr:col>
      <xdr:colOff>514350</xdr:colOff>
      <xdr:row>19</xdr:row>
      <xdr:rowOff>28575</xdr:rowOff>
    </xdr:from>
    <xdr:to>
      <xdr:col>32</xdr:col>
      <xdr:colOff>30039</xdr:colOff>
      <xdr:row>44</xdr:row>
      <xdr:rowOff>162608</xdr:rowOff>
    </xdr:to>
    <xdr:pic>
      <xdr:nvPicPr>
        <xdr:cNvPr id="11" name="Picture 10">
          <a:extLst>
            <a:ext uri="{FF2B5EF4-FFF2-40B4-BE49-F238E27FC236}">
              <a16:creationId xmlns:a16="http://schemas.microsoft.com/office/drawing/2014/main" id="{E97C7ED1-77F5-4095-A1DD-5981459823D0}"/>
            </a:ext>
          </a:extLst>
        </xdr:cNvPr>
        <xdr:cNvPicPr>
          <a:picLocks noChangeAspect="1"/>
        </xdr:cNvPicPr>
      </xdr:nvPicPr>
      <xdr:blipFill>
        <a:blip xmlns:r="http://schemas.openxmlformats.org/officeDocument/2006/relationships" r:embed="rId6"/>
        <a:stretch>
          <a:fillRect/>
        </a:stretch>
      </xdr:blipFill>
      <xdr:spPr>
        <a:xfrm>
          <a:off x="9048750" y="3648075"/>
          <a:ext cx="10488489" cy="4896533"/>
        </a:xfrm>
        <a:prstGeom prst="rect">
          <a:avLst/>
        </a:prstGeom>
      </xdr:spPr>
    </xdr:pic>
    <xdr:clientData/>
  </xdr:twoCellAnchor>
  <xdr:twoCellAnchor editAs="oneCell">
    <xdr:from>
      <xdr:col>10</xdr:col>
      <xdr:colOff>198480</xdr:colOff>
      <xdr:row>9</xdr:row>
      <xdr:rowOff>120960</xdr:rowOff>
    </xdr:from>
    <xdr:to>
      <xdr:col>11</xdr:col>
      <xdr:colOff>116280</xdr:colOff>
      <xdr:row>11</xdr:row>
      <xdr:rowOff>20040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D31886DC-AB27-404B-BE90-DA9E3570F2BD}"/>
                </a:ext>
              </a:extLst>
            </xdr14:cNvPr>
            <xdr14:cNvContentPartPr/>
          </xdr14:nvContentPartPr>
          <xdr14:nvPr macro=""/>
          <xdr14:xfrm>
            <a:off x="6294480" y="1835460"/>
            <a:ext cx="527400" cy="280080"/>
          </xdr14:xfrm>
        </xdr:contentPart>
      </mc:Choice>
      <mc:Fallback xmlns="">
        <xdr:pic>
          <xdr:nvPicPr>
            <xdr:cNvPr id="14" name="Ink 13">
              <a:extLst>
                <a:ext uri="{FF2B5EF4-FFF2-40B4-BE49-F238E27FC236}">
                  <a16:creationId xmlns:a16="http://schemas.microsoft.com/office/drawing/2014/main" id="{D31886DC-AB27-404B-BE90-DA9E3570F2BD}"/>
                </a:ext>
              </a:extLst>
            </xdr:cNvPr>
            <xdr:cNvPicPr/>
          </xdr:nvPicPr>
          <xdr:blipFill>
            <a:blip xmlns:r="http://schemas.openxmlformats.org/officeDocument/2006/relationships" r:embed="rId8"/>
            <a:stretch>
              <a:fillRect/>
            </a:stretch>
          </xdr:blipFill>
          <xdr:spPr>
            <a:xfrm>
              <a:off x="6285480" y="1826460"/>
              <a:ext cx="545040" cy="297720"/>
            </a:xfrm>
            <a:prstGeom prst="rect">
              <a:avLst/>
            </a:prstGeom>
          </xdr:spPr>
        </xdr:pic>
      </mc:Fallback>
    </mc:AlternateContent>
    <xdr:clientData/>
  </xdr:twoCellAnchor>
  <xdr:twoCellAnchor editAs="oneCell">
    <xdr:from>
      <xdr:col>10</xdr:col>
      <xdr:colOff>263640</xdr:colOff>
      <xdr:row>12</xdr:row>
      <xdr:rowOff>75060</xdr:rowOff>
    </xdr:from>
    <xdr:to>
      <xdr:col>11</xdr:col>
      <xdr:colOff>144720</xdr:colOff>
      <xdr:row>13</xdr:row>
      <xdr:rowOff>153120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DB595549-34D5-4E67-BFA2-FF7C0B4568EC}"/>
                </a:ext>
              </a:extLst>
            </xdr14:cNvPr>
            <xdr14:cNvContentPartPr/>
          </xdr14:nvContentPartPr>
          <xdr14:nvPr macro=""/>
          <xdr14:xfrm>
            <a:off x="6359640" y="2361060"/>
            <a:ext cx="490680" cy="268560"/>
          </xdr14:xfrm>
        </xdr:contentPart>
      </mc:Choice>
      <mc:Fallback xmlns="">
        <xdr:pic>
          <xdr:nvPicPr>
            <xdr:cNvPr id="15" name="Ink 14">
              <a:extLst>
                <a:ext uri="{FF2B5EF4-FFF2-40B4-BE49-F238E27FC236}">
                  <a16:creationId xmlns:a16="http://schemas.microsoft.com/office/drawing/2014/main" id="{DB595549-34D5-4E67-BFA2-FF7C0B4568EC}"/>
                </a:ext>
              </a:extLst>
            </xdr:cNvPr>
            <xdr:cNvPicPr/>
          </xdr:nvPicPr>
          <xdr:blipFill>
            <a:blip xmlns:r="http://schemas.openxmlformats.org/officeDocument/2006/relationships" r:embed="rId10"/>
            <a:stretch>
              <a:fillRect/>
            </a:stretch>
          </xdr:blipFill>
          <xdr:spPr>
            <a:xfrm>
              <a:off x="6350640" y="2352060"/>
              <a:ext cx="508320" cy="286200"/>
            </a:xfrm>
            <a:prstGeom prst="rect">
              <a:avLst/>
            </a:prstGeom>
          </xdr:spPr>
        </xdr:pic>
      </mc:Fallback>
    </mc:AlternateContent>
    <xdr:clientData/>
  </xdr:twoCellAnchor>
  <xdr:twoCellAnchor editAs="oneCell">
    <xdr:from>
      <xdr:col>23</xdr:col>
      <xdr:colOff>587520</xdr:colOff>
      <xdr:row>28</xdr:row>
      <xdr:rowOff>132360</xdr:rowOff>
    </xdr:from>
    <xdr:to>
      <xdr:col>24</xdr:col>
      <xdr:colOff>220920</xdr:colOff>
      <xdr:row>29</xdr:row>
      <xdr:rowOff>77940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7" name="Ink 16">
              <a:extLst>
                <a:ext uri="{FF2B5EF4-FFF2-40B4-BE49-F238E27FC236}">
                  <a16:creationId xmlns:a16="http://schemas.microsoft.com/office/drawing/2014/main" id="{94590DCB-0D37-49DC-AF96-19CE4F5316A7}"/>
                </a:ext>
              </a:extLst>
            </xdr14:cNvPr>
            <xdr14:cNvContentPartPr/>
          </xdr14:nvContentPartPr>
          <xdr14:nvPr macro=""/>
          <xdr14:xfrm>
            <a:off x="14608320" y="5466360"/>
            <a:ext cx="243000" cy="136080"/>
          </xdr14:xfrm>
        </xdr:contentPart>
      </mc:Choice>
      <mc:Fallback xmlns="">
        <xdr:pic>
          <xdr:nvPicPr>
            <xdr:cNvPr id="17" name="Ink 16">
              <a:extLst>
                <a:ext uri="{FF2B5EF4-FFF2-40B4-BE49-F238E27FC236}">
                  <a16:creationId xmlns:a16="http://schemas.microsoft.com/office/drawing/2014/main" id="{94590DCB-0D37-49DC-AF96-19CE4F5316A7}"/>
                </a:ext>
              </a:extLst>
            </xdr:cNvPr>
            <xdr:cNvPicPr/>
          </xdr:nvPicPr>
          <xdr:blipFill>
            <a:blip xmlns:r="http://schemas.openxmlformats.org/officeDocument/2006/relationships" r:embed="rId12"/>
            <a:stretch>
              <a:fillRect/>
            </a:stretch>
          </xdr:blipFill>
          <xdr:spPr>
            <a:xfrm>
              <a:off x="14599320" y="5457720"/>
              <a:ext cx="260640" cy="153720"/>
            </a:xfrm>
            <a:prstGeom prst="rect">
              <a:avLst/>
            </a:prstGeom>
          </xdr:spPr>
        </xdr:pic>
      </mc:Fallback>
    </mc:AlternateContent>
    <xdr:clientData/>
  </xdr:twoCellAnchor>
  <xdr:twoCellAnchor editAs="oneCell">
    <xdr:from>
      <xdr:col>26</xdr:col>
      <xdr:colOff>45000</xdr:colOff>
      <xdr:row>33</xdr:row>
      <xdr:rowOff>140700</xdr:rowOff>
    </xdr:from>
    <xdr:to>
      <xdr:col>26</xdr:col>
      <xdr:colOff>171720</xdr:colOff>
      <xdr:row>34</xdr:row>
      <xdr:rowOff>39120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8" name="Ink 17">
              <a:extLst>
                <a:ext uri="{FF2B5EF4-FFF2-40B4-BE49-F238E27FC236}">
                  <a16:creationId xmlns:a16="http://schemas.microsoft.com/office/drawing/2014/main" id="{E0DAEB89-341C-4ACB-A5E1-FE1911C354BD}"/>
                </a:ext>
              </a:extLst>
            </xdr14:cNvPr>
            <xdr14:cNvContentPartPr/>
          </xdr14:nvContentPartPr>
          <xdr14:nvPr macro=""/>
          <xdr14:xfrm>
            <a:off x="15894600" y="6427200"/>
            <a:ext cx="126720" cy="88920"/>
          </xdr14:xfrm>
        </xdr:contentPart>
      </mc:Choice>
      <mc:Fallback xmlns="">
        <xdr:pic>
          <xdr:nvPicPr>
            <xdr:cNvPr id="18" name="Ink 17">
              <a:extLst>
                <a:ext uri="{FF2B5EF4-FFF2-40B4-BE49-F238E27FC236}">
                  <a16:creationId xmlns:a16="http://schemas.microsoft.com/office/drawing/2014/main" id="{E0DAEB89-341C-4ACB-A5E1-FE1911C354BD}"/>
                </a:ext>
              </a:extLst>
            </xdr:cNvPr>
            <xdr:cNvPicPr/>
          </xdr:nvPicPr>
          <xdr:blipFill>
            <a:blip xmlns:r="http://schemas.openxmlformats.org/officeDocument/2006/relationships" r:embed="rId14"/>
            <a:stretch>
              <a:fillRect/>
            </a:stretch>
          </xdr:blipFill>
          <xdr:spPr>
            <a:xfrm>
              <a:off x="15885960" y="6418560"/>
              <a:ext cx="144360" cy="106560"/>
            </a:xfrm>
            <a:prstGeom prst="rect">
              <a:avLst/>
            </a:prstGeom>
          </xdr:spPr>
        </xdr:pic>
      </mc:Fallback>
    </mc:AlternateContent>
    <xdr:clientData/>
  </xdr:twoCellAnchor>
  <xdr:twoCellAnchor editAs="oneCell">
    <xdr:from>
      <xdr:col>12</xdr:col>
      <xdr:colOff>417840</xdr:colOff>
      <xdr:row>11</xdr:row>
      <xdr:rowOff>26280</xdr:rowOff>
    </xdr:from>
    <xdr:to>
      <xdr:col>13</xdr:col>
      <xdr:colOff>511140</xdr:colOff>
      <xdr:row>12</xdr:row>
      <xdr:rowOff>86700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20" name="Ink 19">
              <a:extLst>
                <a:ext uri="{FF2B5EF4-FFF2-40B4-BE49-F238E27FC236}">
                  <a16:creationId xmlns:a16="http://schemas.microsoft.com/office/drawing/2014/main" id="{90D6CE03-32A0-4A5C-9642-6F28E6FBA9D1}"/>
                </a:ext>
              </a:extLst>
            </xdr14:cNvPr>
            <xdr14:cNvContentPartPr/>
          </xdr14:nvContentPartPr>
          <xdr14:nvPr macro=""/>
          <xdr14:xfrm>
            <a:off x="7733040" y="2121780"/>
            <a:ext cx="725760" cy="250920"/>
          </xdr14:xfrm>
        </xdr:contentPart>
      </mc:Choice>
      <mc:Fallback xmlns="">
        <xdr:pic>
          <xdr:nvPicPr>
            <xdr:cNvPr id="20" name="Ink 19">
              <a:extLst>
                <a:ext uri="{FF2B5EF4-FFF2-40B4-BE49-F238E27FC236}">
                  <a16:creationId xmlns:a16="http://schemas.microsoft.com/office/drawing/2014/main" id="{90D6CE03-32A0-4A5C-9642-6F28E6FBA9D1}"/>
                </a:ext>
              </a:extLst>
            </xdr:cNvPr>
            <xdr:cNvPicPr/>
          </xdr:nvPicPr>
          <xdr:blipFill>
            <a:blip xmlns:r="http://schemas.openxmlformats.org/officeDocument/2006/relationships" r:embed="rId16"/>
            <a:stretch>
              <a:fillRect/>
            </a:stretch>
          </xdr:blipFill>
          <xdr:spPr>
            <a:xfrm>
              <a:off x="7724040" y="2113140"/>
              <a:ext cx="743400" cy="268560"/>
            </a:xfrm>
            <a:prstGeom prst="rect">
              <a:avLst/>
            </a:prstGeom>
          </xdr:spPr>
        </xdr:pic>
      </mc:Fallback>
    </mc:AlternateContent>
    <xdr:clientData/>
  </xdr:twoCellAnchor>
  <xdr:twoCellAnchor editAs="oneCell">
    <xdr:from>
      <xdr:col>14</xdr:col>
      <xdr:colOff>199080</xdr:colOff>
      <xdr:row>10</xdr:row>
      <xdr:rowOff>160980</xdr:rowOff>
    </xdr:from>
    <xdr:to>
      <xdr:col>15</xdr:col>
      <xdr:colOff>228840</xdr:colOff>
      <xdr:row>12</xdr:row>
      <xdr:rowOff>47820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21" name="Ink 20">
              <a:extLst>
                <a:ext uri="{FF2B5EF4-FFF2-40B4-BE49-F238E27FC236}">
                  <a16:creationId xmlns:a16="http://schemas.microsoft.com/office/drawing/2014/main" id="{A00D3F21-D515-4C8A-B4F9-74D8084BAC74}"/>
                </a:ext>
              </a:extLst>
            </xdr14:cNvPr>
            <xdr14:cNvContentPartPr/>
          </xdr14:nvContentPartPr>
          <xdr14:nvPr macro=""/>
          <xdr14:xfrm>
            <a:off x="8733480" y="2065980"/>
            <a:ext cx="639360" cy="267840"/>
          </xdr14:xfrm>
        </xdr:contentPart>
      </mc:Choice>
      <mc:Fallback xmlns="">
        <xdr:pic>
          <xdr:nvPicPr>
            <xdr:cNvPr id="21" name="Ink 20">
              <a:extLst>
                <a:ext uri="{FF2B5EF4-FFF2-40B4-BE49-F238E27FC236}">
                  <a16:creationId xmlns:a16="http://schemas.microsoft.com/office/drawing/2014/main" id="{A00D3F21-D515-4C8A-B4F9-74D8084BAC74}"/>
                </a:ext>
              </a:extLst>
            </xdr:cNvPr>
            <xdr:cNvPicPr/>
          </xdr:nvPicPr>
          <xdr:blipFill>
            <a:blip xmlns:r="http://schemas.openxmlformats.org/officeDocument/2006/relationships" r:embed="rId18"/>
            <a:stretch>
              <a:fillRect/>
            </a:stretch>
          </xdr:blipFill>
          <xdr:spPr>
            <a:xfrm>
              <a:off x="8724840" y="2057340"/>
              <a:ext cx="657000" cy="285480"/>
            </a:xfrm>
            <a:prstGeom prst="rect">
              <a:avLst/>
            </a:prstGeom>
          </xdr:spPr>
        </xdr:pic>
      </mc:Fallback>
    </mc:AlternateContent>
    <xdr:clientData/>
  </xdr:twoCellAnchor>
  <xdr:twoCellAnchor editAs="oneCell">
    <xdr:from>
      <xdr:col>25</xdr:col>
      <xdr:colOff>25320</xdr:colOff>
      <xdr:row>32</xdr:row>
      <xdr:rowOff>92820</xdr:rowOff>
    </xdr:from>
    <xdr:to>
      <xdr:col>25</xdr:col>
      <xdr:colOff>172920</xdr:colOff>
      <xdr:row>33</xdr:row>
      <xdr:rowOff>1320</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22" name="Ink 21">
              <a:extLst>
                <a:ext uri="{FF2B5EF4-FFF2-40B4-BE49-F238E27FC236}">
                  <a16:creationId xmlns:a16="http://schemas.microsoft.com/office/drawing/2014/main" id="{7BD4C94A-61B0-4CD6-BF6D-EFA7A6DEB2D9}"/>
                </a:ext>
              </a:extLst>
            </xdr14:cNvPr>
            <xdr14:cNvContentPartPr/>
          </xdr14:nvContentPartPr>
          <xdr14:nvPr macro=""/>
          <xdr14:xfrm>
            <a:off x="15265320" y="6188820"/>
            <a:ext cx="147600" cy="99000"/>
          </xdr14:xfrm>
        </xdr:contentPart>
      </mc:Choice>
      <mc:Fallback xmlns="">
        <xdr:pic>
          <xdr:nvPicPr>
            <xdr:cNvPr id="22" name="Ink 21">
              <a:extLst>
                <a:ext uri="{FF2B5EF4-FFF2-40B4-BE49-F238E27FC236}">
                  <a16:creationId xmlns:a16="http://schemas.microsoft.com/office/drawing/2014/main" id="{7BD4C94A-61B0-4CD6-BF6D-EFA7A6DEB2D9}"/>
                </a:ext>
              </a:extLst>
            </xdr:cNvPr>
            <xdr:cNvPicPr/>
          </xdr:nvPicPr>
          <xdr:blipFill>
            <a:blip xmlns:r="http://schemas.openxmlformats.org/officeDocument/2006/relationships" r:embed="rId20"/>
            <a:stretch>
              <a:fillRect/>
            </a:stretch>
          </xdr:blipFill>
          <xdr:spPr>
            <a:xfrm>
              <a:off x="15256320" y="6179820"/>
              <a:ext cx="165240" cy="116640"/>
            </a:xfrm>
            <a:prstGeom prst="rect">
              <a:avLst/>
            </a:prstGeom>
          </xdr:spPr>
        </xdr:pic>
      </mc:Fallback>
    </mc:AlternateContent>
    <xdr:clientData/>
  </xdr:twoCellAnchor>
  <xdr:twoCellAnchor editAs="oneCell">
    <xdr:from>
      <xdr:col>25</xdr:col>
      <xdr:colOff>26400</xdr:colOff>
      <xdr:row>31</xdr:row>
      <xdr:rowOff>7200</xdr:rowOff>
    </xdr:from>
    <xdr:to>
      <xdr:col>25</xdr:col>
      <xdr:colOff>177600</xdr:colOff>
      <xdr:row>31</xdr:row>
      <xdr:rowOff>126360</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3" name="Ink 22">
              <a:extLst>
                <a:ext uri="{FF2B5EF4-FFF2-40B4-BE49-F238E27FC236}">
                  <a16:creationId xmlns:a16="http://schemas.microsoft.com/office/drawing/2014/main" id="{CCC8ED8B-C4B9-4A2E-A27B-36D21495B53A}"/>
                </a:ext>
              </a:extLst>
            </xdr14:cNvPr>
            <xdr14:cNvContentPartPr/>
          </xdr14:nvContentPartPr>
          <xdr14:nvPr macro=""/>
          <xdr14:xfrm>
            <a:off x="15266400" y="5912700"/>
            <a:ext cx="151200" cy="119160"/>
          </xdr14:xfrm>
        </xdr:contentPart>
      </mc:Choice>
      <mc:Fallback xmlns="">
        <xdr:pic>
          <xdr:nvPicPr>
            <xdr:cNvPr id="23" name="Ink 22">
              <a:extLst>
                <a:ext uri="{FF2B5EF4-FFF2-40B4-BE49-F238E27FC236}">
                  <a16:creationId xmlns:a16="http://schemas.microsoft.com/office/drawing/2014/main" id="{CCC8ED8B-C4B9-4A2E-A27B-36D21495B53A}"/>
                </a:ext>
              </a:extLst>
            </xdr:cNvPr>
            <xdr:cNvPicPr/>
          </xdr:nvPicPr>
          <xdr:blipFill>
            <a:blip xmlns:r="http://schemas.openxmlformats.org/officeDocument/2006/relationships" r:embed="rId22"/>
            <a:stretch>
              <a:fillRect/>
            </a:stretch>
          </xdr:blipFill>
          <xdr:spPr>
            <a:xfrm>
              <a:off x="15257760" y="5903700"/>
              <a:ext cx="168840" cy="136800"/>
            </a:xfrm>
            <a:prstGeom prst="rect">
              <a:avLst/>
            </a:prstGeom>
          </xdr:spPr>
        </xdr:pic>
      </mc:Fallback>
    </mc:AlternateContent>
    <xdr:clientData/>
  </xdr:twoCellAnchor>
  <xdr:twoCellAnchor editAs="oneCell">
    <xdr:from>
      <xdr:col>32</xdr:col>
      <xdr:colOff>152400</xdr:colOff>
      <xdr:row>18</xdr:row>
      <xdr:rowOff>152400</xdr:rowOff>
    </xdr:from>
    <xdr:to>
      <xdr:col>44</xdr:col>
      <xdr:colOff>305842</xdr:colOff>
      <xdr:row>45</xdr:row>
      <xdr:rowOff>143592</xdr:rowOff>
    </xdr:to>
    <xdr:pic>
      <xdr:nvPicPr>
        <xdr:cNvPr id="25" name="Picture 24">
          <a:extLst>
            <a:ext uri="{FF2B5EF4-FFF2-40B4-BE49-F238E27FC236}">
              <a16:creationId xmlns:a16="http://schemas.microsoft.com/office/drawing/2014/main" id="{10EFBC0B-5F96-4676-87AA-CC9A3B43A033}"/>
            </a:ext>
          </a:extLst>
        </xdr:cNvPr>
        <xdr:cNvPicPr>
          <a:picLocks noChangeAspect="1"/>
        </xdr:cNvPicPr>
      </xdr:nvPicPr>
      <xdr:blipFill>
        <a:blip xmlns:r="http://schemas.openxmlformats.org/officeDocument/2006/relationships" r:embed="rId23"/>
        <a:stretch>
          <a:fillRect/>
        </a:stretch>
      </xdr:blipFill>
      <xdr:spPr>
        <a:xfrm>
          <a:off x="19659600" y="3581400"/>
          <a:ext cx="7468642" cy="5134692"/>
        </a:xfrm>
        <a:prstGeom prst="rect">
          <a:avLst/>
        </a:prstGeom>
      </xdr:spPr>
    </xdr:pic>
    <xdr:clientData/>
  </xdr:twoCellAnchor>
  <xdr:oneCellAnchor>
    <xdr:from>
      <xdr:col>35</xdr:col>
      <xdr:colOff>438150</xdr:colOff>
      <xdr:row>22</xdr:row>
      <xdr:rowOff>142875</xdr:rowOff>
    </xdr:from>
    <xdr:ext cx="4059573" cy="609013"/>
    <xdr:sp macro="" textlink="">
      <xdr:nvSpPr>
        <xdr:cNvPr id="19" name="TextBox 18">
          <a:extLst>
            <a:ext uri="{FF2B5EF4-FFF2-40B4-BE49-F238E27FC236}">
              <a16:creationId xmlns:a16="http://schemas.microsoft.com/office/drawing/2014/main" id="{035982E8-8CF3-4908-A443-B81FEB20CFD8}"/>
            </a:ext>
          </a:extLst>
        </xdr:cNvPr>
        <xdr:cNvSpPr txBox="1"/>
      </xdr:nvSpPr>
      <xdr:spPr>
        <a:xfrm>
          <a:off x="21774150" y="4333875"/>
          <a:ext cx="4059573" cy="609013"/>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At 010 TYP 2.7mA vs 100 TYP 5.4mA, delta of rise time is ~ 30ns</a:t>
          </a:r>
        </a:p>
        <a:p>
          <a:r>
            <a:rPr lang="en-US" sz="1100">
              <a:solidFill>
                <a:srgbClr val="00B0F0"/>
              </a:solidFill>
            </a:rPr>
            <a:t>At 011 SLOW 2.3mA vs 011 FAST 4.97mA, delta of rise time is ~10ns</a:t>
          </a:r>
        </a:p>
        <a:p>
          <a:r>
            <a:rPr lang="en-US" sz="1100">
              <a:solidFill>
                <a:sysClr val="windowText" lastClr="000000"/>
              </a:solidFill>
            </a:rPr>
            <a:t>Both current deltas are ~2.7mA, so expect similar rise time delta</a:t>
          </a:r>
        </a:p>
      </xdr:txBody>
    </xdr:sp>
    <xdr:clientData/>
  </xdr:oneCellAnchor>
  <xdr:twoCellAnchor editAs="oneCell">
    <xdr:from>
      <xdr:col>35</xdr:col>
      <xdr:colOff>6495</xdr:colOff>
      <xdr:row>28</xdr:row>
      <xdr:rowOff>141885</xdr:rowOff>
    </xdr:from>
    <xdr:to>
      <xdr:col>35</xdr:col>
      <xdr:colOff>249495</xdr:colOff>
      <xdr:row>29</xdr:row>
      <xdr:rowOff>87465</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6" name="Ink 25">
              <a:extLst>
                <a:ext uri="{FF2B5EF4-FFF2-40B4-BE49-F238E27FC236}">
                  <a16:creationId xmlns:a16="http://schemas.microsoft.com/office/drawing/2014/main" id="{239D0C22-73CA-4D5A-B9AC-48E077065C98}"/>
                </a:ext>
              </a:extLst>
            </xdr14:cNvPr>
            <xdr14:cNvContentPartPr/>
          </xdr14:nvContentPartPr>
          <xdr14:nvPr macro=""/>
          <xdr14:xfrm>
            <a:off x="21342495" y="5475885"/>
            <a:ext cx="243000" cy="136080"/>
          </xdr14:xfrm>
        </xdr:contentPart>
      </mc:Choice>
      <mc:Fallback xmlns="">
        <xdr:pic>
          <xdr:nvPicPr>
            <xdr:cNvPr id="26" name="Ink 25">
              <a:extLst>
                <a:ext uri="{FF2B5EF4-FFF2-40B4-BE49-F238E27FC236}">
                  <a16:creationId xmlns:a16="http://schemas.microsoft.com/office/drawing/2014/main" id="{239D0C22-73CA-4D5A-B9AC-48E077065C98}"/>
                </a:ext>
              </a:extLst>
            </xdr:cNvPr>
            <xdr:cNvPicPr/>
          </xdr:nvPicPr>
          <xdr:blipFill>
            <a:blip xmlns:r="http://schemas.openxmlformats.org/officeDocument/2006/relationships" r:embed="rId12"/>
            <a:stretch>
              <a:fillRect/>
            </a:stretch>
          </xdr:blipFill>
          <xdr:spPr>
            <a:xfrm>
              <a:off x="21333495" y="5467245"/>
              <a:ext cx="260640" cy="153720"/>
            </a:xfrm>
            <a:prstGeom prst="rect">
              <a:avLst/>
            </a:prstGeom>
          </xdr:spPr>
        </xdr:pic>
      </mc:Fallback>
    </mc:AlternateContent>
    <xdr:clientData/>
  </xdr:twoCellAnchor>
  <xdr:twoCellAnchor editAs="oneCell">
    <xdr:from>
      <xdr:col>37</xdr:col>
      <xdr:colOff>473625</xdr:colOff>
      <xdr:row>35</xdr:row>
      <xdr:rowOff>112125</xdr:rowOff>
    </xdr:from>
    <xdr:to>
      <xdr:col>37</xdr:col>
      <xdr:colOff>600345</xdr:colOff>
      <xdr:row>36</xdr:row>
      <xdr:rowOff>10545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7" name="Ink 26">
              <a:extLst>
                <a:ext uri="{FF2B5EF4-FFF2-40B4-BE49-F238E27FC236}">
                  <a16:creationId xmlns:a16="http://schemas.microsoft.com/office/drawing/2014/main" id="{5F91EAB7-2F1C-4E7B-92E8-CE39DAF09D4A}"/>
                </a:ext>
              </a:extLst>
            </xdr14:cNvPr>
            <xdr14:cNvContentPartPr/>
          </xdr14:nvContentPartPr>
          <xdr14:nvPr macro=""/>
          <xdr14:xfrm>
            <a:off x="23028825" y="6779625"/>
            <a:ext cx="126720" cy="88920"/>
          </xdr14:xfrm>
        </xdr:contentPart>
      </mc:Choice>
      <mc:Fallback xmlns="">
        <xdr:pic>
          <xdr:nvPicPr>
            <xdr:cNvPr id="27" name="Ink 26">
              <a:extLst>
                <a:ext uri="{FF2B5EF4-FFF2-40B4-BE49-F238E27FC236}">
                  <a16:creationId xmlns:a16="http://schemas.microsoft.com/office/drawing/2014/main" id="{5F91EAB7-2F1C-4E7B-92E8-CE39DAF09D4A}"/>
                </a:ext>
              </a:extLst>
            </xdr:cNvPr>
            <xdr:cNvPicPr/>
          </xdr:nvPicPr>
          <xdr:blipFill>
            <a:blip xmlns:r="http://schemas.openxmlformats.org/officeDocument/2006/relationships" r:embed="rId14"/>
            <a:stretch>
              <a:fillRect/>
            </a:stretch>
          </xdr:blipFill>
          <xdr:spPr>
            <a:xfrm>
              <a:off x="23020185" y="6770985"/>
              <a:ext cx="144360" cy="106560"/>
            </a:xfrm>
            <a:prstGeom prst="rect">
              <a:avLst/>
            </a:prstGeom>
          </xdr:spPr>
        </xdr:pic>
      </mc:Fallback>
    </mc:AlternateContent>
    <xdr:clientData/>
  </xdr:twoCellAnchor>
  <xdr:twoCellAnchor editAs="oneCell">
    <xdr:from>
      <xdr:col>36</xdr:col>
      <xdr:colOff>244395</xdr:colOff>
      <xdr:row>33</xdr:row>
      <xdr:rowOff>178545</xdr:rowOff>
    </xdr:from>
    <xdr:to>
      <xdr:col>36</xdr:col>
      <xdr:colOff>391995</xdr:colOff>
      <xdr:row>34</xdr:row>
      <xdr:rowOff>87045</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8" name="Ink 27">
              <a:extLst>
                <a:ext uri="{FF2B5EF4-FFF2-40B4-BE49-F238E27FC236}">
                  <a16:creationId xmlns:a16="http://schemas.microsoft.com/office/drawing/2014/main" id="{B06DCD84-EE95-4E25-B94B-D91C9A67AD84}"/>
                </a:ext>
              </a:extLst>
            </xdr14:cNvPr>
            <xdr14:cNvContentPartPr/>
          </xdr14:nvContentPartPr>
          <xdr14:nvPr macro=""/>
          <xdr14:xfrm>
            <a:off x="22189995" y="6465045"/>
            <a:ext cx="147600" cy="99000"/>
          </xdr14:xfrm>
        </xdr:contentPart>
      </mc:Choice>
      <mc:Fallback xmlns="">
        <xdr:pic>
          <xdr:nvPicPr>
            <xdr:cNvPr id="28" name="Ink 27">
              <a:extLst>
                <a:ext uri="{FF2B5EF4-FFF2-40B4-BE49-F238E27FC236}">
                  <a16:creationId xmlns:a16="http://schemas.microsoft.com/office/drawing/2014/main" id="{B06DCD84-EE95-4E25-B94B-D91C9A67AD84}"/>
                </a:ext>
              </a:extLst>
            </xdr:cNvPr>
            <xdr:cNvPicPr/>
          </xdr:nvPicPr>
          <xdr:blipFill>
            <a:blip xmlns:r="http://schemas.openxmlformats.org/officeDocument/2006/relationships" r:embed="rId20"/>
            <a:stretch>
              <a:fillRect/>
            </a:stretch>
          </xdr:blipFill>
          <xdr:spPr>
            <a:xfrm>
              <a:off x="22180995" y="6456045"/>
              <a:ext cx="165240" cy="116640"/>
            </a:xfrm>
            <a:prstGeom prst="rect">
              <a:avLst/>
            </a:prstGeom>
          </xdr:spPr>
        </xdr:pic>
      </mc:Fallback>
    </mc:AlternateContent>
    <xdr:clientData/>
  </xdr:twoCellAnchor>
  <xdr:twoCellAnchor editAs="oneCell">
    <xdr:from>
      <xdr:col>36</xdr:col>
      <xdr:colOff>245475</xdr:colOff>
      <xdr:row>31</xdr:row>
      <xdr:rowOff>169125</xdr:rowOff>
    </xdr:from>
    <xdr:to>
      <xdr:col>36</xdr:col>
      <xdr:colOff>396675</xdr:colOff>
      <xdr:row>32</xdr:row>
      <xdr:rowOff>97785</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9" name="Ink 28">
              <a:extLst>
                <a:ext uri="{FF2B5EF4-FFF2-40B4-BE49-F238E27FC236}">
                  <a16:creationId xmlns:a16="http://schemas.microsoft.com/office/drawing/2014/main" id="{20DDA143-641C-4B2B-B88F-52B6C9F71330}"/>
                </a:ext>
              </a:extLst>
            </xdr14:cNvPr>
            <xdr14:cNvContentPartPr/>
          </xdr14:nvContentPartPr>
          <xdr14:nvPr macro=""/>
          <xdr14:xfrm>
            <a:off x="22191075" y="6074625"/>
            <a:ext cx="151200" cy="119160"/>
          </xdr14:xfrm>
        </xdr:contentPart>
      </mc:Choice>
      <mc:Fallback xmlns="">
        <xdr:pic>
          <xdr:nvPicPr>
            <xdr:cNvPr id="29" name="Ink 28">
              <a:extLst>
                <a:ext uri="{FF2B5EF4-FFF2-40B4-BE49-F238E27FC236}">
                  <a16:creationId xmlns:a16="http://schemas.microsoft.com/office/drawing/2014/main" id="{20DDA143-641C-4B2B-B88F-52B6C9F71330}"/>
                </a:ext>
              </a:extLst>
            </xdr:cNvPr>
            <xdr:cNvPicPr/>
          </xdr:nvPicPr>
          <xdr:blipFill>
            <a:blip xmlns:r="http://schemas.openxmlformats.org/officeDocument/2006/relationships" r:embed="rId22"/>
            <a:stretch>
              <a:fillRect/>
            </a:stretch>
          </xdr:blipFill>
          <xdr:spPr>
            <a:xfrm>
              <a:off x="22182435" y="6065625"/>
              <a:ext cx="168840" cy="136800"/>
            </a:xfrm>
            <a:prstGeom prst="rect">
              <a:avLst/>
            </a:prstGeom>
          </xdr:spPr>
        </xdr:pic>
      </mc:Fallback>
    </mc:AlternateContent>
    <xdr:clientData/>
  </xdr:twoCellAnchor>
  <xdr:twoCellAnchor editAs="oneCell">
    <xdr:from>
      <xdr:col>1</xdr:col>
      <xdr:colOff>175260</xdr:colOff>
      <xdr:row>92</xdr:row>
      <xdr:rowOff>152400</xdr:rowOff>
    </xdr:from>
    <xdr:to>
      <xdr:col>8</xdr:col>
      <xdr:colOff>118404</xdr:colOff>
      <xdr:row>96</xdr:row>
      <xdr:rowOff>91440</xdr:rowOff>
    </xdr:to>
    <xdr:pic>
      <xdr:nvPicPr>
        <xdr:cNvPr id="12" name="Picture 11">
          <a:extLst>
            <a:ext uri="{FF2B5EF4-FFF2-40B4-BE49-F238E27FC236}">
              <a16:creationId xmlns:a16="http://schemas.microsoft.com/office/drawing/2014/main" id="{02FFC7E0-1259-448A-AA7A-6F2AAFED26DB}"/>
            </a:ext>
          </a:extLst>
        </xdr:cNvPr>
        <xdr:cNvPicPr>
          <a:picLocks noChangeAspect="1"/>
        </xdr:cNvPicPr>
      </xdr:nvPicPr>
      <xdr:blipFill>
        <a:blip xmlns:r="http://schemas.openxmlformats.org/officeDocument/2006/relationships" r:embed="rId28"/>
        <a:stretch>
          <a:fillRect/>
        </a:stretch>
      </xdr:blipFill>
      <xdr:spPr>
        <a:xfrm>
          <a:off x="784860" y="16977360"/>
          <a:ext cx="4210344" cy="670560"/>
        </a:xfrm>
        <a:prstGeom prst="rect">
          <a:avLst/>
        </a:prstGeom>
      </xdr:spPr>
    </xdr:pic>
    <xdr:clientData/>
  </xdr:twoCellAnchor>
  <xdr:twoCellAnchor editAs="oneCell">
    <xdr:from>
      <xdr:col>1</xdr:col>
      <xdr:colOff>198120</xdr:colOff>
      <xdr:row>72</xdr:row>
      <xdr:rowOff>22860</xdr:rowOff>
    </xdr:from>
    <xdr:to>
      <xdr:col>9</xdr:col>
      <xdr:colOff>142875</xdr:colOff>
      <xdr:row>91</xdr:row>
      <xdr:rowOff>67310</xdr:rowOff>
    </xdr:to>
    <xdr:pic>
      <xdr:nvPicPr>
        <xdr:cNvPr id="30" name="Picture 29">
          <a:extLst>
            <a:ext uri="{FF2B5EF4-FFF2-40B4-BE49-F238E27FC236}">
              <a16:creationId xmlns:a16="http://schemas.microsoft.com/office/drawing/2014/main" id="{ACEDDC21-8302-4EA4-B765-B71BF511E982}"/>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807720" y="13190220"/>
          <a:ext cx="4821555" cy="3519170"/>
        </a:xfrm>
        <a:prstGeom prst="rect">
          <a:avLst/>
        </a:prstGeom>
        <a:noFill/>
        <a:ln>
          <a:solidFill>
            <a:schemeClr val="accent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97</xdr:row>
      <xdr:rowOff>15240</xdr:rowOff>
    </xdr:from>
    <xdr:to>
      <xdr:col>5</xdr:col>
      <xdr:colOff>45721</xdr:colOff>
      <xdr:row>100</xdr:row>
      <xdr:rowOff>145397</xdr:rowOff>
    </xdr:to>
    <xdr:pic>
      <xdr:nvPicPr>
        <xdr:cNvPr id="13" name="Picture 12">
          <a:extLst>
            <a:ext uri="{FF2B5EF4-FFF2-40B4-BE49-F238E27FC236}">
              <a16:creationId xmlns:a16="http://schemas.microsoft.com/office/drawing/2014/main" id="{E272B696-38AC-4F0F-835A-9A235CF886C9}"/>
            </a:ext>
          </a:extLst>
        </xdr:cNvPr>
        <xdr:cNvPicPr>
          <a:picLocks noChangeAspect="1"/>
        </xdr:cNvPicPr>
      </xdr:nvPicPr>
      <xdr:blipFill>
        <a:blip xmlns:r="http://schemas.openxmlformats.org/officeDocument/2006/relationships" r:embed="rId30"/>
        <a:stretch>
          <a:fillRect/>
        </a:stretch>
      </xdr:blipFill>
      <xdr:spPr>
        <a:xfrm>
          <a:off x="800101" y="17754600"/>
          <a:ext cx="2293620" cy="67879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200025</xdr:colOff>
      <xdr:row>62</xdr:row>
      <xdr:rowOff>161925</xdr:rowOff>
    </xdr:to>
    <xdr:sp macro="" textlink="">
      <xdr:nvSpPr>
        <xdr:cNvPr id="2" name="Rectangle 1">
          <a:extLst>
            <a:ext uri="{FF2B5EF4-FFF2-40B4-BE49-F238E27FC236}">
              <a16:creationId xmlns:a16="http://schemas.microsoft.com/office/drawing/2014/main" id="{217B3E0F-F674-4BAD-AF99-9E27860F20D5}"/>
            </a:ext>
          </a:extLst>
        </xdr:cNvPr>
        <xdr:cNvSpPr/>
      </xdr:nvSpPr>
      <xdr:spPr>
        <a:xfrm>
          <a:off x="0" y="0"/>
          <a:ext cx="5686425" cy="119729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u="sng">
              <a:solidFill>
                <a:srgbClr val="FF0000"/>
              </a:solidFill>
            </a:rPr>
            <a:t>Deadline:</a:t>
          </a:r>
          <a:r>
            <a:rPr lang="en-US" sz="1100" b="1" u="sng" baseline="0">
              <a:solidFill>
                <a:srgbClr val="FF0000"/>
              </a:solidFill>
            </a:rPr>
            <a:t> WW24</a:t>
          </a:r>
          <a:endParaRPr lang="en-US" sz="1100" b="1" u="sng">
            <a:solidFill>
              <a:srgbClr val="FF0000"/>
            </a:solidFill>
          </a:endParaRPr>
        </a:p>
        <a:p>
          <a:pPr algn="l"/>
          <a:endParaRPr lang="en-US" sz="1100" b="1" u="sng"/>
        </a:p>
        <a:p>
          <a:endParaRPr lang="en-US">
            <a:effectLst/>
          </a:endParaRPr>
        </a:p>
        <a:p>
          <a:r>
            <a:rPr lang="en-US" sz="1100" b="1" baseline="0">
              <a:solidFill>
                <a:schemeClr val="dk1"/>
              </a:solidFill>
              <a:effectLst/>
              <a:latin typeface="+mn-lt"/>
              <a:ea typeface="+mn-ea"/>
              <a:cs typeface="+mn-cs"/>
            </a:rPr>
            <a:t>WW17</a:t>
          </a:r>
          <a:endParaRPr lang="en-US">
            <a:effectLst/>
          </a:endParaRPr>
        </a:p>
        <a:p>
          <a:r>
            <a:rPr lang="en-US" sz="1100" b="1" baseline="0">
              <a:solidFill>
                <a:srgbClr val="00B050"/>
              </a:solidFill>
              <a:effectLst/>
              <a:latin typeface="+mn-lt"/>
              <a:ea typeface="+mn-ea"/>
              <a:cs typeface="+mn-cs"/>
            </a:rPr>
            <a:t>-proof of concept of commmon solution between std/fastmode with high speed</a:t>
          </a:r>
          <a:endParaRPr lang="en-US">
            <a:solidFill>
              <a:srgbClr val="00B050"/>
            </a:solidFill>
            <a:effectLst/>
          </a:endParaRPr>
        </a:p>
        <a:p>
          <a:r>
            <a:rPr lang="en-US" sz="1100" b="1" baseline="0">
              <a:solidFill>
                <a:srgbClr val="00B050"/>
              </a:solidFill>
              <a:effectLst/>
              <a:latin typeface="+mn-lt"/>
              <a:ea typeface="+mn-ea"/>
              <a:cs typeface="+mn-cs"/>
            </a:rPr>
            <a:t>-debug issue with board PU range showing no soln/9100ohm</a:t>
          </a:r>
          <a:endParaRPr lang="en-US">
            <a:solidFill>
              <a:srgbClr val="00B050"/>
            </a:solidFill>
            <a:effectLst/>
          </a:endParaRPr>
        </a:p>
        <a:p>
          <a:r>
            <a:rPr lang="en-US" sz="1100" b="1" baseline="0">
              <a:solidFill>
                <a:srgbClr val="00B050"/>
              </a:solidFill>
              <a:effectLst/>
              <a:latin typeface="+mn-lt"/>
              <a:ea typeface="+mn-ea"/>
              <a:cs typeface="+mn-cs"/>
            </a:rPr>
            <a:t>-create dedicated std/fast mode column tabs for each high speed mode (1.7 vs 3.4, clk vs data)</a:t>
          </a:r>
          <a:endParaRPr lang="en-US">
            <a:solidFill>
              <a:srgbClr val="00B050"/>
            </a:solidFill>
            <a:effectLst/>
          </a:endParaRPr>
        </a:p>
        <a:p>
          <a:pPr algn="l"/>
          <a:endParaRPr lang="en-US" sz="1100" b="1" u="sng"/>
        </a:p>
        <a:p>
          <a:pPr algn="l"/>
          <a:endParaRPr lang="en-US" sz="1100" b="1" u="sng"/>
        </a:p>
        <a:p>
          <a:pPr algn="l"/>
          <a:r>
            <a:rPr lang="en-US" sz="1100" b="1" u="sng"/>
            <a:t>List of features</a:t>
          </a:r>
          <a:r>
            <a:rPr lang="en-US" sz="1100" b="1" u="sng" baseline="0"/>
            <a:t> pending:</a:t>
          </a:r>
        </a:p>
        <a:p>
          <a:pPr algn="l"/>
          <a:r>
            <a:rPr lang="en-US" sz="1100" b="0" u="sng" baseline="0"/>
            <a:t>1. Current assist support for High Speed I2C CLK</a:t>
          </a:r>
        </a:p>
        <a:p>
          <a:r>
            <a:rPr lang="en-US" sz="1100" baseline="0">
              <a:solidFill>
                <a:schemeClr val="accent1"/>
              </a:solidFill>
            </a:rPr>
            <a:t>- use simulation to establish formula to calculate rise time using current assist</a:t>
          </a:r>
          <a:endParaRPr lang="en-US">
            <a:solidFill>
              <a:schemeClr val="accent1"/>
            </a:solidFill>
            <a:effectLst/>
          </a:endParaRPr>
        </a:p>
        <a:p>
          <a:r>
            <a:rPr lang="en-US" sz="1100" baseline="0">
              <a:solidFill>
                <a:srgbClr val="00B050"/>
              </a:solidFill>
              <a:effectLst/>
              <a:latin typeface="+mn-lt"/>
              <a:ea typeface="+mn-ea"/>
              <a:cs typeface="+mn-cs"/>
            </a:rPr>
            <a:t>- compatible with non-high speed I2C</a:t>
          </a:r>
        </a:p>
        <a:p>
          <a:r>
            <a:rPr lang="en-US" sz="1100" baseline="0">
              <a:solidFill>
                <a:srgbClr val="00B050"/>
              </a:solidFill>
              <a:effectLst/>
              <a:latin typeface="+mn-lt"/>
              <a:ea typeface="+mn-ea"/>
              <a:cs typeface="+mn-cs"/>
            </a:rPr>
            <a:t>    -need to make board PU user input (not auto), to allow check for HS I2C to use same PU across speed modes</a:t>
          </a:r>
        </a:p>
        <a:p>
          <a:r>
            <a:rPr lang="en-US" sz="1100" baseline="0">
              <a:solidFill>
                <a:srgbClr val="00B050"/>
              </a:solidFill>
              <a:effectLst/>
              <a:latin typeface="+mn-lt"/>
              <a:ea typeface="+mn-ea"/>
              <a:cs typeface="+mn-cs"/>
            </a:rPr>
            <a:t>- one spreadsheet support all speed modes</a:t>
          </a:r>
        </a:p>
        <a:p>
          <a:r>
            <a:rPr lang="en-US" sz="1100" baseline="0">
              <a:solidFill>
                <a:srgbClr val="00B050"/>
              </a:solidFill>
              <a:effectLst/>
              <a:latin typeface="+mn-lt"/>
              <a:ea typeface="+mn-ea"/>
              <a:cs typeface="+mn-cs"/>
            </a:rPr>
            <a:t>   -color coding for pass/fail/recommendation, input</a:t>
          </a:r>
        </a:p>
        <a:p>
          <a:r>
            <a:rPr lang="en-US" sz="1100" baseline="0">
              <a:solidFill>
                <a:schemeClr val="dk1"/>
              </a:solidFill>
              <a:effectLst/>
              <a:latin typeface="+mn-lt"/>
              <a:ea typeface="+mn-ea"/>
              <a:cs typeface="+mn-cs"/>
            </a:rPr>
            <a:t>- current assist setting standardization - use nominal value and spec min/max</a:t>
          </a:r>
        </a:p>
        <a:p>
          <a:r>
            <a:rPr lang="en-US" sz="1100" baseline="0">
              <a:solidFill>
                <a:srgbClr val="00B050"/>
              </a:solidFill>
              <a:effectLst/>
              <a:latin typeface="+mn-lt"/>
              <a:ea typeface="+mn-ea"/>
              <a:cs typeface="+mn-cs"/>
            </a:rPr>
            <a:t>- enable feature to set tab name as variable/input such that future new tabs can easily reference same pointers</a:t>
          </a:r>
          <a:endParaRPr lang="en-US" sz="1100" baseline="0">
            <a:solidFill>
              <a:sysClr val="windowText" lastClr="000000"/>
            </a:solidFill>
            <a:effectLst/>
            <a:latin typeface="+mn-lt"/>
            <a:ea typeface="+mn-ea"/>
            <a:cs typeface="+mn-cs"/>
          </a:endParaRPr>
        </a:p>
        <a:p>
          <a:r>
            <a:rPr lang="en-US" sz="1100" b="0" baseline="0">
              <a:solidFill>
                <a:srgbClr val="00B050"/>
              </a:solidFill>
              <a:effectLst/>
              <a:latin typeface="+mn-lt"/>
              <a:ea typeface="+mn-ea"/>
              <a:cs typeface="+mn-cs"/>
            </a:rPr>
            <a:t>-for CLK current assist tabs, need to take care of (disable?) Intel Rx parameters to avoid false failures</a:t>
          </a:r>
        </a:p>
        <a:p>
          <a:r>
            <a:rPr lang="en-US" sz="1100" b="1" baseline="0">
              <a:solidFill>
                <a:sysClr val="windowText" lastClr="000000"/>
              </a:solidFill>
              <a:effectLst/>
              <a:latin typeface="+mn-lt"/>
              <a:ea typeface="+mn-ea"/>
              <a:cs typeface="+mn-cs"/>
            </a:rPr>
            <a:t>-check previous lab correlation data using current assist (iCL?)</a:t>
          </a:r>
        </a:p>
        <a:p>
          <a:pPr algn="l"/>
          <a:endParaRPr lang="en-US" sz="1100" baseline="0"/>
        </a:p>
        <a:p>
          <a:pPr algn="l"/>
          <a:r>
            <a:rPr lang="en-US" sz="1100" baseline="0"/>
            <a:t>Next step:</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rgbClr val="00B050"/>
              </a:solidFill>
              <a:effectLst/>
              <a:latin typeface="+mn-lt"/>
              <a:ea typeface="+mn-ea"/>
              <a:cs typeface="+mn-cs"/>
            </a:rPr>
            <a:t>(compare waveform + rise times with/without current assist)</a:t>
          </a:r>
          <a:endParaRPr lang="en-US" sz="1100" baseline="0">
            <a:solidFill>
              <a:srgbClr val="00B050"/>
            </a:solidFill>
          </a:endParaRPr>
        </a:p>
        <a:p>
          <a:pPr algn="l"/>
          <a:r>
            <a:rPr lang="en-US" sz="1100" baseline="0">
              <a:solidFill>
                <a:srgbClr val="00B050"/>
              </a:solidFill>
            </a:rPr>
            <a:t>- check with smaller load/length </a:t>
          </a:r>
        </a:p>
        <a:p>
          <a:pPr algn="l"/>
          <a:r>
            <a:rPr lang="en-US" sz="1100" baseline="0">
              <a:solidFill>
                <a:srgbClr val="00B050"/>
              </a:solidFill>
            </a:rPr>
            <a:t>- check with max current setting</a:t>
          </a:r>
        </a:p>
        <a:p>
          <a:pPr algn="l"/>
          <a:r>
            <a:rPr lang="en-US" sz="1100" baseline="0">
              <a:solidFill>
                <a:srgbClr val="00B050"/>
              </a:solidFill>
            </a:rPr>
            <a:t>- check across SKEW</a:t>
          </a:r>
        </a:p>
        <a:p>
          <a:pPr algn="l"/>
          <a:r>
            <a:rPr lang="en-US" sz="1100" baseline="0">
              <a:solidFill>
                <a:srgbClr val="00B050"/>
              </a:solidFill>
            </a:rPr>
            <a:t>- get actual current assist numbers from TSMC buffer report?</a:t>
          </a:r>
        </a:p>
        <a:p>
          <a:pPr algn="l"/>
          <a:r>
            <a:rPr lang="en-US" sz="1100" strike="sngStrike" baseline="0">
              <a:solidFill>
                <a:sysClr val="windowText" lastClr="000000"/>
              </a:solidFill>
            </a:rPr>
            <a:t>- repeat for SEC (SEC IBIS missing model with no current assist)</a:t>
          </a:r>
        </a:p>
        <a:p>
          <a:pPr algn="l"/>
          <a:r>
            <a:rPr lang="en-US" sz="1100" baseline="0">
              <a:solidFill>
                <a:schemeClr val="accent2"/>
              </a:solidFill>
            </a:rPr>
            <a:t>-establish GB based on sim data</a:t>
          </a:r>
        </a:p>
        <a:p>
          <a:pPr algn="l"/>
          <a:r>
            <a:rPr lang="en-US" sz="1100" baseline="0">
              <a:solidFill>
                <a:schemeClr val="accent2"/>
              </a:solidFill>
            </a:rPr>
            <a:t>-ask Sabya for TSMC i2c IBIS with current assist correlation report, suspect IBIS doesnt reflect actual numbers reported </a:t>
          </a:r>
        </a:p>
        <a:p>
          <a:pPr algn="l"/>
          <a:r>
            <a:rPr lang="en-US" sz="1100" baseline="0">
              <a:solidFill>
                <a:schemeClr val="accent2"/>
              </a:solidFill>
            </a:rPr>
            <a:t>- follow up with Manu on current assist correlation</a:t>
          </a:r>
        </a:p>
        <a:p>
          <a:pPr algn="l"/>
          <a:endParaRPr lang="en-US" sz="1100" baseline="0">
            <a:solidFill>
              <a:srgbClr val="00B050"/>
            </a:solidFill>
          </a:endParaRPr>
        </a:p>
        <a:p>
          <a:pPr algn="l"/>
          <a:r>
            <a:rPr lang="en-US" sz="1100" baseline="0">
              <a:solidFill>
                <a:srgbClr val="00B050"/>
              </a:solidFill>
            </a:rPr>
            <a:t>-add CLK specific calculation for rise time and VLOW incorporating for current assist (only for Device Rx and high speed)</a:t>
          </a:r>
        </a:p>
        <a:p>
          <a:pPr algn="l"/>
          <a:r>
            <a:rPr lang="en-US" sz="1100" baseline="0">
              <a:solidFill>
                <a:srgbClr val="00B050"/>
              </a:solidFill>
            </a:rPr>
            <a:t>-add separate logic to calculate n recommend external PU for CLK - </a:t>
          </a:r>
          <a:r>
            <a:rPr lang="en-US" sz="1100" b="1" baseline="0">
              <a:solidFill>
                <a:srgbClr val="00B050"/>
              </a:solidFill>
            </a:rPr>
            <a:t>add separate tab for CLK and DATA</a:t>
          </a:r>
        </a:p>
        <a:p>
          <a:pPr lvl="1" algn="l"/>
          <a:endParaRPr lang="en-US" sz="1100" baseline="0"/>
        </a:p>
        <a:p>
          <a:pPr algn="l"/>
          <a:r>
            <a:rPr lang="en-US" sz="1100" baseline="0">
              <a:solidFill>
                <a:srgbClr val="00B050"/>
              </a:solidFill>
            </a:rPr>
            <a:t>2. Intel SOC PD selection - defaults to 100ohm, and gets stronger if necessary to meet VIL requirement </a:t>
          </a:r>
          <a:r>
            <a:rPr lang="en-US" sz="1100" b="1" baseline="0">
              <a:solidFill>
                <a:srgbClr val="00B050"/>
              </a:solidFill>
            </a:rPr>
            <a:t>(done)</a:t>
          </a:r>
        </a:p>
        <a:p>
          <a:pPr algn="l"/>
          <a:r>
            <a:rPr lang="en-US" sz="1100" baseline="0">
              <a:solidFill>
                <a:srgbClr val="00B050"/>
              </a:solidFill>
            </a:rPr>
            <a:t>-Option1: if VIL fail, add prompt to user to use stronger PD </a:t>
          </a:r>
          <a:r>
            <a:rPr lang="en-US" sz="1100" b="1" baseline="0">
              <a:solidFill>
                <a:srgbClr val="00B050"/>
              </a:solidFill>
            </a:rPr>
            <a:t>(done)</a:t>
          </a:r>
        </a:p>
        <a:p>
          <a:pPr algn="l"/>
          <a:r>
            <a:rPr lang="en-US" sz="1100" strike="noStrike" baseline="0">
              <a:solidFill>
                <a:srgbClr val="00B050"/>
              </a:solidFill>
            </a:rPr>
            <a:t>color trace length cell to red if failing/no solution </a:t>
          </a:r>
          <a:r>
            <a:rPr lang="en-US" sz="1100" b="1" strike="noStrike" baseline="0">
              <a:solidFill>
                <a:srgbClr val="00B050"/>
              </a:solidFill>
            </a:rPr>
            <a:t>(done)</a:t>
          </a:r>
        </a:p>
        <a:p>
          <a:pPr algn="l"/>
          <a:r>
            <a:rPr lang="en-US" sz="1100" strike="sngStrike" baseline="0">
              <a:solidFill>
                <a:srgbClr val="00B050"/>
              </a:solidFill>
            </a:rPr>
            <a:t>-Option2: create logic to automatically use next level of PD</a:t>
          </a:r>
        </a:p>
        <a:p>
          <a:pPr algn="l"/>
          <a:r>
            <a:rPr lang="en-US" sz="1100" baseline="0">
              <a:solidFill>
                <a:srgbClr val="00B050"/>
              </a:solidFill>
            </a:rPr>
            <a:t>-for Device PD, incorporate a range of PD strength according to industry spec </a:t>
          </a:r>
          <a:r>
            <a:rPr lang="en-US" sz="1100" b="1" baseline="0">
              <a:solidFill>
                <a:srgbClr val="00B050"/>
              </a:solidFill>
            </a:rPr>
            <a:t>(done? assume 40 - 200ohm)</a:t>
          </a:r>
        </a:p>
        <a:p>
          <a:pPr algn="l"/>
          <a:r>
            <a:rPr lang="en-US" sz="1100" baseline="0">
              <a:solidFill>
                <a:srgbClr val="00B050"/>
              </a:solidFill>
            </a:rPr>
            <a:t>-give selection of available PD (different per project)</a:t>
          </a:r>
        </a:p>
        <a:p>
          <a:r>
            <a:rPr lang="en-US" sz="1100" baseline="0">
              <a:solidFill>
                <a:srgbClr val="00B050"/>
              </a:solidFill>
            </a:rPr>
            <a:t>4. Enable support for multiple devices</a:t>
          </a:r>
          <a:r>
            <a:rPr lang="en-US" sz="1100">
              <a:solidFill>
                <a:schemeClr val="dk1"/>
              </a:solidFill>
              <a:effectLst/>
              <a:latin typeface="+mn-lt"/>
              <a:ea typeface="+mn-ea"/>
              <a:cs typeface="+mn-cs"/>
            </a:rPr>
            <a:t>6</a:t>
          </a:r>
          <a:r>
            <a:rPr lang="en-US" sz="1100">
              <a:solidFill>
                <a:srgbClr val="00B050"/>
              </a:solidFill>
              <a:effectLst/>
              <a:latin typeface="+mn-lt"/>
              <a:ea typeface="+mn-ea"/>
              <a:cs typeface="+mn-cs"/>
            </a:rPr>
            <a:t>. How</a:t>
          </a:r>
          <a:r>
            <a:rPr lang="en-US" sz="1100" baseline="0">
              <a:solidFill>
                <a:srgbClr val="00B050"/>
              </a:solidFill>
              <a:effectLst/>
              <a:latin typeface="+mn-lt"/>
              <a:ea typeface="+mn-ea"/>
              <a:cs typeface="+mn-cs"/>
            </a:rPr>
            <a:t> to lock individual cells?</a:t>
          </a:r>
          <a:endParaRPr lang="en-US">
            <a:effectLst/>
          </a:endParaRPr>
        </a:p>
        <a:p>
          <a:r>
            <a:rPr lang="en-US" sz="1100" baseline="0">
              <a:solidFill>
                <a:schemeClr val="dk1"/>
              </a:solidFill>
              <a:effectLst/>
              <a:latin typeface="+mn-lt"/>
              <a:ea typeface="+mn-ea"/>
              <a:cs typeface="+mn-cs"/>
            </a:rPr>
            <a:t>3. Enable calculator for SMBUS/SMLINK (uses absolute toggling threshold vs relative 0.3/0.7)</a:t>
          </a:r>
          <a:endParaRPr lang="en-US">
            <a:effectLst/>
          </a:endParaRPr>
        </a:p>
        <a:p>
          <a:pPr algn="l"/>
          <a:endParaRPr lang="en-US" sz="1100" baseline="0">
            <a:solidFill>
              <a:srgbClr val="00B050"/>
            </a:solidFill>
            <a:effectLst/>
            <a:latin typeface="+mn-lt"/>
            <a:ea typeface="+mn-ea"/>
            <a:cs typeface="+mn-cs"/>
          </a:endParaRPr>
        </a:p>
        <a:p>
          <a:r>
            <a:rPr lang="en-US" sz="1100" baseline="0">
              <a:solidFill>
                <a:schemeClr val="dk1"/>
              </a:solidFill>
              <a:effectLst/>
              <a:latin typeface="+mn-lt"/>
              <a:ea typeface="+mn-ea"/>
              <a:cs typeface="+mn-cs"/>
            </a:rPr>
            <a:t>7. Enable Tx pad CLK rise time calculation (only consider pullup, no board R component) to publish to silicon team to meet</a:t>
          </a:r>
          <a:endParaRPr lang="en-US">
            <a:effectLst/>
          </a:endParaRPr>
        </a:p>
        <a:p>
          <a:r>
            <a:rPr lang="en-US" sz="1100" baseline="0">
              <a:solidFill>
                <a:schemeClr val="dk1"/>
              </a:solidFill>
              <a:effectLst/>
              <a:latin typeface="+mn-lt"/>
              <a:ea typeface="+mn-ea"/>
              <a:cs typeface="+mn-cs"/>
            </a:rPr>
            <a:t>2. Level shifter feature implementation, for passive LS that separate CKT, need to discuss n get input from RVP team</a:t>
          </a:r>
          <a:endParaRPr lang="en-US">
            <a:effectLst/>
          </a:endParaRPr>
        </a:p>
        <a:p>
          <a:r>
            <a:rPr lang="en-US" sz="1100" baseline="0">
              <a:solidFill>
                <a:schemeClr val="dk1"/>
              </a:solidFill>
              <a:effectLst/>
              <a:latin typeface="+mn-lt"/>
              <a:ea typeface="+mn-ea"/>
              <a:cs typeface="+mn-cs"/>
            </a:rPr>
            <a:t>3. MB component resistance does not consider placement</a:t>
          </a:r>
          <a:endParaRPr lang="en-US">
            <a:effectLst/>
          </a:endParaRPr>
        </a:p>
        <a:p>
          <a:pPr algn="l"/>
          <a:endParaRPr lang="en-US" sz="1100" baseline="0"/>
        </a:p>
        <a:p>
          <a:pPr algn="l"/>
          <a:endParaRPr lang="en-US" sz="1100" baseline="0"/>
        </a:p>
        <a:p>
          <a:pPr algn="l"/>
          <a:r>
            <a:rPr lang="en-US" sz="1100" baseline="0"/>
            <a:t>Known issues:</a:t>
          </a:r>
        </a:p>
        <a:p>
          <a:pPr algn="l"/>
          <a:r>
            <a:rPr lang="en-US" sz="1100" baseline="0">
              <a:solidFill>
                <a:srgbClr val="00B050"/>
              </a:solidFill>
            </a:rPr>
            <a:t>1. Current assist options cannot have empty cell in between. For now, need to get tool to return error/warning on summary page to indicate issue</a:t>
          </a:r>
        </a:p>
        <a:p>
          <a:pPr algn="l"/>
          <a:r>
            <a:rPr lang="en-US" sz="1100" baseline="0">
              <a:solidFill>
                <a:srgbClr val="00B050"/>
              </a:solidFill>
            </a:rPr>
            <a:t>4. Platform recommendation only considers max rise time spec, doesnt consider min rise and max fall. Need to update conditions</a:t>
          </a:r>
        </a:p>
        <a:p>
          <a:pPr algn="l"/>
          <a:r>
            <a:rPr lang="en-US" sz="1100" baseline="0">
              <a:solidFill>
                <a:srgbClr val="00B050"/>
              </a:solidFill>
            </a:rPr>
            <a:t>5. need to update the calculated max/min rise/fall time to point to the R values with tolerance (bottom part of page)</a:t>
          </a:r>
        </a:p>
        <a:p>
          <a:pPr algn="l"/>
          <a:r>
            <a:rPr lang="en-US" sz="1100" baseline="0">
              <a:solidFill>
                <a:srgbClr val="00B050"/>
              </a:solidFill>
            </a:rPr>
            <a:t>6. debug why min rise time is failing</a:t>
          </a:r>
        </a:p>
        <a:p>
          <a:pPr algn="l"/>
          <a:r>
            <a:rPr lang="en-US" sz="1100" baseline="0">
              <a:solidFill>
                <a:srgbClr val="00B050"/>
              </a:solidFill>
            </a:rPr>
            <a:t>7. enable feature that covers range of trace capacitance/resistance across PVT (currently only covers max)</a:t>
          </a:r>
        </a:p>
        <a:p>
          <a:pPr algn="l"/>
          <a:endParaRPr lang="en-US" sz="1100" baseline="0"/>
        </a:p>
        <a:p>
          <a:pPr algn="l"/>
          <a:endParaRPr lang="en-US" sz="1100" baseline="0"/>
        </a:p>
        <a:p>
          <a:pPr algn="l"/>
          <a:endParaRPr lang="en-US" sz="1100" baseline="0"/>
        </a:p>
        <a:p>
          <a:pPr algn="l"/>
          <a:r>
            <a:rPr lang="en-US" sz="1100" baseline="0"/>
            <a:t>I2C PDG strategy</a:t>
          </a:r>
        </a:p>
        <a:p>
          <a:pPr algn="l"/>
          <a:r>
            <a:rPr lang="en-US" sz="1100" baseline="0"/>
            <a:t>deploy calculator as individual spreadsheet (separate from IPDS), can attach into PIER. Have a note in PDG to refer to attachment. Send note to CCE to inform on this</a:t>
          </a:r>
        </a:p>
        <a:p>
          <a:pPr algn="l"/>
          <a:r>
            <a:rPr lang="en-US" sz="1100" baseline="0"/>
            <a:t>While still working out calculator, need to work with RVP team to give point solution on RVP routing</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point.amr.ith.intel.com/Users/suphilli/AppData/Local/Microsoft/Windows/Temporary%20Internet%20Files/Content.Outlook/E58XW6F9/Lynx%20point%20Tech%20PO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ntel.sharepoint.com/Users/ctan80/Desktop/SIE/PDG/TGL_U/TGL-UY_Mainstream_iPDG_Rev1p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PT POP L3 LZ"/>
      <sheetName val="Package"/>
      <sheetName val="Power Commits"/>
      <sheetName val="RST 12 SW POR"/>
      <sheetName val="LPT POR Schedule"/>
      <sheetName val="Platform Tech POR"/>
      <sheetName val="ME 9.0 Tech POR"/>
      <sheetName val="USB 3.0 SW POR"/>
      <sheetName val="LPT Requirements from HSD"/>
      <sheetName val="LPT C-specs"/>
    </sheetNames>
    <sheetDataSet>
      <sheetData sheetId="0" refreshError="1"/>
      <sheetData sheetId="1" refreshError="1"/>
      <sheetData sheetId="2" refreshError="1"/>
      <sheetData sheetId="3" refreshError="1"/>
      <sheetData sheetId="4">
        <row r="4">
          <cell r="A4" t="str">
            <v>Milestone</v>
          </cell>
          <cell r="B4" t="str">
            <v>Commit</v>
          </cell>
          <cell r="C4" t="str">
            <v>Actual</v>
          </cell>
        </row>
        <row r="5">
          <cell r="A5" t="str">
            <v>Milestones</v>
          </cell>
          <cell r="B5" t="str">
            <v>L3 Commit</v>
          </cell>
          <cell r="C5" t="str">
            <v>External Shark Bay PXT PPOPL3</v>
          </cell>
          <cell r="D5" t="str">
            <v>Internal Drive To Schedule</v>
          </cell>
        </row>
        <row r="6">
          <cell r="A6" t="str">
            <v>POPL1</v>
          </cell>
          <cell r="B6" t="str">
            <v>ww50'09</v>
          </cell>
          <cell r="C6" t="str">
            <v>ww05'10</v>
          </cell>
        </row>
        <row r="7">
          <cell r="A7" t="str">
            <v>PRD 0.8</v>
          </cell>
          <cell r="B7" t="str">
            <v>NA</v>
          </cell>
          <cell r="C7" t="str">
            <v>ww21'10; ww24'10 USB3</v>
          </cell>
        </row>
        <row r="8">
          <cell r="A8" t="str">
            <v>POPL2</v>
          </cell>
          <cell r="B8" t="str">
            <v>ww21'10</v>
          </cell>
          <cell r="C8" t="str">
            <v>ww39'10</v>
          </cell>
        </row>
        <row r="9">
          <cell r="A9" t="str">
            <v>POPL3</v>
          </cell>
          <cell r="B9" t="str">
            <v>ww39'10</v>
          </cell>
          <cell r="C9" t="str">
            <v>ww32.5'11</v>
          </cell>
        </row>
        <row r="10">
          <cell r="A10" t="str">
            <v>A0 Base Tape in</v>
          </cell>
          <cell r="B10" t="str">
            <v>ww33'11</v>
          </cell>
        </row>
        <row r="11">
          <cell r="A11" t="str">
            <v>A0 PO</v>
          </cell>
          <cell r="B11" t="str">
            <v>ww40'11</v>
          </cell>
        </row>
        <row r="12">
          <cell r="A12" t="str">
            <v>A1 TI</v>
          </cell>
          <cell r="B12" t="str">
            <v>ww44'11</v>
          </cell>
          <cell r="D12" t="str">
            <v>ww47'11</v>
          </cell>
        </row>
        <row r="13">
          <cell r="A13" t="str">
            <v>Pre-Alpha (A0) - internal drop</v>
          </cell>
          <cell r="B13" t="str">
            <v>ww52'11</v>
          </cell>
          <cell r="D13" t="str">
            <v>ww52'11</v>
          </cell>
        </row>
        <row r="14">
          <cell r="A14" t="str">
            <v>A1 PO</v>
          </cell>
          <cell r="B14" t="str">
            <v>ww48'11</v>
          </cell>
          <cell r="D14" t="str">
            <v>ww53'11</v>
          </cell>
        </row>
        <row r="15">
          <cell r="A15" t="str">
            <v>ES0 (A1)</v>
          </cell>
          <cell r="B15" t="str">
            <v>na</v>
          </cell>
          <cell r="C15" t="str">
            <v>ww15'12</v>
          </cell>
          <cell r="D15" t="str">
            <v>ww05'12 (A1)</v>
          </cell>
        </row>
        <row r="16">
          <cell r="A16" t="str">
            <v>Pre-Alpha (A1)</v>
          </cell>
          <cell r="B16" t="str">
            <v>na</v>
          </cell>
          <cell r="C16" t="str">
            <v>ww15'12</v>
          </cell>
          <cell r="D16" t="str">
            <v>ww05'12 (A1)</v>
          </cell>
        </row>
        <row r="17">
          <cell r="A17" t="str">
            <v>ES1 (A1)</v>
          </cell>
          <cell r="B17" t="str">
            <v>ww05'12</v>
          </cell>
          <cell r="C17" t="str">
            <v>ww21'12 (B0)</v>
          </cell>
          <cell r="D17" t="str">
            <v>ww21'12 (B0)</v>
          </cell>
        </row>
        <row r="18">
          <cell r="A18" t="str">
            <v>B0 TI</v>
          </cell>
          <cell r="B18" t="str">
            <v>ww07'12</v>
          </cell>
          <cell r="D18" t="str">
            <v>ww07'12</v>
          </cell>
        </row>
        <row r="19">
          <cell r="A19" t="str">
            <v>B0 PO</v>
          </cell>
          <cell r="B19" t="str">
            <v>ww13'12</v>
          </cell>
          <cell r="D19" t="str">
            <v>ww15'12</v>
          </cell>
        </row>
        <row r="20">
          <cell r="A20" t="str">
            <v>Alpha (A1)</v>
          </cell>
          <cell r="B20" t="str">
            <v>ww14'12</v>
          </cell>
          <cell r="C20" t="str">
            <v>ww21'12</v>
          </cell>
          <cell r="D20" t="str">
            <v>ww13'12 (A1)</v>
          </cell>
        </row>
        <row r="21">
          <cell r="A21" t="str">
            <v>B1 TI</v>
          </cell>
          <cell r="B21" t="str">
            <v>ww22'12</v>
          </cell>
          <cell r="D21" t="str">
            <v>ww24'12</v>
          </cell>
        </row>
        <row r="22">
          <cell r="A22" t="str">
            <v>ES2 (B0)</v>
          </cell>
          <cell r="B22" t="str">
            <v>ww21'12</v>
          </cell>
          <cell r="C22" t="str">
            <v>ww35'12 (B0)</v>
          </cell>
          <cell r="D22" t="str">
            <v>ww21'12 (B0)</v>
          </cell>
        </row>
        <row r="23">
          <cell r="A23" t="str">
            <v>Beta (B0)</v>
          </cell>
          <cell r="B23" t="str">
            <v>ww24'12</v>
          </cell>
          <cell r="C23" t="str">
            <v>ww38'12</v>
          </cell>
          <cell r="D23" t="str">
            <v>ww24'12 (B0)</v>
          </cell>
        </row>
        <row r="24">
          <cell r="A24" t="str">
            <v>B1 PO</v>
          </cell>
          <cell r="B24" t="str">
            <v>ww26'12</v>
          </cell>
          <cell r="D24" t="str">
            <v xml:space="preserve">ww30'12 </v>
          </cell>
        </row>
        <row r="25">
          <cell r="A25" t="str">
            <v>PC (B1) - internal release</v>
          </cell>
          <cell r="B25" t="str">
            <v>na</v>
          </cell>
          <cell r="D25" t="str">
            <v>ww36'12 (B1)</v>
          </cell>
        </row>
        <row r="26">
          <cell r="A26" t="str">
            <v>PC (B1)</v>
          </cell>
          <cell r="B26" t="str">
            <v>ww36'12</v>
          </cell>
          <cell r="D26" t="str">
            <v>ww50'12 (B1)</v>
          </cell>
        </row>
        <row r="27">
          <cell r="A27" t="str">
            <v>QS (B1)</v>
          </cell>
          <cell r="B27" t="str">
            <v>ww31'12</v>
          </cell>
          <cell r="C27" t="str">
            <v>ww45'12</v>
          </cell>
          <cell r="D27" t="str">
            <v>ww40'12 (B1)</v>
          </cell>
        </row>
        <row r="28">
          <cell r="A28" t="str">
            <v>PV (B1)</v>
          </cell>
          <cell r="B28" t="str">
            <v>ww38'12</v>
          </cell>
          <cell r="C28" t="str">
            <v>ww52'12</v>
          </cell>
          <cell r="D28" t="str">
            <v>ww52'12  (B1)</v>
          </cell>
        </row>
        <row r="29">
          <cell r="A29" t="str">
            <v>PRQ</v>
          </cell>
          <cell r="B29" t="str">
            <v>ww39'12</v>
          </cell>
          <cell r="C29" t="str">
            <v>ww01'13</v>
          </cell>
          <cell r="D29" t="str">
            <v>ww52'12</v>
          </cell>
        </row>
      </sheetData>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History"/>
      <sheetName val="Index"/>
      <sheetName val="PDG Owners"/>
      <sheetName val="#_Ref Stackup"/>
      <sheetName val="#_Stackup Parameters"/>
      <sheetName val="#_Tline Electrical Definition"/>
      <sheetName val="#Tline Spec for TGL-UY"/>
      <sheetName val="RCOMP"/>
      <sheetName val="Y LP4x x64 3x3+"/>
      <sheetName val="Y LP5 x64 Any-Lyr HDI"/>
      <sheetName val="U DDR4 MD 1Rx16"/>
      <sheetName val="U DDR4 MD 1Rx8"/>
      <sheetName val="U DDR4 SoDimm"/>
      <sheetName val="U LPDDR5 x64 Any-Lyr HDI"/>
      <sheetName val="U LPDDR4x x32 1x1+"/>
      <sheetName val="#PCIe4"/>
      <sheetName val="#Type-C TBT+USB+DP"/>
      <sheetName val="#Type-C USB+DP"/>
      <sheetName val="#DP TCP"/>
      <sheetName val="#HDMI TCP"/>
      <sheetName val="#DP AUX"/>
      <sheetName val="#DP DDI"/>
      <sheetName val="#eDP"/>
      <sheetName val="#HDMI DDI"/>
      <sheetName val="#DSI"/>
      <sheetName val="#CSI"/>
      <sheetName val="CPU Sideband"/>
      <sheetName val="PCIe"/>
      <sheetName val="SATA"/>
      <sheetName val="#UFS"/>
      <sheetName val="USB3.1"/>
      <sheetName val="USB 3.1 Type-C"/>
      <sheetName val="CNViO"/>
      <sheetName val="USB2"/>
      <sheetName val="HDA"/>
      <sheetName val="I2S"/>
      <sheetName val="DMIC"/>
      <sheetName val="SoundWire"/>
      <sheetName val="UART and LSX"/>
      <sheetName val="#SMB, SML and I2C"/>
      <sheetName val="SPI0 Flash"/>
      <sheetName val="eSPI"/>
      <sheetName val="SPI1 Touch"/>
      <sheetName val="GSPI and ISH SPI"/>
      <sheetName val="CLINK"/>
      <sheetName val="CNVi BRI and RGI"/>
      <sheetName val="Imaging Clock"/>
      <sheetName val="PCH GPIO"/>
      <sheetName val="SUSCLK"/>
      <sheetName val="Diff CLK,XCLK Biasref,UFS CLK"/>
      <sheetName val="XTAL RTC"/>
      <sheetName val="EMC General Considerations"/>
      <sheetName val="EMC Component Selection"/>
      <sheetName val="EMC CPU and PCH FIVR"/>
      <sheetName val="EMC FIVR BIOS Options"/>
      <sheetName val="EMC Xtal RF Immunity"/>
      <sheetName val="EMC PCB CMC"/>
      <sheetName val="EMC Voltage Regulator"/>
      <sheetName val="EMC Throughput vs Noise"/>
      <sheetName val="EMC RFI Keep-out-zone"/>
      <sheetName val="EMC Audio"/>
      <sheetName val="EMC Mechanical Consideration"/>
      <sheetName val="Memory Decoupling - LPDDR4x"/>
      <sheetName val="Memory Decoupling - LPDDR4"/>
      <sheetName val="Memory Decoupling - DDR4"/>
      <sheetName val="Memory Decoupling - DDR4 SODIMM"/>
      <sheetName val="Memory Decoupling - DDR4 UDIMM"/>
      <sheetName val="Memory Decoupling - LPDDR5"/>
      <sheetName val="TGL Y Platform PI PDBOM"/>
      <sheetName val="TGL_Y_VCCIN"/>
      <sheetName val="TGL_Y_VCCIN (Internal RVP)"/>
      <sheetName val="TGL_Y_VCCIN_AUX"/>
      <sheetName val="TGL_Y_VCCIN_AUX (Internal RVP)"/>
      <sheetName val="TGL_Y_VDD2"/>
      <sheetName val="TGL_Y_VDD2 (Internal RVP)"/>
      <sheetName val="TGL_Y_VCCST"/>
      <sheetName val="TGL_Y_VCCSTG"/>
      <sheetName val="TGL_Y_VCCPRIM_1P8"/>
      <sheetName val="TGL_Y_VCCA_CLKLDO_1P8"/>
      <sheetName val="TGL_Y_VCCPRIM_3P3"/>
      <sheetName val="TGL_Y_VCCDSW_3P3"/>
      <sheetName val="TGL_Y_VCCRTC"/>
      <sheetName val="TGL_Y_VCCDPHY_1P24"/>
      <sheetName val="TGL_Y_VCCDSW_1P05"/>
      <sheetName val="TGL_Y_VCCLDOSTD_0P85"/>
      <sheetName val="TGL_Y_VCCPRIM_FIVR_1P05"/>
      <sheetName val="TGL_Y_VCCPRIM_FIVR_1P05 (RVP)"/>
      <sheetName val="TGL_Y_VCC_MODPHY"/>
      <sheetName val="TGL_Y_VCC_MODPHY (Internal RVP)"/>
      <sheetName val="TGL_Y_VCC_MODPHY_PLL"/>
      <sheetName val="TGL_Y_VCC_ISCLK"/>
      <sheetName val="TGL_Y_VCC_ISCLK (Internal RVP)"/>
      <sheetName val="TGL_Y_VCC_V1P05EXT_1P05"/>
      <sheetName val="TGL_Y_VCC_V1P05EXT_1P05 (RVP)"/>
      <sheetName val="TGL_Y_VCC_VNNEXT_1P05"/>
      <sheetName val="TGL_Y_VCC_VNNEXT_1P05 (RVP)"/>
      <sheetName val="TGL_Y_VCCPGPPR"/>
      <sheetName val="TGL U Platform PI PDBOM"/>
      <sheetName val="TGL-U_8L_T3_DS_VCCIN"/>
      <sheetName val="TGL-U_8L_T3_SS_VCCIN"/>
      <sheetName val="TGL-U_8L_T3_DS_VCCIN_AUX"/>
      <sheetName val="TGL-U_8L_T3_DS_VCCIN_AUX_(Int.)"/>
      <sheetName val="TGL-U_8L_T3_SS_VCCIN_AUX"/>
      <sheetName val="TGL-U_8L_T3_DS_VDD2"/>
      <sheetName val="TGL-U_8L_T3_SS_VDD2"/>
      <sheetName val="TGL-U_VCCST"/>
      <sheetName val="TGL-U_VCCSTG"/>
      <sheetName val="TGL-U_VCCPGPPR"/>
      <sheetName val="TGL-U_VCCPRIM_1P8"/>
      <sheetName val="TGL-U_VCCA_CLKLDO_1P8"/>
      <sheetName val="TGL-U_VCCPRIM_3P3"/>
      <sheetName val="TGL-U_VCCPDSW_3P3"/>
      <sheetName val="TGL-U_VCCPRTC"/>
      <sheetName val="TGL-U_VCCLDOSTD_0P85"/>
      <sheetName val="TGL-U_VCCLDOSTD_0P85 (Internal)"/>
      <sheetName val="TGL-U_VCC_VNNEXT_1P05"/>
      <sheetName val="TGL-U_VCC_V1P05EXT_1P05"/>
      <sheetName val="TGL-U_VCCDPHY_1P24"/>
      <sheetName val="TGL-U_VCCDPHY_1P24 (Internal)"/>
      <sheetName val="TGL-U_VCCDSW_1P05"/>
      <sheetName val="TGL-U_VCCDSW_1P05 (Internal)"/>
      <sheetName val="TGL-U_VCCRTCEXT"/>
      <sheetName val="TGL-U_VCCRTCEXT (Inter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5-25T02:29:09.189"/>
    </inkml:context>
    <inkml:brush xml:id="br0">
      <inkml:brushProperty name="width" value="0.1" units="cm"/>
      <inkml:brushProperty name="height" value="0.1" units="cm"/>
      <inkml:brushProperty name="ignorePressure" value="1"/>
    </inkml:brush>
  </inkml:definitions>
  <inkml:trace contextRef="#ctx0" brushRef="#br0">1 447,'1'13,"1"-1,0 1,1 0,1-1,0 1,1-1,0 0,0-1,2 1,11 17,-7-11,0 0,13 37,-19-41,78 211,-72-197,-2 1,9 48,-2-10,-16-65,0 0,0 0,1 0,-1 0,1 0,-1 0,1-1,0 1,0 0,0-1,0 1,0 0,0-1,2 3,3-23,-3-56,-3 71,2-37,1-1,3 1,1 0,17-51,-7-11,-7 33,3-19,-10 56,2 1,2-1,11-35,-12 48,-2-1,0 1,-1-1,-1 0,0-20,-1 13,1 1,6-33,-3 39,-2-1,0-29,-2 29</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5-25T02:29:19.549"/>
    </inkml:context>
    <inkml:brush xml:id="br0">
      <inkml:brushProperty name="width" value="0.1" units="cm"/>
      <inkml:brushProperty name="height" value="0.1" units="cm"/>
      <inkml:brushProperty name="ignorePressure" value="1"/>
    </inkml:brush>
  </inkml:definitions>
  <inkml:trace contextRef="#ctx0" brushRef="#br0">1 129,'4'0,"1"0,0 1,-1 0,1 0,-1 0,1 0,-1 1,1-1,-1 1,0 1,0-1,0 0,0 1,0 0,-1 0,1 0,-1 0,0 1,5 5,3 7,0 1,-1 1,11 26,-14-27,1 0,19 27,-15-25,0 1,-1 0,0 1,-2 1,-1-1,9 39,-16-58,-1-1,0 1,0-1,1 1,-1-1,1 1,-1-1,1 1,0-1,0 1,-1-1,1 0,0 1,0-1,0 0,3 2,-4-3,1-1,0 1,-1 0,1-1,-1 1,1-1,-1 1,1-1,-1 1,1-1,-1 1,1-1,-1 0,0 1,1-1,-1 1,0-1,0 0,1 1,-1-1,0 0,0 0,0 1,0-2,8-59,-11-18,1 54,1 0,1 0,1 1,7-41,-7 63,-1 0,0-1,1 1,-1 0,1 0,0 0,0 0,0 0,0 0,0 0,0 0,1 0,-1 0,0 1,1-1,0 0,-1 1,1 0,0-1,0 1,0 0,-1 0,1 0,3-1,-2 2,-1 0,0 0,0 1,0-1,0 1,0-1,0 1,0 0,0 0,-1 0,1 0,0 0,0 0,-1 1,1-1,-1 0,1 1,-1-1,1 1,-1 0,0-1,0 1,0 0,0 0,1 3,85 128,-76-122,-1 0,1-1,1-1,0 1,18 10,-3-2,-26-17,1 0,-1 0,1 0,-1 0,1 0,-1 0,1 0,0 0,0 0,-1-1,1 1,0-1,0 1,0-1,0 0,-1 0,1 0,0 0,0 0,0 0,3-1,-3 0,-1 0,0 0,1 0,-1-1,0 1,1 0,-1-1,0 1,0-1,0 1,0-1,0 1,-1-1,1 0,0 1,-1-1,1 0,0-2,1-12,0 0,-1 0,-1 0,-1-17,0 19,0-16,-1 1,-2 0,-7-31,6 34,2-1,0 0,2-39,2 43</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26:40.065"/>
    </inkml:context>
    <inkml:brush xml:id="br0">
      <inkml:brushProperty name="width" value="0.05" units="cm"/>
      <inkml:brushProperty name="height" value="0.05" units="cm"/>
      <inkml:brushProperty name="color" value="#E71224"/>
      <inkml:brushProperty name="ignorePressure" value="1"/>
    </inkml:brush>
  </inkml:definitions>
  <inkml:trace contextRef="#ctx0" brushRef="#br0">1398 177,'0'-2,"-1"0,1 0,-1 1,0-1,0 0,1 0,-1 0,-1 0,1 1,0 0,0-1,-1 0,1 1,-1-1,1 1,-1 0,0-1,1 2,-4-3,-44-21,27 14,-3-1,0 1,0 2,-1 1,1 0,-1 2,-1 0,-33 0,-25-6,-1 0,-24-3,65 7,-1 3,0 1,1 1,-51 6,-10-2,87-2,0 1,0 0,0 1,-23 6,34-6,-2 2,1-1,0 0,1 2,-1 0,1-1,0 1,0 0,0 1,-7 8,-36 24,41-32,1 1,0 0,0 0,1 1,0 0,-11 15,10-11,1 1,0 0,1 0,-9 26,14-31,0 0,0 0,1 0,1 0,-1 0,1 0,1 1,-1-1,2 0,2 11,4 7,2 0,1 0,22 38,-25-52,1 0,0 0,1-1,1 0,0-1,1 0,0-1,1 0,-1 0,2-1,0-1,20 8,0 1,-25-12,0 1,1-1,-1-1,1 0,0 0,1 0,-1-1,13 0,73 10,-63-6,46 1,-17-6,248-4,-287 0,-1-2,-1 0,1-1,27-12,-6 3,32-4,-64 18,-1 0,0-1,1-1,-1 0,0 0,0 0,-1-1,1-1,-1 1,0-1,0 0,-1-2,0 2,8-9,-4-4,0 1,-1-2,-1 0,-1 1,-1-3,0 2,-2-1,0-1,4-38,-7 33,-1 0,-1 0,-1 0,-1 1,-7-35,6 55,0 0,0 1,0-1,0 1,-1 0,0-1,0 2,0-2,0 1,-1 1,0 0,0-1,0 1,0 0,0 0,-1 0,1 1,-1 0,0 0,1 0,-10-3,5 2,-7-5</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26:42.377"/>
    </inkml:context>
    <inkml:brush xml:id="br0">
      <inkml:brushProperty name="width" value="0.05" units="cm"/>
      <inkml:brushProperty name="height" value="0.05" units="cm"/>
      <inkml:brushProperty name="color" value="#E71224"/>
      <inkml:brushProperty name="ignorePressure" value="1"/>
    </inkml:brush>
  </inkml:definitions>
  <inkml:trace contextRef="#ctx0" brushRef="#br0">1172 135,'0'-2,"-1"0,1 0,-1 0,0 0,1 0,-1 0,0 0,0 0,0 1,-1-1,1 0,0 0,-1 1,1-1,-1 1,1 0,-1-1,0 1,0 0,0 0,-2-1,-48-21,40 19,2 0,-7-3,-1 0,0 1,0 0,0 2,-1 0,-35-1,-109-9,-19 1,169 13,-7-1,-1 1,0 1,0 1,0 0,0 2,1 0,0 2,-32 12,-49 23,69-29,-1 2,2 0,0 2,-30 21,57-33,0 0,0 0,1 0,-1 0,1 1,0-1,1 1,-1 0,1 0,0 0,0 0,0 0,1 0,0 0,0 1,0-1,1 0,-1 1,1-1,1 1,-1-1,2 8,1 5,1 0,0 0,1-1,1 0,11 24,3 1,-13-24,0-1,2 0,0 0,1-1,1 0,0-1,24 26,-27-34,0 0,-1 0,1 0,1 0,0-1,0 0,0-1,0 0,1-1,16 6,33 6,0-3,1-3,0-3,100 1,-68-7,80-4,-153 1,1-1,-1-1,0-1,0-1,-1 0,1-1,28-17,-31 16,0 1,32-10,24-11,-68 26,0-1,0 1,-1-1,1 0,-1 0,0-1,0 1,0-1,0 0,0 1,-1-1,0 0,0-1,3-7,1-6,-1-1,3-25,2-4,-4 16,-1 0,-1 1,-2-1,-1 0,-6-58,4 84,1 1,-1 0,0 0,-1 0,1 0,-1 1,0-1,0 0,0 0,-4-5,-5-2</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27:01.074"/>
    </inkml:context>
    <inkml:brush xml:id="br0">
      <inkml:brushProperty name="width" value="0.05" units="cm"/>
      <inkml:brushProperty name="height" value="0.05" units="cm"/>
      <inkml:brushProperty name="color" value="#E71224"/>
      <inkml:brushProperty name="ignorePressure" value="1"/>
    </inkml:brush>
  </inkml:definitions>
  <inkml:trace contextRef="#ctx0" brushRef="#br0">537 81,'0'-1,"0"0,-1 0,1 0,-1 0,1 0,-1 0,1 0,-1 0,0 0,1 1,-1-1,0 0,0 0,1 1,-1-1,0 0,0 1,0-1,0 1,0-1,0 1,0-1,0 1,0 0,0 0,0-1,-2 1,-38-6,30 5,-126-25,76 14,35 7,-1 0,-44-1,61 6,0 0,0 0,-1 1,1 0,1 1,-19 5,25-5,0-1,0 1,0-1,1 1,-1 0,0 0,1 0,0 1,-1-1,1 0,0 1,0 0,0-1,1 1,-1 0,1 0,-1 0,1 0,0 0,0 0,0 1,1-1,-1 0,1 6,-3 11,1 0,1 0,1 0,1 0,1 1,0-1,6 21,-5-36,0 0,0 0,0-1,1 1,0 0,0-1,0 0,0 0,1 0,-1-1,1 1,0-1,0 0,0-1,0 1,1-1,6 2,14 4,1-1,38 5,-34-7,23 2,-1-3,2-1,101-10,-150 7,0 0,0-1,-1 0,1 0,0-1,-1 0,1 0,-1 0,0 0,1-1,-1 0,7-5,-9 4,0 1,-1 0,1-1,0 1,-1-1,0 0,0 0,0 0,-1 0,1 0,-1 0,0 0,0-1,0 1,-1 0,1-9,0-2,-1 1,0-1,-1 0,-4-18,4 28,0 1,-1-1,0 0,0 0,0 1,0-1,-1 1,0 0,1 0,-2 0,1 0,0 0,-1 1,0-1,-8-4,-63-48,61 46</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27:07.124"/>
    </inkml:context>
    <inkml:brush xml:id="br0">
      <inkml:brushProperty name="width" value="0.05" units="cm"/>
      <inkml:brushProperty name="height" value="0.05" units="cm"/>
      <inkml:brushProperty name="color" value="#E71224"/>
      <inkml:brushProperty name="ignorePressure" value="1"/>
    </inkml:brush>
  </inkml:definitions>
  <inkml:trace contextRef="#ctx0" brushRef="#br0">298 58,'0'-2,"-1"-1,1 1,-1-1,1 1,-1-1,0 1,0 0,0-1,-1 1,1 0,0 0,-1 0,0 0,1 0,-1 0,0 0,0 1,0-1,0 1,0-1,0 1,0 0,-1 0,1 0,0 0,-1 0,1 0,-1 1,1-1,-1 1,1 0,-4-1,-14-1,0 1,-1 0,-21 3,19-1,15-2,1 1,-1 1,0-1,0 1,0 1,1-1,-1 1,-7 4,12-5,1 1,-1 0,1 0,0 0,0 0,-1 0,1 1,1-1,-1 1,0-1,1 1,-1 0,1 0,0-1,0 1,0 0,0 0,0 0,1 0,0 0,-1 0,1 1,0 3,-1 2,1 1,0-1,0 0,1 1,0-1,1 0,0 0,5 16,-5-21,1 0,-1 0,1 0,0 0,0-1,0 0,0 1,0-1,1 0,-1-1,1 1,0-1,0 1,0-1,0 0,0-1,1 1,-1-1,1 0,4 1,5 1,0 0,0-2,0 1,0-2,0 0,1 0,-1-2,0 0,14-3,-22 3,-1 1,1-1,-1 0,0 0,0-1,0 0,0 1,0-2,0 1,-1 0,1-1,-1 0,0 0,-1 0,1-1,-1 1,1-1,-1 0,-1 0,1 0,-1 0,0-1,0 1,2-10,-1-4</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28:53.798"/>
    </inkml:context>
    <inkml:brush xml:id="br0">
      <inkml:brushProperty name="width" value="0.05" units="cm"/>
      <inkml:brushProperty name="height" value="0.05" units="cm"/>
      <inkml:brushProperty name="color" value="#33CCFF"/>
      <inkml:brushProperty name="ignorePressure" value="1"/>
    </inkml:brush>
  </inkml:definitions>
  <inkml:trace contextRef="#ctx0" brushRef="#br0">1908 112,'-28'-1,"0"-2,0-1,0-1,-50-16,45 12,11 4,-1 1,-43-2,40 5,-49-10,46 6,-48-3,46 6,-44-9,28 4,-1 2,0 2,-83 6,29-1,-359-2,439 2,-1 0,1 1,0 2,1 0,-23 9,15-1,0 1,0 2,-32 24,57-37,-5 2,1 1,0 1,0-1,1 1,-1 1,1-1,1 1,0 1,0-1,0 1,1 0,1 0,-6 15,4-5,2 1,0-1,2 1,0 0,2 40,-1-19,0-22,1 0,1 1,5 29,-5-44,1 0,-1 0,1 0,0 0,0 0,1 0,-1 0,1-1,0 1,0-1,1 0,-1 0,1 0,0 0,0-1,0 1,7 3,4 0,0-1,0 0,1-1,0-1,0 0,0-1,0-1,0-1,19 0,40 5,81 8,240-10,-201-7,-194 3,33 1,0-2,-1-1,60-12,-7 0,-68 13,0-2,0 0,0-1,-1 0,28-12,-20 6,-1 2,46-10,-51 15,0-2,0 0,-1-1,0 0,0-2,29-17,35-19,-26 15,-47 24,-1-1,-1 0,1 0,-1-1,0 0,-1 0,0 0,0-1,0 0,-1 0,0-1,6-15,-5 7,0 0,-1 0,-1-1,0 1,-1-1,0-19,-2 15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28:57.500"/>
    </inkml:context>
    <inkml:brush xml:id="br0">
      <inkml:brushProperty name="width" value="0.05" units="cm"/>
      <inkml:brushProperty name="height" value="0.05" units="cm"/>
      <inkml:brushProperty name="color" value="#33CCFF"/>
      <inkml:brushProperty name="ignorePressure" value="1"/>
    </inkml:brush>
  </inkml:definitions>
  <inkml:trace contextRef="#ctx0" brushRef="#br0">1768 170,'-2'-3,"0"0,-1-1,1 2,-1-1,0 1,0-1,0 1,0 0,0-1,0 1,-1 1,-3-2,-8-6,3 1,0 1,-1 0,0 2,0-2,0 3,0-1,-22-4,-102-13,-48 3,-53-5,183 18,0 2,-92 4,61 1,66 0,0 1,-33 7,31-5,0 0,-24 0,27-3,0 2,-26 5,-31 4,48-9,1-1,-1 4,-43 11,61-14,-1 0,0 1,1 0,0 1,0 0,1 1,0-1,0 2,0-1,0 1,1 1,1-1,-1 1,1 0,0 0,1 0,0 1,1 0,0 1,1 0,0-1,0 1,1 0,1-1,0 2,-1 12,5 217,-1-233,-1 0,2-1,-1 0,1 2,0-2,0 0,1 1,0-2,0 1,7 10,-6-13,-1 1,1 0,0-2,0 2,0-1,0-1,1 1,-1 0,1 0,0-2,0 1,0 0,0 0,9 1,28 5,1-2,1-1,66-1,970-5,-1062 0,-1-1,0 0,0-2,0 1,-1-2,0 0,0-2,0 1,-1-1,0-1,0-1,18-12,-28 16,0 1,-1-1,1 0,-1 0,0 0,-1 0,1 0,-1-1,0 1,0-2,-1 2,0-1,2-11,1-3,-2 0,1-38,-6-111,2 148</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29:17.384"/>
    </inkml:context>
    <inkml:brush xml:id="br0">
      <inkml:brushProperty name="width" value="0.05" units="cm"/>
      <inkml:brushProperty name="height" value="0.05" units="cm"/>
      <inkml:brushProperty name="color" value="#33CCFF"/>
      <inkml:brushProperty name="ignorePressure" value="1"/>
    </inkml:brush>
  </inkml:definitions>
  <inkml:trace contextRef="#ctx0" brushRef="#br0">273 6,'-58'-2,"40"0,1 1,0 0,-1 2,1 0,-1 1,1 0,-31 10,45-11,0 1,0 1,0-1,0 0,0 1,0 0,1-1,-1 1,1 0,0 0,0 0,0 1,0-1,1 0,-1 1,1-1,0 1,0 0,0-1,0 1,1 0,0-1,-1 1,1 0,0 0,2 6,-2-5,1 1,-1-1,1 0,0 0,1 1,0-1,-1 0,1 0,1 0,-1-1,1 1,0 0,0-1,0 0,1 0,0 0,-1 0,7 4,9 3,2 0,0-2,0 0,41 10,-49-15,1-1,0-1,0 0,0-1,0-1,1 0,-1 0,0-2,14-2,-25 3,0 0,0 0,0 0,0 0,0 0,-1-1,1 0,0 1,-1-1,1 0,-1 0,0 0,0 0,0-1,0 1,0 0,0-1,2-4,-2 1,1 0,-1 0,-1 0,1-1,-1 1,-1 0,1-13,-1-3</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29:20.360"/>
    </inkml:context>
    <inkml:brush xml:id="br0">
      <inkml:brushProperty name="width" value="0.05" units="cm"/>
      <inkml:brushProperty name="height" value="0.05" units="cm"/>
      <inkml:brushProperty name="color" value="#33CCFF"/>
      <inkml:brushProperty name="ignorePressure" value="1"/>
    </inkml:brush>
  </inkml:definitions>
  <inkml:trace contextRef="#ctx0" brushRef="#br0">296 6,'-58'-2,"40"0,1 1,-1 0,1 2,-1 0,1 1,-1 0,-28 9,41-8,1 0,-1 0,1 0,0 1,0-1,0 1,0 0,1 0,0 0,0 1,0-1,0 1,1 0,-1 0,1 0,1 0,-1 0,1 0,-1 0,1 0,0 7,-1 8,0 1,2 0,0-1,3 23,-2-39,-1 0,1 0,-1-1,1 1,0 0,1-1,-1 1,1-1,-1 0,1 1,0-1,0 0,0 0,1 0,-1 0,1 0,0-1,-1 1,1-1,0 0,1 0,-1 0,0 0,0 0,1-1,-1 1,1-1,6 1,7 1,1-1,-1-1,1 0,-1-2,20-2,8 0,-38 3,0 0,0-1,0 0,0 0,-1 0,1-1,-1 0,1 0,-1-1,0 0,0 0,0 0,0-1,0 0,-1 0,1-1,-1 1,-1-1,1 0,-1 0,1-1,-1 1,-1-1,1 0,-1 0,0 0,-1-1,1 1,-1-1,0 1,0-8,5-12,-4 18,-1-1,0 1,-1 0,0 0,0-1,-1-15,-1 22,1-1,-1 0,0 1,0-1,0 0,0 1,-1-1,1 1,-1 0,1-1,-1 1,0 0,0 0,0 0,0 0,0 0,0 1,-1-1,1 1,-1-1,1 1,-1 0,1 0,-1 0,-3-1,-81-18,69 15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39:18.716"/>
    </inkml:context>
    <inkml:brush xml:id="br0">
      <inkml:brushProperty name="width" value="0.05" units="cm"/>
      <inkml:brushProperty name="height" value="0.05" units="cm"/>
      <inkml:brushProperty name="color" value="#E71224"/>
      <inkml:brushProperty name="ignorePressure" value="1"/>
    </inkml:brush>
  </inkml:definitions>
  <inkml:trace contextRef="#ctx0" brushRef="#br0">537 81,'0'-1,"0"0,-1 0,1 0,-1 0,1 0,-1 0,1 0,-1 0,0 0,1 1,-1-1,0 0,0 0,1 1,-1-1,0 0,0 1,0-1,0 1,0-1,0 1,0-1,0 1,0 0,0 0,0-1,-2 1,-38-6,30 5,-126-25,76 14,35 7,-1 0,-44-1,61 6,0 0,0 0,-1 1,1 0,1 1,-19 5,25-5,0-1,0 1,0-1,1 1,-1 0,0 0,1 0,0 1,-1-1,1 0,0 1,0 0,0-1,1 1,-1 0,1 0,-1 0,1 0,0 0,0 0,0 1,1-1,-1 0,1 6,-3 11,1 0,1 0,1 0,1 0,1 1,0-1,6 21,-5-36,0 0,0 0,0-1,1 1,0 0,0-1,0 0,0 0,1 0,-1-1,1 1,0-1,0 0,0-1,0 1,1-1,6 2,14 4,1-1,38 5,-34-7,23 2,-1-3,2-1,101-10,-150 7,0 0,0-1,-1 0,1 0,0-1,-1 0,1 0,-1 0,0 0,1-1,-1 0,7-5,-9 4,0 1,-1 0,1-1,0 1,-1-1,0 0,0 0,0 0,-1 0,1 0,-1 0,0 0,0-1,0 1,-1 0,1-9,0-2,-1 1,0-1,-1 0,-4-18,4 28,0 1,-1-1,0 0,0 0,0 1,0-1,-1 1,0 0,1 0,-2 0,1 0,0 0,-1 1,0-1,-8-4,-63-48,61 46</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39:18.717"/>
    </inkml:context>
    <inkml:brush xml:id="br0">
      <inkml:brushProperty name="width" value="0.05" units="cm"/>
      <inkml:brushProperty name="height" value="0.05" units="cm"/>
      <inkml:brushProperty name="color" value="#E71224"/>
      <inkml:brushProperty name="ignorePressure" value="1"/>
    </inkml:brush>
  </inkml:definitions>
  <inkml:trace contextRef="#ctx0" brushRef="#br0">298 58,'0'-2,"-1"-1,1 1,-1-1,1 1,-1-1,0 1,0 0,0-1,-1 1,1 0,0 0,-1 0,0 0,1 0,-1 0,0 0,0 1,0-1,0 1,0-1,0 1,0 0,-1 0,1 0,0 0,-1 0,1 0,-1 1,1-1,-1 1,1 0,-4-1,-14-1,0 1,-1 0,-21 3,19-1,15-2,1 1,-1 1,0-1,0 1,0 1,1-1,-1 1,-7 4,12-5,1 1,-1 0,1 0,0 0,0 0,-1 0,1 1,1-1,-1 1,0-1,1 1,-1 0,1 0,0-1,0 1,0 0,0 0,0 0,1 0,0 0,-1 0,1 1,0 3,-1 2,1 1,0-1,0 0,1 1,0-1,1 0,0 0,5 16,-5-21,1 0,-1 0,1 0,0 0,0-1,0 0,0 1,0-1,1 0,-1-1,1 1,0-1,0 1,0-1,0 0,0-1,1 1,-1-1,1 0,4 1,5 1,0 0,0-2,0 1,0-2,0 0,1 0,-1-2,0 0,14-3,-22 3,-1 1,1-1,-1 0,0 0,0-1,0 0,0 1,0-2,0 1,-1 0,1-1,-1 0,0 0,-1 0,1-1,-1 1,1-1,-1 0,-1 0,1 0,-1 0,0-1,0 1,2-10,-1-4</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39:43.218"/>
    </inkml:context>
    <inkml:brush xml:id="br0">
      <inkml:brushProperty name="width" value="0.05" units="cm"/>
      <inkml:brushProperty name="height" value="0.05" units="cm"/>
      <inkml:brushProperty name="color" value="#33CCFF"/>
      <inkml:brushProperty name="ignorePressure" value="1"/>
    </inkml:brush>
  </inkml:definitions>
  <inkml:trace contextRef="#ctx0" brushRef="#br0">273 6,'-58'-2,"40"0,1 1,0 0,-1 2,1 0,-1 1,1 0,-31 10,45-11,0 1,0 1,0-1,0 0,0 1,0 0,1-1,-1 1,1 0,0 0,0 0,0 1,0-1,1 0,-1 1,1-1,0 1,0 0,0-1,0 1,1 0,0-1,-1 1,1 0,0 0,2 6,-2-5,1 1,-1-1,1 0,0 0,1 1,0-1,-1 0,1 0,1 0,-1-1,1 1,0 0,0-1,0 0,1 0,0 0,-1 0,7 4,9 3,2 0,0-2,0 0,41 10,-49-15,1-1,0-1,0 0,0-1,0-1,1 0,-1 0,0-2,14-2,-25 3,0 0,0 0,0 0,0 0,0 0,-1-1,1 0,0 1,-1-1,1 0,-1 0,0 0,0 0,0-1,0 1,0 0,0-1,2-4,-2 1,1 0,-1 0,-1 0,1-1,-1 1,-1 0,1-13,-1-3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1-03-30T09:39:43.219"/>
    </inkml:context>
    <inkml:brush xml:id="br0">
      <inkml:brushProperty name="width" value="0.05" units="cm"/>
      <inkml:brushProperty name="height" value="0.05" units="cm"/>
      <inkml:brushProperty name="color" value="#33CCFF"/>
      <inkml:brushProperty name="ignorePressure" value="1"/>
    </inkml:brush>
  </inkml:definitions>
  <inkml:trace contextRef="#ctx0" brushRef="#br0">296 6,'-58'-2,"40"0,1 1,-1 0,1 2,-1 0,1 1,-1 0,-28 9,41-8,1 0,-1 0,1 0,0 1,0-1,0 1,0 0,1 0,0 0,0 1,0-1,0 1,1 0,-1 0,1 0,1 0,-1 0,1 0,-1 0,1 0,0 7,-1 8,0 1,2 0,0-1,3 23,-2-39,-1 0,1 0,-1-1,1 1,0 0,1-1,-1 1,1-1,-1 0,1 1,0-1,0 0,0 0,1 0,-1 0,1 0,0-1,-1 1,1-1,0 0,1 0,-1 0,0 0,0 0,1-1,-1 1,1-1,6 1,7 1,1-1,-1-1,1 0,-1-2,20-2,8 0,-38 3,0 0,0-1,0 0,0 0,-1 0,1-1,-1 0,1 0,-1-1,0 0,0 0,0 0,0-1,0 0,-1 0,1-1,-1 1,-1-1,1 0,-1 0,1-1,-1 1,-1-1,1 0,-1 0,0 0,-1-1,1 1,-1-1,0 1,0-8,5-12,-4 18,-1-1,0 1,-1 0,0 0,0-1,-1-15,-1 22,1-1,-1 0,0 1,0-1,0 0,0 1,-1-1,1 1,-1 0,1-1,-1 1,0 0,0 0,0 0,0 0,0 0,0 1,-1-1,1 1,-1-1,1 1,-1 0,1 0,-1 0,-3-1,-81-18,69 15</inkml:trace>
</inkml:ink>
</file>

<file path=xl/persons/person.xml><?xml version="1.0" encoding="utf-8"?>
<personList xmlns="http://schemas.microsoft.com/office/spreadsheetml/2018/threadedcomments" xmlns:x="http://schemas.openxmlformats.org/spreadsheetml/2006/main">
  <person displayName="Tan, Aik Hong" id="{90E7896F-1F1B-4DD8-A765-F17CF9466C85}" userId="S::aik.hong.tan@intel.com::0c8d73e6-2cb6-4cdf-aa9a-f6d427f2754c"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9" dT="2023-10-15T04:42:08.10" personId="{90E7896F-1F1B-4DD8-A765-F17CF9466C85}" id="{A3092831-5968-4074-87DC-F59653669E9F}">
    <text xml:space="preserve">Fail 60pF
</text>
  </threadedComment>
  <threadedComment ref="Y9" dT="2023-10-15T04:48:12.04" personId="{90E7896F-1F1B-4DD8-A765-F17CF9466C85}" id="{CC517718-8C76-4BA8-B75F-48414D92EDB9}">
    <text xml:space="preserve">Fail 85pF
</text>
  </threadedComment>
  <threadedComment ref="Y11" dT="2023-10-15T04:58:50.56" personId="{90E7896F-1F1B-4DD8-A765-F17CF9466C85}" id="{B953C298-479B-4FDD-B28C-9488C01C796E}">
    <text xml:space="preserve">Fail 160pF
</text>
  </threadedComment>
  <threadedComment ref="Y12" dT="2023-10-15T04:59:07.01" personId="{90E7896F-1F1B-4DD8-A765-F17CF9466C85}" id="{5F655E56-1E5E-4931-B95D-63F19EA7F9F3}">
    <text xml:space="preserve">Fail 170pF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11.bin"/><Relationship Id="rId4"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2.bin"/><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3.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4.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5.bin"/><Relationship Id="rId4"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6.bin"/><Relationship Id="rId4"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7.bin"/><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8.xml"/><Relationship Id="rId1" Type="http://schemas.openxmlformats.org/officeDocument/2006/relationships/printerSettings" Target="../printerSettings/printerSettings20.bin"/><Relationship Id="rId4"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19.xml"/><Relationship Id="rId1" Type="http://schemas.openxmlformats.org/officeDocument/2006/relationships/printerSettings" Target="../printerSettings/printerSettings21.bin"/><Relationship Id="rId4" Type="http://schemas.openxmlformats.org/officeDocument/2006/relationships/comments" Target="../comments19.xml"/></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20.xml"/><Relationship Id="rId1" Type="http://schemas.openxmlformats.org/officeDocument/2006/relationships/printerSettings" Target="../printerSettings/printerSettings22.bin"/><Relationship Id="rId4" Type="http://schemas.openxmlformats.org/officeDocument/2006/relationships/comments" Target="../comments20.xml"/></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21.xml"/><Relationship Id="rId1" Type="http://schemas.openxmlformats.org/officeDocument/2006/relationships/printerSettings" Target="../printerSettings/printerSettings23.bin"/><Relationship Id="rId4" Type="http://schemas.openxmlformats.org/officeDocument/2006/relationships/comments" Target="../comments21.xm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22.xml"/><Relationship Id="rId1" Type="http://schemas.openxmlformats.org/officeDocument/2006/relationships/printerSettings" Target="../printerSettings/printerSettings24.bin"/><Relationship Id="rId4" Type="http://schemas.openxmlformats.org/officeDocument/2006/relationships/comments" Target="../comments22.xml"/></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3.vml"/><Relationship Id="rId2" Type="http://schemas.openxmlformats.org/officeDocument/2006/relationships/drawing" Target="../drawings/drawing23.xml"/><Relationship Id="rId1" Type="http://schemas.openxmlformats.org/officeDocument/2006/relationships/printerSettings" Target="../printerSettings/printerSettings25.bin"/><Relationship Id="rId4" Type="http://schemas.openxmlformats.org/officeDocument/2006/relationships/comments" Target="../comments23.xml"/></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drawing" Target="../drawings/drawing24.xml"/><Relationship Id="rId1" Type="http://schemas.openxmlformats.org/officeDocument/2006/relationships/printerSettings" Target="../printerSettings/printerSettings26.bin"/><Relationship Id="rId4" Type="http://schemas.openxmlformats.org/officeDocument/2006/relationships/comments" Target="../comments24.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25.vml"/><Relationship Id="rId2" Type="http://schemas.openxmlformats.org/officeDocument/2006/relationships/drawing" Target="../drawings/drawing25.xml"/><Relationship Id="rId1" Type="http://schemas.openxmlformats.org/officeDocument/2006/relationships/printerSettings" Target="../printerSettings/printerSettings27.bin"/><Relationship Id="rId4" Type="http://schemas.openxmlformats.org/officeDocument/2006/relationships/comments" Target="../comments25.xml"/></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1AECB-5F7C-4FE6-97D9-83066BAC8D42}">
  <sheetPr codeName="Sheet2"/>
  <dimension ref="A1:A11"/>
  <sheetViews>
    <sheetView tabSelected="1" workbookViewId="0">
      <selection activeCell="A7" sqref="A7:A11"/>
    </sheetView>
  </sheetViews>
  <sheetFormatPr defaultColWidth="8.6328125" defaultRowHeight="14.5" x14ac:dyDescent="0.35"/>
  <cols>
    <col min="1" max="1" width="137.6328125" customWidth="1"/>
  </cols>
  <sheetData>
    <row r="1" spans="1:1" ht="19.5" x14ac:dyDescent="0.35">
      <c r="A1" s="153" t="s">
        <v>500</v>
      </c>
    </row>
    <row r="2" spans="1:1" ht="19.5" x14ac:dyDescent="0.35">
      <c r="A2" s="154" t="s">
        <v>495</v>
      </c>
    </row>
    <row r="3" spans="1:1" ht="18" customHeight="1" x14ac:dyDescent="0.35">
      <c r="A3" s="155" t="s">
        <v>501</v>
      </c>
    </row>
    <row r="4" spans="1:1" ht="16.75" customHeight="1" x14ac:dyDescent="0.35">
      <c r="A4" s="156">
        <v>46131</v>
      </c>
    </row>
    <row r="5" spans="1:1" x14ac:dyDescent="0.35">
      <c r="A5" s="157" t="s">
        <v>496</v>
      </c>
    </row>
    <row r="6" spans="1:1" x14ac:dyDescent="0.35">
      <c r="A6" s="158"/>
    </row>
    <row r="7" spans="1:1" x14ac:dyDescent="0.35">
      <c r="A7" s="167" t="s">
        <v>498</v>
      </c>
    </row>
    <row r="8" spans="1:1" x14ac:dyDescent="0.35">
      <c r="A8" s="167"/>
    </row>
    <row r="9" spans="1:1" x14ac:dyDescent="0.35">
      <c r="A9" s="167"/>
    </row>
    <row r="10" spans="1:1" x14ac:dyDescent="0.35">
      <c r="A10" s="167"/>
    </row>
    <row r="11" spans="1:1" ht="278.5" customHeight="1" thickBot="1" x14ac:dyDescent="0.4">
      <c r="A11" s="168"/>
    </row>
  </sheetData>
  <mergeCells count="1">
    <mergeCell ref="A7:A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1AA7-E518-4951-8D2A-90E1B6FAE9B3}">
  <sheetPr codeName="Sheet1"/>
  <dimension ref="A1:C14"/>
  <sheetViews>
    <sheetView workbookViewId="0">
      <selection activeCell="C14" sqref="C14"/>
    </sheetView>
  </sheetViews>
  <sheetFormatPr defaultRowHeight="14.5" x14ac:dyDescent="0.35"/>
  <cols>
    <col min="1" max="1" width="15.453125" bestFit="1" customWidth="1"/>
    <col min="2" max="2" width="73.81640625" customWidth="1"/>
    <col min="3" max="3" width="12.1796875" bestFit="1" customWidth="1"/>
    <col min="4" max="4" width="50.1796875" customWidth="1"/>
    <col min="6" max="6" width="8.81640625" bestFit="1" customWidth="1"/>
    <col min="7" max="7" width="16.81640625" customWidth="1"/>
  </cols>
  <sheetData>
    <row r="1" spans="1:3" x14ac:dyDescent="0.35">
      <c r="A1" s="169" t="s">
        <v>0</v>
      </c>
      <c r="B1" s="169"/>
      <c r="C1" s="169"/>
    </row>
    <row r="2" spans="1:3" ht="26" x14ac:dyDescent="0.35">
      <c r="A2" s="159" t="s">
        <v>1</v>
      </c>
      <c r="B2" s="159" t="s">
        <v>2</v>
      </c>
      <c r="C2" s="159" t="s">
        <v>3</v>
      </c>
    </row>
    <row r="3" spans="1:3" x14ac:dyDescent="0.35">
      <c r="A3" s="160">
        <v>0.5</v>
      </c>
      <c r="B3" s="161" t="s">
        <v>4</v>
      </c>
      <c r="C3" s="162">
        <v>45979</v>
      </c>
    </row>
    <row r="4" spans="1:3" x14ac:dyDescent="0.35">
      <c r="A4" s="165">
        <v>3.4837962962962965E-3</v>
      </c>
      <c r="B4" s="163" t="s">
        <v>497</v>
      </c>
      <c r="C4" s="162">
        <v>45968</v>
      </c>
    </row>
    <row r="5" spans="1:3" x14ac:dyDescent="0.35">
      <c r="A5" s="160">
        <v>0.7</v>
      </c>
      <c r="B5" s="163" t="s">
        <v>499</v>
      </c>
      <c r="C5" s="162">
        <v>46052</v>
      </c>
    </row>
    <row r="6" spans="1:3" x14ac:dyDescent="0.35">
      <c r="A6" s="166">
        <v>4.8726851851851848E-3</v>
      </c>
      <c r="B6" s="163" t="s">
        <v>499</v>
      </c>
      <c r="C6" s="162">
        <v>46108</v>
      </c>
    </row>
    <row r="7" spans="1:3" x14ac:dyDescent="0.35">
      <c r="A7" s="177">
        <v>1</v>
      </c>
      <c r="B7" s="163" t="s">
        <v>499</v>
      </c>
      <c r="C7" s="162">
        <v>46131</v>
      </c>
    </row>
    <row r="8" spans="1:3" x14ac:dyDescent="0.35">
      <c r="A8" s="164"/>
      <c r="B8" s="164"/>
      <c r="C8" s="164"/>
    </row>
    <row r="9" spans="1:3" x14ac:dyDescent="0.35">
      <c r="A9" s="164"/>
      <c r="B9" s="164"/>
      <c r="C9" s="164"/>
    </row>
    <row r="10" spans="1:3" x14ac:dyDescent="0.35">
      <c r="A10" s="164"/>
      <c r="B10" s="164"/>
      <c r="C10" s="164"/>
    </row>
    <row r="11" spans="1:3" x14ac:dyDescent="0.35">
      <c r="A11" s="164"/>
      <c r="B11" s="164"/>
      <c r="C11" s="164"/>
    </row>
    <row r="12" spans="1:3" x14ac:dyDescent="0.35">
      <c r="A12" s="164"/>
      <c r="B12" s="164"/>
      <c r="C12" s="164"/>
    </row>
    <row r="13" spans="1:3" x14ac:dyDescent="0.35">
      <c r="A13" s="164"/>
      <c r="B13" s="164"/>
      <c r="C13" s="164"/>
    </row>
    <row r="14" spans="1:3" x14ac:dyDescent="0.35">
      <c r="A14" s="164"/>
      <c r="B14" s="164"/>
      <c r="C14" s="164"/>
    </row>
  </sheetData>
  <mergeCells count="1">
    <mergeCell ref="A1:C1"/>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2C36A-1282-45C6-A39A-16289AC3974B}">
  <sheetPr codeName="Sheet34"/>
  <dimension ref="A1:D11"/>
  <sheetViews>
    <sheetView workbookViewId="0">
      <selection activeCell="D4" sqref="D4"/>
    </sheetView>
  </sheetViews>
  <sheetFormatPr defaultColWidth="9.1796875" defaultRowHeight="14.5" x14ac:dyDescent="0.35"/>
  <cols>
    <col min="1" max="1" width="7.54296875" style="106" customWidth="1"/>
    <col min="2" max="2" width="69.54296875" style="102" customWidth="1"/>
    <col min="3" max="3" width="11.453125" style="102" customWidth="1"/>
    <col min="4" max="4" width="100.1796875" style="102" customWidth="1"/>
    <col min="5" max="16384" width="9.1796875" style="102"/>
  </cols>
  <sheetData>
    <row r="1" spans="1:4" ht="15" thickBot="1" x14ac:dyDescent="0.4">
      <c r="A1" s="104" t="s">
        <v>5</v>
      </c>
      <c r="B1" s="105" t="s">
        <v>6</v>
      </c>
      <c r="C1" s="110" t="s">
        <v>7</v>
      </c>
      <c r="D1" s="105" t="s">
        <v>8</v>
      </c>
    </row>
    <row r="2" spans="1:4" ht="29.5" thickTop="1" x14ac:dyDescent="0.35">
      <c r="A2" s="106">
        <v>1</v>
      </c>
      <c r="B2" s="102" t="s">
        <v>9</v>
      </c>
      <c r="C2" s="111" t="s">
        <v>10</v>
      </c>
      <c r="D2" s="112" t="s">
        <v>11</v>
      </c>
    </row>
    <row r="3" spans="1:4" ht="29" x14ac:dyDescent="0.35">
      <c r="A3" s="106">
        <v>2</v>
      </c>
      <c r="B3" s="102" t="s">
        <v>12</v>
      </c>
      <c r="C3" s="111" t="s">
        <v>13</v>
      </c>
      <c r="D3" s="112" t="s">
        <v>14</v>
      </c>
    </row>
    <row r="4" spans="1:4" ht="72.5" x14ac:dyDescent="0.35">
      <c r="A4" s="106">
        <v>3</v>
      </c>
      <c r="B4" s="112" t="s">
        <v>15</v>
      </c>
      <c r="C4" s="119" t="s">
        <v>16</v>
      </c>
      <c r="D4" s="112" t="s">
        <v>17</v>
      </c>
    </row>
    <row r="5" spans="1:4" ht="58" x14ac:dyDescent="0.35">
      <c r="A5" s="106">
        <v>4</v>
      </c>
      <c r="B5" s="102" t="s">
        <v>18</v>
      </c>
      <c r="C5" s="119" t="s">
        <v>19</v>
      </c>
      <c r="D5" s="112" t="s">
        <v>20</v>
      </c>
    </row>
    <row r="7" spans="1:4" ht="15.5" x14ac:dyDescent="0.35">
      <c r="B7" s="107" t="s">
        <v>21</v>
      </c>
    </row>
    <row r="8" spans="1:4" ht="15.5" x14ac:dyDescent="0.35">
      <c r="A8" s="106">
        <v>1</v>
      </c>
      <c r="B8" s="103" t="s">
        <v>22</v>
      </c>
    </row>
    <row r="9" spans="1:4" ht="15.5" x14ac:dyDescent="0.35">
      <c r="A9" s="106">
        <v>2</v>
      </c>
      <c r="B9" s="103" t="s">
        <v>23</v>
      </c>
    </row>
    <row r="10" spans="1:4" ht="15.5" x14ac:dyDescent="0.35">
      <c r="A10" s="106">
        <v>3</v>
      </c>
      <c r="B10" s="103" t="s">
        <v>24</v>
      </c>
    </row>
    <row r="11" spans="1:4" x14ac:dyDescent="0.35">
      <c r="A11" s="106">
        <v>4</v>
      </c>
      <c r="B11" s="102" t="s">
        <v>25</v>
      </c>
    </row>
  </sheetData>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D0989-287F-4655-B248-39C1EE13F17D}">
  <sheetPr codeName="Sheet6"/>
  <dimension ref="B2:C44"/>
  <sheetViews>
    <sheetView workbookViewId="0">
      <selection activeCell="F13" sqref="F13"/>
    </sheetView>
  </sheetViews>
  <sheetFormatPr defaultRowHeight="14.5" x14ac:dyDescent="0.35"/>
  <cols>
    <col min="2" max="2" width="49.1796875" bestFit="1" customWidth="1"/>
    <col min="3" max="3" width="53.54296875" bestFit="1" customWidth="1"/>
  </cols>
  <sheetData>
    <row r="2" spans="2:3" ht="18.5" x14ac:dyDescent="0.45">
      <c r="B2" s="109" t="s">
        <v>31</v>
      </c>
    </row>
    <row r="3" spans="2:3" x14ac:dyDescent="0.35">
      <c r="B3" s="94" t="s">
        <v>8</v>
      </c>
      <c r="C3" s="94" t="s">
        <v>32</v>
      </c>
    </row>
    <row r="4" spans="2:3" x14ac:dyDescent="0.35">
      <c r="B4" s="91" t="s">
        <v>33</v>
      </c>
      <c r="C4" s="91" t="s">
        <v>34</v>
      </c>
    </row>
    <row r="5" spans="2:3" x14ac:dyDescent="0.35">
      <c r="B5" s="92" t="s">
        <v>35</v>
      </c>
      <c r="C5" s="92" t="s">
        <v>36</v>
      </c>
    </row>
    <row r="6" spans="2:3" ht="43.5" x14ac:dyDescent="0.35">
      <c r="B6" s="93" t="s">
        <v>37</v>
      </c>
      <c r="C6" s="91" t="s">
        <v>489</v>
      </c>
    </row>
    <row r="7" spans="2:3" x14ac:dyDescent="0.35">
      <c r="B7" s="92" t="s">
        <v>38</v>
      </c>
      <c r="C7" s="92" t="s">
        <v>39</v>
      </c>
    </row>
    <row r="8" spans="2:3" x14ac:dyDescent="0.35">
      <c r="B8" s="92" t="s">
        <v>40</v>
      </c>
      <c r="C8" s="95" t="s">
        <v>41</v>
      </c>
    </row>
    <row r="9" spans="2:3" x14ac:dyDescent="0.35">
      <c r="B9" s="92" t="s">
        <v>42</v>
      </c>
      <c r="C9" s="91" t="s">
        <v>43</v>
      </c>
    </row>
    <row r="11" spans="2:3" ht="18.5" x14ac:dyDescent="0.35">
      <c r="B11" s="108" t="s">
        <v>44</v>
      </c>
    </row>
    <row r="12" spans="2:3" x14ac:dyDescent="0.35">
      <c r="B12" s="94" t="s">
        <v>8</v>
      </c>
      <c r="C12" s="94" t="s">
        <v>32</v>
      </c>
    </row>
    <row r="13" spans="2:3" ht="58" x14ac:dyDescent="0.35">
      <c r="B13" s="96" t="s">
        <v>29</v>
      </c>
      <c r="C13" s="97" t="s">
        <v>490</v>
      </c>
    </row>
    <row r="14" spans="2:3" ht="58" x14ac:dyDescent="0.35">
      <c r="B14" s="96" t="s">
        <v>30</v>
      </c>
      <c r="C14" s="97" t="s">
        <v>491</v>
      </c>
    </row>
    <row r="16" spans="2:3" ht="18.5" x14ac:dyDescent="0.35">
      <c r="B16" s="108" t="s">
        <v>45</v>
      </c>
    </row>
    <row r="17" spans="2:3" x14ac:dyDescent="0.35">
      <c r="B17" s="36" t="s">
        <v>46</v>
      </c>
      <c r="C17" s="33" t="s">
        <v>47</v>
      </c>
    </row>
    <row r="18" spans="2:3" x14ac:dyDescent="0.35">
      <c r="B18" s="170" t="s">
        <v>48</v>
      </c>
      <c r="C18" s="33" t="s">
        <v>49</v>
      </c>
    </row>
    <row r="19" spans="2:3" x14ac:dyDescent="0.35">
      <c r="B19" s="170"/>
      <c r="C19" s="33" t="s">
        <v>50</v>
      </c>
    </row>
    <row r="20" spans="2:3" x14ac:dyDescent="0.35">
      <c r="B20" s="170"/>
      <c r="C20" s="33" t="s">
        <v>475</v>
      </c>
    </row>
    <row r="21" spans="2:3" x14ac:dyDescent="0.35">
      <c r="B21" s="170"/>
      <c r="C21" s="33" t="s">
        <v>476</v>
      </c>
    </row>
    <row r="22" spans="2:3" x14ac:dyDescent="0.35">
      <c r="B22" s="170"/>
      <c r="C22" s="33" t="s">
        <v>51</v>
      </c>
    </row>
    <row r="23" spans="2:3" x14ac:dyDescent="0.35">
      <c r="B23" s="170"/>
      <c r="C23" s="33" t="s">
        <v>52</v>
      </c>
    </row>
    <row r="24" spans="2:3" x14ac:dyDescent="0.35">
      <c r="B24" s="170"/>
      <c r="C24" s="33" t="s">
        <v>53</v>
      </c>
    </row>
    <row r="25" spans="2:3" x14ac:dyDescent="0.35">
      <c r="B25" s="170"/>
      <c r="C25" s="33" t="s">
        <v>54</v>
      </c>
    </row>
    <row r="26" spans="2:3" x14ac:dyDescent="0.35">
      <c r="B26" s="170"/>
      <c r="C26" s="33" t="s">
        <v>55</v>
      </c>
    </row>
    <row r="27" spans="2:3" x14ac:dyDescent="0.35">
      <c r="B27" s="170"/>
      <c r="C27" s="137" t="s">
        <v>56</v>
      </c>
    </row>
    <row r="28" spans="2:3" x14ac:dyDescent="0.35">
      <c r="B28" s="170" t="s">
        <v>477</v>
      </c>
      <c r="C28" s="33" t="s">
        <v>57</v>
      </c>
    </row>
    <row r="29" spans="2:3" x14ac:dyDescent="0.35">
      <c r="B29" s="170"/>
      <c r="C29" s="33" t="s">
        <v>58</v>
      </c>
    </row>
    <row r="30" spans="2:3" x14ac:dyDescent="0.35">
      <c r="B30" s="170"/>
      <c r="C30" s="33" t="s">
        <v>479</v>
      </c>
    </row>
    <row r="31" spans="2:3" x14ac:dyDescent="0.35">
      <c r="B31" s="170"/>
      <c r="C31" s="33" t="s">
        <v>59</v>
      </c>
    </row>
    <row r="32" spans="2:3" x14ac:dyDescent="0.35">
      <c r="B32" s="170"/>
      <c r="C32" s="33" t="s">
        <v>60</v>
      </c>
    </row>
    <row r="33" spans="2:3" x14ac:dyDescent="0.35">
      <c r="B33" s="170"/>
      <c r="C33" s="33" t="s">
        <v>478</v>
      </c>
    </row>
    <row r="34" spans="2:3" x14ac:dyDescent="0.35">
      <c r="B34" s="170"/>
      <c r="C34" s="33" t="s">
        <v>482</v>
      </c>
    </row>
    <row r="35" spans="2:3" x14ac:dyDescent="0.35">
      <c r="B35" s="170"/>
      <c r="C35" s="33" t="s">
        <v>483</v>
      </c>
    </row>
    <row r="36" spans="2:3" x14ac:dyDescent="0.35">
      <c r="B36" s="170"/>
      <c r="C36" s="33" t="s">
        <v>484</v>
      </c>
    </row>
    <row r="37" spans="2:3" x14ac:dyDescent="0.35">
      <c r="B37" s="170"/>
      <c r="C37" s="33" t="s">
        <v>480</v>
      </c>
    </row>
    <row r="38" spans="2:3" x14ac:dyDescent="0.35">
      <c r="B38" s="170"/>
      <c r="C38" s="33" t="s">
        <v>481</v>
      </c>
    </row>
    <row r="39" spans="2:3" x14ac:dyDescent="0.35">
      <c r="B39" s="170" t="s">
        <v>61</v>
      </c>
      <c r="C39" s="33" t="s">
        <v>62</v>
      </c>
    </row>
    <row r="40" spans="2:3" x14ac:dyDescent="0.35">
      <c r="B40" s="170"/>
      <c r="C40" s="33" t="s">
        <v>63</v>
      </c>
    </row>
    <row r="41" spans="2:3" x14ac:dyDescent="0.35">
      <c r="B41" s="170"/>
      <c r="C41" s="33" t="s">
        <v>485</v>
      </c>
    </row>
    <row r="42" spans="2:3" x14ac:dyDescent="0.35">
      <c r="B42" s="170"/>
      <c r="C42" s="33" t="s">
        <v>486</v>
      </c>
    </row>
    <row r="43" spans="2:3" x14ac:dyDescent="0.35">
      <c r="B43" s="170"/>
      <c r="C43" s="33" t="s">
        <v>487</v>
      </c>
    </row>
    <row r="44" spans="2:3" x14ac:dyDescent="0.35">
      <c r="B44" s="170"/>
      <c r="C44" s="33" t="s">
        <v>488</v>
      </c>
    </row>
  </sheetData>
  <mergeCells count="3">
    <mergeCell ref="B18:B27"/>
    <mergeCell ref="B28:B38"/>
    <mergeCell ref="B39:B4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C9527-CFF8-4A33-B0B6-B2A39D7A021B}">
  <dimension ref="A1:AK130"/>
  <sheetViews>
    <sheetView topLeftCell="A42" workbookViewId="0">
      <selection activeCell="P34" sqref="P34"/>
    </sheetView>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Summary!C16</f>
        <v>1.8</v>
      </c>
      <c r="K2" s="10">
        <v>1000000000000</v>
      </c>
      <c r="L2" s="15">
        <v>0.1</v>
      </c>
      <c r="M2" s="15">
        <v>0.1</v>
      </c>
      <c r="N2" s="17">
        <f>Summary!C26</f>
        <v>100</v>
      </c>
      <c r="O2" s="15">
        <f>Summary!C88</f>
        <v>0.25</v>
      </c>
      <c r="P2" s="15">
        <f>Summary!C89</f>
        <v>0.25</v>
      </c>
      <c r="Q2" s="5" t="str">
        <f>Summary!C27</f>
        <v>N/A</v>
      </c>
      <c r="R2" s="5">
        <f>Summary!C51</f>
        <v>0.3</v>
      </c>
      <c r="S2" s="5">
        <f>Summary!C52</f>
        <v>0.7</v>
      </c>
      <c r="T2" s="5">
        <f>Summary!C53</f>
        <v>0.3</v>
      </c>
      <c r="U2" s="5">
        <f>Summary!C54</f>
        <v>0.7</v>
      </c>
      <c r="V2" s="130">
        <f>Summary!C55</f>
        <v>9.9999999999999995E-7</v>
      </c>
      <c r="W2" s="130">
        <f>Summary!C56</f>
        <v>2.9999999999999999E-7</v>
      </c>
      <c r="X2" s="131">
        <f>V2</f>
        <v>9.9999999999999995E-7</v>
      </c>
      <c r="Y2" s="132" t="str">
        <f>IF(Summary!C57="","",Summary!C57)</f>
        <v/>
      </c>
      <c r="Z2" s="132" t="str">
        <f>IF(Summary!C58="","",Summary!C58)</f>
        <v/>
      </c>
      <c r="AA2" s="4">
        <f>Summary!C59</f>
        <v>1E-10</v>
      </c>
      <c r="AB2" s="41">
        <f>Summary!C81</f>
        <v>4.9999999999999997E-12</v>
      </c>
      <c r="AC2" s="41">
        <f>Summary!C83</f>
        <v>8.1900000000000013E-12</v>
      </c>
      <c r="AD2" s="3">
        <f>Summary!C84</f>
        <v>0.69</v>
      </c>
      <c r="AE2" s="41">
        <f>Summary!C86</f>
        <v>4.9999999999999997E-12</v>
      </c>
      <c r="AF2" s="5">
        <f>Summary!C87</f>
        <v>2.93</v>
      </c>
      <c r="AG2" s="127" t="str">
        <f>Summary!C50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Summary!C16</f>
        <v>1.8</v>
      </c>
      <c r="K3" s="10">
        <v>1000000000000</v>
      </c>
      <c r="L3" s="15">
        <v>0.1</v>
      </c>
      <c r="M3" s="15">
        <v>0.1</v>
      </c>
      <c r="N3">
        <f>Summary!C97</f>
        <v>133</v>
      </c>
      <c r="O3" s="15">
        <f>Summary!C98</f>
        <v>0.5</v>
      </c>
      <c r="P3" s="15">
        <f>Summary!C99</f>
        <v>0</v>
      </c>
      <c r="Q3"/>
      <c r="R3" s="5">
        <f>Summary!C38</f>
        <v>0.3</v>
      </c>
      <c r="S3" s="5">
        <f>Summary!C39</f>
        <v>0.7</v>
      </c>
      <c r="T3" s="5">
        <f>Summary!C42</f>
        <v>0.3</v>
      </c>
      <c r="U3" s="5">
        <f>Summary!C43</f>
        <v>0.7</v>
      </c>
      <c r="V3" s="130">
        <f>Summary!C44</f>
        <v>9.9999999999999995E-7</v>
      </c>
      <c r="W3" s="130">
        <f>Summary!C45</f>
        <v>2.9999999999999999E-7</v>
      </c>
      <c r="X3" s="131">
        <f>V3</f>
        <v>9.9999999999999995E-7</v>
      </c>
      <c r="Y3" s="132" t="str">
        <f>IF(Summary!C46="","",Summary!C46)</f>
        <v/>
      </c>
      <c r="Z3" s="132" t="str">
        <f>IF(Summary!C47="","",Summary!C47)</f>
        <v/>
      </c>
      <c r="AA3" s="4">
        <f>Summary!C59</f>
        <v>1E-10</v>
      </c>
      <c r="AB3" s="41">
        <f>Summary!C96</f>
        <v>9.9999999999999994E-12</v>
      </c>
      <c r="AG3" s="127" t="str">
        <f>Summary!C37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427329345.73217905</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427329345.73217905</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398.88612926332922</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378.31470632001259</v>
      </c>
      <c r="F7" s="123">
        <f>_xlfn.IFNA(_xlfn.XLOOKUP($X$2,AB34:AB129,P34:P129,,-1), "Out of support PU range")</f>
        <v>6510</v>
      </c>
      <c r="G7" s="124">
        <f>_xlfn.IFNA(_xlfn.XLOOKUP($X$3,S34:S129,P34:P129,,-1), "Out of support PU range")</f>
        <v>6510</v>
      </c>
      <c r="H7" s="124">
        <f>_xlfn.IFNA(MAX(_xlfn.XLOOKUP(MAX($Y$2:$AA$2),AA34:AA129,O34:O129,,1), _xlfn.XLOOKUP($W$2,AD34:AD129,O34:O129,,-1)), "Fail AC VIL")</f>
        <v>408.5</v>
      </c>
      <c r="I7" s="129">
        <f>_xlfn.IFNA(MAX(_xlfn.XLOOKUP(MAX($Y$3:$AA$3),R34:R129,O34:O129,,1), _xlfn.XLOOKUP($W$3,AC34:AC129,O34:O129,,-1)), "Fail AC VIL")</f>
        <v>408.5</v>
      </c>
      <c r="J7" s="21">
        <v>20000</v>
      </c>
      <c r="K7" s="2">
        <f>MIN(
MIN(FLOOR(B7,10^(LEN(ROUND(B7,0))-1))/10,
FLOOR(C7,10^(LEN(ROUND(C7,0))-1))/10,
IF(F7*10&gt;=J7,FLOOR(F7,10^(LEN(ROUND(F7,0))-1))/10,FLOOR(F7,10^(LEN(ROUND(F7,0))-1))),
FLOOR(G7,10^(LEN(ROUND(G7,0))-1))/10),
MAX(I7,J7)
)</f>
        <v>600</v>
      </c>
      <c r="L7" s="1"/>
      <c r="N7" s="71">
        <f>Summary!C62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895.71428296526938</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895.71428296526938</v>
      </c>
      <c r="E8">
        <f>X2/(1.204*K18)</f>
        <v>5182.276253199745</v>
      </c>
      <c r="F8">
        <f>X3/(1.204*K18)</f>
        <v>5182.276253199745</v>
      </c>
      <c r="H8">
        <f>AA2/(1.204*K18)</f>
        <v>0.51822762531997457</v>
      </c>
      <c r="I8" s="2">
        <f>AA3/(1.204*K18)</f>
        <v>0.51822762531997457</v>
      </c>
      <c r="J8" s="8">
        <v>20000</v>
      </c>
      <c r="K8">
        <f>MIN(MIN(FLOOR(B8,10^(LEN(ROUND(B8,0))-1))/10,FLOOR(C8,10^(LEN(ROUND(C8,0))-1))/10,FLOOR(E8,10^(LEN(ROUND(E8,0))-1))/10,FLOOR(F8,10^(LEN(ROUND(F8,0))-1))/10),MAX(I8,J8))</f>
        <v>80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Summary!C24</f>
        <v>2200</v>
      </c>
      <c r="D11" s="1">
        <f>IF(AND(B11="no need", C11=""), "",IF(AND(B11="no need", C11&gt;0), "please remove resistor",   IF(AND(B11="need resistor", ISBLANK(C11)), "please enter resistor",  (1/(1/F2+1/F3))/(1/(1/(1/(1/C2+1/C3))+1/C11)+(1/(1/F2+1/F3))) ) ))</f>
        <v>0.99999999559999997</v>
      </c>
      <c r="F11" s="7">
        <f>IF(B11="no need", 1000000000, C11)</f>
        <v>2200</v>
      </c>
      <c r="G11" s="7" t="s">
        <v>281</v>
      </c>
      <c r="H11" s="62">
        <f>Summary!C25</f>
        <v>0.05</v>
      </c>
      <c r="K11" s="6" t="s">
        <v>282</v>
      </c>
      <c r="N11" s="19" t="s">
        <v>283</v>
      </c>
      <c r="P11" s="19" t="s">
        <v>284</v>
      </c>
      <c r="R11" s="127" t="s">
        <v>285</v>
      </c>
      <c r="S11" s="127">
        <f>($J$2+$J$2*Summary!$C$17)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Summary!C10</f>
        <v>25</v>
      </c>
      <c r="L12" t="s">
        <v>287</v>
      </c>
      <c r="N12" s="4">
        <f>SUM(AB2:AC3,AE2:AE3)</f>
        <v>2.8189999999999998E-11</v>
      </c>
      <c r="O12" t="s">
        <v>288</v>
      </c>
      <c r="P12" s="61">
        <f>Summary!C84+Summary!C87</f>
        <v>3.62</v>
      </c>
      <c r="Q12" t="s">
        <v>289</v>
      </c>
      <c r="R12" s="127" t="s">
        <v>290</v>
      </c>
      <c r="S12" s="127">
        <f>($J$2-$J$2*Summary!$C$17)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($J$3+$J$3*Summary!$C$18)</f>
        <v>1.8900000000000001</v>
      </c>
    </row>
    <row r="14" spans="1:37" x14ac:dyDescent="0.35">
      <c r="K14" s="6" t="s">
        <v>293</v>
      </c>
      <c r="N14" s="6" t="s">
        <v>294</v>
      </c>
      <c r="R14" s="127" t="s">
        <v>295</v>
      </c>
      <c r="S14" s="127">
        <f>($J$3-$J$3*Summary!$C$18)</f>
        <v>1.71</v>
      </c>
    </row>
    <row r="15" spans="1:37" x14ac:dyDescent="0.35">
      <c r="B15" s="2"/>
      <c r="C15" s="2"/>
      <c r="K15" s="3">
        <f>Summary!C8</f>
        <v>19.988</v>
      </c>
      <c r="L15" t="s">
        <v>296</v>
      </c>
      <c r="N15" s="41">
        <f>Summary!C9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0.99999742818204451</v>
      </c>
      <c r="C18">
        <f>B42</f>
        <v>0.99999809618352209</v>
      </c>
      <c r="D18">
        <f>B102</f>
        <v>0.99999742818204995</v>
      </c>
      <c r="E18">
        <f>C102</f>
        <v>6.9093063807722066E-2</v>
      </c>
      <c r="F18" s="126">
        <f>_xlfn.LET(
_xlpm.Rbus, (1/(1/((1/(1/($G$91+$G$93)+1/$G$90))+$G$92)+1/($G$89))),
_xlpm.VCC, IF($AG$2="absolute",$S$13,1),
_xlpm.Vspec_abs, $U$2-$N$7,
(LN(1-$T$2/_xlpm.VCC)-LN(1-_xlpm.Vspec_abs/_xlpm.VCC))*$K$19*_xlpm.Rbus
)</f>
        <v>2.3489257511406977E-7</v>
      </c>
      <c r="G18" s="128">
        <f>_xlfn.LET(
_xlpm.Rbus, (1/(1/((1/(1/($D$91+$D$93)+1/$D$90))+$D$92)+1/($D$89))),
_xlpm.VCC, IF($AG$2="absolute",$S$14,1),
_xlpm.Vspec_abs, $U$2+$N$7,
(LN(1-$T$2/_xlpm.VCC)-LN(1-_xlpm.Vspec_abs/_xlpm.VCC))*$K$18*_xlpm.Rbus
)</f>
        <v>3.4248186921767268E-7</v>
      </c>
      <c r="H18" s="126">
        <f>_xlfn.LET(
_xlpm.Rbus, (1/(1/((1/(1/($H$96+$H$93)+1/$H$95))+$H$92)+1/($H$94))),
_xlpm.VCC, IF($AG$2="absolute",$S$14,1),
_xlpm.Vspec_abs, $T$2+$N$7,
_xlpm.Vspec_rel, _xlpm.Vspec_abs/_xlpm.VCC,
IFERROR((LN($U$2)-LN(_xlpm.Vspec_rel))*$K$19*_xlpm.Rbus, "Vlow exceeds VIL spec")
)</f>
        <v>9.3071857084351626E-9</v>
      </c>
      <c r="I18" s="128">
        <f>_xlfn.LET(
_xlpm.Rbus, (1/(1/((1/(1/($F$96+$F$93)+1/$F$95))+$F$92)+1/($F$94))),
_xlpm.VCC, IF($AG$2="absolute",$S$13,1),
_xlpm.Vspec_abs, $T$2-$N$7,
_xlpm.Vspec_rel, _xlpm.Vspec_abs/_xlpm.VCC,
IFERROR((LN($U$2)-LN(_xlpm.Vspec_rel))*$K$18*_xlpm.Rbus,"Vlow exceeds VIL spec")
)</f>
        <v>2.2780366956631629E-8</v>
      </c>
      <c r="J18" s="139" t="s">
        <v>307</v>
      </c>
      <c r="K18" s="4">
        <f>Summary!C102</f>
        <v>1.6027026416052833E-10</v>
      </c>
      <c r="L18" s="22" t="s">
        <v>288</v>
      </c>
      <c r="M18" s="10">
        <f>K18*1000000000000</f>
        <v>160.27026416052834</v>
      </c>
      <c r="N18" t="s">
        <v>308</v>
      </c>
      <c r="O18" s="49">
        <f>N12+K12/39.37*N15</f>
        <v>1.6027026416052833E-10</v>
      </c>
    </row>
    <row r="19" spans="1:26" x14ac:dyDescent="0.35">
      <c r="A19" t="s">
        <v>309</v>
      </c>
      <c r="B19">
        <f>C64</f>
        <v>0.99999742818204473</v>
      </c>
      <c r="C19">
        <f>C44</f>
        <v>0.99999809618352209</v>
      </c>
      <c r="D19">
        <f>B84</f>
        <v>0.99999742818205017</v>
      </c>
      <c r="E19">
        <f>C84</f>
        <v>6.5764120554627298E-2</v>
      </c>
      <c r="F19" s="126">
        <f>_xlfn.LET(
_xlpm.Rbus,(1/(1/((1/(1/($G$77+$G$72)+1/$G$70))+$G$73)+1/($G$71))),
_xlpm.VCC,IF($AG$3="absolute",$S$11,1),
_xlpm.Vspec_abs,$U$3-$N$7,
(LN(1-($T$3/_xlpm.VCC))-LN(1-_xlpm.Vspec_abs/_xlpm.VCC))*$K$19*_xlpm.Rbus
)</f>
        <v>2.3489257511406977E-7</v>
      </c>
      <c r="G19" s="128">
        <f>_xlfn.LET(
_xlpm.Rbus, (1/(1/((1/(1/($D$77+$D$72)+1/$D$70))+$D$73)+1/($D$71))),
_xlpm.VCC, IF($AG$3="absolute",$S$12,1),
_xlpm.Vspec_abs, $U$3+$N$7,
(LN(1-$T$3/_xlpm.VCC)-LN(1-_xlpm.Vspec_abs/_xlpm.VCC))*$K$18*_xlpm.Rbus
)</f>
        <v>3.4248186921767268E-7</v>
      </c>
      <c r="H19" s="126">
        <f>_xlfn.LET(
_xlpm.Rbus, (1/(1/((1/(1/($H$74+$H$72)+1/$H$75))+$H$73)+1/($H$76))),
_xlpm.VCC, IF($AG$3="absolute",$S$12,1),
_xlpm.Vspec_abs, $T$3+$N$7,
_xlpm.Vspec_rel, _xlpm.Vspec_abs/_xlpm.VCC,
IFERROR((LN($U$3)-LN(_xlpm.Vspec_rel))*$K$19*_xlpm.Rbus, "Vlow exceeds VIL spec")
)</f>
        <v>1.0262490295885478E-8</v>
      </c>
      <c r="I19" s="128">
        <f>_xlfn.LET(
_xlpm.Rbus, (1/(1/((1/(1/($F$74+$F$72)+1/$F$75))+$F$73)+1/($F$76))),
_xlpm.VCC, IF($AG$3="absolute",$S$11,1),
_xlpm.Vspec_abs, $T$3-$N$7,
_xlpm.Vspec_rel, _xlpm.Vspec_abs/_xlpm.VCC,
IFERROR((LN($U$3)-LN(_xlpm.Vspec_rel))*$K$18*_xlpm.Rbus,"Vlow exceeds VIL spec")
)</f>
        <v>2.1605534018873997E-8</v>
      </c>
      <c r="J19" s="139" t="s">
        <v>310</v>
      </c>
      <c r="K19" s="4">
        <f>Summary!C101</f>
        <v>1.4358026416052834E-10</v>
      </c>
      <c r="L19" t="s">
        <v>288</v>
      </c>
    </row>
    <row r="20" spans="1:26" x14ac:dyDescent="0.35">
      <c r="J20" s="139"/>
      <c r="K20" s="6" t="s">
        <v>311</v>
      </c>
    </row>
    <row r="21" spans="1:26" x14ac:dyDescent="0.35">
      <c r="E21" s="120" t="s">
        <v>137</v>
      </c>
      <c r="F21" t="str">
        <f>IF(OR(AND(E18&gt;(R2-N7), Summary!C50="relative"), AND(E18&gt;(R2-N7)/(J3+J3*Summary!C18), Summary!C50="absolute")),IF(U29="no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IF(OR(Summary!C24&gt;Summary!C22,Summary!C24&lt;Summary!C21), "- ensure board PU is within recommended range" &amp; CHAR(10),) &amp; "- reduce MB trace length",""))</f>
        <v/>
      </c>
      <c r="J21" s="139" t="s">
        <v>307</v>
      </c>
      <c r="K21" s="5">
        <f>Summary!C104</f>
        <v>22.122405384810769</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s="5">
        <f>Summary!C103</f>
        <v>16.31240538481077</v>
      </c>
      <c r="L22" t="s">
        <v>289</v>
      </c>
    </row>
    <row r="23" spans="1:26" x14ac:dyDescent="0.35">
      <c r="B23" s="171" t="s">
        <v>313</v>
      </c>
      <c r="C23" s="171"/>
      <c r="D23" t="s">
        <v>314</v>
      </c>
      <c r="E23" s="175"/>
      <c r="F23" t="str">
        <f>IF(F22="",IF(OR(AND(E19&lt;=(R3-N7), Summary!C37="relative"),AND(E19&lt;=(R3-N7)/(J2+J2*Summary!C17), Summary!C37="absolute")),IF(OR(G19&gt;V3,I19&gt;W3), IF(N2=MIN(AH2:AH5), "failed max rise/fall time spec, recommendations:" &amp; CHAR(10) &amp; "-reduce MB trace length" &amp; CHAR(10) &amp; "-increase trace width (reduce MB trace resistance per length)", "failed max rise/fall time spec, recommendations:" &amp; CHAR(10) &amp; IF(OR(Summary!C24&gt;Summary!C22,Summary!C24&lt;Summary!C21),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Summary!C13</f>
        <v>0</v>
      </c>
      <c r="L24" t="s">
        <v>305</v>
      </c>
    </row>
    <row r="25" spans="1:26" x14ac:dyDescent="0.35">
      <c r="A25" t="s">
        <v>318</v>
      </c>
      <c r="B25" s="11">
        <f>C2*(1-D2)</f>
        <v>900000000000</v>
      </c>
      <c r="C25" s="11">
        <f>C2*(1-D2)</f>
        <v>900000000000</v>
      </c>
      <c r="K25" s="18">
        <f>Summary!C14</f>
        <v>1</v>
      </c>
      <c r="L25" t="s">
        <v>274</v>
      </c>
      <c r="N25" s="72" t="s">
        <v>319</v>
      </c>
    </row>
    <row r="26" spans="1:26" x14ac:dyDescent="0.35">
      <c r="A26" t="s">
        <v>320</v>
      </c>
      <c r="B26" s="11">
        <f>F11*(1-H11)</f>
        <v>2090</v>
      </c>
      <c r="C26" s="11">
        <f>F11*(1-H11)</f>
        <v>2090</v>
      </c>
      <c r="Q26" t="s">
        <v>321</v>
      </c>
    </row>
    <row r="27" spans="1:26" x14ac:dyDescent="0.35">
      <c r="A27" t="s">
        <v>322</v>
      </c>
      <c r="B27" s="11">
        <f>C3*(1-D3)</f>
        <v>900000000000</v>
      </c>
      <c r="C27" s="11">
        <f>C3*(1-D3)</f>
        <v>900000000000</v>
      </c>
      <c r="Q27" t="s">
        <v>323</v>
      </c>
    </row>
    <row r="28" spans="1:26" x14ac:dyDescent="0.35">
      <c r="A28" t="s">
        <v>324</v>
      </c>
      <c r="B28" s="1">
        <f>K21</f>
        <v>22.122405384810769</v>
      </c>
      <c r="C28">
        <v>0</v>
      </c>
      <c r="Q28" t="s">
        <v>325</v>
      </c>
      <c r="V28" t="s">
        <v>305</v>
      </c>
      <c r="W28" t="s">
        <v>274</v>
      </c>
      <c r="X28" t="s">
        <v>326</v>
      </c>
    </row>
    <row r="29" spans="1:26" x14ac:dyDescent="0.35">
      <c r="A29" t="s">
        <v>327</v>
      </c>
      <c r="B29">
        <v>0</v>
      </c>
      <c r="C29" s="1">
        <f>K21</f>
        <v>22.122405384810769</v>
      </c>
      <c r="F29" s="11"/>
      <c r="T29" t="s">
        <v>328</v>
      </c>
      <c r="U29">
        <f>IF(IF(ISBLANK(Summary!C25),IF(U30=W82,L30,U30),IF(Summary!C25=5%,L30,U30))=N130,"no solution",IF(ISBLANK(Summary!C25),IF(U30=W82,L30,U30),IF(Summary!C25=5%,L30,U30)))</f>
        <v>1600</v>
      </c>
      <c r="V29">
        <f>IFERROR(IF(X29=5%,VLOOKUP(1,M34:N129,2,FALSE),VLOOKUP(1,V34:W81,2,FALSE)),"no solution")</f>
        <v>430</v>
      </c>
      <c r="W29">
        <f>IF(U29="no solution","no solution",IF(X29=5%,VLOOKUP(MAX(M34:M129)-1,M34:N129,2,FALSE),VLOOKUP(MAX(V34:V81)-1,V34:W81,2,FALSE)))</f>
        <v>6200</v>
      </c>
      <c r="X29" s="64">
        <f>Summary!C25</f>
        <v>0.05</v>
      </c>
    </row>
    <row r="30" spans="1:26" x14ac:dyDescent="0.35">
      <c r="A30" t="s">
        <v>329</v>
      </c>
      <c r="B30" s="11">
        <f>F2*(1+H2)</f>
        <v>1100000000000</v>
      </c>
      <c r="C30" s="11">
        <f>F2*(1+H2)</f>
        <v>1100000000000</v>
      </c>
      <c r="K30" t="s">
        <v>330</v>
      </c>
      <c r="L30">
        <f>VLOOKUP(Q31,M34:Q154,2)</f>
        <v>1600</v>
      </c>
      <c r="T30" t="s">
        <v>331</v>
      </c>
      <c r="U30">
        <f>VLOOKUP(Z31,V34:W82,2)</f>
        <v>1800</v>
      </c>
    </row>
    <row r="31" spans="1:26" x14ac:dyDescent="0.35">
      <c r="A31" t="s">
        <v>332</v>
      </c>
      <c r="B31" s="11">
        <f>F12*(1+H12)</f>
        <v>1100000000</v>
      </c>
      <c r="C31" s="11">
        <f>F12*(1+H12)</f>
        <v>1100000000</v>
      </c>
      <c r="Q31" cm="1">
        <f t="array" ref="Q31">MAX(M34:M129+1)/2</f>
        <v>15.5</v>
      </c>
      <c r="Z31" cm="1">
        <f t="array" ref="Z31">MAX(V34:V81+1)/2</f>
        <v>8</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4.7907358629788475E-9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4.7907358629788475E-9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1.1744628837115299E-9</v>
      </c>
      <c r="S35" s="126">
        <f t="shared" si="4"/>
        <v>4.9449327284909522E-9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4.9449327284909522E-9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1.281232236772157E-9</v>
      </c>
      <c r="S36" s="126">
        <f t="shared" si="4"/>
        <v>5.0991295940021736E-9</v>
      </c>
      <c r="T36">
        <v>1</v>
      </c>
      <c r="U36">
        <v>15</v>
      </c>
      <c r="V36">
        <f t="shared" si="11"/>
        <v>0</v>
      </c>
      <c r="W36">
        <f t="shared" si="12"/>
        <v>15</v>
      </c>
      <c r="X36">
        <f t="shared" si="5"/>
        <v>13.5</v>
      </c>
      <c r="Y36">
        <f t="shared" si="6"/>
        <v>16.5</v>
      </c>
      <c r="Z36">
        <f t="shared" si="13"/>
        <v>0</v>
      </c>
      <c r="AA36" s="126">
        <f t="shared" si="14"/>
        <v>1.281232236772157E-9</v>
      </c>
      <c r="AB36" s="126">
        <f t="shared" si="15"/>
        <v>5.0991295940021736E-9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1.3880015898321084E-9</v>
      </c>
      <c r="S37" s="126">
        <f t="shared" si="4"/>
        <v>5.2533264595125131E-9</v>
      </c>
      <c r="T37">
        <v>1</v>
      </c>
      <c r="U37">
        <v>18</v>
      </c>
      <c r="V37">
        <f t="shared" si="11"/>
        <v>0</v>
      </c>
      <c r="W37">
        <f t="shared" si="12"/>
        <v>18</v>
      </c>
      <c r="X37">
        <f t="shared" si="5"/>
        <v>16.2</v>
      </c>
      <c r="Y37">
        <f t="shared" si="6"/>
        <v>19.8</v>
      </c>
      <c r="Z37">
        <f t="shared" si="13"/>
        <v>0</v>
      </c>
      <c r="AA37" s="126">
        <f t="shared" si="14"/>
        <v>1.3880015898321084E-9</v>
      </c>
      <c r="AB37" s="126">
        <f t="shared" si="15"/>
        <v>5.2533264595125131E-9</v>
      </c>
      <c r="AC37" s="126" t="str">
        <f t="shared" si="7"/>
        <v>Vlow exceeds VIL spec</v>
      </c>
      <c r="AD37" s="126" t="str">
        <f t="shared" si="8"/>
        <v>Vlow exceeds VIL spec</v>
      </c>
    </row>
    <row r="38" spans="1:30" x14ac:dyDescent="0.35">
      <c r="A38" t="s">
        <v>347</v>
      </c>
      <c r="B38" s="125">
        <f>IF(Summary!C50="absolute",(S2+N7)/(J3-J3*Summary!C18),S2+N7)</f>
        <v>0.72</v>
      </c>
      <c r="K38">
        <v>1</v>
      </c>
      <c r="L38">
        <v>15</v>
      </c>
      <c r="M38">
        <f t="shared" si="9"/>
        <v>0</v>
      </c>
      <c r="N38">
        <f t="shared" si="0"/>
        <v>15</v>
      </c>
      <c r="O38">
        <f t="shared" si="1"/>
        <v>14.25</v>
      </c>
      <c r="P38">
        <f t="shared" si="2"/>
        <v>15.75</v>
      </c>
      <c r="Q38">
        <f t="shared" si="10"/>
        <v>0</v>
      </c>
      <c r="R38" s="126">
        <f t="shared" si="3"/>
        <v>1.601540295949982E-9</v>
      </c>
      <c r="S38" s="126">
        <f t="shared" si="4"/>
        <v>5.5617201905305428E-9</v>
      </c>
      <c r="T38">
        <v>1</v>
      </c>
      <c r="U38">
        <v>22</v>
      </c>
      <c r="V38">
        <f t="shared" si="11"/>
        <v>0</v>
      </c>
      <c r="W38">
        <f t="shared" si="12"/>
        <v>22</v>
      </c>
      <c r="X38">
        <f t="shared" si="5"/>
        <v>19.8</v>
      </c>
      <c r="Y38">
        <f t="shared" si="6"/>
        <v>24.200000000000003</v>
      </c>
      <c r="Z38">
        <f t="shared" si="13"/>
        <v>0</v>
      </c>
      <c r="AA38" s="126">
        <f t="shared" si="14"/>
        <v>1.601540295949982E-9</v>
      </c>
      <c r="AB38" s="126">
        <f t="shared" si="15"/>
        <v>5.5617201905305428E-9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1.7083096490079043E-9</v>
      </c>
      <c r="S39" s="126">
        <f t="shared" si="4"/>
        <v>5.7159170560382321E-9</v>
      </c>
      <c r="T39">
        <v>1</v>
      </c>
      <c r="U39">
        <v>27</v>
      </c>
      <c r="V39">
        <f t="shared" si="11"/>
        <v>0</v>
      </c>
      <c r="W39">
        <f t="shared" si="12"/>
        <v>27</v>
      </c>
      <c r="X39">
        <f t="shared" si="5"/>
        <v>24.3</v>
      </c>
      <c r="Y39">
        <f t="shared" si="6"/>
        <v>29.700000000000003</v>
      </c>
      <c r="Z39">
        <f t="shared" si="13"/>
        <v>0</v>
      </c>
      <c r="AA39" s="126">
        <f t="shared" si="14"/>
        <v>1.7083096490079043E-9</v>
      </c>
      <c r="AB39" s="126">
        <f t="shared" si="15"/>
        <v>5.7159170560382321E-9</v>
      </c>
      <c r="AC39" s="126" t="str">
        <f t="shared" si="7"/>
        <v>Vlow exceeds VIL spec</v>
      </c>
      <c r="AD39" s="126" t="str">
        <f t="shared" si="8"/>
        <v>Vlow exceeds VIL spec</v>
      </c>
    </row>
    <row r="40" spans="1:30" x14ac:dyDescent="0.35">
      <c r="A40" t="s">
        <v>349</v>
      </c>
      <c r="C40" s="125">
        <f>IF(Summary!C37="absolute",(S3+N7)/(J2-J2*Summary!C17),S3+N7)</f>
        <v>0.72</v>
      </c>
      <c r="K40">
        <v>1</v>
      </c>
      <c r="L40">
        <v>18</v>
      </c>
      <c r="M40">
        <f t="shared" si="9"/>
        <v>0</v>
      </c>
      <c r="N40">
        <f t="shared" si="0"/>
        <v>18</v>
      </c>
      <c r="O40">
        <f t="shared" si="1"/>
        <v>17.099999999999998</v>
      </c>
      <c r="P40">
        <f t="shared" si="2"/>
        <v>18.900000000000002</v>
      </c>
      <c r="Q40">
        <f t="shared" si="10"/>
        <v>0</v>
      </c>
      <c r="R40" s="126">
        <f t="shared" si="3"/>
        <v>1.9218483551217202E-9</v>
      </c>
      <c r="S40" s="126">
        <f t="shared" si="4"/>
        <v>6.0243107870509612E-9</v>
      </c>
      <c r="T40">
        <v>1</v>
      </c>
      <c r="U40">
        <v>33</v>
      </c>
      <c r="V40">
        <f t="shared" si="11"/>
        <v>0</v>
      </c>
      <c r="W40">
        <f t="shared" si="12"/>
        <v>33</v>
      </c>
      <c r="X40">
        <f t="shared" si="5"/>
        <v>29.7</v>
      </c>
      <c r="Y40">
        <f t="shared" si="6"/>
        <v>36.300000000000004</v>
      </c>
      <c r="Z40">
        <f t="shared" si="13"/>
        <v>0</v>
      </c>
      <c r="AA40" s="126">
        <f t="shared" si="14"/>
        <v>1.9218483551217202E-9</v>
      </c>
      <c r="AB40" s="126">
        <f t="shared" si="15"/>
        <v>6.0243107870509612E-9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2.1353870612328322E-9</v>
      </c>
      <c r="S41" s="126">
        <f t="shared" si="4"/>
        <v>6.332704518060159E-9</v>
      </c>
      <c r="T41">
        <v>1</v>
      </c>
      <c r="U41">
        <v>39</v>
      </c>
      <c r="V41">
        <f t="shared" si="11"/>
        <v>0</v>
      </c>
      <c r="W41">
        <f t="shared" si="12"/>
        <v>39</v>
      </c>
      <c r="X41">
        <f t="shared" si="5"/>
        <v>35.1</v>
      </c>
      <c r="Y41">
        <f t="shared" si="6"/>
        <v>42.900000000000006</v>
      </c>
      <c r="Z41">
        <f t="shared" si="13"/>
        <v>0</v>
      </c>
      <c r="AA41" s="126">
        <f t="shared" si="14"/>
        <v>2.1353870612328322E-9</v>
      </c>
      <c r="AB41" s="126">
        <f t="shared" si="15"/>
        <v>6.332704518060159E-9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0.99999809618352209</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0.99999809620363322</v>
      </c>
      <c r="K42">
        <v>1</v>
      </c>
      <c r="L42">
        <v>22</v>
      </c>
      <c r="M42">
        <f t="shared" si="9"/>
        <v>0</v>
      </c>
      <c r="N42">
        <f t="shared" si="0"/>
        <v>22</v>
      </c>
      <c r="O42">
        <f t="shared" si="1"/>
        <v>20.9</v>
      </c>
      <c r="P42">
        <f t="shared" si="2"/>
        <v>23.1</v>
      </c>
      <c r="Q42">
        <f t="shared" si="10"/>
        <v>0</v>
      </c>
      <c r="R42" s="126">
        <f t="shared" si="3"/>
        <v>2.3489257673412385E-9</v>
      </c>
      <c r="S42" s="126">
        <f t="shared" si="4"/>
        <v>6.6410982490658232E-9</v>
      </c>
      <c r="T42">
        <v>1</v>
      </c>
      <c r="U42">
        <v>47</v>
      </c>
      <c r="V42">
        <f t="shared" si="11"/>
        <v>0</v>
      </c>
      <c r="W42">
        <f t="shared" si="12"/>
        <v>47</v>
      </c>
      <c r="X42">
        <f t="shared" si="5"/>
        <v>42.300000000000004</v>
      </c>
      <c r="Y42">
        <f t="shared" si="6"/>
        <v>51.7</v>
      </c>
      <c r="Z42">
        <f t="shared" si="13"/>
        <v>0</v>
      </c>
      <c r="AA42" s="126">
        <f t="shared" si="14"/>
        <v>2.3489257673412385E-9</v>
      </c>
      <c r="AB42" s="126">
        <f t="shared" si="15"/>
        <v>6.6410982490658232E-9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0.99999809620363345</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0.99999809620363322</v>
      </c>
      <c r="K43">
        <v>1</v>
      </c>
      <c r="L43">
        <v>24</v>
      </c>
      <c r="M43">
        <f t="shared" si="9"/>
        <v>0</v>
      </c>
      <c r="N43">
        <f t="shared" si="0"/>
        <v>24</v>
      </c>
      <c r="O43">
        <f t="shared" si="1"/>
        <v>22.799999999999997</v>
      </c>
      <c r="P43">
        <f t="shared" si="2"/>
        <v>25.200000000000003</v>
      </c>
      <c r="Q43">
        <f t="shared" si="10"/>
        <v>0</v>
      </c>
      <c r="R43" s="126">
        <f t="shared" si="3"/>
        <v>2.5624644734469403E-9</v>
      </c>
      <c r="S43" s="126">
        <f t="shared" si="4"/>
        <v>6.9494919800679569E-9</v>
      </c>
      <c r="T43">
        <v>1</v>
      </c>
      <c r="U43">
        <v>56</v>
      </c>
      <c r="V43">
        <f t="shared" si="11"/>
        <v>0</v>
      </c>
      <c r="W43">
        <f t="shared" si="12"/>
        <v>56</v>
      </c>
      <c r="X43">
        <f t="shared" si="5"/>
        <v>50.4</v>
      </c>
      <c r="Y43">
        <f t="shared" si="6"/>
        <v>61.600000000000009</v>
      </c>
      <c r="Z43">
        <f t="shared" si="13"/>
        <v>0</v>
      </c>
      <c r="AA43" s="126">
        <f t="shared" si="14"/>
        <v>2.5624644734469403E-9</v>
      </c>
      <c r="AB43" s="126">
        <f t="shared" si="15"/>
        <v>6.9494919800679569E-9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0.99999809620363345</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0.99999809618352209</v>
      </c>
      <c r="K44">
        <v>1</v>
      </c>
      <c r="L44">
        <v>27</v>
      </c>
      <c r="M44">
        <f t="shared" si="9"/>
        <v>0</v>
      </c>
      <c r="N44">
        <f t="shared" si="0"/>
        <v>27</v>
      </c>
      <c r="O44">
        <f t="shared" si="1"/>
        <v>25.65</v>
      </c>
      <c r="P44">
        <f t="shared" si="2"/>
        <v>28.35</v>
      </c>
      <c r="Q44">
        <f t="shared" si="10"/>
        <v>0</v>
      </c>
      <c r="R44" s="126">
        <f t="shared" si="3"/>
        <v>2.8827725326004216E-9</v>
      </c>
      <c r="S44" s="126">
        <f t="shared" si="4"/>
        <v>7.412082576564531E-9</v>
      </c>
      <c r="T44">
        <v>1</v>
      </c>
      <c r="U44">
        <v>68</v>
      </c>
      <c r="V44">
        <f t="shared" si="11"/>
        <v>0</v>
      </c>
      <c r="W44">
        <f t="shared" si="12"/>
        <v>68</v>
      </c>
      <c r="X44">
        <f t="shared" si="5"/>
        <v>61.2</v>
      </c>
      <c r="Y44">
        <f t="shared" si="6"/>
        <v>74.800000000000011</v>
      </c>
      <c r="Z44">
        <f t="shared" si="13"/>
        <v>0</v>
      </c>
      <c r="AA44" s="126">
        <f t="shared" si="14"/>
        <v>2.8827725326004216E-9</v>
      </c>
      <c r="AB44" s="126">
        <f t="shared" si="15"/>
        <v>7.412082576564531E-9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3.2030805917478173E-9</v>
      </c>
      <c r="S45" s="126">
        <f t="shared" si="4"/>
        <v>7.8746731730531583E-9</v>
      </c>
      <c r="T45">
        <v>1</v>
      </c>
      <c r="U45">
        <v>82</v>
      </c>
      <c r="V45">
        <f t="shared" si="11"/>
        <v>0</v>
      </c>
      <c r="W45">
        <f t="shared" si="12"/>
        <v>82</v>
      </c>
      <c r="X45">
        <f t="shared" si="5"/>
        <v>73.8</v>
      </c>
      <c r="Y45">
        <f t="shared" si="6"/>
        <v>90.2</v>
      </c>
      <c r="Z45">
        <f t="shared" si="13"/>
        <v>0</v>
      </c>
      <c r="AA45" s="126">
        <f t="shared" si="14"/>
        <v>3.2030805917478173E-9</v>
      </c>
      <c r="AB45" s="126">
        <f t="shared" si="15"/>
        <v>7.8746731730531583E-9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3.5233886508891263E-9</v>
      </c>
      <c r="S46" s="126">
        <f t="shared" si="4"/>
        <v>8.3372637695338381E-9</v>
      </c>
      <c r="T46">
        <v>10</v>
      </c>
      <c r="U46">
        <v>10</v>
      </c>
      <c r="V46">
        <f t="shared" si="11"/>
        <v>0</v>
      </c>
      <c r="W46">
        <f t="shared" si="12"/>
        <v>100</v>
      </c>
      <c r="X46">
        <f t="shared" si="5"/>
        <v>90</v>
      </c>
      <c r="Y46">
        <f t="shared" si="6"/>
        <v>110.00000000000001</v>
      </c>
      <c r="Z46">
        <f t="shared" si="13"/>
        <v>0</v>
      </c>
      <c r="AA46" s="126">
        <f t="shared" si="14"/>
        <v>3.5233886508891263E-9</v>
      </c>
      <c r="AB46" s="126">
        <f t="shared" si="15"/>
        <v>8.3372637695338381E-9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3.8436967100243492E-9</v>
      </c>
      <c r="S47" s="126">
        <f t="shared" si="4"/>
        <v>8.7998543660065687E-9</v>
      </c>
      <c r="T47">
        <v>10</v>
      </c>
      <c r="U47">
        <v>12</v>
      </c>
      <c r="V47">
        <f t="shared" si="11"/>
        <v>0</v>
      </c>
      <c r="W47">
        <f>U47*T47</f>
        <v>120</v>
      </c>
      <c r="X47">
        <f t="shared" si="5"/>
        <v>108</v>
      </c>
      <c r="Y47">
        <f t="shared" si="6"/>
        <v>132</v>
      </c>
      <c r="Z47">
        <f t="shared" si="13"/>
        <v>0</v>
      </c>
      <c r="AA47" s="126">
        <f t="shared" si="14"/>
        <v>3.8436967100243492E-9</v>
      </c>
      <c r="AB47" s="126">
        <f t="shared" si="15"/>
        <v>8.7998543660065687E-9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4.164004769153487E-9</v>
      </c>
      <c r="S48" s="126">
        <f t="shared" si="4"/>
        <v>9.2624449624713517E-9</v>
      </c>
      <c r="T48">
        <v>10</v>
      </c>
      <c r="U48">
        <v>15</v>
      </c>
      <c r="V48">
        <f t="shared" si="11"/>
        <v>0</v>
      </c>
      <c r="W48">
        <f t="shared" si="12"/>
        <v>150</v>
      </c>
      <c r="X48">
        <f t="shared" si="5"/>
        <v>135</v>
      </c>
      <c r="Y48">
        <f t="shared" si="6"/>
        <v>165</v>
      </c>
      <c r="Z48">
        <f t="shared" si="13"/>
        <v>0</v>
      </c>
      <c r="AA48" s="126">
        <f t="shared" si="14"/>
        <v>4.164004769153487E-9</v>
      </c>
      <c r="AB48" s="126">
        <f t="shared" si="15"/>
        <v>9.2624449624713517E-9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4.5910821813162061E-9</v>
      </c>
      <c r="S49" s="126">
        <f t="shared" si="4"/>
        <v>9.8792324244120321E-9</v>
      </c>
      <c r="T49">
        <v>10</v>
      </c>
      <c r="U49">
        <v>18</v>
      </c>
      <c r="V49">
        <f t="shared" si="11"/>
        <v>0</v>
      </c>
      <c r="W49">
        <f t="shared" si="12"/>
        <v>180</v>
      </c>
      <c r="X49">
        <f t="shared" si="5"/>
        <v>162</v>
      </c>
      <c r="Y49">
        <f t="shared" si="6"/>
        <v>198.00000000000003</v>
      </c>
      <c r="Z49">
        <f t="shared" si="13"/>
        <v>0</v>
      </c>
      <c r="AA49" s="126">
        <f t="shared" si="14"/>
        <v>4.5910821813162061E-9</v>
      </c>
      <c r="AB49" s="126">
        <f t="shared" si="15"/>
        <v>9.8792324244120321E-9</v>
      </c>
      <c r="AC49" s="126" t="str">
        <f t="shared" si="7"/>
        <v>Vlow exceeds VIL spec</v>
      </c>
      <c r="AD49" s="126" t="str">
        <f t="shared" si="8"/>
        <v>Vlow exceeds VIL spec</v>
      </c>
    </row>
    <row r="50" spans="1:30" x14ac:dyDescent="0.35">
      <c r="A50" t="s">
        <v>320</v>
      </c>
      <c r="B50" s="11">
        <f>F11*(1+H11)</f>
        <v>2310</v>
      </c>
      <c r="C50" s="11">
        <f>F11*(1+H11)</f>
        <v>2310</v>
      </c>
      <c r="K50">
        <v>1</v>
      </c>
      <c r="L50">
        <v>47</v>
      </c>
      <c r="M50">
        <f t="shared" si="9"/>
        <v>0</v>
      </c>
      <c r="N50">
        <f t="shared" si="0"/>
        <v>47</v>
      </c>
      <c r="O50">
        <f t="shared" si="1"/>
        <v>44.65</v>
      </c>
      <c r="P50">
        <f t="shared" si="2"/>
        <v>49.35</v>
      </c>
      <c r="Q50">
        <f t="shared" si="10"/>
        <v>0</v>
      </c>
      <c r="R50" s="126">
        <f t="shared" si="3"/>
        <v>5.0181595934681032E-9</v>
      </c>
      <c r="S50" s="126">
        <f t="shared" si="4"/>
        <v>1.0496019886338583E-8</v>
      </c>
      <c r="T50">
        <v>10</v>
      </c>
      <c r="U50">
        <v>22</v>
      </c>
      <c r="V50">
        <f t="shared" si="11"/>
        <v>0</v>
      </c>
      <c r="W50">
        <f t="shared" si="12"/>
        <v>220</v>
      </c>
      <c r="X50">
        <f t="shared" si="5"/>
        <v>198</v>
      </c>
      <c r="Y50">
        <f t="shared" si="6"/>
        <v>242.00000000000003</v>
      </c>
      <c r="Z50">
        <f t="shared" si="13"/>
        <v>0</v>
      </c>
      <c r="AA50" s="126">
        <f t="shared" si="14"/>
        <v>5.0181595934681032E-9</v>
      </c>
      <c r="AB50" s="126">
        <f t="shared" si="15"/>
        <v>1.0496019886338583E-8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5.44523700560918E-9</v>
      </c>
      <c r="S51" s="126">
        <f t="shared" si="4"/>
        <v>1.1112807348251003E-8</v>
      </c>
      <c r="T51">
        <v>10</v>
      </c>
      <c r="U51">
        <v>27</v>
      </c>
      <c r="V51">
        <f t="shared" si="11"/>
        <v>0</v>
      </c>
      <c r="W51">
        <f t="shared" si="12"/>
        <v>270</v>
      </c>
      <c r="X51">
        <f t="shared" si="5"/>
        <v>243</v>
      </c>
      <c r="Y51">
        <f t="shared" si="6"/>
        <v>297</v>
      </c>
      <c r="Z51">
        <f t="shared" si="13"/>
        <v>0</v>
      </c>
      <c r="AA51" s="126">
        <f t="shared" si="14"/>
        <v>5.44523700560918E-9</v>
      </c>
      <c r="AB51" s="126">
        <f t="shared" si="15"/>
        <v>1.1112807348251003E-8</v>
      </c>
      <c r="AC51" s="126" t="str">
        <f t="shared" si="7"/>
        <v>Vlow exceeds VIL spec</v>
      </c>
      <c r="AD51" s="126" t="str">
        <f t="shared" si="8"/>
        <v>Vlow exceeds VIL spec</v>
      </c>
    </row>
    <row r="52" spans="1:30" x14ac:dyDescent="0.35">
      <c r="A52" t="s">
        <v>324</v>
      </c>
      <c r="B52" s="1">
        <f>K21</f>
        <v>22.122405384810769</v>
      </c>
      <c r="C52">
        <v>0</v>
      </c>
      <c r="K52">
        <v>1</v>
      </c>
      <c r="L52">
        <v>56</v>
      </c>
      <c r="M52">
        <f t="shared" si="9"/>
        <v>0</v>
      </c>
      <c r="N52">
        <f t="shared" si="0"/>
        <v>56</v>
      </c>
      <c r="O52">
        <f t="shared" si="1"/>
        <v>53.199999999999996</v>
      </c>
      <c r="P52">
        <f t="shared" si="2"/>
        <v>58.800000000000004</v>
      </c>
      <c r="Q52">
        <f t="shared" si="10"/>
        <v>0</v>
      </c>
      <c r="R52" s="126">
        <f t="shared" si="3"/>
        <v>5.9790837707703136E-9</v>
      </c>
      <c r="S52" s="126">
        <f t="shared" si="4"/>
        <v>1.1883791675621658E-8</v>
      </c>
      <c r="T52">
        <v>10</v>
      </c>
      <c r="U52">
        <v>33</v>
      </c>
      <c r="V52">
        <f t="shared" si="11"/>
        <v>0</v>
      </c>
      <c r="W52">
        <f t="shared" si="12"/>
        <v>330</v>
      </c>
      <c r="X52">
        <f t="shared" si="5"/>
        <v>297</v>
      </c>
      <c r="Y52">
        <f t="shared" si="6"/>
        <v>363.00000000000006</v>
      </c>
      <c r="Z52">
        <f t="shared" si="13"/>
        <v>0</v>
      </c>
      <c r="AA52" s="126">
        <f t="shared" si="14"/>
        <v>5.9790837707703136E-9</v>
      </c>
      <c r="AB52" s="126">
        <f t="shared" si="15"/>
        <v>1.1883791675621658E-8</v>
      </c>
      <c r="AC52" s="126" t="str">
        <f t="shared" si="7"/>
        <v>Vlow exceeds VIL spec</v>
      </c>
      <c r="AD52" s="126" t="str">
        <f t="shared" si="8"/>
        <v>Vlow exceeds VIL spec</v>
      </c>
    </row>
    <row r="53" spans="1:30" x14ac:dyDescent="0.35">
      <c r="A53" t="s">
        <v>327</v>
      </c>
      <c r="B53">
        <v>0</v>
      </c>
      <c r="C53" s="1">
        <f>K21</f>
        <v>22.122405384810769</v>
      </c>
      <c r="K53">
        <v>1</v>
      </c>
      <c r="L53">
        <v>62</v>
      </c>
      <c r="M53">
        <f t="shared" si="9"/>
        <v>0</v>
      </c>
      <c r="N53">
        <f t="shared" si="0"/>
        <v>62</v>
      </c>
      <c r="O53">
        <f t="shared" si="1"/>
        <v>58.9</v>
      </c>
      <c r="P53">
        <f t="shared" si="2"/>
        <v>65.100000000000009</v>
      </c>
      <c r="Q53">
        <f t="shared" si="10"/>
        <v>0</v>
      </c>
      <c r="R53" s="126">
        <f t="shared" si="3"/>
        <v>6.6196998889413597E-9</v>
      </c>
      <c r="S53" s="126">
        <f t="shared" si="4"/>
        <v>1.2808972868437298E-8</v>
      </c>
      <c r="T53">
        <v>10</v>
      </c>
      <c r="U53">
        <v>39</v>
      </c>
      <c r="V53">
        <f t="shared" si="11"/>
        <v>0</v>
      </c>
      <c r="W53">
        <f t="shared" si="12"/>
        <v>390</v>
      </c>
      <c r="X53">
        <f t="shared" si="5"/>
        <v>351</v>
      </c>
      <c r="Y53">
        <f t="shared" si="6"/>
        <v>429.00000000000006</v>
      </c>
      <c r="Z53">
        <f t="shared" si="13"/>
        <v>0</v>
      </c>
      <c r="AA53" s="126">
        <f t="shared" si="14"/>
        <v>6.6196998889413597E-9</v>
      </c>
      <c r="AB53" s="126">
        <f t="shared" si="15"/>
        <v>1.2808972868437298E-8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7.2603160070880602E-9</v>
      </c>
      <c r="S54" s="126">
        <f t="shared" si="4"/>
        <v>1.3734154061221149E-8</v>
      </c>
      <c r="T54">
        <v>10</v>
      </c>
      <c r="U54">
        <v>47</v>
      </c>
      <c r="V54">
        <f t="shared" si="11"/>
        <v>1</v>
      </c>
      <c r="W54">
        <f t="shared" si="12"/>
        <v>470</v>
      </c>
      <c r="X54">
        <f t="shared" si="5"/>
        <v>423</v>
      </c>
      <c r="Y54">
        <f t="shared" si="6"/>
        <v>517</v>
      </c>
      <c r="Z54">
        <f t="shared" si="13"/>
        <v>1</v>
      </c>
      <c r="AA54" s="126">
        <f t="shared" si="14"/>
        <v>7.2603160070880602E-9</v>
      </c>
      <c r="AB54" s="126">
        <f t="shared" si="15"/>
        <v>1.3734154061221149E-8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8.0077014782284446E-9</v>
      </c>
      <c r="S55" s="126">
        <f t="shared" si="4"/>
        <v>1.4813532119428789E-8</v>
      </c>
      <c r="T55">
        <v>10</v>
      </c>
      <c r="U55">
        <v>56</v>
      </c>
      <c r="V55">
        <f t="shared" si="11"/>
        <v>2</v>
      </c>
      <c r="W55">
        <f t="shared" si="12"/>
        <v>560</v>
      </c>
      <c r="X55">
        <f t="shared" si="5"/>
        <v>504</v>
      </c>
      <c r="Y55">
        <f t="shared" si="6"/>
        <v>616</v>
      </c>
      <c r="Z55">
        <f t="shared" si="13"/>
        <v>1</v>
      </c>
      <c r="AA55" s="126">
        <f t="shared" si="14"/>
        <v>8.0077014782284446E-9</v>
      </c>
      <c r="AB55" s="126">
        <f t="shared" si="15"/>
        <v>1.4813532119428789E-8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8.7550869493356963E-9</v>
      </c>
      <c r="S56" s="126">
        <f t="shared" si="4"/>
        <v>1.5892910177593163E-8</v>
      </c>
      <c r="T56">
        <v>10</v>
      </c>
      <c r="U56">
        <v>68</v>
      </c>
      <c r="V56">
        <f t="shared" si="11"/>
        <v>3</v>
      </c>
      <c r="W56">
        <f t="shared" si="12"/>
        <v>680</v>
      </c>
      <c r="X56">
        <f t="shared" si="5"/>
        <v>612</v>
      </c>
      <c r="Y56">
        <f t="shared" si="6"/>
        <v>748.00000000000011</v>
      </c>
      <c r="Z56">
        <f t="shared" si="13"/>
        <v>1</v>
      </c>
      <c r="AA56" s="126">
        <f t="shared" si="14"/>
        <v>8.7550869493356963E-9</v>
      </c>
      <c r="AB56" s="126">
        <f t="shared" si="15"/>
        <v>1.5892910177593163E-8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9.7160111264249028E-9</v>
      </c>
      <c r="S57" s="126">
        <f t="shared" si="4"/>
        <v>1.7280681966598049E-8</v>
      </c>
      <c r="T57">
        <v>10</v>
      </c>
      <c r="U57">
        <v>82</v>
      </c>
      <c r="V57">
        <f t="shared" si="11"/>
        <v>4</v>
      </c>
      <c r="W57">
        <f t="shared" si="12"/>
        <v>820</v>
      </c>
      <c r="X57">
        <f t="shared" si="5"/>
        <v>738</v>
      </c>
      <c r="Y57">
        <f t="shared" si="6"/>
        <v>902.00000000000011</v>
      </c>
      <c r="Z57">
        <f t="shared" si="13"/>
        <v>1</v>
      </c>
      <c r="AA57" s="126">
        <f t="shared" si="14"/>
        <v>9.7160111264249028E-9</v>
      </c>
      <c r="AB57" s="126">
        <f t="shared" si="15"/>
        <v>1.7280681966598049E-8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1.0676935303459338E-8</v>
      </c>
      <c r="S58" s="126">
        <f t="shared" si="4"/>
        <v>1.8668453755531403E-8</v>
      </c>
      <c r="T58">
        <v>100</v>
      </c>
      <c r="U58">
        <v>10</v>
      </c>
      <c r="V58">
        <f t="shared" si="11"/>
        <v>5</v>
      </c>
      <c r="W58">
        <f t="shared" si="12"/>
        <v>1000</v>
      </c>
      <c r="X58">
        <f t="shared" si="5"/>
        <v>900</v>
      </c>
      <c r="Y58">
        <f t="shared" si="6"/>
        <v>1100</v>
      </c>
      <c r="Z58">
        <f t="shared" si="13"/>
        <v>1</v>
      </c>
      <c r="AA58" s="126">
        <f t="shared" si="14"/>
        <v>1.0676935303459338E-8</v>
      </c>
      <c r="AB58" s="126">
        <f t="shared" si="15"/>
        <v>1.8668453755531403E-8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1.1744628833433358E-8</v>
      </c>
      <c r="S59" s="126">
        <f t="shared" si="4"/>
        <v>2.0210422409817902E-8</v>
      </c>
      <c r="T59">
        <v>100</v>
      </c>
      <c r="U59">
        <v>12</v>
      </c>
      <c r="V59">
        <f t="shared" si="11"/>
        <v>6</v>
      </c>
      <c r="W59">
        <f t="shared" si="12"/>
        <v>1200</v>
      </c>
      <c r="X59">
        <f t="shared" si="5"/>
        <v>1080</v>
      </c>
      <c r="Y59">
        <f t="shared" si="6"/>
        <v>1320</v>
      </c>
      <c r="Z59">
        <f t="shared" si="13"/>
        <v>1</v>
      </c>
      <c r="AA59" s="126">
        <f t="shared" si="14"/>
        <v>1.1744628833433358E-8</v>
      </c>
      <c r="AB59" s="126">
        <f t="shared" si="15"/>
        <v>2.0210422409817902E-8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1.2812322363339758E-8</v>
      </c>
      <c r="S60" s="126">
        <f t="shared" si="4"/>
        <v>2.1752391064016091E-8</v>
      </c>
      <c r="T60">
        <v>100</v>
      </c>
      <c r="U60">
        <v>15</v>
      </c>
      <c r="V60">
        <f t="shared" si="11"/>
        <v>7</v>
      </c>
      <c r="W60">
        <f t="shared" si="12"/>
        <v>1500</v>
      </c>
      <c r="X60">
        <f t="shared" si="5"/>
        <v>1350</v>
      </c>
      <c r="Y60">
        <f t="shared" si="6"/>
        <v>1650.0000000000002</v>
      </c>
      <c r="Z60">
        <f t="shared" si="13"/>
        <v>1</v>
      </c>
      <c r="AA60" s="126">
        <f t="shared" si="14"/>
        <v>1.2812322363339758E-8</v>
      </c>
      <c r="AB60" s="126">
        <f t="shared" si="15"/>
        <v>2.1752391064016091E-8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1.3880015893178537E-8</v>
      </c>
      <c r="S61" s="126">
        <f t="shared" si="4"/>
        <v>2.329435971812596E-8</v>
      </c>
      <c r="T61">
        <v>100</v>
      </c>
      <c r="U61">
        <v>18</v>
      </c>
      <c r="V61">
        <f t="shared" si="11"/>
        <v>8</v>
      </c>
      <c r="W61">
        <f t="shared" si="12"/>
        <v>1800</v>
      </c>
      <c r="X61">
        <f t="shared" si="5"/>
        <v>1620</v>
      </c>
      <c r="Y61">
        <f t="shared" si="6"/>
        <v>1980.0000000000002</v>
      </c>
      <c r="Z61">
        <f t="shared" si="13"/>
        <v>1</v>
      </c>
      <c r="AA61" s="126">
        <f t="shared" si="14"/>
        <v>1.3880015893178537E-8</v>
      </c>
      <c r="AB61" s="126">
        <f t="shared" si="15"/>
        <v>2.329435971812596E-8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0.99999742818204451</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0.99999742820662507</v>
      </c>
      <c r="K62">
        <v>10</v>
      </c>
      <c r="L62">
        <v>15</v>
      </c>
      <c r="M62">
        <f t="shared" si="9"/>
        <v>0</v>
      </c>
      <c r="N62">
        <f t="shared" si="0"/>
        <v>150</v>
      </c>
      <c r="O62">
        <f t="shared" si="1"/>
        <v>142.5</v>
      </c>
      <c r="P62">
        <f t="shared" si="2"/>
        <v>157.5</v>
      </c>
      <c r="Q62">
        <f t="shared" si="10"/>
        <v>0</v>
      </c>
      <c r="R62" s="126">
        <f t="shared" si="3"/>
        <v>1.6015402952653235E-8</v>
      </c>
      <c r="S62" s="126">
        <f t="shared" si="4"/>
        <v>2.6378297026080768E-8</v>
      </c>
      <c r="T62">
        <v>100</v>
      </c>
      <c r="U62">
        <v>22</v>
      </c>
      <c r="V62">
        <f t="shared" si="11"/>
        <v>9</v>
      </c>
      <c r="W62">
        <f t="shared" si="12"/>
        <v>2200</v>
      </c>
      <c r="X62">
        <f t="shared" si="5"/>
        <v>1980</v>
      </c>
      <c r="Y62">
        <f t="shared" si="6"/>
        <v>2420</v>
      </c>
      <c r="Z62">
        <f t="shared" si="13"/>
        <v>1</v>
      </c>
      <c r="AA62" s="126">
        <f t="shared" si="14"/>
        <v>1.6015402952653235E-8</v>
      </c>
      <c r="AB62" s="126">
        <f t="shared" si="15"/>
        <v>2.6378297026080768E-8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0.99999742820662507</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0.99999742820662507</v>
      </c>
      <c r="K63">
        <v>10</v>
      </c>
      <c r="L63">
        <v>16</v>
      </c>
      <c r="M63">
        <f t="shared" si="9"/>
        <v>0</v>
      </c>
      <c r="N63">
        <f t="shared" si="0"/>
        <v>160</v>
      </c>
      <c r="O63">
        <f t="shared" si="1"/>
        <v>152</v>
      </c>
      <c r="P63">
        <f t="shared" si="2"/>
        <v>168</v>
      </c>
      <c r="Q63">
        <f t="shared" si="10"/>
        <v>0</v>
      </c>
      <c r="R63" s="126">
        <f t="shared" si="3"/>
        <v>1.7083096482289151E-8</v>
      </c>
      <c r="S63" s="126">
        <f t="shared" si="4"/>
        <v>2.7920265679925704E-8</v>
      </c>
      <c r="T63">
        <v>100</v>
      </c>
      <c r="U63">
        <v>27</v>
      </c>
      <c r="V63">
        <f t="shared" si="11"/>
        <v>10</v>
      </c>
      <c r="W63">
        <f t="shared" si="12"/>
        <v>2700</v>
      </c>
      <c r="X63">
        <f t="shared" si="5"/>
        <v>2430</v>
      </c>
      <c r="Y63">
        <f t="shared" si="6"/>
        <v>2970.0000000000005</v>
      </c>
      <c r="Z63">
        <f t="shared" si="13"/>
        <v>1</v>
      </c>
      <c r="AA63" s="126">
        <f t="shared" si="14"/>
        <v>1.7083096482289151E-8</v>
      </c>
      <c r="AB63" s="126">
        <f t="shared" si="15"/>
        <v>2.7920265679925704E-8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0.99999742820662507</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0.99999742818204473</v>
      </c>
      <c r="K64">
        <v>10</v>
      </c>
      <c r="L64">
        <v>18</v>
      </c>
      <c r="M64">
        <f t="shared" si="9"/>
        <v>0</v>
      </c>
      <c r="N64">
        <f t="shared" si="0"/>
        <v>180</v>
      </c>
      <c r="O64">
        <f t="shared" si="1"/>
        <v>171</v>
      </c>
      <c r="P64">
        <f t="shared" si="2"/>
        <v>189</v>
      </c>
      <c r="Q64">
        <f t="shared" si="10"/>
        <v>0</v>
      </c>
      <c r="R64" s="126">
        <f t="shared" si="3"/>
        <v>1.9218483541358125E-8</v>
      </c>
      <c r="S64" s="126">
        <f t="shared" si="4"/>
        <v>3.1004202987350634E-8</v>
      </c>
      <c r="T64">
        <v>100</v>
      </c>
      <c r="U64">
        <v>33</v>
      </c>
      <c r="V64">
        <f t="shared" si="11"/>
        <v>11</v>
      </c>
      <c r="W64">
        <f t="shared" si="12"/>
        <v>3300</v>
      </c>
      <c r="X64">
        <f t="shared" si="5"/>
        <v>2970</v>
      </c>
      <c r="Y64">
        <f t="shared" si="6"/>
        <v>3630.0000000000005</v>
      </c>
      <c r="Z64">
        <f t="shared" si="13"/>
        <v>1</v>
      </c>
      <c r="AA64" s="126">
        <f t="shared" si="14"/>
        <v>1.9218483541358125E-8</v>
      </c>
      <c r="AB64" s="126">
        <f t="shared" si="15"/>
        <v>3.1004202987350634E-8</v>
      </c>
      <c r="AC64" s="126" t="str">
        <f t="shared" si="7"/>
        <v>Vlow exceeds VIL spec</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2.1353870600156614E-8</v>
      </c>
      <c r="S65" s="126">
        <f t="shared" si="4"/>
        <v>3.4088140294422305E-8</v>
      </c>
      <c r="T65">
        <v>100</v>
      </c>
      <c r="U65">
        <v>39</v>
      </c>
      <c r="V65">
        <f t="shared" si="11"/>
        <v>12</v>
      </c>
      <c r="W65">
        <f t="shared" si="12"/>
        <v>3900</v>
      </c>
      <c r="X65">
        <f t="shared" si="5"/>
        <v>3510</v>
      </c>
      <c r="Y65">
        <f t="shared" si="6"/>
        <v>4290</v>
      </c>
      <c r="Z65">
        <f t="shared" si="13"/>
        <v>1</v>
      </c>
      <c r="AA65" s="126">
        <f t="shared" si="14"/>
        <v>2.1353870600156614E-8</v>
      </c>
      <c r="AB65" s="126">
        <f t="shared" si="15"/>
        <v>3.4088140294422305E-8</v>
      </c>
      <c r="AC65" s="126" t="str">
        <f t="shared" si="7"/>
        <v>Vlow exceeds VIL spec</v>
      </c>
      <c r="AD65" s="126" t="str">
        <f t="shared" si="8"/>
        <v>Vlow exceeds VIL spec</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2.3489257658684622E-8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3.7172077601140743E-8</v>
      </c>
      <c r="T66">
        <v>100</v>
      </c>
      <c r="U66">
        <v>47</v>
      </c>
      <c r="V66">
        <f t="shared" si="11"/>
        <v>13</v>
      </c>
      <c r="W66">
        <f t="shared" si="12"/>
        <v>4700</v>
      </c>
      <c r="X66">
        <f t="shared" si="5"/>
        <v>4230</v>
      </c>
      <c r="Y66">
        <f t="shared" si="6"/>
        <v>5170</v>
      </c>
      <c r="Z66">
        <f t="shared" si="13"/>
        <v>1</v>
      </c>
      <c r="AA66" s="126">
        <f t="shared" si="14"/>
        <v>2.3489257658684622E-8</v>
      </c>
      <c r="AB66" s="126">
        <f t="shared" si="15"/>
        <v>3.7172077601140743E-8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t="str">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2.5624644716942152E-8</v>
      </c>
      <c r="S67" s="126">
        <f t="shared" si="17"/>
        <v>4.0256014907505916E-8</v>
      </c>
      <c r="T67">
        <v>100</v>
      </c>
      <c r="U67">
        <v>56</v>
      </c>
      <c r="V67">
        <f t="shared" si="11"/>
        <v>14</v>
      </c>
      <c r="W67">
        <f t="shared" si="12"/>
        <v>5600</v>
      </c>
      <c r="X67">
        <f t="shared" si="5"/>
        <v>5040</v>
      </c>
      <c r="Y67">
        <f t="shared" si="6"/>
        <v>6160.0000000000009</v>
      </c>
      <c r="Z67">
        <f t="shared" si="13"/>
        <v>1</v>
      </c>
      <c r="AA67" s="126">
        <f t="shared" si="14"/>
        <v>2.5624644716942152E-8</v>
      </c>
      <c r="AB67" s="126">
        <f t="shared" si="15"/>
        <v>4.0256014907505916E-8</v>
      </c>
      <c r="AC67" s="126" t="str">
        <f t="shared" si="18"/>
        <v>Vlow exceeds VIL spec</v>
      </c>
      <c r="AD67" s="126" t="str">
        <f t="shared" si="19"/>
        <v>Vlow exceeds VIL spec</v>
      </c>
    </row>
    <row r="68" spans="1:31" ht="28.4" customHeight="1" x14ac:dyDescent="0.35">
      <c r="B68" s="32" t="s">
        <v>355</v>
      </c>
      <c r="C68" s="32" t="s">
        <v>356</v>
      </c>
      <c r="D68" s="32" t="s">
        <v>357</v>
      </c>
      <c r="E68" s="32" t="str">
        <f>IF(Summary!C37="absolute","find min R2, so that max (Vz) = " &amp; TRUNC(R3/J2,3),"find min R2, so that max (Vz) = " &amp; R3)</f>
        <v>find min R2, so that max (Vz) = 0.3</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2.8827725303821282E-8</v>
      </c>
      <c r="S68" s="126">
        <f t="shared" si="17"/>
        <v>4.4881920866391328E-8</v>
      </c>
      <c r="T68">
        <v>100</v>
      </c>
      <c r="U68">
        <v>68</v>
      </c>
      <c r="V68">
        <f t="shared" si="11"/>
        <v>15</v>
      </c>
      <c r="W68">
        <f t="shared" si="12"/>
        <v>6800</v>
      </c>
      <c r="X68">
        <f t="shared" si="5"/>
        <v>6120</v>
      </c>
      <c r="Y68">
        <f t="shared" si="6"/>
        <v>7480.0000000000009</v>
      </c>
      <c r="Z68">
        <f t="shared" si="13"/>
        <v>0</v>
      </c>
      <c r="AA68" s="126">
        <f t="shared" si="14"/>
        <v>2.8827725303821282E-8</v>
      </c>
      <c r="AB68" s="126">
        <f t="shared" si="15"/>
        <v>4.4881920866391328E-8</v>
      </c>
      <c r="AC68" s="126" t="str">
        <f t="shared" si="18"/>
        <v>Vlow exceeds VIL spec</v>
      </c>
      <c r="AD68" s="126" t="str">
        <f t="shared" si="19"/>
        <v>Vlow exceeds VIL spec</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3.2030805890091832E-8</v>
      </c>
      <c r="S69" s="126">
        <f t="shared" si="17"/>
        <v>4.9507826824481939E-8</v>
      </c>
      <c r="T69">
        <v>100</v>
      </c>
      <c r="U69">
        <v>82</v>
      </c>
      <c r="V69">
        <f t="shared" si="11"/>
        <v>15</v>
      </c>
      <c r="W69">
        <f t="shared" si="12"/>
        <v>8200</v>
      </c>
      <c r="X69">
        <f t="shared" si="5"/>
        <v>7380</v>
      </c>
      <c r="Y69">
        <f t="shared" si="6"/>
        <v>9020</v>
      </c>
      <c r="Z69">
        <f t="shared" si="13"/>
        <v>0</v>
      </c>
      <c r="AA69" s="126">
        <f t="shared" si="14"/>
        <v>3.2030805890091832E-8</v>
      </c>
      <c r="AB69" s="126">
        <f t="shared" si="15"/>
        <v>4.9507826824481939E-8</v>
      </c>
      <c r="AC69" s="126" t="str">
        <f t="shared" si="18"/>
        <v>Vlow exceeds VIL spec</v>
      </c>
      <c r="AD69" s="126" t="str">
        <f t="shared" si="19"/>
        <v>Vlow exceeds VIL spec</v>
      </c>
    </row>
    <row r="70" spans="1:31" x14ac:dyDescent="0.35">
      <c r="A70" t="s">
        <v>320</v>
      </c>
      <c r="B70" s="11">
        <f>F11*(1+H11)</f>
        <v>2310</v>
      </c>
      <c r="C70" s="11">
        <f>F11*(1-H11)</f>
        <v>2090</v>
      </c>
      <c r="D70" s="11">
        <f>F11*(1+H11)</f>
        <v>2310</v>
      </c>
      <c r="E70" s="11"/>
      <c r="F70" s="11">
        <f>F11*(1-H11)</f>
        <v>2090</v>
      </c>
      <c r="G70" s="11">
        <f>F11*(1-H11)</f>
        <v>2090</v>
      </c>
      <c r="H70" s="11">
        <f>F11*(1+H11)</f>
        <v>2310</v>
      </c>
      <c r="K70">
        <v>10</v>
      </c>
      <c r="L70">
        <v>33</v>
      </c>
      <c r="M70">
        <f t="shared" si="9"/>
        <v>0</v>
      </c>
      <c r="N70">
        <f t="shared" si="0"/>
        <v>330</v>
      </c>
      <c r="O70">
        <f t="shared" si="1"/>
        <v>313.5</v>
      </c>
      <c r="P70">
        <f t="shared" si="2"/>
        <v>346.5</v>
      </c>
      <c r="Q70">
        <f t="shared" si="10"/>
        <v>0</v>
      </c>
      <c r="R70" s="126">
        <f t="shared" si="16"/>
        <v>3.5233886475753796E-8</v>
      </c>
      <c r="S70" s="126">
        <f t="shared" si="17"/>
        <v>5.4133732781777735E-8</v>
      </c>
      <c r="T70">
        <v>1000</v>
      </c>
      <c r="U70">
        <v>10</v>
      </c>
      <c r="V70">
        <f t="shared" si="11"/>
        <v>15</v>
      </c>
      <c r="W70">
        <f t="shared" si="12"/>
        <v>10000</v>
      </c>
      <c r="X70">
        <f t="shared" si="5"/>
        <v>9000</v>
      </c>
      <c r="Y70">
        <f t="shared" si="6"/>
        <v>11000</v>
      </c>
      <c r="Z70">
        <f t="shared" si="13"/>
        <v>0</v>
      </c>
      <c r="AA70" s="126">
        <f t="shared" si="14"/>
        <v>3.5233886475753796E-8</v>
      </c>
      <c r="AB70" s="126">
        <f t="shared" si="15"/>
        <v>5.4133732781777735E-8</v>
      </c>
      <c r="AC70" s="126" t="str">
        <f t="shared" si="18"/>
        <v>Vlow exceeds VIL spec</v>
      </c>
      <c r="AD70" s="126" t="str">
        <f t="shared" si="19"/>
        <v>Vlow exceeds VIL spec</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3.8436967060807173E-8</v>
      </c>
      <c r="S71" s="126">
        <f t="shared" si="17"/>
        <v>5.8759638738278703E-8</v>
      </c>
      <c r="T71">
        <v>1000</v>
      </c>
      <c r="U71">
        <v>12</v>
      </c>
      <c r="V71">
        <f t="shared" si="11"/>
        <v>15</v>
      </c>
      <c r="W71">
        <f t="shared" si="12"/>
        <v>12000</v>
      </c>
      <c r="X71">
        <f t="shared" si="5"/>
        <v>10800</v>
      </c>
      <c r="Y71">
        <f t="shared" si="6"/>
        <v>13200.000000000002</v>
      </c>
      <c r="Z71">
        <f t="shared" si="13"/>
        <v>0</v>
      </c>
      <c r="AA71" s="126">
        <f t="shared" si="14"/>
        <v>3.8436967060807173E-8</v>
      </c>
      <c r="AB71" s="126">
        <f t="shared" si="15"/>
        <v>5.8759638738278703E-8</v>
      </c>
      <c r="AC71" s="126" t="str">
        <f t="shared" si="18"/>
        <v>Vlow exceeds VIL spec</v>
      </c>
      <c r="AD71" s="126" t="str">
        <f t="shared" si="19"/>
        <v>Vlow exceeds VIL spec</v>
      </c>
    </row>
    <row r="72" spans="1:31" x14ac:dyDescent="0.35">
      <c r="A72" t="s">
        <v>324</v>
      </c>
      <c r="B72" s="1">
        <f>K21*MIN(K25,K24)</f>
        <v>0</v>
      </c>
      <c r="C72" s="1">
        <f>K21*MAX(K25,K24)</f>
        <v>22.122405384810769</v>
      </c>
      <c r="D72" s="1">
        <f>K21*MIN(K25,K24)</f>
        <v>0</v>
      </c>
      <c r="E72" s="1">
        <f>K21*MAX(K25,K24)</f>
        <v>22.122405384810769</v>
      </c>
      <c r="F72" s="125">
        <f>K21*MAX(K25,K24)</f>
        <v>22.122405384810769</v>
      </c>
      <c r="G72" s="125">
        <f>K22*MAX(K25,K24)</f>
        <v>16.31240538481077</v>
      </c>
      <c r="H72" s="1">
        <f>K22*MIN(K25,K24)</f>
        <v>0</v>
      </c>
      <c r="K72">
        <v>10</v>
      </c>
      <c r="L72">
        <v>39</v>
      </c>
      <c r="M72">
        <f t="shared" si="9"/>
        <v>0</v>
      </c>
      <c r="N72">
        <f t="shared" si="0"/>
        <v>390</v>
      </c>
      <c r="O72">
        <f t="shared" si="1"/>
        <v>370.5</v>
      </c>
      <c r="P72">
        <f t="shared" si="2"/>
        <v>409.5</v>
      </c>
      <c r="Q72">
        <f t="shared" si="10"/>
        <v>0</v>
      </c>
      <c r="R72" s="126">
        <f t="shared" si="16"/>
        <v>4.164004764525197E-8</v>
      </c>
      <c r="S72" s="126">
        <f t="shared" si="17"/>
        <v>6.338554469398485E-8</v>
      </c>
      <c r="T72">
        <v>1000</v>
      </c>
      <c r="U72">
        <v>15</v>
      </c>
      <c r="V72">
        <f t="shared" si="11"/>
        <v>15</v>
      </c>
      <c r="W72">
        <f t="shared" si="12"/>
        <v>15000</v>
      </c>
      <c r="X72">
        <f t="shared" si="5"/>
        <v>13500</v>
      </c>
      <c r="Y72">
        <f t="shared" si="6"/>
        <v>16500</v>
      </c>
      <c r="Z72">
        <f t="shared" si="13"/>
        <v>0</v>
      </c>
      <c r="AA72" s="126">
        <f t="shared" si="14"/>
        <v>4.164004764525197E-8</v>
      </c>
      <c r="AB72" s="126">
        <f t="shared" si="15"/>
        <v>6.338554469398485E-8</v>
      </c>
      <c r="AC72" s="126" t="str">
        <f t="shared" si="18"/>
        <v>Vlow exceeds VIL spec</v>
      </c>
      <c r="AD72" s="126" t="str">
        <f t="shared" si="19"/>
        <v>Vlow exceeds VIL spec</v>
      </c>
    </row>
    <row r="73" spans="1:31" x14ac:dyDescent="0.35">
      <c r="A73" t="s">
        <v>327</v>
      </c>
      <c r="B73" s="1">
        <f>K21-B72</f>
        <v>22.122405384810769</v>
      </c>
      <c r="C73" s="1">
        <f>K21-C72</f>
        <v>0</v>
      </c>
      <c r="D73" s="1">
        <f>K21-D72</f>
        <v>22.122405384810769</v>
      </c>
      <c r="E73" s="1">
        <f>K21-E72</f>
        <v>0</v>
      </c>
      <c r="F73" s="1">
        <f>K21-F72</f>
        <v>0</v>
      </c>
      <c r="G73" s="1">
        <f>K22-G72</f>
        <v>0</v>
      </c>
      <c r="H73" s="1">
        <f>K22-H72</f>
        <v>16.31240538481077</v>
      </c>
      <c r="K73">
        <v>10</v>
      </c>
      <c r="L73">
        <v>43</v>
      </c>
      <c r="M73">
        <f t="shared" si="9"/>
        <v>1</v>
      </c>
      <c r="N73">
        <f t="shared" si="0"/>
        <v>430</v>
      </c>
      <c r="O73">
        <f t="shared" si="1"/>
        <v>408.5</v>
      </c>
      <c r="P73">
        <f t="shared" si="2"/>
        <v>451.5</v>
      </c>
      <c r="Q73">
        <f t="shared" si="10"/>
        <v>1</v>
      </c>
      <c r="R73" s="126">
        <f t="shared" si="16"/>
        <v>4.5910821756898344E-8</v>
      </c>
      <c r="S73" s="126">
        <f t="shared" si="17"/>
        <v>6.9553419300356691E-8</v>
      </c>
      <c r="T73">
        <v>1000</v>
      </c>
      <c r="U73">
        <v>18</v>
      </c>
      <c r="V73">
        <f t="shared" si="11"/>
        <v>15</v>
      </c>
      <c r="W73">
        <f t="shared" si="12"/>
        <v>18000</v>
      </c>
      <c r="X73">
        <f t="shared" si="5"/>
        <v>16200</v>
      </c>
      <c r="Y73">
        <f t="shared" si="6"/>
        <v>19800</v>
      </c>
      <c r="Z73">
        <f t="shared" si="13"/>
        <v>0</v>
      </c>
      <c r="AA73" s="126">
        <f t="shared" si="14"/>
        <v>4.5910821756898344E-8</v>
      </c>
      <c r="AB73" s="126">
        <f t="shared" si="15"/>
        <v>6.9553419300356691E-8</v>
      </c>
      <c r="AC73" s="126">
        <f t="shared" si="18"/>
        <v>8.4190099888609907E-8</v>
      </c>
      <c r="AD73" s="126">
        <f t="shared" si="19"/>
        <v>1.1685789003910191E-7</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9"/>
        <v>2</v>
      </c>
      <c r="N74">
        <f t="shared" si="0"/>
        <v>470</v>
      </c>
      <c r="O74">
        <f t="shared" si="1"/>
        <v>446.5</v>
      </c>
      <c r="P74">
        <f t="shared" si="2"/>
        <v>493.5</v>
      </c>
      <c r="Q74">
        <f t="shared" si="10"/>
        <v>1</v>
      </c>
      <c r="R74" s="126">
        <f t="shared" si="16"/>
        <v>5.0181595867462772E-8</v>
      </c>
      <c r="S74" s="126">
        <f t="shared" si="17"/>
        <v>7.5721293905315535E-8</v>
      </c>
      <c r="T74">
        <v>1000</v>
      </c>
      <c r="U74">
        <v>22</v>
      </c>
      <c r="V74">
        <f t="shared" si="11"/>
        <v>15</v>
      </c>
      <c r="W74">
        <f t="shared" si="12"/>
        <v>22000</v>
      </c>
      <c r="X74">
        <f t="shared" si="5"/>
        <v>19800</v>
      </c>
      <c r="Y74">
        <f t="shared" si="6"/>
        <v>24200.000000000004</v>
      </c>
      <c r="Z74">
        <f t="shared" si="13"/>
        <v>0</v>
      </c>
      <c r="AA74" s="126">
        <f t="shared" si="14"/>
        <v>5.0181595867462772E-8</v>
      </c>
      <c r="AB74" s="126">
        <f t="shared" si="15"/>
        <v>7.5721293905315535E-8</v>
      </c>
      <c r="AC74" s="126">
        <f t="shared" si="18"/>
        <v>6.7610673049197924E-8</v>
      </c>
      <c r="AD74" s="126">
        <f t="shared" si="19"/>
        <v>7.988217763624236E-8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3</v>
      </c>
      <c r="N75">
        <f t="shared" si="0"/>
        <v>510</v>
      </c>
      <c r="O75">
        <f t="shared" si="1"/>
        <v>484.5</v>
      </c>
      <c r="P75">
        <f t="shared" si="2"/>
        <v>535.5</v>
      </c>
      <c r="Q75">
        <f t="shared" si="10"/>
        <v>1</v>
      </c>
      <c r="R75" s="126">
        <f t="shared" si="16"/>
        <v>5.4452369976945294E-8</v>
      </c>
      <c r="S75" s="126">
        <f t="shared" si="17"/>
        <v>8.1889168508861356E-8</v>
      </c>
      <c r="T75">
        <v>1000</v>
      </c>
      <c r="U75">
        <v>27</v>
      </c>
      <c r="V75">
        <f t="shared" si="11"/>
        <v>15</v>
      </c>
      <c r="W75">
        <f t="shared" si="12"/>
        <v>27000</v>
      </c>
      <c r="X75">
        <f t="shared" si="5"/>
        <v>24300</v>
      </c>
      <c r="Y75">
        <f t="shared" si="6"/>
        <v>29700.000000000004</v>
      </c>
      <c r="Z75">
        <f t="shared" si="13"/>
        <v>0</v>
      </c>
      <c r="AA75" s="126">
        <f t="shared" si="14"/>
        <v>5.4452369976945294E-8</v>
      </c>
      <c r="AB75" s="126">
        <f t="shared" si="15"/>
        <v>8.1889168508861356E-8</v>
      </c>
      <c r="AC75" s="126">
        <f t="shared" si="18"/>
        <v>5.9554816023527644E-8</v>
      </c>
      <c r="AD75" s="126">
        <f t="shared" si="19"/>
        <v>6.7833917771594354E-8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4</v>
      </c>
      <c r="N76">
        <f t="shared" si="0"/>
        <v>560</v>
      </c>
      <c r="O76">
        <f t="shared" si="1"/>
        <v>532</v>
      </c>
      <c r="P76">
        <f t="shared" si="2"/>
        <v>588</v>
      </c>
      <c r="Q76">
        <f t="shared" si="10"/>
        <v>1</v>
      </c>
      <c r="R76" s="126">
        <f t="shared" si="16"/>
        <v>5.9790837612276972E-8</v>
      </c>
      <c r="S76" s="126">
        <f t="shared" si="17"/>
        <v>8.9599011761306616E-8</v>
      </c>
      <c r="T76">
        <v>1000</v>
      </c>
      <c r="U76">
        <v>33</v>
      </c>
      <c r="V76">
        <f t="shared" si="11"/>
        <v>15</v>
      </c>
      <c r="W76">
        <f t="shared" si="12"/>
        <v>33000</v>
      </c>
      <c r="X76">
        <f t="shared" si="5"/>
        <v>29700</v>
      </c>
      <c r="Y76">
        <f t="shared" si="6"/>
        <v>36300</v>
      </c>
      <c r="Z76">
        <f t="shared" si="13"/>
        <v>0</v>
      </c>
      <c r="AA76" s="126">
        <f t="shared" si="14"/>
        <v>5.9790837612276972E-8</v>
      </c>
      <c r="AB76" s="126">
        <f t="shared" si="15"/>
        <v>8.9599011761306616E-8</v>
      </c>
      <c r="AC76" s="126">
        <f t="shared" si="18"/>
        <v>5.3537867702745583E-8</v>
      </c>
      <c r="AD76" s="126">
        <f t="shared" si="19"/>
        <v>5.9730561829217862E-8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5</v>
      </c>
      <c r="N77">
        <f t="shared" si="0"/>
        <v>620</v>
      </c>
      <c r="O77">
        <f t="shared" si="1"/>
        <v>589</v>
      </c>
      <c r="P77">
        <f t="shared" si="2"/>
        <v>651</v>
      </c>
      <c r="Q77">
        <f t="shared" si="10"/>
        <v>1</v>
      </c>
      <c r="R77" s="126">
        <f t="shared" si="16"/>
        <v>6.6196998772443504E-8</v>
      </c>
      <c r="S77" s="126">
        <f t="shared" si="17"/>
        <v>9.8850823661326581E-8</v>
      </c>
      <c r="T77">
        <v>1000</v>
      </c>
      <c r="U77">
        <v>39</v>
      </c>
      <c r="V77">
        <f t="shared" si="11"/>
        <v>15</v>
      </c>
      <c r="W77">
        <f t="shared" si="12"/>
        <v>39000</v>
      </c>
      <c r="X77">
        <f t="shared" si="5"/>
        <v>35100</v>
      </c>
      <c r="Y77">
        <f t="shared" si="6"/>
        <v>42900</v>
      </c>
      <c r="Z77">
        <f t="shared" si="13"/>
        <v>0</v>
      </c>
      <c r="AA77" s="126">
        <f t="shared" si="14"/>
        <v>6.6196998772443504E-8</v>
      </c>
      <c r="AB77" s="126">
        <f t="shared" si="15"/>
        <v>9.8850823661326581E-8</v>
      </c>
      <c r="AC77" s="126">
        <f t="shared" si="18"/>
        <v>4.8999123843697044E-8</v>
      </c>
      <c r="AD77" s="126">
        <f t="shared" si="19"/>
        <v>5.3949120298406432E-8</v>
      </c>
    </row>
    <row r="78" spans="1:31" x14ac:dyDescent="0.35">
      <c r="A78" t="s">
        <v>344</v>
      </c>
      <c r="B78">
        <v>1</v>
      </c>
      <c r="C78">
        <v>1</v>
      </c>
      <c r="D78">
        <v>1</v>
      </c>
      <c r="E78">
        <v>1</v>
      </c>
      <c r="F78">
        <v>1</v>
      </c>
      <c r="G78">
        <v>1</v>
      </c>
      <c r="H78">
        <v>1</v>
      </c>
      <c r="K78">
        <v>10</v>
      </c>
      <c r="L78">
        <v>68</v>
      </c>
      <c r="M78">
        <f t="shared" si="9"/>
        <v>6</v>
      </c>
      <c r="N78">
        <f t="shared" si="0"/>
        <v>680</v>
      </c>
      <c r="O78">
        <f t="shared" si="1"/>
        <v>646</v>
      </c>
      <c r="P78">
        <f t="shared" si="2"/>
        <v>714</v>
      </c>
      <c r="Q78">
        <f t="shared" si="10"/>
        <v>1</v>
      </c>
      <c r="R78" s="126">
        <f t="shared" si="16"/>
        <v>7.2603159930175676E-8</v>
      </c>
      <c r="S78" s="126">
        <f t="shared" si="17"/>
        <v>1.081026355581673E-7</v>
      </c>
      <c r="T78">
        <v>1000</v>
      </c>
      <c r="U78">
        <v>47</v>
      </c>
      <c r="V78">
        <f t="shared" si="11"/>
        <v>15</v>
      </c>
      <c r="W78">
        <f t="shared" si="12"/>
        <v>47000</v>
      </c>
      <c r="X78">
        <f t="shared" si="5"/>
        <v>42300</v>
      </c>
      <c r="Y78">
        <f t="shared" si="6"/>
        <v>51700.000000000007</v>
      </c>
      <c r="Z78">
        <f t="shared" si="13"/>
        <v>0</v>
      </c>
      <c r="AA78" s="126">
        <f t="shared" si="14"/>
        <v>7.2603159930175676E-8</v>
      </c>
      <c r="AB78" s="126">
        <f t="shared" si="15"/>
        <v>1.081026355581673E-7</v>
      </c>
      <c r="AC78" s="126">
        <f t="shared" si="18"/>
        <v>4.5950763950110186E-8</v>
      </c>
      <c r="AD78" s="126">
        <f t="shared" si="19"/>
        <v>5.0187884261588499E-8</v>
      </c>
    </row>
    <row r="79" spans="1:31" x14ac:dyDescent="0.35">
      <c r="A79" t="s">
        <v>345</v>
      </c>
      <c r="B79">
        <v>1</v>
      </c>
      <c r="C79">
        <v>1</v>
      </c>
      <c r="D79">
        <v>1</v>
      </c>
      <c r="E79">
        <v>1</v>
      </c>
      <c r="F79">
        <v>1</v>
      </c>
      <c r="G79">
        <v>1</v>
      </c>
      <c r="H79">
        <v>1</v>
      </c>
      <c r="K79">
        <v>10</v>
      </c>
      <c r="L79">
        <v>75</v>
      </c>
      <c r="M79">
        <f t="shared" si="9"/>
        <v>7</v>
      </c>
      <c r="N79">
        <f t="shared" si="0"/>
        <v>750</v>
      </c>
      <c r="O79">
        <f t="shared" si="1"/>
        <v>712.5</v>
      </c>
      <c r="P79">
        <f t="shared" si="2"/>
        <v>787.5</v>
      </c>
      <c r="Q79">
        <f t="shared" si="10"/>
        <v>1</v>
      </c>
      <c r="R79" s="126">
        <f t="shared" si="16"/>
        <v>8.0077014611119853E-8</v>
      </c>
      <c r="S79" s="126">
        <f t="shared" si="17"/>
        <v>1.1889641610046324E-7</v>
      </c>
      <c r="T79">
        <v>1000</v>
      </c>
      <c r="U79">
        <v>56</v>
      </c>
      <c r="V79">
        <f t="shared" si="11"/>
        <v>15</v>
      </c>
      <c r="W79">
        <f t="shared" si="12"/>
        <v>56000</v>
      </c>
      <c r="X79">
        <f t="shared" si="5"/>
        <v>50400</v>
      </c>
      <c r="Y79">
        <f t="shared" si="6"/>
        <v>61600.000000000007</v>
      </c>
      <c r="Z79">
        <f t="shared" si="13"/>
        <v>0</v>
      </c>
      <c r="AA79" s="126">
        <f t="shared" si="14"/>
        <v>8.0077014611119853E-8</v>
      </c>
      <c r="AB79" s="126">
        <f t="shared" si="15"/>
        <v>1.1889641610046324E-7</v>
      </c>
      <c r="AC79" s="126">
        <f t="shared" si="18"/>
        <v>4.3441016570303469E-8</v>
      </c>
      <c r="AD79" s="126">
        <f t="shared" si="19"/>
        <v>4.7152412482840798E-8</v>
      </c>
      <c r="AE79" s="128"/>
    </row>
    <row r="80" spans="1:31" x14ac:dyDescent="0.35">
      <c r="A80" t="s">
        <v>346</v>
      </c>
      <c r="B80">
        <v>1</v>
      </c>
      <c r="C80">
        <v>1</v>
      </c>
      <c r="D80">
        <v>1</v>
      </c>
      <c r="E80">
        <v>1</v>
      </c>
      <c r="F80">
        <v>1</v>
      </c>
      <c r="G80">
        <v>1</v>
      </c>
      <c r="H80">
        <v>1</v>
      </c>
      <c r="K80">
        <v>10</v>
      </c>
      <c r="L80">
        <v>82</v>
      </c>
      <c r="M80">
        <f t="shared" si="9"/>
        <v>8</v>
      </c>
      <c r="N80">
        <f t="shared" si="0"/>
        <v>820</v>
      </c>
      <c r="O80">
        <f t="shared" si="1"/>
        <v>779</v>
      </c>
      <c r="P80">
        <f t="shared" si="2"/>
        <v>861</v>
      </c>
      <c r="Q80">
        <f t="shared" si="10"/>
        <v>1</v>
      </c>
      <c r="R80" s="126">
        <f t="shared" si="16"/>
        <v>8.7550869288750583E-8</v>
      </c>
      <c r="S80" s="126">
        <f t="shared" si="17"/>
        <v>1.2969019663843186E-7</v>
      </c>
      <c r="T80">
        <v>1000</v>
      </c>
      <c r="U80">
        <v>68</v>
      </c>
      <c r="V80">
        <f t="shared" si="11"/>
        <v>15</v>
      </c>
      <c r="W80">
        <f>U80*T80</f>
        <v>68000</v>
      </c>
      <c r="X80">
        <f t="shared" si="5"/>
        <v>61200</v>
      </c>
      <c r="Y80">
        <f t="shared" si="6"/>
        <v>74800</v>
      </c>
      <c r="Z80">
        <f t="shared" si="13"/>
        <v>0</v>
      </c>
      <c r="AA80" s="126">
        <f t="shared" si="14"/>
        <v>8.7550869288750583E-8</v>
      </c>
      <c r="AB80" s="126">
        <f t="shared" si="15"/>
        <v>1.2969019663843186E-7</v>
      </c>
      <c r="AC80" s="126">
        <f t="shared" si="18"/>
        <v>4.1612872863108318E-8</v>
      </c>
      <c r="AD80" s="126">
        <f t="shared" si="19"/>
        <v>4.4972135093910848E-8</v>
      </c>
      <c r="AE80" s="128"/>
    </row>
    <row r="81" spans="1:31" x14ac:dyDescent="0.35">
      <c r="K81">
        <v>10</v>
      </c>
      <c r="L81">
        <v>91</v>
      </c>
      <c r="M81">
        <f t="shared" si="9"/>
        <v>9</v>
      </c>
      <c r="N81">
        <f t="shared" si="0"/>
        <v>910</v>
      </c>
      <c r="O81">
        <f t="shared" si="1"/>
        <v>864.5</v>
      </c>
      <c r="P81">
        <f t="shared" si="2"/>
        <v>955.5</v>
      </c>
      <c r="Q81">
        <f t="shared" si="10"/>
        <v>1</v>
      </c>
      <c r="R81" s="126">
        <f t="shared" si="16"/>
        <v>9.716011101226428E-8</v>
      </c>
      <c r="S81" s="126">
        <f t="shared" si="17"/>
        <v>1.4356791446660439E-7</v>
      </c>
      <c r="T81">
        <v>1000</v>
      </c>
      <c r="U81">
        <v>82</v>
      </c>
      <c r="V81">
        <f t="shared" si="11"/>
        <v>15</v>
      </c>
      <c r="W81">
        <f t="shared" ref="W81" si="20">U81*T81</f>
        <v>82000</v>
      </c>
      <c r="X81">
        <f t="shared" si="5"/>
        <v>73800</v>
      </c>
      <c r="Y81">
        <f t="shared" si="6"/>
        <v>90200.000000000015</v>
      </c>
      <c r="Z81">
        <f t="shared" si="13"/>
        <v>0</v>
      </c>
      <c r="AA81" s="126">
        <f t="shared" si="14"/>
        <v>9.716011101226428E-8</v>
      </c>
      <c r="AB81" s="126">
        <f t="shared" si="15"/>
        <v>1.4356791446660439E-7</v>
      </c>
      <c r="AC81" s="126">
        <f t="shared" si="18"/>
        <v>3.9881272273421976E-8</v>
      </c>
      <c r="AD81" s="126">
        <f t="shared" si="19"/>
        <v>4.2928881967267823E-8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0.9999974282066304</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5.5875344415334892E-2</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3.1446538529172299E-2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0.84963265568815516</v>
      </c>
      <c r="F82" s="13"/>
      <c r="K82">
        <v>100</v>
      </c>
      <c r="L82">
        <v>10</v>
      </c>
      <c r="M82">
        <f>IF(AND(Q81=1,Q82=0),Q82+M81+1, Q82+M81)</f>
        <v>10</v>
      </c>
      <c r="N82">
        <f t="shared" si="0"/>
        <v>1000</v>
      </c>
      <c r="O82">
        <f t="shared" si="1"/>
        <v>950</v>
      </c>
      <c r="P82">
        <f t="shared" si="2"/>
        <v>1050</v>
      </c>
      <c r="Q82">
        <f t="shared" si="10"/>
        <v>1</v>
      </c>
      <c r="R82" s="126">
        <f t="shared" si="16"/>
        <v>1.0676935273030072E-7</v>
      </c>
      <c r="S82" s="126">
        <f t="shared" si="17"/>
        <v>1.5744563228762362E-7</v>
      </c>
      <c r="V82">
        <f t="shared" si="11"/>
        <v>15</v>
      </c>
      <c r="W82">
        <v>9999999</v>
      </c>
      <c r="AA82" s="126">
        <f t="shared" si="14"/>
        <v>1.0676935273030072E-7</v>
      </c>
      <c r="AB82" s="126">
        <f t="shared" si="15"/>
        <v>1.5744563228762362E-7</v>
      </c>
      <c r="AC82" s="126">
        <f t="shared" si="18"/>
        <v>3.8595895845211595E-8</v>
      </c>
      <c r="AD82" s="126">
        <f t="shared" si="19"/>
        <v>4.142508163264033E-8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0.9999974282066304</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6.5764120554627298E-2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3.1446538529172299E-2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11</v>
      </c>
      <c r="N83">
        <f t="shared" si="0"/>
        <v>1100</v>
      </c>
      <c r="O83">
        <f t="shared" si="1"/>
        <v>1045</v>
      </c>
      <c r="P83">
        <f t="shared" si="2"/>
        <v>1155</v>
      </c>
      <c r="Q83">
        <f t="shared" si="10"/>
        <v>1</v>
      </c>
      <c r="R83" s="126">
        <f t="shared" si="16"/>
        <v>1.1744628796613945E-7</v>
      </c>
      <c r="S83" s="126">
        <f t="shared" si="17"/>
        <v>1.7286531874703305E-7</v>
      </c>
      <c r="AA83" s="126">
        <f t="shared" si="14"/>
        <v>1.1744628796613945E-7</v>
      </c>
      <c r="AB83" s="126">
        <f t="shared" si="15"/>
        <v>1.7286531874703305E-7</v>
      </c>
      <c r="AC83" s="126">
        <f t="shared" si="18"/>
        <v>3.7507625241852123E-8</v>
      </c>
      <c r="AD83" s="126">
        <f t="shared" si="19"/>
        <v>4.0160094279382112E-8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0.99999742818205017</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6.5764120554627298E-2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3.1446538547878176E-2</v>
      </c>
      <c r="E84" s="12">
        <f>IF(Summary!C37="absolute",(R3-N7)/(J2+J2*Summary!C17),R3-N7)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6.5764120677132151E-2</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6.3331512371274434E-2</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3.1446538542965453E-2</v>
      </c>
      <c r="K84">
        <v>100</v>
      </c>
      <c r="L84">
        <v>12</v>
      </c>
      <c r="M84">
        <f t="shared" si="21"/>
        <v>12</v>
      </c>
      <c r="N84">
        <f t="shared" si="0"/>
        <v>1200</v>
      </c>
      <c r="O84">
        <f t="shared" si="1"/>
        <v>1140</v>
      </c>
      <c r="P84">
        <f t="shared" si="2"/>
        <v>1260</v>
      </c>
      <c r="Q84">
        <f t="shared" si="10"/>
        <v>1</v>
      </c>
      <c r="R84" s="126">
        <f t="shared" si="16"/>
        <v>1.2812322319521616E-7</v>
      </c>
      <c r="S84" s="126">
        <f t="shared" si="17"/>
        <v>1.8828500519761124E-7</v>
      </c>
      <c r="AA84" s="126">
        <f t="shared" si="14"/>
        <v>1.2812322319521616E-7</v>
      </c>
      <c r="AB84" s="126">
        <f t="shared" si="15"/>
        <v>1.8828500519761124E-7</v>
      </c>
      <c r="AC84" s="126">
        <f t="shared" si="18"/>
        <v>3.6661920091290387E-8</v>
      </c>
      <c r="AD84" s="126">
        <f t="shared" si="19"/>
        <v>3.9182107343040592E-8</v>
      </c>
      <c r="AE84" s="128"/>
    </row>
    <row r="85" spans="1:31" x14ac:dyDescent="0.35">
      <c r="E85" s="73"/>
      <c r="K85">
        <v>100</v>
      </c>
      <c r="L85">
        <v>13</v>
      </c>
      <c r="M85">
        <f t="shared" si="21"/>
        <v>13</v>
      </c>
      <c r="N85">
        <f t="shared" si="0"/>
        <v>1300</v>
      </c>
      <c r="O85">
        <f t="shared" si="1"/>
        <v>1235</v>
      </c>
      <c r="P85">
        <f t="shared" si="2"/>
        <v>1365</v>
      </c>
      <c r="Q85">
        <f t="shared" si="10"/>
        <v>1</v>
      </c>
      <c r="R85" s="126">
        <f t="shared" si="16"/>
        <v>1.388001584175308E-7</v>
      </c>
      <c r="S85" s="126">
        <f t="shared" si="17"/>
        <v>2.037046916393581E-7</v>
      </c>
      <c r="AA85" s="126">
        <f t="shared" si="14"/>
        <v>1.388001584175308E-7</v>
      </c>
      <c r="AB85" s="126">
        <f t="shared" si="15"/>
        <v>2.037046916393581E-7</v>
      </c>
      <c r="AC85" s="126">
        <f t="shared" si="18"/>
        <v>3.5986065783462132E-8</v>
      </c>
      <c r="AD85" s="126">
        <f t="shared" si="19"/>
        <v>3.8403651866777996E-8</v>
      </c>
      <c r="AE85" s="128"/>
    </row>
    <row r="86" spans="1:31" x14ac:dyDescent="0.35">
      <c r="K86">
        <v>100</v>
      </c>
      <c r="L86">
        <v>15</v>
      </c>
      <c r="M86">
        <f t="shared" si="21"/>
        <v>14</v>
      </c>
      <c r="N86">
        <f t="shared" si="0"/>
        <v>1500</v>
      </c>
      <c r="O86">
        <f t="shared" si="1"/>
        <v>1425</v>
      </c>
      <c r="P86">
        <f t="shared" si="2"/>
        <v>1575</v>
      </c>
      <c r="Q86">
        <f t="shared" si="10"/>
        <v>1</v>
      </c>
      <c r="R86" s="126">
        <f t="shared" si="16"/>
        <v>1.601540288418739E-7</v>
      </c>
      <c r="S86" s="126">
        <f t="shared" si="17"/>
        <v>2.3454406449635806E-7</v>
      </c>
      <c r="AA86" s="126">
        <f t="shared" si="14"/>
        <v>1.601540288418739E-7</v>
      </c>
      <c r="AB86" s="126">
        <f t="shared" si="15"/>
        <v>2.3454406449635806E-7</v>
      </c>
      <c r="AC86" s="126">
        <f t="shared" si="18"/>
        <v>3.4974099492086254E-8</v>
      </c>
      <c r="AD86" s="126">
        <f t="shared" si="19"/>
        <v>3.7243167151235312E-8</v>
      </c>
      <c r="AE86" s="128"/>
    </row>
    <row r="87" spans="1:31" x14ac:dyDescent="0.35">
      <c r="B87" s="171" t="s">
        <v>362</v>
      </c>
      <c r="C87" s="171"/>
      <c r="K87">
        <v>100</v>
      </c>
      <c r="L87">
        <v>16</v>
      </c>
      <c r="M87">
        <f t="shared" si="21"/>
        <v>15</v>
      </c>
      <c r="N87">
        <f t="shared" si="0"/>
        <v>1600</v>
      </c>
      <c r="O87">
        <f t="shared" si="1"/>
        <v>1520</v>
      </c>
      <c r="P87">
        <f t="shared" si="2"/>
        <v>1680</v>
      </c>
      <c r="Q87">
        <f t="shared" si="10"/>
        <v>1</v>
      </c>
      <c r="R87" s="126">
        <f t="shared" si="16"/>
        <v>1.7083096404390233E-7</v>
      </c>
      <c r="S87" s="126">
        <f t="shared" si="17"/>
        <v>2.4996375091161105E-7</v>
      </c>
      <c r="AA87" s="126">
        <f t="shared" si="14"/>
        <v>1.7083096404390233E-7</v>
      </c>
      <c r="AB87" s="126">
        <f t="shared" si="15"/>
        <v>2.4996375091161105E-7</v>
      </c>
      <c r="AC87" s="126">
        <f t="shared" si="18"/>
        <v>3.4585686268617053E-8</v>
      </c>
      <c r="AD87" s="126">
        <f t="shared" si="19"/>
        <v>3.6799367936685765E-8</v>
      </c>
      <c r="AE87" s="128"/>
    </row>
    <row r="88" spans="1:31" ht="29" x14ac:dyDescent="0.35">
      <c r="B88" t="s">
        <v>355</v>
      </c>
      <c r="C88" t="s">
        <v>363</v>
      </c>
      <c r="D88" t="s">
        <v>364</v>
      </c>
      <c r="E88" s="32" t="str">
        <f>IF(Summary!C37="absolute","find min R2, so that max (Vx) = " &amp; TRUNC(R2/J3,3),"find min R2, so that max (Vx) = " &amp; R2)</f>
        <v>find min R2, so that max (Vx) = 0.3</v>
      </c>
      <c r="F88" s="32" t="s">
        <v>365</v>
      </c>
      <c r="G88" s="32" t="s">
        <v>366</v>
      </c>
      <c r="H88" s="32" t="s">
        <v>367</v>
      </c>
      <c r="K88">
        <v>100</v>
      </c>
      <c r="L88">
        <v>18</v>
      </c>
      <c r="M88">
        <f t="shared" si="21"/>
        <v>16</v>
      </c>
      <c r="N88">
        <f t="shared" si="0"/>
        <v>1800</v>
      </c>
      <c r="O88">
        <f t="shared" si="1"/>
        <v>1710</v>
      </c>
      <c r="P88">
        <f t="shared" si="2"/>
        <v>1890</v>
      </c>
      <c r="Q88">
        <f t="shared" si="10"/>
        <v>1</v>
      </c>
      <c r="R88" s="126">
        <f t="shared" si="16"/>
        <v>1.9218483442767305E-7</v>
      </c>
      <c r="S88" s="126">
        <f t="shared" si="17"/>
        <v>2.8080312371562333E-7</v>
      </c>
      <c r="AA88" s="126">
        <f t="shared" si="14"/>
        <v>1.9218483442767305E-7</v>
      </c>
      <c r="AB88" s="126">
        <f t="shared" si="15"/>
        <v>2.8080312371562333E-7</v>
      </c>
      <c r="AC88" s="126">
        <f t="shared" si="18"/>
        <v>3.3965482373923556E-8</v>
      </c>
      <c r="AD88" s="126">
        <f t="shared" si="19"/>
        <v>3.6092588039530636E-8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17</v>
      </c>
      <c r="N89">
        <f t="shared" si="0"/>
        <v>2000</v>
      </c>
      <c r="O89">
        <f t="shared" si="1"/>
        <v>1900</v>
      </c>
      <c r="P89">
        <f t="shared" si="2"/>
        <v>2100</v>
      </c>
      <c r="Q89">
        <f t="shared" si="10"/>
        <v>1</v>
      </c>
      <c r="R89" s="126">
        <f t="shared" si="16"/>
        <v>2.1353870478439558E-7</v>
      </c>
      <c r="S89" s="126">
        <f t="shared" si="17"/>
        <v>3.1164249648431063E-7</v>
      </c>
      <c r="AA89" s="126">
        <f t="shared" si="14"/>
        <v>2.1353870478439558E-7</v>
      </c>
      <c r="AB89" s="126">
        <f t="shared" si="15"/>
        <v>3.1164249648431063E-7</v>
      </c>
      <c r="AC89" s="126">
        <f t="shared" si="18"/>
        <v>3.349250332197305E-8</v>
      </c>
      <c r="AD89" s="126">
        <f t="shared" si="19"/>
        <v>3.5555131331827164E-8</v>
      </c>
      <c r="AE89" s="128"/>
    </row>
    <row r="90" spans="1:31" x14ac:dyDescent="0.35">
      <c r="A90" t="s">
        <v>320</v>
      </c>
      <c r="B90" s="11">
        <f>F11*(1+H11)</f>
        <v>2310</v>
      </c>
      <c r="C90" s="11">
        <f>F11*(1-H11)</f>
        <v>2090</v>
      </c>
      <c r="D90" s="11">
        <f>F11*(1+H11)</f>
        <v>2310</v>
      </c>
      <c r="E90" s="11"/>
      <c r="F90" s="11">
        <f>F11*(1-H11)</f>
        <v>2090</v>
      </c>
      <c r="G90">
        <f>F11*(1-H11)</f>
        <v>2090</v>
      </c>
      <c r="H90">
        <f>F11*(1+H11)</f>
        <v>2310</v>
      </c>
      <c r="K90">
        <v>100</v>
      </c>
      <c r="L90">
        <v>22</v>
      </c>
      <c r="M90">
        <f t="shared" si="21"/>
        <v>18</v>
      </c>
      <c r="N90">
        <f t="shared" si="0"/>
        <v>2200</v>
      </c>
      <c r="O90">
        <f t="shared" si="1"/>
        <v>2090</v>
      </c>
      <c r="P90">
        <f t="shared" si="2"/>
        <v>2310</v>
      </c>
      <c r="Q90">
        <f t="shared" si="10"/>
        <v>1</v>
      </c>
      <c r="R90" s="126">
        <f t="shared" si="16"/>
        <v>2.3489257511406977E-7</v>
      </c>
      <c r="S90" s="126">
        <f t="shared" si="17"/>
        <v>3.4248186921767268E-7</v>
      </c>
      <c r="AA90" s="126">
        <f t="shared" si="14"/>
        <v>2.3489257511406977E-7</v>
      </c>
      <c r="AB90" s="126">
        <f t="shared" si="15"/>
        <v>3.4248186921767268E-7</v>
      </c>
      <c r="AC90" s="126">
        <f t="shared" si="18"/>
        <v>3.312007016273961E-8</v>
      </c>
      <c r="AD90" s="126">
        <f t="shared" si="19"/>
        <v>3.5132877344917704E-8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19</v>
      </c>
      <c r="N91">
        <f t="shared" si="0"/>
        <v>2400</v>
      </c>
      <c r="O91">
        <f t="shared" si="1"/>
        <v>2280</v>
      </c>
      <c r="P91">
        <f t="shared" si="2"/>
        <v>2520</v>
      </c>
      <c r="Q91">
        <f t="shared" si="10"/>
        <v>1</v>
      </c>
      <c r="R91" s="126">
        <f t="shared" si="16"/>
        <v>2.562464454166958E-7</v>
      </c>
      <c r="S91" s="126">
        <f t="shared" si="17"/>
        <v>3.733212419157097E-7</v>
      </c>
      <c r="AA91" s="126">
        <f t="shared" si="14"/>
        <v>2.562464454166958E-7</v>
      </c>
      <c r="AB91" s="126">
        <f t="shared" si="15"/>
        <v>3.733212419157097E-7</v>
      </c>
      <c r="AC91" s="126">
        <f t="shared" si="18"/>
        <v>3.2819309856498984E-8</v>
      </c>
      <c r="AD91" s="126">
        <f t="shared" si="19"/>
        <v>3.4792501186343644E-8</v>
      </c>
      <c r="AE91" s="128"/>
    </row>
    <row r="92" spans="1:31" x14ac:dyDescent="0.35">
      <c r="A92" t="s">
        <v>324</v>
      </c>
      <c r="B92" s="1">
        <f>K21-B93</f>
        <v>22.122405384810769</v>
      </c>
      <c r="C92" s="1">
        <f>K21-C93</f>
        <v>0</v>
      </c>
      <c r="D92" s="1">
        <f>K21-D93</f>
        <v>22.122405384810769</v>
      </c>
      <c r="E92" s="1">
        <f>K21-E93</f>
        <v>0</v>
      </c>
      <c r="F92" s="1">
        <f>K21-F93</f>
        <v>0</v>
      </c>
      <c r="G92" s="1">
        <f>K22-G93</f>
        <v>0</v>
      </c>
      <c r="H92" s="1">
        <f>K22-H93</f>
        <v>16.31240538481077</v>
      </c>
      <c r="K92">
        <v>100</v>
      </c>
      <c r="L92">
        <v>27</v>
      </c>
      <c r="M92">
        <f t="shared" si="21"/>
        <v>20</v>
      </c>
      <c r="N92">
        <f t="shared" si="0"/>
        <v>2700</v>
      </c>
      <c r="O92">
        <f t="shared" si="1"/>
        <v>2565</v>
      </c>
      <c r="P92">
        <f t="shared" si="2"/>
        <v>2835</v>
      </c>
      <c r="Q92">
        <f t="shared" si="10"/>
        <v>1</v>
      </c>
      <c r="R92" s="126">
        <f t="shared" si="16"/>
        <v>2.8827725081991944E-7</v>
      </c>
      <c r="S92" s="126">
        <f t="shared" si="17"/>
        <v>4.1958030089653062E-7</v>
      </c>
      <c r="AA92" s="126">
        <f t="shared" si="14"/>
        <v>2.8827725081991944E-7</v>
      </c>
      <c r="AB92" s="126">
        <f t="shared" si="15"/>
        <v>4.1958030089653062E-7</v>
      </c>
      <c r="AC92" s="126">
        <f t="shared" si="18"/>
        <v>3.2463134496415505E-8</v>
      </c>
      <c r="AD92" s="126">
        <f t="shared" si="19"/>
        <v>3.4390132630648721E-8</v>
      </c>
      <c r="AE92" s="128"/>
    </row>
    <row r="93" spans="1:31" x14ac:dyDescent="0.35">
      <c r="A93" t="s">
        <v>327</v>
      </c>
      <c r="B93" s="1">
        <f>K21*(1-MAX(K25,K24))</f>
        <v>0</v>
      </c>
      <c r="C93" s="1">
        <f>K21*(1-MIN(K25,K24))</f>
        <v>22.122405384810769</v>
      </c>
      <c r="D93" s="1">
        <f>K21*(1-MAX(K25,K24))</f>
        <v>0</v>
      </c>
      <c r="E93" s="1">
        <f>K21*(1-MIN(K25,K24))</f>
        <v>22.122405384810769</v>
      </c>
      <c r="F93" s="125">
        <f>K21*(1-MIN(K25,K24))</f>
        <v>22.122405384810769</v>
      </c>
      <c r="G93" s="125">
        <f>K22*(1-MIN(K25,K24))</f>
        <v>16.31240538481077</v>
      </c>
      <c r="H93" s="1">
        <f>K22*(1-MAX(K25,K24))</f>
        <v>0</v>
      </c>
      <c r="K93">
        <v>100</v>
      </c>
      <c r="L93">
        <v>30</v>
      </c>
      <c r="M93">
        <f t="shared" si="21"/>
        <v>21</v>
      </c>
      <c r="N93">
        <f t="shared" si="0"/>
        <v>3000</v>
      </c>
      <c r="O93">
        <f t="shared" si="1"/>
        <v>2850</v>
      </c>
      <c r="P93">
        <f t="shared" si="2"/>
        <v>3150</v>
      </c>
      <c r="Q93">
        <f t="shared" si="10"/>
        <v>1</v>
      </c>
      <c r="R93" s="126">
        <f t="shared" si="16"/>
        <v>3.2030805616228445E-7</v>
      </c>
      <c r="S93" s="126">
        <f t="shared" si="17"/>
        <v>4.6583935979787004E-7</v>
      </c>
      <c r="AA93" s="126">
        <f t="shared" si="14"/>
        <v>3.2030805616228445E-7</v>
      </c>
      <c r="AB93" s="126">
        <f t="shared" si="15"/>
        <v>4.6583935979787004E-7</v>
      </c>
      <c r="AC93" s="126">
        <f t="shared" si="18"/>
        <v>3.2186938529586878E-8</v>
      </c>
      <c r="AD93" s="126">
        <f t="shared" si="19"/>
        <v>3.4078662297555026E-8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22</v>
      </c>
      <c r="N94">
        <f t="shared" si="0"/>
        <v>3300</v>
      </c>
      <c r="O94">
        <f t="shared" si="1"/>
        <v>3135</v>
      </c>
      <c r="P94">
        <f t="shared" si="2"/>
        <v>3465</v>
      </c>
      <c r="Q94">
        <f t="shared" si="10"/>
        <v>1</v>
      </c>
      <c r="R94" s="126">
        <f t="shared" si="16"/>
        <v>3.5233886144379104E-7</v>
      </c>
      <c r="S94" s="126">
        <f t="shared" si="17"/>
        <v>5.1209841861972807E-7</v>
      </c>
      <c r="AA94" s="126">
        <f t="shared" si="14"/>
        <v>3.5233886144379104E-7</v>
      </c>
      <c r="AB94" s="126">
        <f t="shared" si="15"/>
        <v>5.1209841861972807E-7</v>
      </c>
      <c r="AC94" s="126">
        <f t="shared" si="18"/>
        <v>3.1966565016865188E-8</v>
      </c>
      <c r="AD94" s="126">
        <f t="shared" si="19"/>
        <v>3.383049095770517E-8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23</v>
      </c>
      <c r="N95">
        <f t="shared" si="0"/>
        <v>3600</v>
      </c>
      <c r="O95">
        <f t="shared" si="1"/>
        <v>3420</v>
      </c>
      <c r="P95">
        <f t="shared" si="2"/>
        <v>3780</v>
      </c>
      <c r="Q95">
        <f t="shared" si="10"/>
        <v>1</v>
      </c>
      <c r="R95" s="126">
        <f t="shared" si="16"/>
        <v>3.8436966666443901E-7</v>
      </c>
      <c r="S95" s="126">
        <f t="shared" si="17"/>
        <v>5.5835747736210461E-7</v>
      </c>
      <c r="AA95" s="126">
        <f t="shared" si="14"/>
        <v>3.8436966666443901E-7</v>
      </c>
      <c r="AB95" s="126">
        <f t="shared" si="15"/>
        <v>5.5835747736210461E-7</v>
      </c>
      <c r="AC95" s="126">
        <f t="shared" si="18"/>
        <v>3.1786679910175606E-8</v>
      </c>
      <c r="AD95" s="126">
        <f t="shared" si="19"/>
        <v>3.3628146699448139E-8</v>
      </c>
      <c r="AE95" s="128"/>
    </row>
    <row r="96" spans="1:31" x14ac:dyDescent="0.35">
      <c r="A96" t="s">
        <v>333</v>
      </c>
      <c r="B96" s="11">
        <f>F3*(1-G3)</f>
        <v>900000000000</v>
      </c>
      <c r="C96" s="11">
        <f>1/(1/(F3*(1+H3))+1/(N3*(1+P3)))</f>
        <v>132.99999998391911</v>
      </c>
      <c r="D96" s="11">
        <f>1/(1/(F3*(1-G3))+1/(N3*(1-O3)))</f>
        <v>66.499999995086398</v>
      </c>
      <c r="E96" s="11">
        <f>1/(1/(F3*(1+H3))+1/(N3*(1+P3)))</f>
        <v>132.99999998391911</v>
      </c>
      <c r="F96" s="11">
        <f>1/(1/(F3*(1+H3))+1/(N3*(1+P3)))</f>
        <v>132.99999998391911</v>
      </c>
      <c r="G96">
        <f>1/(1/(F3*(1+H3))+1/(N3*(1+P3)))</f>
        <v>132.99999998391911</v>
      </c>
      <c r="H96">
        <f>1/(1/(F3*(1-G3))+1/(N3*(1-O3)))</f>
        <v>66.499999995086398</v>
      </c>
      <c r="K96">
        <v>100</v>
      </c>
      <c r="L96">
        <v>39</v>
      </c>
      <c r="M96">
        <f t="shared" si="21"/>
        <v>24</v>
      </c>
      <c r="N96">
        <f t="shared" si="0"/>
        <v>3900</v>
      </c>
      <c r="O96">
        <f t="shared" si="1"/>
        <v>3705</v>
      </c>
      <c r="P96">
        <f t="shared" si="2"/>
        <v>4095</v>
      </c>
      <c r="Q96">
        <f t="shared" si="10"/>
        <v>1</v>
      </c>
      <c r="R96" s="126">
        <f t="shared" si="16"/>
        <v>4.164004718242285E-7</v>
      </c>
      <c r="S96" s="126">
        <f t="shared" si="17"/>
        <v>6.0461653602499949E-7</v>
      </c>
      <c r="AA96" s="126">
        <f t="shared" si="14"/>
        <v>4.164004718242285E-7</v>
      </c>
      <c r="AB96" s="126">
        <f t="shared" si="15"/>
        <v>6.0461653602499949E-7</v>
      </c>
      <c r="AC96" s="126">
        <f t="shared" si="18"/>
        <v>3.1637085682083569E-8</v>
      </c>
      <c r="AD96" s="126">
        <f t="shared" si="19"/>
        <v>3.3460035605863739E-8</v>
      </c>
      <c r="AE96" s="128"/>
    </row>
    <row r="97" spans="1:31" x14ac:dyDescent="0.35">
      <c r="K97">
        <v>100</v>
      </c>
      <c r="L97">
        <v>43</v>
      </c>
      <c r="M97">
        <f t="shared" si="21"/>
        <v>25</v>
      </c>
      <c r="N97">
        <f t="shared" si="0"/>
        <v>4300</v>
      </c>
      <c r="O97">
        <f t="shared" si="1"/>
        <v>4085</v>
      </c>
      <c r="P97">
        <f t="shared" si="2"/>
        <v>4515</v>
      </c>
      <c r="Q97">
        <f t="shared" si="10"/>
        <v>1</v>
      </c>
      <c r="R97" s="126">
        <f t="shared" si="16"/>
        <v>4.5910821194261226E-7</v>
      </c>
      <c r="S97" s="126">
        <f t="shared" si="17"/>
        <v>6.6629528078522168E-7</v>
      </c>
      <c r="AA97" s="126">
        <f t="shared" si="14"/>
        <v>4.5910821194261226E-7</v>
      </c>
      <c r="AB97" s="126">
        <f t="shared" si="15"/>
        <v>6.6629528078522168E-7</v>
      </c>
      <c r="AC97" s="126">
        <f t="shared" si="18"/>
        <v>3.1472878574646733E-8</v>
      </c>
      <c r="AD97" s="126">
        <f t="shared" si="19"/>
        <v>3.3275672520906265E-8</v>
      </c>
      <c r="AE97" s="128"/>
    </row>
    <row r="98" spans="1:31" x14ac:dyDescent="0.35">
      <c r="A98" t="s">
        <v>344</v>
      </c>
      <c r="B98">
        <v>1</v>
      </c>
      <c r="C98">
        <v>1</v>
      </c>
      <c r="D98">
        <v>1</v>
      </c>
      <c r="E98">
        <v>1</v>
      </c>
      <c r="F98">
        <v>1</v>
      </c>
      <c r="G98">
        <v>1</v>
      </c>
      <c r="H98">
        <v>1</v>
      </c>
      <c r="K98">
        <v>100</v>
      </c>
      <c r="L98">
        <v>47</v>
      </c>
      <c r="M98">
        <f t="shared" si="21"/>
        <v>26</v>
      </c>
      <c r="N98">
        <f t="shared" ref="N98:N129" si="23">L98*K98</f>
        <v>4700</v>
      </c>
      <c r="O98">
        <f t="shared" ref="O98:O129" si="24">N98*(1-$M$32)</f>
        <v>4465</v>
      </c>
      <c r="P98">
        <f t="shared" ref="P98:P129" si="25">N98*(1+$M$32)</f>
        <v>4935</v>
      </c>
      <c r="Q98">
        <f t="shared" si="10"/>
        <v>1</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5.0181595195280307E-7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7.2797402540414363E-7</v>
      </c>
      <c r="AA98" s="126">
        <f t="shared" si="14"/>
        <v>5.0181595195280307E-7</v>
      </c>
      <c r="AB98" s="126">
        <f t="shared" si="15"/>
        <v>7.2797402540414363E-7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3.1338813037014463E-8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3.3125284023160433E-8</v>
      </c>
      <c r="AE98" s="128"/>
    </row>
    <row r="99" spans="1:31" x14ac:dyDescent="0.35">
      <c r="A99" t="s">
        <v>345</v>
      </c>
      <c r="B99">
        <v>1</v>
      </c>
      <c r="C99">
        <v>1</v>
      </c>
      <c r="D99">
        <v>1</v>
      </c>
      <c r="E99">
        <v>1</v>
      </c>
      <c r="F99">
        <v>1</v>
      </c>
      <c r="G99">
        <v>1</v>
      </c>
      <c r="H99">
        <v>1</v>
      </c>
      <c r="K99">
        <v>100</v>
      </c>
      <c r="L99">
        <v>51</v>
      </c>
      <c r="M99">
        <f t="shared" si="21"/>
        <v>27</v>
      </c>
      <c r="N99">
        <f t="shared" si="23"/>
        <v>5100</v>
      </c>
      <c r="O99">
        <f t="shared" si="24"/>
        <v>4845</v>
      </c>
      <c r="P99">
        <f t="shared" si="25"/>
        <v>5355</v>
      </c>
      <c r="Q99">
        <f t="shared" ref="Q99:Q129" si="30">IF($Q$2="N/A",IF(AND((O99&gt;=MAX($H$7:$I$7)),(P99&lt;=MIN($F$7:$G$7)),(P99&lt;=MIN($B$7:$C$7)),(O99&gt;=MAX($D$7:$E$7))),1,0),IF(AND((O99&gt;=MAX($I$7)),(P99&lt;=MIN($G$7)),(P99&lt;=MIN($C$7)),(O99&gt;=MAX($E$7))),1,0))</f>
        <v>1</v>
      </c>
      <c r="R99" s="126">
        <f t="shared" si="26"/>
        <v>5.445236918548012E-7</v>
      </c>
      <c r="S99" s="126">
        <f t="shared" si="27"/>
        <v>7.8965276988176502E-7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7.8965276988176502E-7</v>
      </c>
      <c r="AC99" s="126">
        <f t="shared" si="28"/>
        <v>3.1227298569901576E-8</v>
      </c>
      <c r="AD99" s="126">
        <f t="shared" si="29"/>
        <v>3.3000284553722963E-8</v>
      </c>
      <c r="AE99" s="128"/>
    </row>
    <row r="100" spans="1:31" x14ac:dyDescent="0.35">
      <c r="A100" t="s">
        <v>346</v>
      </c>
      <c r="B100">
        <v>1</v>
      </c>
      <c r="C100">
        <v>1</v>
      </c>
      <c r="D100">
        <v>1</v>
      </c>
      <c r="E100">
        <v>1</v>
      </c>
      <c r="F100">
        <v>1</v>
      </c>
      <c r="G100">
        <v>1</v>
      </c>
      <c r="H100">
        <v>1</v>
      </c>
      <c r="K100">
        <v>100</v>
      </c>
      <c r="L100">
        <v>56</v>
      </c>
      <c r="M100">
        <f t="shared" si="21"/>
        <v>28</v>
      </c>
      <c r="N100">
        <f t="shared" si="23"/>
        <v>5600</v>
      </c>
      <c r="O100">
        <f t="shared" si="24"/>
        <v>5320</v>
      </c>
      <c r="P100">
        <f t="shared" si="25"/>
        <v>5880</v>
      </c>
      <c r="Q100">
        <f t="shared" si="30"/>
        <v>1</v>
      </c>
      <c r="R100" s="126">
        <f t="shared" si="26"/>
        <v>5.9790836658015212E-7</v>
      </c>
      <c r="S100" s="126">
        <f t="shared" si="27"/>
        <v>8.6675120028008819E-7</v>
      </c>
      <c r="AA100" s="126">
        <f t="shared" si="31"/>
        <v>5.9790836658015212E-7</v>
      </c>
      <c r="AB100" s="126">
        <f t="shared" si="32"/>
        <v>8.6675120028008819E-7</v>
      </c>
      <c r="AC100" s="126">
        <f t="shared" si="28"/>
        <v>3.1111784004927904E-8</v>
      </c>
      <c r="AD100" s="126">
        <f t="shared" si="29"/>
        <v>3.2870890596382076E-8</v>
      </c>
      <c r="AE100" s="128"/>
    </row>
    <row r="101" spans="1:31" x14ac:dyDescent="0.35">
      <c r="K101">
        <v>100</v>
      </c>
      <c r="L101">
        <v>62</v>
      </c>
      <c r="M101">
        <f t="shared" si="21"/>
        <v>29</v>
      </c>
      <c r="N101">
        <f t="shared" si="23"/>
        <v>6200</v>
      </c>
      <c r="O101">
        <f t="shared" si="24"/>
        <v>5890</v>
      </c>
      <c r="P101">
        <f t="shared" si="25"/>
        <v>6510</v>
      </c>
      <c r="Q101">
        <f t="shared" si="30"/>
        <v>1</v>
      </c>
      <c r="R101" s="126">
        <f t="shared" si="26"/>
        <v>6.6196997602742545E-7</v>
      </c>
      <c r="S101" s="126">
        <f t="shared" si="27"/>
        <v>9.5926931646664373E-7</v>
      </c>
      <c r="AA101" s="126">
        <f t="shared" si="31"/>
        <v>6.6196997602742545E-7</v>
      </c>
      <c r="AB101" s="126">
        <f t="shared" si="32"/>
        <v>9.5926931646664373E-7</v>
      </c>
      <c r="AC101" s="126">
        <f t="shared" si="28"/>
        <v>3.0999223704451488E-8</v>
      </c>
      <c r="AD101" s="126">
        <f t="shared" si="29"/>
        <v>3.2744894247064488E-8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0.99999742818204995</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6.9093063807722066E-2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2.798232512786893E-2</v>
      </c>
      <c r="E102" s="12">
        <f>IF(Summary!C50="absolute",(R2-N7)/(J3+J3*Summary!C18),R2-N7)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6.9093063937140001E-2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6.667778331438734E-2</v>
      </c>
      <c r="H102" s="12">
        <f t="shared" si="33"/>
        <v>2.7982325122915555E-2</v>
      </c>
      <c r="K102">
        <v>100</v>
      </c>
      <c r="L102">
        <v>68</v>
      </c>
      <c r="M102">
        <f t="shared" si="21"/>
        <v>30</v>
      </c>
      <c r="N102">
        <f t="shared" si="23"/>
        <v>6800</v>
      </c>
      <c r="O102">
        <f t="shared" si="24"/>
        <v>6460</v>
      </c>
      <c r="P102">
        <f t="shared" si="25"/>
        <v>7140</v>
      </c>
      <c r="Q102">
        <f t="shared" si="30"/>
        <v>0</v>
      </c>
      <c r="R102" s="126">
        <f t="shared" si="26"/>
        <v>7.2603158523126469E-7</v>
      </c>
      <c r="S102" s="126">
        <f t="shared" si="27"/>
        <v>1.0517874323352736E-6</v>
      </c>
      <c r="AA102" s="126">
        <f t="shared" si="31"/>
        <v>7.2603158523126469E-7</v>
      </c>
      <c r="AB102" s="126">
        <f t="shared" si="32"/>
        <v>1.0517874323352736E-6</v>
      </c>
      <c r="AC102" s="126">
        <f t="shared" si="28"/>
        <v>3.0907606044842753E-8</v>
      </c>
      <c r="AD102" s="126">
        <f t="shared" si="29"/>
        <v>3.2642405494192375E-8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0.99999742820663029</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6.9093063807722066E-2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2.7982325109008232E-2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6.9093063937140001E-2</v>
      </c>
      <c r="K103">
        <v>100</v>
      </c>
      <c r="L103">
        <v>75</v>
      </c>
      <c r="M103">
        <f t="shared" si="21"/>
        <v>30</v>
      </c>
      <c r="N103">
        <f t="shared" si="23"/>
        <v>7500</v>
      </c>
      <c r="O103">
        <f t="shared" si="24"/>
        <v>7125</v>
      </c>
      <c r="P103">
        <f t="shared" si="25"/>
        <v>7875</v>
      </c>
      <c r="Q103">
        <f t="shared" si="30"/>
        <v>0</v>
      </c>
      <c r="R103" s="126">
        <f t="shared" si="26"/>
        <v>8.0077012899473694E-7</v>
      </c>
      <c r="S103" s="126">
        <f t="shared" si="27"/>
        <v>1.1597252337801854E-6</v>
      </c>
      <c r="AA103" s="126">
        <f t="shared" si="31"/>
        <v>8.0077012899473694E-7</v>
      </c>
      <c r="AB103" s="126">
        <f t="shared" si="32"/>
        <v>1.1597252337801854E-6</v>
      </c>
      <c r="AC103" s="126">
        <f t="shared" si="28"/>
        <v>3.0820159210381393E-8</v>
      </c>
      <c r="AD103" s="126">
        <f t="shared" si="29"/>
        <v>3.2544637498247826E-8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0.99999742820663029</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5.9239524210239716E-2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2.7982325109008232E-2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0.85738742684037794</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5.9239524341027514E-2</v>
      </c>
      <c r="K104">
        <v>100</v>
      </c>
      <c r="L104">
        <v>82</v>
      </c>
      <c r="M104">
        <f t="shared" si="21"/>
        <v>30</v>
      </c>
      <c r="N104">
        <f t="shared" si="23"/>
        <v>8200</v>
      </c>
      <c r="O104">
        <f t="shared" si="24"/>
        <v>7790</v>
      </c>
      <c r="P104">
        <f t="shared" si="25"/>
        <v>8610</v>
      </c>
      <c r="Q104">
        <f t="shared" si="30"/>
        <v>0</v>
      </c>
      <c r="R104" s="126">
        <f t="shared" si="26"/>
        <v>8.7550867242686811E-7</v>
      </c>
      <c r="S104" s="126">
        <f t="shared" si="27"/>
        <v>1.2676630347923645E-6</v>
      </c>
      <c r="AA104" s="126">
        <f t="shared" si="31"/>
        <v>8.7550867242686811E-7</v>
      </c>
      <c r="AB104" s="126">
        <f t="shared" si="32"/>
        <v>1.2676630347923645E-6</v>
      </c>
      <c r="AC104" s="126">
        <f t="shared" si="28"/>
        <v>3.0748316180277404E-8</v>
      </c>
      <c r="AD104" s="126">
        <f t="shared" si="29"/>
        <v>3.2464355576861078E-8</v>
      </c>
      <c r="AE104" s="128"/>
    </row>
    <row r="105" spans="1:31" x14ac:dyDescent="0.35">
      <c r="K105">
        <v>100</v>
      </c>
      <c r="L105">
        <v>91</v>
      </c>
      <c r="M105">
        <f t="shared" si="21"/>
        <v>30</v>
      </c>
      <c r="N105">
        <f t="shared" si="23"/>
        <v>9100</v>
      </c>
      <c r="O105">
        <f t="shared" si="24"/>
        <v>8645</v>
      </c>
      <c r="P105">
        <f t="shared" si="25"/>
        <v>9555</v>
      </c>
      <c r="Q105">
        <f t="shared" si="30"/>
        <v>0</v>
      </c>
      <c r="R105" s="126">
        <f t="shared" si="26"/>
        <v>9.7160108492416891E-7</v>
      </c>
      <c r="S105" s="126">
        <f t="shared" si="27"/>
        <v>1.4064402068864574E-6</v>
      </c>
      <c r="AA105" s="126">
        <f t="shared" si="31"/>
        <v>9.7160108492416891E-7</v>
      </c>
      <c r="AB105" s="126">
        <f t="shared" si="32"/>
        <v>1.4064402068864574E-6</v>
      </c>
      <c r="AC105" s="126">
        <f t="shared" si="28"/>
        <v>3.0672848287263525E-8</v>
      </c>
      <c r="AD105" s="126">
        <f t="shared" si="29"/>
        <v>3.2380062782937788E-8</v>
      </c>
      <c r="AE105" s="128"/>
    </row>
    <row r="106" spans="1:31" x14ac:dyDescent="0.35">
      <c r="K106">
        <v>1000</v>
      </c>
      <c r="L106">
        <v>10</v>
      </c>
      <c r="M106">
        <f t="shared" si="21"/>
        <v>30</v>
      </c>
      <c r="N106">
        <f t="shared" si="23"/>
        <v>10000</v>
      </c>
      <c r="O106">
        <f t="shared" si="24"/>
        <v>9500</v>
      </c>
      <c r="P106">
        <f t="shared" si="25"/>
        <v>10500</v>
      </c>
      <c r="Q106">
        <f t="shared" si="30"/>
        <v>0</v>
      </c>
      <c r="R106" s="126">
        <f t="shared" si="26"/>
        <v>1.0676934968737427E-6</v>
      </c>
      <c r="S106" s="126">
        <f t="shared" si="27"/>
        <v>1.5452173782652172E-6</v>
      </c>
      <c r="AA106" s="126">
        <f t="shared" si="31"/>
        <v>1.0676934968737427E-6</v>
      </c>
      <c r="AB106" s="126">
        <f t="shared" si="32"/>
        <v>1.5452173782652172E-6</v>
      </c>
      <c r="AC106" s="126">
        <f t="shared" si="28"/>
        <v>3.0611468126289078E-8</v>
      </c>
      <c r="AD106" s="126">
        <f t="shared" si="29"/>
        <v>3.2311535380390128E-8</v>
      </c>
      <c r="AE106" s="128"/>
    </row>
    <row r="107" spans="1:31" x14ac:dyDescent="0.35">
      <c r="K107">
        <v>1000</v>
      </c>
      <c r="L107">
        <v>11</v>
      </c>
      <c r="M107">
        <f t="shared" si="21"/>
        <v>30</v>
      </c>
      <c r="N107">
        <f t="shared" si="23"/>
        <v>11000</v>
      </c>
      <c r="O107">
        <f t="shared" si="24"/>
        <v>10450</v>
      </c>
      <c r="P107">
        <f t="shared" si="25"/>
        <v>11550</v>
      </c>
      <c r="Q107">
        <f t="shared" si="30"/>
        <v>0</v>
      </c>
      <c r="R107" s="126">
        <f t="shared" si="26"/>
        <v>1.1744628428419847E-6</v>
      </c>
      <c r="S107" s="126">
        <f t="shared" si="27"/>
        <v>1.6994142345137572E-6</v>
      </c>
      <c r="AA107" s="126">
        <f t="shared" si="31"/>
        <v>1.1744628428419847E-6</v>
      </c>
      <c r="AB107" s="126">
        <f t="shared" si="32"/>
        <v>1.6994142345137572E-6</v>
      </c>
      <c r="AC107" s="126">
        <f t="shared" si="28"/>
        <v>3.0555445301617544E-8</v>
      </c>
      <c r="AD107" s="126">
        <f t="shared" si="29"/>
        <v>3.2249013042683824E-8</v>
      </c>
      <c r="AE107" s="128"/>
    </row>
    <row r="108" spans="1:31" x14ac:dyDescent="0.35">
      <c r="K108">
        <v>1000</v>
      </c>
      <c r="L108">
        <v>12</v>
      </c>
      <c r="M108">
        <f t="shared" si="21"/>
        <v>30</v>
      </c>
      <c r="N108">
        <f t="shared" si="23"/>
        <v>12000</v>
      </c>
      <c r="O108">
        <f t="shared" si="24"/>
        <v>11400</v>
      </c>
      <c r="P108">
        <f t="shared" si="25"/>
        <v>12600</v>
      </c>
      <c r="Q108">
        <f t="shared" si="30"/>
        <v>0</v>
      </c>
      <c r="R108" s="126">
        <f t="shared" si="26"/>
        <v>1.2812321881340211E-6</v>
      </c>
      <c r="S108" s="126">
        <f t="shared" si="27"/>
        <v>1.8536110898791696E-6</v>
      </c>
      <c r="AA108" s="126">
        <f t="shared" si="31"/>
        <v>1.2812321881340211E-6</v>
      </c>
      <c r="AB108" s="126">
        <f t="shared" si="32"/>
        <v>1.8536110898791696E-6</v>
      </c>
      <c r="AC108" s="126">
        <f t="shared" si="28"/>
        <v>3.0509048568534464E-8</v>
      </c>
      <c r="AD108" s="126">
        <f t="shared" si="29"/>
        <v>3.2197250961963771E-8</v>
      </c>
      <c r="AE108" s="128"/>
    </row>
    <row r="109" spans="1:31" x14ac:dyDescent="0.35">
      <c r="K109">
        <v>1000</v>
      </c>
      <c r="L109">
        <v>13</v>
      </c>
      <c r="M109">
        <f t="shared" si="21"/>
        <v>30</v>
      </c>
      <c r="N109">
        <f t="shared" si="23"/>
        <v>13000</v>
      </c>
      <c r="O109">
        <f t="shared" si="24"/>
        <v>12350</v>
      </c>
      <c r="P109">
        <f t="shared" si="25"/>
        <v>13650</v>
      </c>
      <c r="Q109">
        <f t="shared" si="30"/>
        <v>0</v>
      </c>
      <c r="R109" s="126">
        <f t="shared" si="26"/>
        <v>1.3880015327498513E-6</v>
      </c>
      <c r="S109" s="126">
        <f t="shared" si="27"/>
        <v>2.0078079443614545E-6</v>
      </c>
      <c r="AA109" s="126">
        <f t="shared" si="31"/>
        <v>1.3880015327498513E-6</v>
      </c>
      <c r="AB109" s="126">
        <f t="shared" si="32"/>
        <v>2.0078079443614545E-6</v>
      </c>
      <c r="AC109" s="126">
        <f t="shared" si="28"/>
        <v>3.0469993884263621E-8</v>
      </c>
      <c r="AD109" s="126">
        <f t="shared" si="29"/>
        <v>3.2153692255148101E-8</v>
      </c>
      <c r="AE109" s="128"/>
    </row>
    <row r="110" spans="1:31" x14ac:dyDescent="0.35">
      <c r="K110">
        <v>1000</v>
      </c>
      <c r="L110">
        <v>15</v>
      </c>
      <c r="M110">
        <f t="shared" si="21"/>
        <v>30</v>
      </c>
      <c r="N110">
        <f t="shared" si="23"/>
        <v>15000</v>
      </c>
      <c r="O110">
        <f t="shared" si="24"/>
        <v>14250</v>
      </c>
      <c r="P110">
        <f t="shared" si="25"/>
        <v>15750</v>
      </c>
      <c r="Q110">
        <f t="shared" si="30"/>
        <v>0</v>
      </c>
      <c r="R110" s="126">
        <f t="shared" si="26"/>
        <v>1.6015402199528948E-6</v>
      </c>
      <c r="S110" s="126">
        <f t="shared" si="27"/>
        <v>2.3162016506766423E-6</v>
      </c>
      <c r="AA110" s="126">
        <f t="shared" si="31"/>
        <v>1.6015402199528948E-6</v>
      </c>
      <c r="AB110" s="126">
        <f t="shared" si="32"/>
        <v>2.3162016506766423E-6</v>
      </c>
      <c r="AC110" s="126">
        <f t="shared" si="28"/>
        <v>3.0407893372146942E-8</v>
      </c>
      <c r="AD110" s="126">
        <f t="shared" si="29"/>
        <v>3.2084453209365111E-8</v>
      </c>
      <c r="AE110" s="128"/>
    </row>
    <row r="111" spans="1:31" x14ac:dyDescent="0.35">
      <c r="K111">
        <v>1000</v>
      </c>
      <c r="L111">
        <v>16</v>
      </c>
      <c r="M111">
        <f t="shared" si="21"/>
        <v>30</v>
      </c>
      <c r="N111">
        <f t="shared" si="23"/>
        <v>16000</v>
      </c>
      <c r="O111">
        <f t="shared" si="24"/>
        <v>15200</v>
      </c>
      <c r="P111">
        <f t="shared" si="25"/>
        <v>16800</v>
      </c>
      <c r="Q111">
        <f t="shared" si="30"/>
        <v>0</v>
      </c>
      <c r="R111" s="126">
        <f t="shared" si="26"/>
        <v>1.7083095625401078E-6</v>
      </c>
      <c r="S111" s="126">
        <f t="shared" si="27"/>
        <v>2.4703985025095445E-6</v>
      </c>
      <c r="AA111" s="126">
        <f t="shared" si="31"/>
        <v>1.7083095625401078E-6</v>
      </c>
      <c r="AB111" s="126">
        <f t="shared" si="32"/>
        <v>2.4703985025095445E-6</v>
      </c>
      <c r="AC111" s="126">
        <f t="shared" si="28"/>
        <v>3.0382800444631407E-8</v>
      </c>
      <c r="AD111" s="126">
        <f t="shared" si="29"/>
        <v>3.2056483968634093E-8</v>
      </c>
      <c r="AE111" s="128"/>
    </row>
    <row r="112" spans="1:31" x14ac:dyDescent="0.35">
      <c r="K112">
        <v>1000</v>
      </c>
      <c r="L112">
        <v>18</v>
      </c>
      <c r="M112">
        <f t="shared" si="21"/>
        <v>30</v>
      </c>
      <c r="N112">
        <f t="shared" si="23"/>
        <v>18000</v>
      </c>
      <c r="O112">
        <f t="shared" si="24"/>
        <v>17100</v>
      </c>
      <c r="P112">
        <f t="shared" si="25"/>
        <v>18900</v>
      </c>
      <c r="Q112">
        <f t="shared" si="30"/>
        <v>0</v>
      </c>
      <c r="R112" s="126">
        <f t="shared" si="26"/>
        <v>1.9218482456859162E-6</v>
      </c>
      <c r="S112" s="126">
        <f t="shared" si="27"/>
        <v>2.7787922035259678E-6</v>
      </c>
      <c r="AA112" s="126">
        <f t="shared" si="31"/>
        <v>1.9218482456859162E-6</v>
      </c>
      <c r="AB112" s="126">
        <f t="shared" si="32"/>
        <v>2.7787922035259678E-6</v>
      </c>
      <c r="AC112" s="126">
        <f t="shared" si="28"/>
        <v>3.0341151913673706E-8</v>
      </c>
      <c r="AD112" s="126">
        <f t="shared" si="29"/>
        <v>3.2010071829768973E-8</v>
      </c>
      <c r="AE112" s="128"/>
    </row>
    <row r="113" spans="11:31" x14ac:dyDescent="0.35">
      <c r="K113">
        <v>1000</v>
      </c>
      <c r="L113">
        <v>20</v>
      </c>
      <c r="M113">
        <f t="shared" si="21"/>
        <v>30</v>
      </c>
      <c r="N113">
        <f t="shared" si="23"/>
        <v>20000</v>
      </c>
      <c r="O113">
        <f t="shared" si="24"/>
        <v>19000</v>
      </c>
      <c r="P113">
        <f t="shared" si="25"/>
        <v>21000</v>
      </c>
      <c r="Q113">
        <f t="shared" si="30"/>
        <v>0</v>
      </c>
      <c r="R113" s="126">
        <f t="shared" si="26"/>
        <v>2.1353869261269018E-6</v>
      </c>
      <c r="S113" s="126">
        <f t="shared" si="27"/>
        <v>3.0871859010098822E-6</v>
      </c>
      <c r="AA113" s="126">
        <f t="shared" si="31"/>
        <v>2.1353869261269018E-6</v>
      </c>
      <c r="AB113" s="126">
        <f t="shared" si="32"/>
        <v>3.0871859010098822E-6</v>
      </c>
      <c r="AC113" s="126">
        <f t="shared" si="28"/>
        <v>3.030798821847035E-8</v>
      </c>
      <c r="AD113" s="126">
        <f t="shared" si="29"/>
        <v>3.1973124330173897E-8</v>
      </c>
      <c r="AE113" s="128"/>
    </row>
    <row r="114" spans="11:31" x14ac:dyDescent="0.35">
      <c r="K114">
        <v>1000</v>
      </c>
      <c r="L114">
        <v>22</v>
      </c>
      <c r="M114">
        <f t="shared" si="21"/>
        <v>30</v>
      </c>
      <c r="N114">
        <f t="shared" si="23"/>
        <v>22000</v>
      </c>
      <c r="O114">
        <f t="shared" si="24"/>
        <v>20900</v>
      </c>
      <c r="P114">
        <f t="shared" si="25"/>
        <v>23100</v>
      </c>
      <c r="Q114">
        <f t="shared" si="30"/>
        <v>0</v>
      </c>
      <c r="R114" s="126">
        <f t="shared" si="26"/>
        <v>2.3489256038630638E-6</v>
      </c>
      <c r="S114" s="126">
        <f t="shared" si="27"/>
        <v>3.3955795949612871E-6</v>
      </c>
      <c r="AA114" s="126">
        <f t="shared" si="31"/>
        <v>2.3489256038630638E-6</v>
      </c>
      <c r="AB114" s="126">
        <f t="shared" si="32"/>
        <v>3.3955795949612871E-6</v>
      </c>
      <c r="AC114" s="126">
        <f t="shared" si="28"/>
        <v>3.028095645899076E-8</v>
      </c>
      <c r="AD114" s="126">
        <f t="shared" si="29"/>
        <v>3.1943014541810933E-8</v>
      </c>
      <c r="AE114" s="128"/>
    </row>
    <row r="115" spans="11:31" x14ac:dyDescent="0.35">
      <c r="K115">
        <v>1000</v>
      </c>
      <c r="L115">
        <v>24</v>
      </c>
      <c r="M115">
        <f t="shared" si="21"/>
        <v>30</v>
      </c>
      <c r="N115">
        <f t="shared" si="23"/>
        <v>24000</v>
      </c>
      <c r="O115">
        <f t="shared" si="24"/>
        <v>22800</v>
      </c>
      <c r="P115">
        <f t="shared" si="25"/>
        <v>25200</v>
      </c>
      <c r="Q115">
        <f t="shared" si="30"/>
        <v>0</v>
      </c>
      <c r="R115" s="126">
        <f t="shared" si="26"/>
        <v>2.5624642788944031E-6</v>
      </c>
      <c r="S115" s="126">
        <f t="shared" si="27"/>
        <v>3.7039732853801823E-6</v>
      </c>
      <c r="AA115" s="126">
        <f t="shared" si="31"/>
        <v>2.5624642788944031E-6</v>
      </c>
      <c r="AB115" s="126">
        <f t="shared" si="32"/>
        <v>3.7039732853801823E-6</v>
      </c>
      <c r="AC115" s="126">
        <f t="shared" si="28"/>
        <v>3.0258500018552066E-8</v>
      </c>
      <c r="AD115" s="126">
        <f t="shared" si="29"/>
        <v>3.1918005270032462E-8</v>
      </c>
      <c r="AE115" s="128"/>
    </row>
    <row r="116" spans="11:31" x14ac:dyDescent="0.35">
      <c r="K116">
        <v>1000</v>
      </c>
      <c r="L116">
        <v>27</v>
      </c>
      <c r="M116">
        <f t="shared" si="21"/>
        <v>30</v>
      </c>
      <c r="N116">
        <f t="shared" si="23"/>
        <v>27000</v>
      </c>
      <c r="O116">
        <f t="shared" si="24"/>
        <v>25650</v>
      </c>
      <c r="P116">
        <f t="shared" si="25"/>
        <v>28350</v>
      </c>
      <c r="Q116">
        <f t="shared" si="30"/>
        <v>0</v>
      </c>
      <c r="R116" s="126">
        <f t="shared" si="26"/>
        <v>2.8827722863698686E-6</v>
      </c>
      <c r="S116" s="126">
        <f t="shared" si="27"/>
        <v>4.1665638143850708E-6</v>
      </c>
      <c r="AA116" s="126">
        <f t="shared" si="31"/>
        <v>2.8827722863698686E-6</v>
      </c>
      <c r="AB116" s="126">
        <f t="shared" si="32"/>
        <v>4.1665638143850708E-6</v>
      </c>
      <c r="AC116" s="126">
        <f t="shared" si="28"/>
        <v>3.0231139459811361E-8</v>
      </c>
      <c r="AD116" s="126">
        <f t="shared" si="29"/>
        <v>3.1887539576961921E-8</v>
      </c>
      <c r="AE116" s="128"/>
    </row>
    <row r="117" spans="11:31" x14ac:dyDescent="0.35">
      <c r="K117">
        <v>1000</v>
      </c>
      <c r="L117">
        <v>30</v>
      </c>
      <c r="M117">
        <f t="shared" si="21"/>
        <v>30</v>
      </c>
      <c r="N117">
        <f t="shared" si="23"/>
        <v>30000</v>
      </c>
      <c r="O117">
        <f t="shared" si="24"/>
        <v>28500</v>
      </c>
      <c r="P117">
        <f t="shared" si="25"/>
        <v>31500</v>
      </c>
      <c r="Q117">
        <f t="shared" si="30"/>
        <v>0</v>
      </c>
      <c r="R117" s="126">
        <f t="shared" si="26"/>
        <v>3.2030802877594832E-6</v>
      </c>
      <c r="S117" s="126">
        <f t="shared" si="27"/>
        <v>4.6291543354418129E-6</v>
      </c>
      <c r="AA117" s="126">
        <f t="shared" si="31"/>
        <v>3.2030802877594832E-6</v>
      </c>
      <c r="AB117" s="126">
        <f t="shared" si="32"/>
        <v>4.6291543354418129E-6</v>
      </c>
      <c r="AC117" s="126">
        <f t="shared" si="28"/>
        <v>3.0209319100653039E-8</v>
      </c>
      <c r="AD117" s="126">
        <f t="shared" si="29"/>
        <v>3.1863246940645293E-8</v>
      </c>
      <c r="AE117" s="128"/>
    </row>
    <row r="118" spans="11:31" x14ac:dyDescent="0.35">
      <c r="K118">
        <v>1000</v>
      </c>
      <c r="L118">
        <v>33</v>
      </c>
      <c r="M118">
        <f t="shared" si="21"/>
        <v>30</v>
      </c>
      <c r="N118">
        <f t="shared" si="23"/>
        <v>33000</v>
      </c>
      <c r="O118">
        <f t="shared" si="24"/>
        <v>31350</v>
      </c>
      <c r="P118">
        <f t="shared" si="25"/>
        <v>34650</v>
      </c>
      <c r="Q118">
        <f t="shared" si="30"/>
        <v>0</v>
      </c>
      <c r="R118" s="126">
        <f t="shared" si="26"/>
        <v>3.5233882830632454E-6</v>
      </c>
      <c r="S118" s="126">
        <f t="shared" si="27"/>
        <v>5.0917448485504104E-6</v>
      </c>
      <c r="AA118" s="126">
        <f t="shared" si="31"/>
        <v>3.5233882830632454E-6</v>
      </c>
      <c r="AB118" s="126">
        <f t="shared" si="32"/>
        <v>5.0917448485504104E-6</v>
      </c>
      <c r="AC118" s="126">
        <f t="shared" si="28"/>
        <v>3.0191510982796234E-8</v>
      </c>
      <c r="AD118" s="126">
        <f t="shared" si="29"/>
        <v>3.1843423845132478E-8</v>
      </c>
      <c r="AE118" s="128"/>
    </row>
    <row r="119" spans="11:31" x14ac:dyDescent="0.35">
      <c r="K119">
        <v>1000</v>
      </c>
      <c r="L119">
        <v>36</v>
      </c>
      <c r="M119">
        <f t="shared" si="21"/>
        <v>30</v>
      </c>
      <c r="N119">
        <f t="shared" si="23"/>
        <v>36000</v>
      </c>
      <c r="O119">
        <f t="shared" si="24"/>
        <v>34200</v>
      </c>
      <c r="P119">
        <f t="shared" si="25"/>
        <v>37800</v>
      </c>
      <c r="Q119">
        <f t="shared" si="30"/>
        <v>0</v>
      </c>
      <c r="R119" s="126">
        <f t="shared" si="26"/>
        <v>3.8436962722811567E-6</v>
      </c>
      <c r="S119" s="126">
        <f t="shared" si="27"/>
        <v>5.5543353537108607E-6</v>
      </c>
      <c r="AA119" s="126">
        <f t="shared" si="31"/>
        <v>3.8436962722811567E-6</v>
      </c>
      <c r="AB119" s="126">
        <f t="shared" si="32"/>
        <v>5.5543353537108607E-6</v>
      </c>
      <c r="AC119" s="126">
        <f t="shared" si="28"/>
        <v>3.0176701692302461E-8</v>
      </c>
      <c r="AD119" s="126">
        <f t="shared" si="29"/>
        <v>3.1826940750248447E-8</v>
      </c>
      <c r="AE119" s="128"/>
    </row>
    <row r="120" spans="11:31" x14ac:dyDescent="0.35">
      <c r="K120">
        <v>1000</v>
      </c>
      <c r="L120">
        <v>39</v>
      </c>
      <c r="M120">
        <f t="shared" si="21"/>
        <v>30</v>
      </c>
      <c r="N120">
        <f t="shared" si="23"/>
        <v>39000</v>
      </c>
      <c r="O120">
        <f t="shared" si="24"/>
        <v>37050</v>
      </c>
      <c r="P120">
        <f t="shared" si="25"/>
        <v>40950</v>
      </c>
      <c r="Q120">
        <f t="shared" si="30"/>
        <v>0</v>
      </c>
      <c r="R120" s="126">
        <f t="shared" si="26"/>
        <v>4.1640042554132176E-6</v>
      </c>
      <c r="S120" s="126">
        <f t="shared" si="27"/>
        <v>6.0169258509231688E-6</v>
      </c>
      <c r="AA120" s="126">
        <f t="shared" si="31"/>
        <v>4.1640042554132176E-6</v>
      </c>
      <c r="AB120" s="126">
        <f t="shared" si="32"/>
        <v>6.0169258509231688E-6</v>
      </c>
      <c r="AC120" s="126">
        <f t="shared" si="28"/>
        <v>3.0164192592307151E-8</v>
      </c>
      <c r="AD120" s="126">
        <f t="shared" si="29"/>
        <v>3.1813019139674096E-8</v>
      </c>
      <c r="AE120" s="128"/>
    </row>
    <row r="121" spans="11:31" x14ac:dyDescent="0.35">
      <c r="K121">
        <v>1000</v>
      </c>
      <c r="L121">
        <v>43</v>
      </c>
      <c r="M121">
        <f t="shared" si="21"/>
        <v>30</v>
      </c>
      <c r="N121">
        <f t="shared" si="23"/>
        <v>43000</v>
      </c>
      <c r="O121">
        <f t="shared" si="24"/>
        <v>40850</v>
      </c>
      <c r="P121">
        <f t="shared" si="25"/>
        <v>45150</v>
      </c>
      <c r="Q121">
        <f t="shared" si="30"/>
        <v>0</v>
      </c>
      <c r="R121" s="126">
        <f t="shared" si="26"/>
        <v>4.5910815567890853E-6</v>
      </c>
      <c r="S121" s="126">
        <f t="shared" si="27"/>
        <v>6.6337131681757958E-6</v>
      </c>
      <c r="AA121" s="126">
        <f t="shared" si="31"/>
        <v>4.5910815567890853E-6</v>
      </c>
      <c r="AB121" s="126">
        <f t="shared" si="32"/>
        <v>6.6337131681757958E-6</v>
      </c>
      <c r="AC121" s="126">
        <f t="shared" si="28"/>
        <v>3.0150252554194767E-8</v>
      </c>
      <c r="AD121" s="126">
        <f t="shared" si="29"/>
        <v>3.1797506435485584E-8</v>
      </c>
      <c r="AE121" s="128"/>
    </row>
    <row r="122" spans="11:31" x14ac:dyDescent="0.35">
      <c r="K122">
        <v>1000</v>
      </c>
      <c r="L122">
        <v>47</v>
      </c>
      <c r="M122">
        <f t="shared" si="21"/>
        <v>30</v>
      </c>
      <c r="N122">
        <f t="shared" si="23"/>
        <v>47000</v>
      </c>
      <c r="O122">
        <f t="shared" si="24"/>
        <v>44650</v>
      </c>
      <c r="P122">
        <f t="shared" si="25"/>
        <v>49350</v>
      </c>
      <c r="Q122">
        <f t="shared" si="30"/>
        <v>0</v>
      </c>
      <c r="R122" s="126">
        <f t="shared" si="26"/>
        <v>5.0181588473456631E-6</v>
      </c>
      <c r="S122" s="126">
        <f t="shared" si="27"/>
        <v>7.2505004712983902E-6</v>
      </c>
      <c r="AA122" s="126">
        <f t="shared" si="31"/>
        <v>5.0181588473456631E-6</v>
      </c>
      <c r="AB122" s="126">
        <f t="shared" si="32"/>
        <v>7.2505004712983902E-6</v>
      </c>
      <c r="AC122" s="126">
        <f t="shared" si="28"/>
        <v>3.0138704168920645E-8</v>
      </c>
      <c r="AD122" s="126">
        <f t="shared" si="29"/>
        <v>3.1784656341062719E-8</v>
      </c>
      <c r="AE122" s="128"/>
    </row>
    <row r="123" spans="11:31" x14ac:dyDescent="0.35">
      <c r="K123">
        <v>1000</v>
      </c>
      <c r="L123">
        <v>51</v>
      </c>
      <c r="M123">
        <f t="shared" si="21"/>
        <v>30</v>
      </c>
      <c r="N123">
        <f t="shared" si="23"/>
        <v>51000</v>
      </c>
      <c r="O123">
        <f t="shared" si="24"/>
        <v>48450</v>
      </c>
      <c r="P123">
        <f t="shared" si="25"/>
        <v>53550</v>
      </c>
      <c r="Q123">
        <f t="shared" si="30"/>
        <v>0</v>
      </c>
      <c r="R123" s="126">
        <f t="shared" si="26"/>
        <v>5.4452361270829519E-6</v>
      </c>
      <c r="S123" s="126">
        <f t="shared" si="27"/>
        <v>7.867287760290947E-6</v>
      </c>
      <c r="AA123" s="126">
        <f t="shared" si="31"/>
        <v>5.4452361270829519E-6</v>
      </c>
      <c r="AB123" s="126">
        <f t="shared" si="32"/>
        <v>7.867287760290947E-6</v>
      </c>
      <c r="AC123" s="126">
        <f t="shared" si="28"/>
        <v>3.0128980582955277E-8</v>
      </c>
      <c r="AD123" s="126">
        <f t="shared" si="29"/>
        <v>3.1773837535235204E-8</v>
      </c>
      <c r="AE123" s="128"/>
    </row>
    <row r="124" spans="11:31" x14ac:dyDescent="0.35">
      <c r="K124">
        <v>1000</v>
      </c>
      <c r="L124">
        <v>56</v>
      </c>
      <c r="M124">
        <f t="shared" si="21"/>
        <v>30</v>
      </c>
      <c r="N124">
        <f t="shared" si="23"/>
        <v>56000</v>
      </c>
      <c r="O124">
        <f t="shared" si="24"/>
        <v>53200</v>
      </c>
      <c r="P124">
        <f t="shared" si="25"/>
        <v>58800</v>
      </c>
      <c r="Q124">
        <f t="shared" si="30"/>
        <v>0</v>
      </c>
      <c r="R124" s="126">
        <f t="shared" si="26"/>
        <v>5.9790827115399383E-6</v>
      </c>
      <c r="S124" s="126">
        <f t="shared" si="27"/>
        <v>8.6382718516612867E-6</v>
      </c>
      <c r="AA124" s="126">
        <f t="shared" si="31"/>
        <v>5.9790827115399383E-6</v>
      </c>
      <c r="AB124" s="126">
        <f t="shared" si="32"/>
        <v>8.6382718516612867E-6</v>
      </c>
      <c r="AC124" s="126">
        <f t="shared" si="28"/>
        <v>3.0118792551119135E-8</v>
      </c>
      <c r="AD124" s="126">
        <f t="shared" si="29"/>
        <v>3.1762502758148835E-8</v>
      </c>
      <c r="AE124" s="128"/>
    </row>
    <row r="125" spans="11:31" x14ac:dyDescent="0.35">
      <c r="K125">
        <v>1000</v>
      </c>
      <c r="L125">
        <v>62</v>
      </c>
      <c r="M125">
        <f t="shared" si="21"/>
        <v>30</v>
      </c>
      <c r="N125">
        <f t="shared" si="23"/>
        <v>62000</v>
      </c>
      <c r="O125">
        <f t="shared" si="24"/>
        <v>58900</v>
      </c>
      <c r="P125">
        <f t="shared" si="25"/>
        <v>65100</v>
      </c>
      <c r="Q125">
        <f t="shared" si="30"/>
        <v>0</v>
      </c>
      <c r="R125" s="126">
        <f t="shared" si="26"/>
        <v>6.6196985905735367E-6</v>
      </c>
      <c r="S125" s="126">
        <f t="shared" si="27"/>
        <v>9.5634527321624991E-6</v>
      </c>
      <c r="AA125" s="126">
        <f t="shared" si="31"/>
        <v>6.6196985905735367E-6</v>
      </c>
      <c r="AB125" s="126">
        <f t="shared" si="32"/>
        <v>9.5634527321624991E-6</v>
      </c>
      <c r="AC125" s="126">
        <f t="shared" si="28"/>
        <v>3.0108749069829811E-8</v>
      </c>
      <c r="AD125" s="126">
        <f t="shared" si="29"/>
        <v>3.1751329592087577E-8</v>
      </c>
      <c r="AE125" s="128"/>
    </row>
    <row r="126" spans="11:31" x14ac:dyDescent="0.35">
      <c r="K126">
        <v>1000</v>
      </c>
      <c r="L126">
        <v>68</v>
      </c>
      <c r="M126">
        <f t="shared" si="21"/>
        <v>30</v>
      </c>
      <c r="N126">
        <f t="shared" si="23"/>
        <v>68000</v>
      </c>
      <c r="O126">
        <f t="shared" si="24"/>
        <v>64600</v>
      </c>
      <c r="P126">
        <f t="shared" si="25"/>
        <v>71400</v>
      </c>
      <c r="Q126">
        <f t="shared" si="30"/>
        <v>0</v>
      </c>
      <c r="R126" s="126">
        <f t="shared" si="26"/>
        <v>7.2603144452637376E-6</v>
      </c>
      <c r="S126" s="126">
        <f t="shared" si="27"/>
        <v>1.0488633580871136E-5</v>
      </c>
      <c r="AA126" s="126">
        <f t="shared" si="31"/>
        <v>7.2603144452637376E-6</v>
      </c>
      <c r="AB126" s="126">
        <f t="shared" si="32"/>
        <v>1.0488633580871136E-5</v>
      </c>
      <c r="AC126" s="126">
        <f t="shared" si="28"/>
        <v>3.0100487723635935E-8</v>
      </c>
      <c r="AD126" s="126">
        <f t="shared" si="29"/>
        <v>3.1742139603509865E-8</v>
      </c>
      <c r="AE126" s="128"/>
    </row>
    <row r="127" spans="11:31" x14ac:dyDescent="0.35">
      <c r="K127">
        <v>1000</v>
      </c>
      <c r="L127">
        <v>75</v>
      </c>
      <c r="M127">
        <f t="shared" si="21"/>
        <v>30</v>
      </c>
      <c r="N127">
        <f t="shared" si="23"/>
        <v>75000</v>
      </c>
      <c r="O127">
        <f t="shared" si="24"/>
        <v>71250</v>
      </c>
      <c r="P127">
        <f t="shared" si="25"/>
        <v>78750</v>
      </c>
      <c r="Q127">
        <f t="shared" si="30"/>
        <v>0</v>
      </c>
      <c r="R127" s="126">
        <f t="shared" si="26"/>
        <v>8.0076995783016263E-6</v>
      </c>
      <c r="S127" s="126">
        <f t="shared" si="27"/>
        <v>1.1568011197515605E-5</v>
      </c>
      <c r="AA127" s="126">
        <f t="shared" si="31"/>
        <v>8.0076995783016263E-6</v>
      </c>
      <c r="AB127" s="126">
        <f t="shared" si="32"/>
        <v>1.1568011197515605E-5</v>
      </c>
      <c r="AC127" s="126">
        <f t="shared" si="28"/>
        <v>3.0092528453433259E-8</v>
      </c>
      <c r="AD127" s="126">
        <f t="shared" si="29"/>
        <v>3.1733286150154691E-8</v>
      </c>
      <c r="AE127" s="128"/>
    </row>
    <row r="128" spans="11:31" x14ac:dyDescent="0.35">
      <c r="K128">
        <v>1000</v>
      </c>
      <c r="L128">
        <v>82</v>
      </c>
      <c r="M128">
        <f t="shared" si="21"/>
        <v>30</v>
      </c>
      <c r="N128">
        <f t="shared" si="23"/>
        <v>82000</v>
      </c>
      <c r="O128">
        <f t="shared" si="24"/>
        <v>77900</v>
      </c>
      <c r="P128">
        <f t="shared" si="25"/>
        <v>86100</v>
      </c>
      <c r="Q128">
        <f t="shared" si="30"/>
        <v>0</v>
      </c>
      <c r="R128" s="126">
        <f t="shared" si="26"/>
        <v>8.7550846782054452E-6</v>
      </c>
      <c r="S128" s="126">
        <f t="shared" si="27"/>
        <v>1.2647388770886854E-5</v>
      </c>
      <c r="AA128" s="126">
        <f t="shared" si="31"/>
        <v>8.7550846782054452E-6</v>
      </c>
      <c r="AB128" s="126">
        <f t="shared" si="32"/>
        <v>1.2647388770886854E-5</v>
      </c>
      <c r="AC128" s="126">
        <f t="shared" si="28"/>
        <v>3.0085934288311044E-8</v>
      </c>
      <c r="AD128" s="126">
        <f t="shared" si="29"/>
        <v>3.172595153908859E-8</v>
      </c>
      <c r="AE128" s="128"/>
    </row>
    <row r="129" spans="11:31" x14ac:dyDescent="0.35">
      <c r="K129">
        <v>1000</v>
      </c>
      <c r="L129">
        <v>91</v>
      </c>
      <c r="M129">
        <f t="shared" si="21"/>
        <v>30</v>
      </c>
      <c r="N129">
        <f t="shared" si="23"/>
        <v>91000</v>
      </c>
      <c r="O129">
        <f t="shared" si="24"/>
        <v>86450</v>
      </c>
      <c r="P129">
        <f t="shared" si="25"/>
        <v>95550</v>
      </c>
      <c r="Q129">
        <f t="shared" si="30"/>
        <v>0</v>
      </c>
      <c r="R129" s="126">
        <f t="shared" si="26"/>
        <v>9.7160083293949993E-6</v>
      </c>
      <c r="S129" s="126">
        <f t="shared" si="27"/>
        <v>1.4035159873064752E-5</v>
      </c>
      <c r="AA129" s="126">
        <f t="shared" si="31"/>
        <v>9.7160083293949993E-6</v>
      </c>
      <c r="AB129" s="126">
        <f t="shared" si="32"/>
        <v>1.4035159873064752E-5</v>
      </c>
      <c r="AC129" s="126">
        <f t="shared" si="28"/>
        <v>3.0078952885286165E-8</v>
      </c>
      <c r="AD129" s="126">
        <f t="shared" si="29"/>
        <v>3.1718186578349259E-8</v>
      </c>
      <c r="AE129" s="128"/>
    </row>
    <row r="130" spans="11:31" x14ac:dyDescent="0.35">
      <c r="M130">
        <f t="shared" si="21"/>
        <v>30</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1347" priority="36" stopIfTrue="1">
      <formula>AND($B$11="need resistor",$C$11&gt;0)</formula>
    </cfRule>
    <cfRule type="containsText" dxfId="1346" priority="40" operator="containsText" text="need resistor">
      <formula>NOT(ISERROR(SEARCH("need resistor",B11)))</formula>
    </cfRule>
  </conditionalFormatting>
  <conditionalFormatting sqref="B11:B12">
    <cfRule type="containsText" dxfId="1345" priority="38" operator="containsText" text="no need">
      <formula>NOT(ISERROR(SEARCH("no need",B11)))</formula>
    </cfRule>
  </conditionalFormatting>
  <conditionalFormatting sqref="B12">
    <cfRule type="expression" dxfId="1344" priority="35" stopIfTrue="1">
      <formula>AND($B$12="need resistor",$C$12&gt;0)</formula>
    </cfRule>
    <cfRule type="containsText" dxfId="1343" priority="37" operator="containsText" text="need resistor">
      <formula>NOT(ISERROR(SEARCH("need resistor",B12)))</formula>
    </cfRule>
  </conditionalFormatting>
  <conditionalFormatting sqref="B42">
    <cfRule type="expression" dxfId="1342" priority="63">
      <formula>AND($B$42&gt;$S$2,$B$2=1)</formula>
    </cfRule>
    <cfRule type="expression" dxfId="1341" priority="62">
      <formula>AND($B$42&lt;$R$2,$B$2=0)</formula>
    </cfRule>
    <cfRule type="expression" dxfId="1340" priority="61" stopIfTrue="1">
      <formula>AND($B$42&lt;=$S$2,$B$2=1)</formula>
    </cfRule>
    <cfRule type="expression" dxfId="1339" priority="60" stopIfTrue="1">
      <formula>AND($B$42&gt;=$R$2,$B$2=0)</formula>
    </cfRule>
  </conditionalFormatting>
  <conditionalFormatting sqref="B62">
    <cfRule type="expression" dxfId="1338" priority="71">
      <formula>AND($B$62&gt;$S$2,$B$2=1)</formula>
    </cfRule>
    <cfRule type="expression" dxfId="1337" priority="70">
      <formula>AND($B$62&lt;$R$2,$B$2=0)</formula>
    </cfRule>
    <cfRule type="expression" dxfId="1336" priority="69" stopIfTrue="1">
      <formula>AND($B$62&lt;=$S$2,$B$2=1)</formula>
    </cfRule>
    <cfRule type="expression" dxfId="1335" priority="68" stopIfTrue="1">
      <formula>AND($B$62&gt;=$R$2,$B$2=0)</formula>
    </cfRule>
  </conditionalFormatting>
  <conditionalFormatting sqref="B84">
    <cfRule type="cellIs" dxfId="1334" priority="49" operator="greaterThan">
      <formula>$S$3</formula>
    </cfRule>
    <cfRule type="cellIs" dxfId="1333" priority="48" operator="lessThanOrEqual">
      <formula>$S$3</formula>
    </cfRule>
  </conditionalFormatting>
  <conditionalFormatting sqref="B102">
    <cfRule type="cellIs" dxfId="1332" priority="52" operator="lessThanOrEqual">
      <formula>$S$2</formula>
    </cfRule>
    <cfRule type="cellIs" dxfId="1331" priority="53" operator="greaterThan">
      <formula>$S$2</formula>
    </cfRule>
  </conditionalFormatting>
  <conditionalFormatting sqref="B18:C18">
    <cfRule type="expression" dxfId="1330" priority="57">
      <formula>OR(AND($B$2=0,$C$18&lt;$R$2),AND($B$2=1,$C$18&gt;$S$2))</formula>
    </cfRule>
    <cfRule type="expression" dxfId="1329" priority="56" stopIfTrue="1">
      <formula>OR(AND($B$2=0,$C$18&gt;=$R$2),AND($B$2=1,$C$18&lt;=$S$2))</formula>
    </cfRule>
  </conditionalFormatting>
  <conditionalFormatting sqref="B19:C19">
    <cfRule type="expression" dxfId="1328" priority="59">
      <formula>OR(AND($B$3=0,$C$19&lt;$R$3),AND($B$3=1,$C$19&gt;$S$3))</formula>
    </cfRule>
    <cfRule type="expression" dxfId="1327" priority="58" stopIfTrue="1">
      <formula>OR(AND($B$3=0,$C$19&gt;=$R$3),AND($B$3=1,$C$19&lt;=$S$3))</formula>
    </cfRule>
  </conditionalFormatting>
  <conditionalFormatting sqref="C14">
    <cfRule type="cellIs" dxfId="1326" priority="30" operator="equal">
      <formula>"no solution"</formula>
    </cfRule>
  </conditionalFormatting>
  <conditionalFormatting sqref="C44">
    <cfRule type="expression" dxfId="1325" priority="67">
      <formula>AND($B$44&gt;$S$3,$B$3=1)</formula>
    </cfRule>
    <cfRule type="expression" dxfId="1324" priority="66">
      <formula>AND($B$44&lt;$R$3,$B$3=0)</formula>
    </cfRule>
    <cfRule type="expression" dxfId="1323" priority="65" stopIfTrue="1">
      <formula>AND($C$44&lt;=$S$3,$B$3=1)</formula>
    </cfRule>
    <cfRule type="expression" dxfId="1322" priority="64" stopIfTrue="1">
      <formula>AND($C$44&gt;=$R$3,$B$3=0)</formula>
    </cfRule>
  </conditionalFormatting>
  <conditionalFormatting sqref="C64">
    <cfRule type="expression" dxfId="1321" priority="73" stopIfTrue="1">
      <formula>AND($C$64&lt;=$S$3,$B$3=1)</formula>
    </cfRule>
    <cfRule type="expression" dxfId="1320" priority="74">
      <formula>AND($B$64&lt;$R$3,$B$3=0)</formula>
    </cfRule>
    <cfRule type="expression" dxfId="1319" priority="75">
      <formula>AND($B$64&gt;$S$3,$B$3=1)</formula>
    </cfRule>
    <cfRule type="expression" dxfId="1318" priority="72" stopIfTrue="1">
      <formula>AND($C$64&gt;=$R$3,$B$3=0)</formula>
    </cfRule>
  </conditionalFormatting>
  <conditionalFormatting sqref="C102:D102">
    <cfRule type="cellIs" dxfId="1317" priority="32" operator="lessThan">
      <formula>$R$2</formula>
    </cfRule>
    <cfRule type="cellIs" dxfId="1316" priority="31" operator="greaterThanOrEqual">
      <formula>$R$2</formula>
    </cfRule>
  </conditionalFormatting>
  <conditionalFormatting sqref="C84:H84">
    <cfRule type="cellIs" dxfId="1315" priority="17" operator="lessThan">
      <formula>$R$3</formula>
    </cfRule>
    <cfRule type="cellIs" dxfId="1314" priority="16" operator="greaterThanOrEqual">
      <formula>$R$3</formula>
    </cfRule>
  </conditionalFormatting>
  <conditionalFormatting sqref="D11">
    <cfRule type="containsText" dxfId="1313" priority="43" stopIfTrue="1" operator="containsText" text="please remove resistor">
      <formula>NOT(ISERROR(SEARCH("please remove resistor",D11)))</formula>
    </cfRule>
    <cfRule type="cellIs" dxfId="1312" priority="45" operator="greaterThan">
      <formula>$S$2</formula>
    </cfRule>
    <cfRule type="cellIs" dxfId="1311" priority="44" operator="lessThan">
      <formula>$S$2</formula>
    </cfRule>
  </conditionalFormatting>
  <conditionalFormatting sqref="D11:D12">
    <cfRule type="cellIs" priority="28" stopIfTrue="1" operator="equal">
      <formula>""</formula>
    </cfRule>
  </conditionalFormatting>
  <conditionalFormatting sqref="D12 E18:E19">
    <cfRule type="cellIs" dxfId="1310" priority="42" operator="lessThan">
      <formula>$R$2-$N$7</formula>
    </cfRule>
    <cfRule type="cellIs" dxfId="1309" priority="41" operator="greaterThanOrEqual">
      <formula>$R$2-$N$7</formula>
    </cfRule>
  </conditionalFormatting>
  <conditionalFormatting sqref="D18:D19">
    <cfRule type="cellIs" dxfId="1308" priority="46" operator="lessThanOrEqual">
      <formula>$S$2+$N$7</formula>
    </cfRule>
    <cfRule type="cellIs" dxfId="1307" priority="47" operator="greaterThan">
      <formula>$S$2+$N$7</formula>
    </cfRule>
  </conditionalFormatting>
  <conditionalFormatting sqref="E102">
    <cfRule type="cellIs" dxfId="1306" priority="15" operator="lessThan">
      <formula>$R$3</formula>
    </cfRule>
    <cfRule type="cellIs" dxfId="1305" priority="14" operator="greaterThanOrEqual">
      <formula>$R$3</formula>
    </cfRule>
  </conditionalFormatting>
  <conditionalFormatting sqref="F21">
    <cfRule type="containsText" dxfId="1304" priority="13" operator="containsText" text="failed">
      <formula>NOT(ISERROR(SEARCH("failed",F21)))</formula>
    </cfRule>
  </conditionalFormatting>
  <conditionalFormatting sqref="F22">
    <cfRule type="containsText" dxfId="1303" priority="12" operator="containsText" text="fail">
      <formula>NOT(ISERROR(SEARCH("fail",F22)))</formula>
    </cfRule>
  </conditionalFormatting>
  <conditionalFormatting sqref="F23">
    <cfRule type="containsText" dxfId="1302" priority="11" operator="containsText" text="failed">
      <formula>NOT(ISERROR(SEARCH("failed",F23)))</formula>
    </cfRule>
  </conditionalFormatting>
  <conditionalFormatting sqref="F102:H102">
    <cfRule type="cellIs" dxfId="1301" priority="24" operator="greaterThanOrEqual">
      <formula>$R$2</formula>
    </cfRule>
    <cfRule type="cellIs" dxfId="1300" priority="25" operator="lessThan">
      <formula>$R$2</formula>
    </cfRule>
  </conditionalFormatting>
  <conditionalFormatting sqref="G18">
    <cfRule type="cellIs" dxfId="1299" priority="3" operator="greaterThan">
      <formula>$V$2</formula>
    </cfRule>
    <cfRule type="cellIs" dxfId="1298" priority="4" operator="lessThan">
      <formula>$V$2</formula>
    </cfRule>
  </conditionalFormatting>
  <conditionalFormatting sqref="G19">
    <cfRule type="cellIs" dxfId="1297" priority="6" operator="lessThan">
      <formula>$V$3</formula>
    </cfRule>
    <cfRule type="cellIs" dxfId="1296" priority="5" operator="greaterThan">
      <formula>$V$3</formula>
    </cfRule>
  </conditionalFormatting>
  <conditionalFormatting sqref="I18:I19">
    <cfRule type="cellIs" dxfId="1295" priority="2" operator="lessThan">
      <formula>$W$2</formula>
    </cfRule>
    <cfRule type="cellIs" dxfId="1294" priority="1" operator="greaterThan">
      <formula>$W$2</formula>
    </cfRule>
  </conditionalFormatting>
  <conditionalFormatting sqref="K12">
    <cfRule type="expression" dxfId="1293" priority="76">
      <formula>SEARCH("reduce",$F$23)</formula>
    </cfRule>
    <cfRule type="expression" dxfId="1292" priority="77">
      <formula>SEARCH("reduce",$F$21)</formula>
    </cfRule>
  </conditionalFormatting>
  <conditionalFormatting sqref="N2">
    <cfRule type="expression" dxfId="1291" priority="78">
      <formula>SEARCH("strength",$F$21)</formula>
    </cfRule>
    <cfRule type="expression" dxfId="1290" priority="79">
      <formula>SEARCH("strength",$F$23)</formula>
    </cfRule>
  </conditionalFormatting>
  <hyperlinks>
    <hyperlink ref="N25" location="Summary!A1" display="Link to summary" xr:uid="{15C92580-B74A-4F1D-8219-6883D8E4C870}"/>
  </hyperlink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C997C-0622-42B5-ABA2-2C92DEB63973}">
  <sheetPr codeName="Sheet9"/>
  <dimension ref="A1:AQ113"/>
  <sheetViews>
    <sheetView zoomScale="85" zoomScaleNormal="85" workbookViewId="0">
      <pane xSplit="1" ySplit="4" topLeftCell="C5" activePane="bottomRight" state="frozen"/>
      <selection pane="topRight" activeCell="K21" sqref="K21"/>
      <selection pane="bottomLeft" activeCell="K21" sqref="K21"/>
      <selection pane="bottomRight" activeCell="O14" sqref="O14"/>
    </sheetView>
  </sheetViews>
  <sheetFormatPr defaultRowHeight="14.5" x14ac:dyDescent="0.35"/>
  <cols>
    <col min="1" max="1" width="61.453125" customWidth="1"/>
    <col min="2" max="2" width="10.81640625" hidden="1" customWidth="1"/>
    <col min="3" max="3" width="22.54296875" customWidth="1"/>
    <col min="4" max="5" width="20.81640625" customWidth="1"/>
    <col min="6" max="6" width="22.54296875" customWidth="1"/>
    <col min="7" max="8" width="20.81640625" customWidth="1"/>
    <col min="9" max="9" width="22.54296875" customWidth="1"/>
    <col min="10" max="11" width="20.81640625" customWidth="1"/>
    <col min="12" max="12" width="22.54296875" customWidth="1"/>
    <col min="13" max="14" width="20.81640625" customWidth="1"/>
    <col min="15" max="15" width="22.54296875" customWidth="1"/>
    <col min="16" max="17" width="20.81640625" customWidth="1"/>
    <col min="18" max="18" width="23.1796875" customWidth="1"/>
    <col min="19" max="19" width="22.81640625" customWidth="1"/>
    <col min="20" max="20" width="22.1796875" customWidth="1"/>
    <col min="21" max="24" width="16" customWidth="1"/>
    <col min="25" max="27" width="16" hidden="1" customWidth="1"/>
    <col min="30" max="30" width="31.54296875" hidden="1" customWidth="1"/>
    <col min="31" max="32" width="0" hidden="1" customWidth="1"/>
    <col min="33" max="33" width="15.54296875" hidden="1" customWidth="1"/>
    <col min="34" max="34" width="17.1796875" hidden="1" customWidth="1"/>
    <col min="35" max="38" width="16.81640625" hidden="1" customWidth="1"/>
    <col min="39" max="54" width="0" hidden="1" customWidth="1"/>
  </cols>
  <sheetData>
    <row r="1" spans="1:43" ht="99" customHeight="1" x14ac:dyDescent="0.35">
      <c r="C1" s="49"/>
      <c r="H1" s="11"/>
      <c r="Q1" s="49"/>
    </row>
    <row r="2" spans="1:43" x14ac:dyDescent="0.35">
      <c r="C2" s="49"/>
      <c r="D2" s="49"/>
      <c r="E2" s="49"/>
      <c r="F2" s="49"/>
      <c r="G2" s="49"/>
      <c r="H2" s="49"/>
      <c r="I2" s="49"/>
      <c r="J2" s="49"/>
      <c r="K2" s="49"/>
      <c r="L2" s="49"/>
      <c r="M2" s="49"/>
      <c r="N2" s="49"/>
      <c r="O2" s="49"/>
      <c r="P2" s="49"/>
      <c r="Q2" s="49"/>
      <c r="R2" s="49"/>
      <c r="S2" s="49"/>
      <c r="T2" s="49"/>
      <c r="U2" s="49"/>
      <c r="V2" s="49"/>
      <c r="W2" s="49"/>
      <c r="X2" s="49"/>
    </row>
    <row r="3" spans="1:43" x14ac:dyDescent="0.35">
      <c r="A3" s="42" t="s">
        <v>46</v>
      </c>
      <c r="B3" s="42"/>
      <c r="C3" s="48" t="s">
        <v>48</v>
      </c>
      <c r="D3" s="48" t="s">
        <v>48</v>
      </c>
      <c r="E3" s="48" t="s">
        <v>48</v>
      </c>
      <c r="F3" s="48" t="s">
        <v>48</v>
      </c>
      <c r="G3" s="48" t="s">
        <v>48</v>
      </c>
      <c r="H3" s="48" t="s">
        <v>48</v>
      </c>
      <c r="I3" s="48" t="s">
        <v>48</v>
      </c>
      <c r="J3" s="48" t="s">
        <v>48</v>
      </c>
      <c r="K3" s="48" t="s">
        <v>48</v>
      </c>
      <c r="L3" s="48" t="s">
        <v>48</v>
      </c>
      <c r="M3" s="48" t="s">
        <v>48</v>
      </c>
      <c r="N3" s="48" t="s">
        <v>48</v>
      </c>
      <c r="O3" s="48" t="s">
        <v>48</v>
      </c>
      <c r="P3" s="48" t="s">
        <v>48</v>
      </c>
      <c r="Q3" s="48" t="s">
        <v>48</v>
      </c>
      <c r="R3" s="48" t="s">
        <v>477</v>
      </c>
      <c r="S3" s="48" t="s">
        <v>477</v>
      </c>
      <c r="T3" s="48" t="s">
        <v>477</v>
      </c>
      <c r="U3" s="48" t="s">
        <v>64</v>
      </c>
      <c r="V3" s="48" t="s">
        <v>64</v>
      </c>
      <c r="W3" s="48" t="s">
        <v>64</v>
      </c>
      <c r="X3" s="48" t="s">
        <v>61</v>
      </c>
      <c r="Y3" s="48" t="s">
        <v>65</v>
      </c>
      <c r="Z3" s="48" t="s">
        <v>66</v>
      </c>
      <c r="AA3" s="48" t="s">
        <v>67</v>
      </c>
    </row>
    <row r="4" spans="1:43" s="86" customFormat="1" ht="36.75" customHeight="1" x14ac:dyDescent="0.35">
      <c r="A4" s="77" t="s">
        <v>68</v>
      </c>
      <c r="B4" s="78" t="s">
        <v>69</v>
      </c>
      <c r="C4" s="79" t="s">
        <v>70</v>
      </c>
      <c r="D4" s="79" t="s">
        <v>71</v>
      </c>
      <c r="E4" s="79" t="s">
        <v>72</v>
      </c>
      <c r="F4" s="80" t="s">
        <v>73</v>
      </c>
      <c r="G4" s="80" t="s">
        <v>74</v>
      </c>
      <c r="H4" s="80" t="s">
        <v>75</v>
      </c>
      <c r="I4" s="81" t="s">
        <v>76</v>
      </c>
      <c r="J4" s="81" t="s">
        <v>77</v>
      </c>
      <c r="K4" s="81" t="s">
        <v>78</v>
      </c>
      <c r="L4" s="82" t="s">
        <v>79</v>
      </c>
      <c r="M4" s="82" t="s">
        <v>80</v>
      </c>
      <c r="N4" s="82" t="s">
        <v>81</v>
      </c>
      <c r="O4" s="83" t="s">
        <v>82</v>
      </c>
      <c r="P4" s="83" t="s">
        <v>83</v>
      </c>
      <c r="Q4" s="83" t="s">
        <v>84</v>
      </c>
      <c r="R4" s="84" t="s">
        <v>492</v>
      </c>
      <c r="S4" s="84" t="s">
        <v>493</v>
      </c>
      <c r="T4" s="84" t="s">
        <v>494</v>
      </c>
      <c r="U4" s="152" t="s">
        <v>85</v>
      </c>
      <c r="V4" s="152" t="s">
        <v>86</v>
      </c>
      <c r="W4" s="152" t="s">
        <v>87</v>
      </c>
      <c r="X4" s="85" t="s">
        <v>61</v>
      </c>
      <c r="Y4" s="90" t="s">
        <v>65</v>
      </c>
      <c r="Z4" s="90" t="s">
        <v>66</v>
      </c>
      <c r="AA4" s="90" t="s">
        <v>67</v>
      </c>
    </row>
    <row r="5" spans="1:43" x14ac:dyDescent="0.35">
      <c r="A5" s="33" t="s">
        <v>88</v>
      </c>
      <c r="B5" s="33"/>
      <c r="C5" s="34" t="s">
        <v>89</v>
      </c>
      <c r="D5" s="34" t="s">
        <v>90</v>
      </c>
      <c r="E5" s="34" t="s">
        <v>91</v>
      </c>
      <c r="F5" s="34" t="s">
        <v>89</v>
      </c>
      <c r="G5" s="34" t="s">
        <v>90</v>
      </c>
      <c r="H5" s="34" t="s">
        <v>92</v>
      </c>
      <c r="I5" s="34" t="s">
        <v>89</v>
      </c>
      <c r="J5" s="34" t="s">
        <v>90</v>
      </c>
      <c r="K5" s="34" t="s">
        <v>92</v>
      </c>
      <c r="L5" s="34" t="s">
        <v>89</v>
      </c>
      <c r="M5" s="34" t="s">
        <v>90</v>
      </c>
      <c r="N5" s="34" t="s">
        <v>93</v>
      </c>
      <c r="O5" s="34" t="s">
        <v>89</v>
      </c>
      <c r="P5" s="34" t="s">
        <v>90</v>
      </c>
      <c r="Q5" s="34" t="s">
        <v>93</v>
      </c>
      <c r="R5" s="34" t="s">
        <v>89</v>
      </c>
      <c r="S5" s="34" t="s">
        <v>90</v>
      </c>
      <c r="T5" s="34" t="s">
        <v>91</v>
      </c>
      <c r="U5" s="34" t="s">
        <v>89</v>
      </c>
      <c r="V5" s="34" t="s">
        <v>90</v>
      </c>
      <c r="W5" s="34" t="s">
        <v>91</v>
      </c>
      <c r="X5" s="34" t="s">
        <v>90</v>
      </c>
      <c r="Y5" s="34" t="s">
        <v>41</v>
      </c>
      <c r="Z5" s="34" t="s">
        <v>41</v>
      </c>
      <c r="AA5" s="34" t="s">
        <v>41</v>
      </c>
      <c r="AD5" s="33" t="s">
        <v>94</v>
      </c>
      <c r="AE5" s="33"/>
      <c r="AF5" s="43">
        <v>50</v>
      </c>
      <c r="AG5" s="43">
        <v>100</v>
      </c>
      <c r="AH5" s="43"/>
      <c r="AI5" s="43"/>
      <c r="AJ5" s="43"/>
      <c r="AK5" s="43"/>
      <c r="AL5" s="43"/>
      <c r="AM5" s="43"/>
      <c r="AN5" s="33"/>
      <c r="AO5" s="33"/>
      <c r="AP5" s="33"/>
      <c r="AQ5" s="33"/>
    </row>
    <row r="6" spans="1:43" x14ac:dyDescent="0.35">
      <c r="A6" s="33"/>
      <c r="B6" s="33"/>
      <c r="C6" s="33"/>
      <c r="D6" s="33"/>
      <c r="E6" s="33"/>
      <c r="F6" s="33"/>
      <c r="G6" s="33"/>
      <c r="H6" s="33"/>
      <c r="I6" s="33"/>
      <c r="J6" s="33"/>
      <c r="K6" s="33"/>
      <c r="L6" s="33"/>
      <c r="M6" s="33"/>
      <c r="N6" s="33"/>
      <c r="O6" s="33"/>
      <c r="P6" s="33"/>
      <c r="Q6" s="33"/>
      <c r="R6" s="33"/>
      <c r="S6" s="33"/>
      <c r="T6" s="33"/>
      <c r="U6" s="33"/>
      <c r="V6" s="33"/>
      <c r="W6" s="33"/>
      <c r="X6" s="33"/>
      <c r="Y6" s="33"/>
      <c r="Z6" s="33"/>
      <c r="AA6" s="33"/>
      <c r="AD6" s="33" t="s">
        <v>95</v>
      </c>
      <c r="AE6" s="33"/>
      <c r="AF6" s="43">
        <v>40</v>
      </c>
      <c r="AG6" s="43">
        <v>200</v>
      </c>
      <c r="AH6" s="43"/>
      <c r="AI6" s="43"/>
      <c r="AJ6" s="43"/>
      <c r="AK6" s="43"/>
      <c r="AL6" s="43"/>
      <c r="AM6" s="43"/>
      <c r="AN6" s="33"/>
      <c r="AO6" s="33"/>
      <c r="AP6" s="33"/>
      <c r="AQ6" s="33"/>
    </row>
    <row r="7" spans="1:43" ht="21" x14ac:dyDescent="0.5">
      <c r="A7" s="76" t="s">
        <v>28</v>
      </c>
      <c r="B7" s="33"/>
      <c r="C7" s="57"/>
      <c r="D7" s="57"/>
      <c r="E7" s="57"/>
      <c r="F7" s="57"/>
      <c r="G7" s="57"/>
      <c r="H7" s="57"/>
      <c r="I7" s="57"/>
      <c r="J7" s="57"/>
      <c r="K7" s="57"/>
      <c r="L7" s="57"/>
      <c r="M7" s="57"/>
      <c r="N7" s="57"/>
      <c r="O7" s="57"/>
      <c r="P7" s="57"/>
      <c r="Q7" s="57"/>
      <c r="R7" s="33"/>
      <c r="S7" s="33"/>
      <c r="T7" s="33"/>
      <c r="U7" s="33"/>
      <c r="V7" s="33"/>
      <c r="W7" s="33"/>
      <c r="X7" s="33"/>
      <c r="Y7" s="33"/>
      <c r="Z7" s="33"/>
      <c r="AA7" s="33"/>
      <c r="AD7" s="33" t="s">
        <v>96</v>
      </c>
      <c r="AE7" s="33" t="s">
        <v>41</v>
      </c>
      <c r="AF7" s="43" t="s">
        <v>97</v>
      </c>
      <c r="AG7" s="133" t="s">
        <v>474</v>
      </c>
      <c r="AH7" s="133" t="s">
        <v>98</v>
      </c>
      <c r="AI7" s="133" t="s">
        <v>99</v>
      </c>
      <c r="AJ7" s="133" t="s">
        <v>100</v>
      </c>
      <c r="AK7" s="133" t="s">
        <v>101</v>
      </c>
      <c r="AL7" s="133" t="s">
        <v>102</v>
      </c>
      <c r="AM7" s="133" t="s">
        <v>103</v>
      </c>
      <c r="AN7" s="43">
        <v>111</v>
      </c>
      <c r="AO7" s="43"/>
      <c r="AP7" s="33"/>
      <c r="AQ7" s="33"/>
    </row>
    <row r="8" spans="1:43" x14ac:dyDescent="0.35">
      <c r="A8" s="33" t="s">
        <v>104</v>
      </c>
      <c r="B8" s="33"/>
      <c r="C8" s="52">
        <v>19.988</v>
      </c>
      <c r="D8" s="52">
        <v>19.988</v>
      </c>
      <c r="E8" s="52">
        <v>19.988</v>
      </c>
      <c r="F8" s="33">
        <v>19.988</v>
      </c>
      <c r="G8" s="33">
        <v>19.988</v>
      </c>
      <c r="H8" s="52">
        <v>19.988</v>
      </c>
      <c r="I8" s="33">
        <v>19.988</v>
      </c>
      <c r="J8" s="33">
        <v>19.988</v>
      </c>
      <c r="K8" s="52">
        <v>19.988</v>
      </c>
      <c r="L8" s="33">
        <v>19.988</v>
      </c>
      <c r="M8" s="33">
        <v>19.988</v>
      </c>
      <c r="N8" s="52">
        <v>19.988</v>
      </c>
      <c r="O8" s="33">
        <v>19.988</v>
      </c>
      <c r="P8" s="33">
        <v>19.988</v>
      </c>
      <c r="Q8" s="52">
        <v>19.988</v>
      </c>
      <c r="R8" s="52">
        <v>19.988</v>
      </c>
      <c r="S8" s="52">
        <v>19.988</v>
      </c>
      <c r="T8" s="52">
        <v>19.988</v>
      </c>
      <c r="U8" s="52">
        <v>19.988</v>
      </c>
      <c r="V8" s="52">
        <v>19.988</v>
      </c>
      <c r="W8" s="52">
        <v>19.988</v>
      </c>
      <c r="X8" s="52">
        <v>19.988</v>
      </c>
      <c r="Y8" s="52">
        <v>49.9</v>
      </c>
      <c r="Z8" s="52">
        <v>49.9</v>
      </c>
      <c r="AA8" s="52">
        <v>49.9</v>
      </c>
      <c r="AD8" s="33" t="s">
        <v>105</v>
      </c>
      <c r="AE8" s="33" t="s">
        <v>41</v>
      </c>
      <c r="AF8" s="3">
        <v>0</v>
      </c>
      <c r="AG8" s="3">
        <v>3.1259999999999999</v>
      </c>
      <c r="AH8" s="3">
        <v>4.8479999999999999</v>
      </c>
      <c r="AI8" s="3">
        <v>6.53</v>
      </c>
      <c r="AJ8" s="3">
        <v>8.2360000000000007</v>
      </c>
      <c r="AK8" s="3">
        <v>9.9280000000000008</v>
      </c>
      <c r="AL8" s="3">
        <v>11.7</v>
      </c>
      <c r="AM8" s="3">
        <v>13.42</v>
      </c>
      <c r="AN8" s="3">
        <v>15.09</v>
      </c>
    </row>
    <row r="9" spans="1:43" x14ac:dyDescent="0.35">
      <c r="A9" s="33" t="s">
        <v>106</v>
      </c>
      <c r="B9" s="33"/>
      <c r="C9" s="53">
        <v>2.0800000000000001E-10</v>
      </c>
      <c r="D9" s="53">
        <v>2.0800000000000001E-10</v>
      </c>
      <c r="E9" s="53">
        <v>2.0800000000000001E-10</v>
      </c>
      <c r="F9" s="38">
        <v>2.0800000000000001E-10</v>
      </c>
      <c r="G9" s="38">
        <v>2.0800000000000001E-10</v>
      </c>
      <c r="H9" s="53">
        <v>2.0800000000000001E-10</v>
      </c>
      <c r="I9" s="38">
        <v>2.0800000000000001E-10</v>
      </c>
      <c r="J9" s="38">
        <v>2.0800000000000001E-10</v>
      </c>
      <c r="K9" s="53">
        <v>2.0800000000000001E-10</v>
      </c>
      <c r="L9" s="38">
        <v>2.0800000000000001E-10</v>
      </c>
      <c r="M9" s="38">
        <v>2.0800000000000001E-10</v>
      </c>
      <c r="N9" s="53">
        <v>2.0800000000000001E-10</v>
      </c>
      <c r="O9" s="38">
        <v>2.0800000000000001E-10</v>
      </c>
      <c r="P9" s="38">
        <v>2.0800000000000001E-10</v>
      </c>
      <c r="Q9" s="53">
        <v>2.0800000000000001E-10</v>
      </c>
      <c r="R9" s="53">
        <v>2.0800000000000001E-10</v>
      </c>
      <c r="S9" s="53">
        <v>2.0800000000000001E-10</v>
      </c>
      <c r="T9" s="53">
        <v>2.0800000000000001E-10</v>
      </c>
      <c r="U9" s="53">
        <v>2.0800000000000001E-10</v>
      </c>
      <c r="V9" s="53">
        <v>2.0800000000000001E-10</v>
      </c>
      <c r="W9" s="53">
        <v>2.0800000000000001E-10</v>
      </c>
      <c r="X9" s="53">
        <v>2.0800000000000001E-10</v>
      </c>
      <c r="Y9" s="53">
        <v>1.96E-10</v>
      </c>
      <c r="Z9" s="53">
        <v>1.96E-10</v>
      </c>
      <c r="AA9" s="53">
        <v>1.96E-10</v>
      </c>
      <c r="AD9" s="33" t="s">
        <v>107</v>
      </c>
      <c r="AE9" s="113" t="s">
        <v>41</v>
      </c>
      <c r="AF9" s="3">
        <v>0</v>
      </c>
      <c r="AG9" s="3">
        <v>2.1659999999999999E-5</v>
      </c>
      <c r="AH9" s="3">
        <v>0.63580000000000003</v>
      </c>
      <c r="AI9" s="3">
        <v>1.256</v>
      </c>
      <c r="AJ9" s="3">
        <v>1.8879999999999999</v>
      </c>
      <c r="AK9" s="3">
        <v>2.5049999999999999</v>
      </c>
      <c r="AL9" s="3">
        <v>3.1339999999999999</v>
      </c>
      <c r="AM9" s="3">
        <v>3.76</v>
      </c>
      <c r="AN9" s="3">
        <v>4.3620000000000001</v>
      </c>
    </row>
    <row r="10" spans="1:43" x14ac:dyDescent="0.35">
      <c r="A10" s="33" t="s">
        <v>108</v>
      </c>
      <c r="B10" s="33"/>
      <c r="C10" s="52">
        <v>25</v>
      </c>
      <c r="D10" s="52">
        <v>25</v>
      </c>
      <c r="E10" s="52">
        <v>25</v>
      </c>
      <c r="F10" s="33">
        <f>$H10</f>
        <v>25</v>
      </c>
      <c r="G10" s="33">
        <f>$H10</f>
        <v>25</v>
      </c>
      <c r="H10" s="52">
        <v>25</v>
      </c>
      <c r="I10" s="33">
        <f>$K10</f>
        <v>25</v>
      </c>
      <c r="J10" s="33">
        <f>$K10</f>
        <v>25</v>
      </c>
      <c r="K10" s="52">
        <v>25</v>
      </c>
      <c r="L10" s="33">
        <f>N10</f>
        <v>10</v>
      </c>
      <c r="M10" s="33">
        <f>N10</f>
        <v>10</v>
      </c>
      <c r="N10" s="52">
        <v>10</v>
      </c>
      <c r="O10" s="33">
        <f>Q10</f>
        <v>10</v>
      </c>
      <c r="P10" s="33">
        <f>Q10</f>
        <v>10</v>
      </c>
      <c r="Q10" s="52">
        <v>10</v>
      </c>
      <c r="R10" s="55">
        <v>25</v>
      </c>
      <c r="S10" s="55">
        <v>25</v>
      </c>
      <c r="T10" s="55">
        <v>25</v>
      </c>
      <c r="U10" s="55">
        <v>25</v>
      </c>
      <c r="V10" s="55">
        <v>25</v>
      </c>
      <c r="W10" s="55">
        <v>8</v>
      </c>
      <c r="X10" s="55">
        <v>25</v>
      </c>
      <c r="Y10" s="55">
        <v>40</v>
      </c>
      <c r="Z10" s="55">
        <v>50</v>
      </c>
      <c r="AA10" s="55">
        <v>50</v>
      </c>
      <c r="AD10" s="33" t="s">
        <v>109</v>
      </c>
      <c r="AE10" s="33" t="s">
        <v>41</v>
      </c>
      <c r="AF10" s="3">
        <v>0</v>
      </c>
      <c r="AG10" s="3"/>
      <c r="AH10" s="3"/>
      <c r="AI10" s="3"/>
      <c r="AJ10" s="3"/>
      <c r="AK10" s="3"/>
      <c r="AL10" s="3"/>
      <c r="AM10" s="3"/>
    </row>
    <row r="11" spans="1:43" x14ac:dyDescent="0.35">
      <c r="A11" s="33" t="s">
        <v>110</v>
      </c>
      <c r="B11" s="33"/>
      <c r="C11" s="52">
        <v>0</v>
      </c>
      <c r="D11" s="52">
        <v>0</v>
      </c>
      <c r="E11" s="52">
        <v>0</v>
      </c>
      <c r="F11" s="33">
        <v>0</v>
      </c>
      <c r="G11" s="33">
        <f t="shared" ref="F11:G15" si="0">$H11</f>
        <v>0</v>
      </c>
      <c r="H11" s="55">
        <v>0</v>
      </c>
      <c r="I11" s="33">
        <f t="shared" ref="I11:J15" si="1">$K11</f>
        <v>0</v>
      </c>
      <c r="J11" s="33">
        <f t="shared" si="1"/>
        <v>0</v>
      </c>
      <c r="K11" s="55">
        <v>0</v>
      </c>
      <c r="L11" s="33">
        <f t="shared" ref="L11:L14" si="2">N11</f>
        <v>0</v>
      </c>
      <c r="M11" s="33">
        <f t="shared" ref="M11:M15" si="3">N11</f>
        <v>0</v>
      </c>
      <c r="N11" s="55">
        <v>0</v>
      </c>
      <c r="O11" s="33">
        <f t="shared" ref="O11:O14" si="4">Q11</f>
        <v>0</v>
      </c>
      <c r="P11" s="33">
        <f t="shared" ref="P11:P15" si="5">Q11</f>
        <v>0</v>
      </c>
      <c r="Q11" s="55">
        <v>0</v>
      </c>
      <c r="R11" s="55">
        <f t="shared" ref="R11:AA14" si="6">$C11</f>
        <v>0</v>
      </c>
      <c r="S11" s="55">
        <f>$C11</f>
        <v>0</v>
      </c>
      <c r="T11" s="55">
        <f t="shared" si="6"/>
        <v>0</v>
      </c>
      <c r="U11" s="55">
        <f t="shared" si="6"/>
        <v>0</v>
      </c>
      <c r="V11" s="55">
        <f t="shared" si="6"/>
        <v>0</v>
      </c>
      <c r="W11" s="55">
        <f t="shared" si="6"/>
        <v>0</v>
      </c>
      <c r="X11" s="55">
        <f t="shared" si="6"/>
        <v>0</v>
      </c>
      <c r="Y11" s="55">
        <v>20</v>
      </c>
      <c r="Z11" s="55">
        <v>20</v>
      </c>
      <c r="AA11" s="55">
        <v>20</v>
      </c>
      <c r="AD11" s="33" t="s">
        <v>111</v>
      </c>
      <c r="AE11" s="113" t="s">
        <v>41</v>
      </c>
      <c r="AF11" s="3">
        <v>0</v>
      </c>
      <c r="AG11" s="3"/>
      <c r="AH11" s="3"/>
      <c r="AI11" s="3"/>
      <c r="AJ11" s="3"/>
      <c r="AK11" s="3"/>
      <c r="AL11" s="3"/>
      <c r="AM11" s="3"/>
    </row>
    <row r="12" spans="1:43" x14ac:dyDescent="0.35">
      <c r="A12" s="33" t="s">
        <v>112</v>
      </c>
      <c r="B12" s="33"/>
      <c r="C12" s="53">
        <v>0</v>
      </c>
      <c r="D12" s="53">
        <v>0</v>
      </c>
      <c r="E12" s="53">
        <v>0</v>
      </c>
      <c r="F12" s="38">
        <f t="shared" si="0"/>
        <v>0</v>
      </c>
      <c r="G12" s="38">
        <f t="shared" si="0"/>
        <v>0</v>
      </c>
      <c r="H12" s="53">
        <v>0</v>
      </c>
      <c r="I12" s="38">
        <f t="shared" si="1"/>
        <v>0</v>
      </c>
      <c r="J12" s="38">
        <f t="shared" si="1"/>
        <v>0</v>
      </c>
      <c r="K12" s="53">
        <v>0</v>
      </c>
      <c r="L12" s="38">
        <f t="shared" si="2"/>
        <v>0</v>
      </c>
      <c r="M12" s="38">
        <f t="shared" si="3"/>
        <v>0</v>
      </c>
      <c r="N12" s="53">
        <v>0</v>
      </c>
      <c r="O12" s="38">
        <f t="shared" si="4"/>
        <v>0</v>
      </c>
      <c r="P12" s="38">
        <f t="shared" si="5"/>
        <v>0</v>
      </c>
      <c r="Q12" s="53">
        <v>0</v>
      </c>
      <c r="R12" s="53">
        <v>0</v>
      </c>
      <c r="S12" s="53">
        <f t="shared" si="6"/>
        <v>0</v>
      </c>
      <c r="T12" s="53">
        <f t="shared" si="6"/>
        <v>0</v>
      </c>
      <c r="U12" s="53">
        <f t="shared" si="6"/>
        <v>0</v>
      </c>
      <c r="V12" s="53">
        <f t="shared" si="6"/>
        <v>0</v>
      </c>
      <c r="W12" s="53">
        <f t="shared" si="6"/>
        <v>0</v>
      </c>
      <c r="X12" s="53">
        <f t="shared" si="6"/>
        <v>0</v>
      </c>
      <c r="Y12" s="53">
        <f t="shared" si="6"/>
        <v>0</v>
      </c>
      <c r="Z12" s="53">
        <f t="shared" si="6"/>
        <v>0</v>
      </c>
      <c r="AA12" s="53">
        <f t="shared" si="6"/>
        <v>0</v>
      </c>
      <c r="AD12" s="33" t="s">
        <v>113</v>
      </c>
      <c r="AF12" s="16">
        <v>0.05</v>
      </c>
      <c r="AG12" s="16">
        <v>0.1</v>
      </c>
    </row>
    <row r="13" spans="1:43" x14ac:dyDescent="0.35">
      <c r="A13" s="33" t="s">
        <v>114</v>
      </c>
      <c r="B13" s="33"/>
      <c r="C13" s="54">
        <v>0</v>
      </c>
      <c r="D13" s="54">
        <v>0</v>
      </c>
      <c r="E13" s="54">
        <v>0</v>
      </c>
      <c r="F13" s="60">
        <f t="shared" si="0"/>
        <v>0</v>
      </c>
      <c r="G13" s="60">
        <f t="shared" si="0"/>
        <v>0</v>
      </c>
      <c r="H13" s="98">
        <v>0</v>
      </c>
      <c r="I13" s="60">
        <f t="shared" si="1"/>
        <v>0</v>
      </c>
      <c r="J13" s="60">
        <f t="shared" si="1"/>
        <v>0</v>
      </c>
      <c r="K13" s="98">
        <v>0</v>
      </c>
      <c r="L13" s="60">
        <f t="shared" si="2"/>
        <v>0</v>
      </c>
      <c r="M13" s="60">
        <f t="shared" si="3"/>
        <v>0</v>
      </c>
      <c r="N13" s="98">
        <v>0</v>
      </c>
      <c r="O13" s="60">
        <f t="shared" si="4"/>
        <v>0</v>
      </c>
      <c r="P13" s="60">
        <f t="shared" si="5"/>
        <v>0</v>
      </c>
      <c r="Q13" s="98">
        <v>0</v>
      </c>
      <c r="R13" s="98">
        <f t="shared" si="6"/>
        <v>0</v>
      </c>
      <c r="S13" s="98">
        <f t="shared" si="6"/>
        <v>0</v>
      </c>
      <c r="T13" s="98">
        <f t="shared" si="6"/>
        <v>0</v>
      </c>
      <c r="U13" s="98">
        <f t="shared" si="6"/>
        <v>0</v>
      </c>
      <c r="V13" s="98">
        <f t="shared" si="6"/>
        <v>0</v>
      </c>
      <c r="W13" s="98">
        <f t="shared" si="6"/>
        <v>0</v>
      </c>
      <c r="X13" s="98">
        <f t="shared" si="6"/>
        <v>0</v>
      </c>
      <c r="Y13" s="98">
        <f t="shared" si="6"/>
        <v>0</v>
      </c>
      <c r="Z13" s="98">
        <f t="shared" si="6"/>
        <v>0</v>
      </c>
      <c r="AA13" s="98">
        <f t="shared" si="6"/>
        <v>0</v>
      </c>
    </row>
    <row r="14" spans="1:43" x14ac:dyDescent="0.35">
      <c r="A14" s="33" t="s">
        <v>115</v>
      </c>
      <c r="B14" s="33"/>
      <c r="C14" s="54">
        <v>1</v>
      </c>
      <c r="D14" s="54">
        <v>1</v>
      </c>
      <c r="E14" s="54">
        <v>1</v>
      </c>
      <c r="F14" s="60">
        <f t="shared" si="0"/>
        <v>1</v>
      </c>
      <c r="G14" s="60">
        <f t="shared" si="0"/>
        <v>1</v>
      </c>
      <c r="H14" s="98">
        <v>1</v>
      </c>
      <c r="I14" s="60">
        <f t="shared" si="1"/>
        <v>1</v>
      </c>
      <c r="J14" s="60">
        <f t="shared" si="1"/>
        <v>1</v>
      </c>
      <c r="K14" s="98">
        <v>1</v>
      </c>
      <c r="L14" s="60">
        <f t="shared" si="2"/>
        <v>1</v>
      </c>
      <c r="M14" s="60">
        <f t="shared" si="3"/>
        <v>1</v>
      </c>
      <c r="N14" s="98">
        <v>1</v>
      </c>
      <c r="O14" s="60">
        <f t="shared" si="4"/>
        <v>1</v>
      </c>
      <c r="P14" s="60">
        <f t="shared" si="5"/>
        <v>1</v>
      </c>
      <c r="Q14" s="98">
        <v>1</v>
      </c>
      <c r="R14" s="98">
        <f t="shared" si="6"/>
        <v>1</v>
      </c>
      <c r="S14" s="98">
        <f t="shared" si="6"/>
        <v>1</v>
      </c>
      <c r="T14" s="98">
        <f t="shared" si="6"/>
        <v>1</v>
      </c>
      <c r="U14" s="98">
        <f t="shared" si="6"/>
        <v>1</v>
      </c>
      <c r="V14" s="98">
        <f t="shared" si="6"/>
        <v>1</v>
      </c>
      <c r="W14" s="98">
        <v>1</v>
      </c>
      <c r="X14" s="98">
        <f t="shared" si="6"/>
        <v>1</v>
      </c>
      <c r="Y14" s="98">
        <f t="shared" si="6"/>
        <v>1</v>
      </c>
      <c r="Z14" s="98">
        <f t="shared" si="6"/>
        <v>1</v>
      </c>
      <c r="AA14" s="98">
        <f t="shared" si="6"/>
        <v>1</v>
      </c>
    </row>
    <row r="15" spans="1:43" x14ac:dyDescent="0.35">
      <c r="A15" s="33" t="s">
        <v>116</v>
      </c>
      <c r="B15" s="33"/>
      <c r="C15" s="68">
        <v>1</v>
      </c>
      <c r="D15" s="68">
        <v>1</v>
      </c>
      <c r="E15" s="68">
        <v>1</v>
      </c>
      <c r="F15" s="69">
        <f t="shared" si="0"/>
        <v>1</v>
      </c>
      <c r="G15" s="69">
        <f t="shared" si="0"/>
        <v>1</v>
      </c>
      <c r="H15" s="68">
        <v>1</v>
      </c>
      <c r="I15" s="69">
        <f t="shared" si="1"/>
        <v>1</v>
      </c>
      <c r="J15" s="69">
        <f t="shared" si="1"/>
        <v>1</v>
      </c>
      <c r="K15" s="68">
        <v>1</v>
      </c>
      <c r="L15" s="69">
        <f t="shared" ref="L15" si="7">N15</f>
        <v>1</v>
      </c>
      <c r="M15" s="69">
        <f t="shared" si="3"/>
        <v>1</v>
      </c>
      <c r="N15" s="68">
        <v>1</v>
      </c>
      <c r="O15" s="69">
        <f t="shared" ref="O15" si="8">Q15</f>
        <v>1</v>
      </c>
      <c r="P15" s="69">
        <f t="shared" si="5"/>
        <v>1</v>
      </c>
      <c r="Q15" s="68">
        <v>1</v>
      </c>
      <c r="R15" s="68">
        <v>1</v>
      </c>
      <c r="S15" s="68">
        <v>1</v>
      </c>
      <c r="T15" s="68">
        <v>1</v>
      </c>
      <c r="U15" s="68">
        <v>1</v>
      </c>
      <c r="V15" s="68">
        <v>1</v>
      </c>
      <c r="W15" s="68">
        <v>1</v>
      </c>
      <c r="X15" s="68">
        <v>1</v>
      </c>
      <c r="Y15" s="68">
        <v>6</v>
      </c>
      <c r="Z15" s="68">
        <v>2</v>
      </c>
      <c r="AA15" s="68">
        <v>2</v>
      </c>
    </row>
    <row r="16" spans="1:43" x14ac:dyDescent="0.35">
      <c r="A16" s="33" t="s">
        <v>117</v>
      </c>
      <c r="B16" s="33"/>
      <c r="C16" s="55">
        <v>1.8</v>
      </c>
      <c r="D16" s="55">
        <v>1.8</v>
      </c>
      <c r="E16" s="55">
        <v>1.8</v>
      </c>
      <c r="F16" s="65">
        <f>H16</f>
        <v>1.8</v>
      </c>
      <c r="G16" s="65">
        <f>H16</f>
        <v>1.8</v>
      </c>
      <c r="H16" s="55">
        <v>1.8</v>
      </c>
      <c r="I16" s="65">
        <f>K16</f>
        <v>1.8</v>
      </c>
      <c r="J16" s="65">
        <f>K16</f>
        <v>1.8</v>
      </c>
      <c r="K16" s="55">
        <v>1.8</v>
      </c>
      <c r="L16" s="65">
        <f>N16</f>
        <v>1.8</v>
      </c>
      <c r="M16" s="65">
        <f>N16</f>
        <v>1.8</v>
      </c>
      <c r="N16" s="55">
        <v>1.8</v>
      </c>
      <c r="O16" s="65">
        <f>Q16</f>
        <v>1.8</v>
      </c>
      <c r="P16" s="65">
        <f>Q16</f>
        <v>1.8</v>
      </c>
      <c r="Q16" s="55">
        <v>1.8</v>
      </c>
      <c r="R16" s="55">
        <v>1.8</v>
      </c>
      <c r="S16" s="55">
        <v>1.8</v>
      </c>
      <c r="T16" s="55">
        <v>1.8</v>
      </c>
      <c r="U16" s="55">
        <v>1.8</v>
      </c>
      <c r="V16" s="55">
        <v>1.8</v>
      </c>
      <c r="W16" s="55">
        <v>3.3</v>
      </c>
      <c r="X16" s="55">
        <v>1.8</v>
      </c>
      <c r="Y16" s="55">
        <v>1.8</v>
      </c>
      <c r="Z16" s="55">
        <v>1.8</v>
      </c>
      <c r="AA16" s="55">
        <v>1.8</v>
      </c>
    </row>
    <row r="17" spans="1:27" x14ac:dyDescent="0.35">
      <c r="A17" s="36" t="s">
        <v>118</v>
      </c>
      <c r="B17" s="33"/>
      <c r="C17" s="101">
        <v>0.05</v>
      </c>
      <c r="D17" s="101">
        <v>0.05</v>
      </c>
      <c r="E17" s="101">
        <v>0.05</v>
      </c>
      <c r="F17" s="70">
        <f>$H17</f>
        <v>0.05</v>
      </c>
      <c r="G17" s="70">
        <f>$H17</f>
        <v>0.05</v>
      </c>
      <c r="H17" s="101">
        <v>0.05</v>
      </c>
      <c r="I17" s="70">
        <f>$K17</f>
        <v>0.05</v>
      </c>
      <c r="J17" s="70">
        <f>$K17</f>
        <v>0.05</v>
      </c>
      <c r="K17" s="101">
        <v>0.05</v>
      </c>
      <c r="L17" s="70">
        <f>$N17</f>
        <v>0.05</v>
      </c>
      <c r="M17" s="70">
        <f>$N17</f>
        <v>0.05</v>
      </c>
      <c r="N17" s="101">
        <v>0.05</v>
      </c>
      <c r="O17" s="70">
        <f>$Q17</f>
        <v>0.05</v>
      </c>
      <c r="P17" s="70">
        <f>$Q17</f>
        <v>0.05</v>
      </c>
      <c r="Q17" s="101">
        <v>0.05</v>
      </c>
      <c r="R17" s="101">
        <v>0.05</v>
      </c>
      <c r="S17" s="101">
        <v>0.05</v>
      </c>
      <c r="T17" s="101">
        <v>0.05</v>
      </c>
      <c r="U17" s="101">
        <v>0.05</v>
      </c>
      <c r="V17" s="101">
        <v>0.05</v>
      </c>
      <c r="W17" s="101">
        <v>0.05</v>
      </c>
      <c r="X17" s="101">
        <v>0.05</v>
      </c>
      <c r="Y17" s="101">
        <v>0.1</v>
      </c>
      <c r="Z17" s="101">
        <v>0.1</v>
      </c>
      <c r="AA17" s="101">
        <v>0.1</v>
      </c>
    </row>
    <row r="18" spans="1:27" x14ac:dyDescent="0.35">
      <c r="A18" s="36" t="s">
        <v>119</v>
      </c>
      <c r="B18" s="33"/>
      <c r="C18" s="101">
        <v>0.05</v>
      </c>
      <c r="D18" s="101">
        <v>0.05</v>
      </c>
      <c r="E18" s="101">
        <v>0.05</v>
      </c>
      <c r="F18" s="70">
        <f>$H18</f>
        <v>0.05</v>
      </c>
      <c r="G18" s="70">
        <f>$H18</f>
        <v>0.05</v>
      </c>
      <c r="H18" s="101">
        <v>0.05</v>
      </c>
      <c r="I18" s="70">
        <f>$K18</f>
        <v>0.05</v>
      </c>
      <c r="J18" s="70">
        <f>$K18</f>
        <v>0.05</v>
      </c>
      <c r="K18" s="101">
        <v>0.05</v>
      </c>
      <c r="L18" s="70">
        <f>$N18</f>
        <v>0.05</v>
      </c>
      <c r="M18" s="70">
        <f>$N18</f>
        <v>0.05</v>
      </c>
      <c r="N18" s="101">
        <v>0.05</v>
      </c>
      <c r="O18" s="70">
        <f>$Q18</f>
        <v>0.05</v>
      </c>
      <c r="P18" s="70">
        <f>$Q18</f>
        <v>0.05</v>
      </c>
      <c r="Q18" s="101">
        <v>0.05</v>
      </c>
      <c r="R18" s="101">
        <v>0.05</v>
      </c>
      <c r="S18" s="101">
        <v>0.05</v>
      </c>
      <c r="T18" s="101">
        <v>0.05</v>
      </c>
      <c r="U18" s="101">
        <v>0.05</v>
      </c>
      <c r="V18" s="101">
        <v>0.05</v>
      </c>
      <c r="W18" s="101">
        <v>0.05</v>
      </c>
      <c r="X18" s="101">
        <v>0.05</v>
      </c>
      <c r="Y18" s="101">
        <v>0.1</v>
      </c>
      <c r="Z18" s="101">
        <v>0.1</v>
      </c>
      <c r="AA18" s="101">
        <v>0.1</v>
      </c>
    </row>
    <row r="19" spans="1:27" x14ac:dyDescent="0.35">
      <c r="A19" s="33"/>
      <c r="B19" s="33"/>
      <c r="C19" s="69"/>
      <c r="D19" s="69"/>
      <c r="E19" s="69"/>
      <c r="F19" s="69"/>
      <c r="G19" s="69"/>
      <c r="H19" s="69"/>
      <c r="I19" s="69"/>
      <c r="J19" s="69"/>
      <c r="K19" s="69"/>
      <c r="L19" s="69"/>
      <c r="M19" s="69"/>
      <c r="N19" s="69"/>
      <c r="O19" s="69"/>
      <c r="P19" s="69"/>
      <c r="Q19" s="69"/>
      <c r="R19" s="69"/>
      <c r="S19" s="69"/>
      <c r="T19" s="69"/>
      <c r="U19" s="69"/>
      <c r="V19" s="69"/>
      <c r="W19" s="69"/>
      <c r="X19" s="69"/>
      <c r="Y19" s="69"/>
      <c r="Z19" s="69"/>
      <c r="AA19" s="69"/>
    </row>
    <row r="20" spans="1:27" x14ac:dyDescent="0.35">
      <c r="A20" s="33" t="s">
        <v>120</v>
      </c>
      <c r="B20" s="35" t="s">
        <v>121</v>
      </c>
      <c r="C20" s="47" cm="1">
        <f t="array" aca="1" ref="C20" ca="1">INDIRECT("'"&amp;C$4&amp;"'!"&amp;$B20)</f>
        <v>1600</v>
      </c>
      <c r="D20" s="47" cm="1">
        <f t="array" aca="1" ref="D20" ca="1">INDIRECT("'"&amp;D$4&amp;"'!"&amp;$B20)</f>
        <v>910</v>
      </c>
      <c r="E20" s="47" cm="1">
        <f t="array" aca="1" ref="E20" ca="1">INDIRECT("'"&amp;E$4&amp;"'!"&amp;$B20)</f>
        <v>430</v>
      </c>
      <c r="F20" s="47" cm="1">
        <f t="array" aca="1" ref="F20" ca="1">INDIRECT("'"&amp;F$4&amp;"'!"&amp;$B20)</f>
        <v>1600</v>
      </c>
      <c r="G20" s="47" cm="1">
        <f t="array" aca="1" ref="G20" ca="1">INDIRECT("'"&amp;G$4&amp;"'!"&amp;$B20)</f>
        <v>910</v>
      </c>
      <c r="H20" s="47">
        <f ca="1">IF(OR(H21="no solution",H22="no solution"),"no solution",MIN(F20:G20,INDIRECT("'" &amp; H4 &amp; "'!" &amp; $B20)))</f>
        <v>680</v>
      </c>
      <c r="I20" s="47" cm="1">
        <f t="array" aca="1" ref="I20" ca="1">INDIRECT("'"&amp;I$4&amp;"'!"&amp;$B20)</f>
        <v>1600</v>
      </c>
      <c r="J20" s="47" cm="1">
        <f t="array" aca="1" ref="J20" ca="1">INDIRECT("'"&amp;J$4&amp;"'!"&amp;$B20)</f>
        <v>910</v>
      </c>
      <c r="K20" s="47" cm="1">
        <f t="array" aca="1" ref="K20" ca="1">IF(OR(I20="no solution",J20="no solution"),"no solution",IF(K$27=$AF$7,IF(INDIRECT("'" &amp; K$4 &amp; "'!" &amp; $B$20)&lt;K$21,K$21,INDIRECT("'" &amp; K$4 &amp; "'!" &amp; $B$20)),MIN(I20:J20)))</f>
        <v>470</v>
      </c>
      <c r="L20" s="47" cm="1">
        <f t="array" aca="1" ref="L20" ca="1">INDIRECT("'"&amp;L$4&amp;"'!"&amp;$B20)</f>
        <v>1600</v>
      </c>
      <c r="M20" s="47" cm="1">
        <f t="array" aca="1" ref="M20" ca="1">INDIRECT("'"&amp;M$4&amp;"'!"&amp;$B20)</f>
        <v>1200</v>
      </c>
      <c r="N20" s="47">
        <f ca="1">IF(OR(N21="no solution",N22="no solution"),"no solution",MIN(L20:M20,INDIRECT("'"&amp;N$4&amp;"'!"&amp;$B20)))</f>
        <v>470</v>
      </c>
      <c r="O20" s="47" cm="1">
        <f t="array" aca="1" ref="O20" ca="1">INDIRECT("'"&amp;O$4&amp;"'!"&amp;$B20)</f>
        <v>1600</v>
      </c>
      <c r="P20" s="47" cm="1">
        <f t="array" aca="1" ref="P20" ca="1">INDIRECT("'"&amp;P$4&amp;"'!"&amp;$B20)</f>
        <v>910</v>
      </c>
      <c r="Q20" s="47" cm="1">
        <f t="array" aca="1" ref="Q20" ca="1">IF(OR(O20="no solution",P20="no solution"),"no solution",IF(Q$27=$AF$7,IF(INDIRECT("'" &amp; Q$4 &amp; "'!" &amp; $B$20)&lt;Q$21,Q$21,INDIRECT("'" &amp; Q$4 &amp; "'!" &amp; $B$20)),MIN(O20:P20)))</f>
        <v>330</v>
      </c>
      <c r="R20" s="47" cm="1">
        <f t="array" aca="1" ref="R20" ca="1">INDIRECT("'"&amp;R$4&amp;"'!"&amp;$B20)</f>
        <v>1200</v>
      </c>
      <c r="S20" s="47" cm="1">
        <f t="array" aca="1" ref="S20" ca="1">INDIRECT("'"&amp;S$4&amp;"'!"&amp;$B20)</f>
        <v>510</v>
      </c>
      <c r="T20" s="47" cm="1">
        <f t="array" aca="1" ref="T20" ca="1">INDIRECT("'"&amp;T$4&amp;"'!"&amp;$B20)</f>
        <v>270</v>
      </c>
      <c r="U20" s="47" cm="1">
        <f t="array" aca="1" ref="U20" ca="1">INDIRECT("'"&amp;U$4&amp;"'!"&amp;$B20)</f>
        <v>1800</v>
      </c>
      <c r="V20" s="47" cm="1">
        <f t="array" aca="1" ref="V20" ca="1">INDIRECT("'"&amp;V$4&amp;"'!"&amp;$B20)</f>
        <v>1000</v>
      </c>
      <c r="W20" s="47" cm="1">
        <f t="array" aca="1" ref="W20" ca="1">INDIRECT("'"&amp;W$4&amp;"'!"&amp;$B20)</f>
        <v>1200</v>
      </c>
      <c r="X20" s="47" cm="1">
        <f t="array" aca="1" ref="X20" ca="1">INDIRECT("'"&amp;X$4&amp;"'!"&amp;$B20)</f>
        <v>910</v>
      </c>
      <c r="Y20" s="47" t="e" cm="1">
        <f t="array" aca="1" ref="Y20" ca="1">INDIRECT("'"&amp;Y$4&amp;"'!"&amp;$B20)</f>
        <v>#REF!</v>
      </c>
      <c r="Z20" s="47" t="e" cm="1">
        <f t="array" aca="1" ref="Z20" ca="1">INDIRECT("'"&amp;Z$4&amp;"'!"&amp;$B20)</f>
        <v>#REF!</v>
      </c>
      <c r="AA20" s="47" t="e" cm="1">
        <f t="array" aca="1" ref="AA20" ca="1">INDIRECT("'"&amp;AA$4&amp;"'!"&amp;$B20)</f>
        <v>#REF!</v>
      </c>
    </row>
    <row r="21" spans="1:27" x14ac:dyDescent="0.35">
      <c r="A21" s="35" t="s">
        <v>122</v>
      </c>
      <c r="B21" s="35" t="s">
        <v>123</v>
      </c>
      <c r="C21" s="47" cm="1">
        <f t="array" aca="1" ref="C21" ca="1">INDIRECT("'"&amp;C$4&amp;"'!"&amp;$B21)</f>
        <v>430</v>
      </c>
      <c r="D21" s="47" cm="1">
        <f t="array" aca="1" ref="D21" ca="1">INDIRECT("'"&amp;D$4&amp;"'!"&amp;$B21)</f>
        <v>430</v>
      </c>
      <c r="E21" s="47" cm="1">
        <f t="array" aca="1" ref="E21" ca="1">INDIRECT("'"&amp;E$4&amp;"'!"&amp;$B21)</f>
        <v>240</v>
      </c>
      <c r="F21" s="47" cm="1">
        <f t="array" aca="1" ref="F21" ca="1">INDIRECT("'"&amp;F$4&amp;"'!"&amp;$B21)</f>
        <v>430</v>
      </c>
      <c r="G21" s="47" cm="1">
        <f t="array" aca="1" ref="G21" ca="1">INDIRECT("'"&amp;G$4&amp;"'!"&amp;$B21)</f>
        <v>430</v>
      </c>
      <c r="H21" s="47" cm="1">
        <f t="array" aca="1" ref="H21" ca="1">IF(OR(F21="no solution",G21="no solution",INDIRECT("'"&amp;H$4&amp;"'!"&amp;$B21)="no solution"),"no solution",MAX(F21:G21,INDIRECT("'"&amp;H$4&amp;"'!"&amp;$B21)))</f>
        <v>430</v>
      </c>
      <c r="I21" s="47" cm="1">
        <f t="array" aca="1" ref="I21" ca="1">INDIRECT("'"&amp;I$4&amp;"'!"&amp;$B21)</f>
        <v>430</v>
      </c>
      <c r="J21" s="47" cm="1">
        <f t="array" aca="1" ref="J21" ca="1">INDIRECT("'"&amp;J$4&amp;"'!"&amp;$B21)</f>
        <v>430</v>
      </c>
      <c r="K21" s="47">
        <f ca="1">IF(OR(I21="no solution",J21="no solution"),"no solution",MAX(I21:J21,INDIRECT("'" &amp; K$4 &amp; "'!" &amp; $B$21)))</f>
        <v>470</v>
      </c>
      <c r="L21" s="47" cm="1">
        <f t="array" aca="1" ref="L21" ca="1">INDIRECT("'"&amp;L$4&amp;"'!"&amp;$B21)</f>
        <v>220</v>
      </c>
      <c r="M21" s="47" cm="1">
        <f t="array" aca="1" ref="M21" ca="1">INDIRECT("'"&amp;M$4&amp;"'!"&amp;$B21)</f>
        <v>430</v>
      </c>
      <c r="N21" s="47" cm="1">
        <f t="array" aca="1" ref="N21" ca="1">IF(OR(L21="no solution",M21="no solution",INDIRECT("'"&amp;N$4&amp;"'!"&amp;$B21)="no solution"),"no solution",MAX(L21:M21,INDIRECT("'"&amp;N$4&amp;"'!"&amp;$B21)))</f>
        <v>430</v>
      </c>
      <c r="O21" s="47" cm="1">
        <f t="array" aca="1" ref="O21" ca="1">INDIRECT("'"&amp;O$4&amp;"'!"&amp;$B21)</f>
        <v>220</v>
      </c>
      <c r="P21" s="47" cm="1">
        <f t="array" aca="1" ref="P21" ca="1">INDIRECT("'"&amp;P$4&amp;"'!"&amp;$B21)</f>
        <v>220</v>
      </c>
      <c r="Q21" s="47">
        <f ca="1">IF(OR(O21="no solution",P21="no solution"),"no solution",MAX(O21:P21,INDIRECT("'" &amp; Q$4 &amp; "'!" &amp; $B$21)))</f>
        <v>220</v>
      </c>
      <c r="R21" s="47" cm="1">
        <f t="array" aca="1" ref="R21" ca="1">INDIRECT("'"&amp;R$4&amp;"'!"&amp;$B21)</f>
        <v>430</v>
      </c>
      <c r="S21" s="47" cm="1">
        <f t="array" aca="1" ref="S21" ca="1">INDIRECT("'"&amp;S$4&amp;"'!"&amp;$B21)</f>
        <v>240</v>
      </c>
      <c r="T21" s="47" cm="1">
        <f t="array" aca="1" ref="T21" ca="1">INDIRECT("'"&amp;T$4&amp;"'!"&amp;$B21)</f>
        <v>180</v>
      </c>
      <c r="U21" s="47" cm="1">
        <f t="array" aca="1" ref="U21" ca="1">INDIRECT("'"&amp;U$4&amp;"'!"&amp;$B21)</f>
        <v>510</v>
      </c>
      <c r="V21" s="47" cm="1">
        <f t="array" aca="1" ref="V21" ca="1">INDIRECT("'"&amp;V$4&amp;"'!"&amp;$B21)</f>
        <v>560</v>
      </c>
      <c r="W21" s="47" cm="1">
        <f t="array" aca="1" ref="W21" ca="1">INDIRECT("'"&amp;W$4&amp;"'!"&amp;$B21)</f>
        <v>910</v>
      </c>
      <c r="X21" s="47" cm="1">
        <f t="array" aca="1" ref="X21" ca="1">INDIRECT("'"&amp;X$4&amp;"'!"&amp;$B21)</f>
        <v>430</v>
      </c>
      <c r="Y21" s="47" t="e" cm="1">
        <f t="array" aca="1" ref="Y21" ca="1">INDIRECT("'"&amp;Y$4&amp;"'!"&amp;$B21)</f>
        <v>#REF!</v>
      </c>
      <c r="Z21" s="47" t="e" cm="1">
        <f t="array" aca="1" ref="Z21" ca="1">INDIRECT("'"&amp;Z$4&amp;"'!"&amp;$B21)</f>
        <v>#REF!</v>
      </c>
      <c r="AA21" s="47" t="e" cm="1">
        <f t="array" aca="1" ref="AA21" ca="1">INDIRECT("'"&amp;AA$4&amp;"'!"&amp;$B21)</f>
        <v>#REF!</v>
      </c>
    </row>
    <row r="22" spans="1:27" x14ac:dyDescent="0.35">
      <c r="A22" s="35" t="s">
        <v>124</v>
      </c>
      <c r="B22" s="35" t="s">
        <v>125</v>
      </c>
      <c r="C22" s="47" cm="1">
        <f t="array" aca="1" ref="C22" ca="1">INDIRECT("'"&amp;C$4&amp;"'!"&amp;$B22)</f>
        <v>6200</v>
      </c>
      <c r="D22" s="47" cm="1">
        <f t="array" aca="1" ref="D22" ca="1">INDIRECT("'"&amp;D$4&amp;"'!"&amp;$B22)</f>
        <v>1800</v>
      </c>
      <c r="E22" s="47" cm="1">
        <f t="array" aca="1" ref="E22" ca="1">INDIRECT("'"&amp;E$4&amp;"'!"&amp;$B22)</f>
        <v>750</v>
      </c>
      <c r="F22" s="47" cm="1">
        <f t="array" aca="1" ref="F22" ca="1">INDIRECT("'"&amp;F$4&amp;"'!"&amp;$B22)</f>
        <v>6200</v>
      </c>
      <c r="G22" s="47" cm="1">
        <f t="array" aca="1" ref="G22" ca="1">INDIRECT("'"&amp;G$4&amp;"'!"&amp;$B22)</f>
        <v>1800</v>
      </c>
      <c r="H22" s="47" cm="1">
        <f t="array" aca="1" ref="H22" ca="1">IF(OR(F22="no solution",G22="no solution",INDIRECT("'"&amp;H$4&amp;"'!"&amp;$B22)="no solution"),"no solution",MIN(F22:G22,INDIRECT("'"&amp;H$4&amp;"'!"&amp;$B22)))</f>
        <v>1000</v>
      </c>
      <c r="I22" s="47" cm="1">
        <f t="array" aca="1" ref="I22" ca="1">INDIRECT("'"&amp;I$4&amp;"'!"&amp;$B22)</f>
        <v>6200</v>
      </c>
      <c r="J22" s="47" cm="1">
        <f t="array" aca="1" ref="J22" ca="1">INDIRECT("'"&amp;J$4&amp;"'!"&amp;$B22)</f>
        <v>1800</v>
      </c>
      <c r="K22" s="47" cm="1">
        <f t="array" aca="1" ref="K22" ca="1">IF(OR(I22="no solution",J22="no solution"),"no solution",IF(K$27=$AF$7,INDIRECT("'" &amp; K$4 &amp; "'!" &amp; $B$22),MIN(I22:J22)))</f>
        <v>470</v>
      </c>
      <c r="L22" s="47" cm="1">
        <f t="array" aca="1" ref="L22" ca="1">INDIRECT("'"&amp;L$4&amp;"'!"&amp;$B22)</f>
        <v>12000</v>
      </c>
      <c r="M22" s="47" cm="1">
        <f t="array" aca="1" ref="M22" ca="1">INDIRECT("'"&amp;M$4&amp;"'!"&amp;$B22)</f>
        <v>3600</v>
      </c>
      <c r="N22" s="47" cm="1">
        <f t="array" aca="1" ref="N22" ca="1">IF(OR(L22="no solution",M22="no solution",INDIRECT("'"&amp;N$4&amp;"'!"&amp;$B22)="no solution"),"no solution",MIN(L22:M22,INDIRECT("'"&amp;N$4&amp;"'!"&amp;$B22)))</f>
        <v>1000</v>
      </c>
      <c r="O22" s="47" cm="1">
        <f t="array" aca="1" ref="O22" ca="1">INDIRECT("'"&amp;O$4&amp;"'!"&amp;$B22)</f>
        <v>12000</v>
      </c>
      <c r="P22" s="47" cm="1">
        <f t="array" aca="1" ref="P22" ca="1">INDIRECT("'"&amp;P$4&amp;"'!"&amp;$B22)</f>
        <v>3600</v>
      </c>
      <c r="Q22" s="47" cm="1">
        <f t="array" aca="1" ref="Q22" ca="1">IF(OR(O22="no solution",P22="no solution"),"no solution",IF(Q$27=$AF$7,INDIRECT("'" &amp; Q$4 &amp; "'!" &amp; $B$22),MIN(O22:P22)))</f>
        <v>470</v>
      </c>
      <c r="R22" s="47" cm="1">
        <f t="array" aca="1" ref="R22" ca="1">INDIRECT("'"&amp;R$4&amp;"'!"&amp;$B22)</f>
        <v>3300</v>
      </c>
      <c r="S22" s="47" cm="1">
        <f t="array" aca="1" ref="S22" ca="1">INDIRECT("'"&amp;S$4&amp;"'!"&amp;$B22)</f>
        <v>1000</v>
      </c>
      <c r="T22" s="47" cm="1">
        <f t="array" aca="1" ref="T22" ca="1">INDIRECT("'"&amp;T$4&amp;"'!"&amp;$B22)</f>
        <v>390</v>
      </c>
      <c r="U22" s="47" cm="1">
        <f t="array" aca="1" ref="U22" ca="1">INDIRECT("'"&amp;U$4&amp;"'!"&amp;$B22)</f>
        <v>6200</v>
      </c>
      <c r="V22" s="47" cm="1">
        <f t="array" aca="1" ref="V22" ca="1">INDIRECT("'"&amp;V$4&amp;"'!"&amp;$B22)</f>
        <v>1800</v>
      </c>
      <c r="W22" s="47" cm="1">
        <f t="array" aca="1" ref="W22" ca="1">INDIRECT("'"&amp;W$4&amp;"'!"&amp;$B22)</f>
        <v>1600</v>
      </c>
      <c r="X22" s="47" cm="1">
        <f t="array" aca="1" ref="X22" ca="1">INDIRECT("'"&amp;X$4&amp;"'!"&amp;$B22)</f>
        <v>1800</v>
      </c>
      <c r="Y22" s="47" t="e" cm="1">
        <f t="array" aca="1" ref="Y22" ca="1">INDIRECT("'"&amp;Y$4&amp;"'!"&amp;$B22)</f>
        <v>#REF!</v>
      </c>
      <c r="Z22" s="47" t="e" cm="1">
        <f t="array" aca="1" ref="Z22" ca="1">INDIRECT("'"&amp;Z$4&amp;"'!"&amp;$B22)</f>
        <v>#REF!</v>
      </c>
      <c r="AA22" s="47" t="e" cm="1">
        <f t="array" aca="1" ref="AA22" ca="1">INDIRECT("'"&amp;AA$4&amp;"'!"&amp;$B22)</f>
        <v>#REF!</v>
      </c>
    </row>
    <row r="23" spans="1:27" x14ac:dyDescent="0.35">
      <c r="A23" s="35" t="s">
        <v>126</v>
      </c>
      <c r="B23" s="35" t="s">
        <v>127</v>
      </c>
      <c r="C23" s="67" cm="1">
        <f t="array" aca="1" ref="C23" ca="1">INDIRECT("'"&amp;C$4&amp;"'!"&amp;$B23)</f>
        <v>0.05</v>
      </c>
      <c r="D23" s="67">
        <v>0.05</v>
      </c>
      <c r="E23" s="67" cm="1">
        <f t="array" aca="1" ref="E23" ca="1">INDIRECT("'"&amp;E$4&amp;"'!"&amp;$B23)</f>
        <v>0.05</v>
      </c>
      <c r="F23" s="67" cm="1">
        <f t="array" aca="1" ref="F23" ca="1">INDIRECT("'"&amp;F$4&amp;"'!"&amp;$B23)</f>
        <v>0.05</v>
      </c>
      <c r="G23" s="67" cm="1">
        <f t="array" aca="1" ref="G23" ca="1">INDIRECT("'"&amp;G$4&amp;"'!"&amp;$B23)</f>
        <v>0.05</v>
      </c>
      <c r="H23" s="67">
        <f ca="1">MIN(F23:G23,INDIRECT("'"&amp;H$4&amp;"'!"&amp;$B23))</f>
        <v>0.05</v>
      </c>
      <c r="I23" s="67" cm="1">
        <f t="array" aca="1" ref="I23" ca="1">INDIRECT("'"&amp;I$4&amp;"'!"&amp;$B23)</f>
        <v>0.05</v>
      </c>
      <c r="J23" s="67" cm="1">
        <f t="array" aca="1" ref="J23" ca="1">INDIRECT("'"&amp;J$4&amp;"'!"&amp;$B23)</f>
        <v>0.05</v>
      </c>
      <c r="K23" s="67">
        <f ca="1">MIN(I23:J23)</f>
        <v>0.05</v>
      </c>
      <c r="L23" s="67" cm="1">
        <f t="array" aca="1" ref="L23" ca="1">INDIRECT("'"&amp;L$4&amp;"'!"&amp;$B23)</f>
        <v>0.05</v>
      </c>
      <c r="M23" s="67" cm="1">
        <f t="array" aca="1" ref="M23" ca="1">INDIRECT("'"&amp;M$4&amp;"'!"&amp;$B23)</f>
        <v>0.05</v>
      </c>
      <c r="N23" s="67">
        <f ca="1">MIN(L23:M23,INDIRECT("'"&amp;N$4&amp;"'!"&amp;$B23))</f>
        <v>0.05</v>
      </c>
      <c r="O23" s="67" cm="1">
        <f t="array" aca="1" ref="O23" ca="1">INDIRECT("'"&amp;O$4&amp;"'!"&amp;$B23)</f>
        <v>0.05</v>
      </c>
      <c r="P23" s="67" cm="1">
        <f t="array" aca="1" ref="P23" ca="1">INDIRECT("'"&amp;P$4&amp;"'!"&amp;$B23)</f>
        <v>0.05</v>
      </c>
      <c r="Q23" s="67">
        <f ca="1">MIN(O23:P23)</f>
        <v>0.05</v>
      </c>
      <c r="R23" s="67" cm="1">
        <f t="array" aca="1" ref="R23" ca="1">INDIRECT("'"&amp;R$4&amp;"'!"&amp;$B23)</f>
        <v>0.05</v>
      </c>
      <c r="S23" s="67" cm="1">
        <f t="array" aca="1" ref="S23" ca="1">INDIRECT("'"&amp;S$4&amp;"'!"&amp;$B23)</f>
        <v>0.05</v>
      </c>
      <c r="T23" s="67" cm="1">
        <f t="array" aca="1" ref="T23" ca="1">INDIRECT("'"&amp;T$4&amp;"'!"&amp;$B23)</f>
        <v>0.05</v>
      </c>
      <c r="U23" s="67" cm="1">
        <f t="array" aca="1" ref="U23" ca="1">INDIRECT("'"&amp;U$4&amp;"'!"&amp;$B23)</f>
        <v>0.05</v>
      </c>
      <c r="V23" s="67" cm="1">
        <f t="array" aca="1" ref="V23" ca="1">INDIRECT("'"&amp;V$4&amp;"'!"&amp;$B23)</f>
        <v>0.05</v>
      </c>
      <c r="W23" s="67" cm="1">
        <f t="array" aca="1" ref="W23" ca="1">INDIRECT("'"&amp;W$4&amp;"'!"&amp;$B23)</f>
        <v>0.05</v>
      </c>
      <c r="X23" s="67" cm="1">
        <f t="array" aca="1" ref="X23" ca="1">INDIRECT("'"&amp;X$4&amp;"'!"&amp;$B23)</f>
        <v>0.05</v>
      </c>
      <c r="Y23" s="67" t="e" cm="1">
        <f t="array" aca="1" ref="Y23" ca="1">INDIRECT("'"&amp;Y$4&amp;"'!"&amp;$B23)</f>
        <v>#REF!</v>
      </c>
      <c r="Z23" s="67" t="e" cm="1">
        <f t="array" aca="1" ref="Z23" ca="1">INDIRECT("'"&amp;Z$4&amp;"'!"&amp;$B23)</f>
        <v>#REF!</v>
      </c>
      <c r="AA23" s="67" t="e" cm="1">
        <f t="array" aca="1" ref="AA23" ca="1">INDIRECT("'"&amp;AA$4&amp;"'!"&amp;$B23)</f>
        <v>#REF!</v>
      </c>
    </row>
    <row r="24" spans="1:27" x14ac:dyDescent="0.35">
      <c r="A24" s="33" t="s">
        <v>128</v>
      </c>
      <c r="B24" s="35"/>
      <c r="C24" s="68">
        <v>2200</v>
      </c>
      <c r="D24" s="68">
        <v>820</v>
      </c>
      <c r="E24" s="68">
        <v>300</v>
      </c>
      <c r="F24" s="69">
        <f>H24</f>
        <v>910</v>
      </c>
      <c r="G24" s="69">
        <f>H24</f>
        <v>910</v>
      </c>
      <c r="H24" s="68">
        <v>910</v>
      </c>
      <c r="I24" s="69">
        <f>K24</f>
        <v>470</v>
      </c>
      <c r="J24" s="69">
        <f>K24</f>
        <v>470</v>
      </c>
      <c r="K24" s="68">
        <v>470</v>
      </c>
      <c r="L24" s="69">
        <f>N24</f>
        <v>750</v>
      </c>
      <c r="M24" s="69">
        <f>N24</f>
        <v>750</v>
      </c>
      <c r="N24" s="68">
        <v>750</v>
      </c>
      <c r="O24" s="69">
        <f>Q24</f>
        <v>390</v>
      </c>
      <c r="P24" s="69">
        <f>Q24</f>
        <v>390</v>
      </c>
      <c r="Q24" s="68">
        <v>390</v>
      </c>
      <c r="R24" s="68">
        <v>1500</v>
      </c>
      <c r="S24" s="68">
        <v>560</v>
      </c>
      <c r="T24" s="68">
        <v>270</v>
      </c>
      <c r="U24" s="68">
        <v>2700</v>
      </c>
      <c r="V24" s="68">
        <v>1200</v>
      </c>
      <c r="W24" s="68">
        <v>1000</v>
      </c>
      <c r="X24" s="68">
        <v>750</v>
      </c>
      <c r="Y24" s="68">
        <v>2200</v>
      </c>
      <c r="Z24" s="68">
        <v>2200</v>
      </c>
      <c r="AA24" s="68">
        <v>2200</v>
      </c>
    </row>
    <row r="25" spans="1:27" x14ac:dyDescent="0.35">
      <c r="A25" s="33" t="s">
        <v>126</v>
      </c>
      <c r="B25" s="35"/>
      <c r="C25" s="100">
        <v>0.05</v>
      </c>
      <c r="D25" s="100">
        <v>0.05</v>
      </c>
      <c r="E25" s="100">
        <v>0.05</v>
      </c>
      <c r="F25" s="99">
        <f t="shared" ref="F25:F26" si="9">H25</f>
        <v>0.05</v>
      </c>
      <c r="G25" s="99">
        <f t="shared" ref="G25:G26" si="10">H25</f>
        <v>0.05</v>
      </c>
      <c r="H25" s="100">
        <v>0.05</v>
      </c>
      <c r="I25" s="99">
        <f t="shared" ref="I25:I26" si="11">K25</f>
        <v>0.05</v>
      </c>
      <c r="J25" s="99">
        <f t="shared" ref="J25:J26" si="12">K25</f>
        <v>0.05</v>
      </c>
      <c r="K25" s="100">
        <v>0.05</v>
      </c>
      <c r="L25" s="99">
        <f t="shared" ref="L25:L26" si="13">N25</f>
        <v>0.05</v>
      </c>
      <c r="M25" s="99">
        <f t="shared" ref="M25:M26" si="14">N25</f>
        <v>0.05</v>
      </c>
      <c r="N25" s="100">
        <v>0.05</v>
      </c>
      <c r="O25" s="99">
        <f t="shared" ref="O25:O26" si="15">Q25</f>
        <v>0.05</v>
      </c>
      <c r="P25" s="99">
        <f t="shared" ref="P25:P26" si="16">Q25</f>
        <v>0.05</v>
      </c>
      <c r="Q25" s="100">
        <v>0.05</v>
      </c>
      <c r="R25" s="100">
        <v>0.05</v>
      </c>
      <c r="S25" s="100">
        <v>0.05</v>
      </c>
      <c r="T25" s="100">
        <f t="shared" ref="T25:X25" si="17">$E$25</f>
        <v>0.05</v>
      </c>
      <c r="U25" s="100">
        <v>0.05</v>
      </c>
      <c r="V25" s="100">
        <v>0.05</v>
      </c>
      <c r="W25" s="100">
        <v>0.05</v>
      </c>
      <c r="X25" s="100">
        <f t="shared" si="17"/>
        <v>0.05</v>
      </c>
      <c r="Y25" s="100">
        <v>0.1</v>
      </c>
      <c r="Z25" s="100">
        <v>0.1</v>
      </c>
      <c r="AA25" s="100">
        <v>0.1</v>
      </c>
    </row>
    <row r="26" spans="1:27" x14ac:dyDescent="0.35">
      <c r="A26" s="33" t="s">
        <v>129</v>
      </c>
      <c r="B26" s="33"/>
      <c r="C26" s="55">
        <v>100</v>
      </c>
      <c r="D26" s="55">
        <v>100</v>
      </c>
      <c r="E26" s="55">
        <v>50</v>
      </c>
      <c r="F26" s="69">
        <f t="shared" si="9"/>
        <v>100</v>
      </c>
      <c r="G26" s="69">
        <f t="shared" si="10"/>
        <v>100</v>
      </c>
      <c r="H26" s="55">
        <v>100</v>
      </c>
      <c r="I26" s="69">
        <f t="shared" si="11"/>
        <v>100</v>
      </c>
      <c r="J26" s="69">
        <f t="shared" si="12"/>
        <v>100</v>
      </c>
      <c r="K26" s="55">
        <v>100</v>
      </c>
      <c r="L26" s="69">
        <f t="shared" si="13"/>
        <v>50</v>
      </c>
      <c r="M26" s="69">
        <f t="shared" si="14"/>
        <v>50</v>
      </c>
      <c r="N26" s="55">
        <v>50</v>
      </c>
      <c r="O26" s="69">
        <f t="shared" si="15"/>
        <v>50</v>
      </c>
      <c r="P26" s="69">
        <f t="shared" si="16"/>
        <v>50</v>
      </c>
      <c r="Q26" s="55">
        <v>50</v>
      </c>
      <c r="R26" s="55">
        <v>100</v>
      </c>
      <c r="S26" s="55">
        <v>50</v>
      </c>
      <c r="T26" s="55">
        <v>50</v>
      </c>
      <c r="U26" s="55">
        <v>50</v>
      </c>
      <c r="V26" s="55">
        <v>50</v>
      </c>
      <c r="W26" s="55">
        <v>50</v>
      </c>
      <c r="X26" s="55">
        <v>100</v>
      </c>
      <c r="Y26" s="55">
        <v>100</v>
      </c>
      <c r="Z26" s="55">
        <v>100</v>
      </c>
      <c r="AA26" s="55">
        <v>100</v>
      </c>
    </row>
    <row r="27" spans="1:27" x14ac:dyDescent="0.35">
      <c r="A27" s="33" t="s">
        <v>130</v>
      </c>
      <c r="B27" s="33"/>
      <c r="C27" s="56" t="s">
        <v>41</v>
      </c>
      <c r="D27" s="56" t="s">
        <v>41</v>
      </c>
      <c r="E27" s="56" t="s">
        <v>41</v>
      </c>
      <c r="F27" s="56" t="s">
        <v>41</v>
      </c>
      <c r="G27" s="56" t="s">
        <v>41</v>
      </c>
      <c r="H27" s="56" t="s">
        <v>41</v>
      </c>
      <c r="I27" s="56" t="s">
        <v>41</v>
      </c>
      <c r="J27" s="56" t="s">
        <v>41</v>
      </c>
      <c r="K27" s="52" t="s">
        <v>97</v>
      </c>
      <c r="L27" s="56" t="s">
        <v>41</v>
      </c>
      <c r="M27" s="56" t="s">
        <v>41</v>
      </c>
      <c r="N27" s="56" t="s">
        <v>41</v>
      </c>
      <c r="O27" s="56" t="s">
        <v>41</v>
      </c>
      <c r="P27" s="56" t="s">
        <v>41</v>
      </c>
      <c r="Q27" s="52" t="s">
        <v>97</v>
      </c>
      <c r="R27" s="56" t="s">
        <v>41</v>
      </c>
      <c r="S27" s="56" t="s">
        <v>41</v>
      </c>
      <c r="T27" s="56" t="s">
        <v>41</v>
      </c>
      <c r="U27" s="56" t="s">
        <v>41</v>
      </c>
      <c r="V27" s="56" t="s">
        <v>41</v>
      </c>
      <c r="W27" s="56" t="s">
        <v>41</v>
      </c>
      <c r="X27" s="56" t="s">
        <v>41</v>
      </c>
      <c r="Y27" s="56" t="s">
        <v>41</v>
      </c>
      <c r="Z27" s="56" t="s">
        <v>41</v>
      </c>
      <c r="AA27" s="56" t="s">
        <v>41</v>
      </c>
    </row>
    <row r="28" spans="1:27" x14ac:dyDescent="0.35">
      <c r="A28" s="33"/>
      <c r="B28" s="33"/>
      <c r="C28" s="44"/>
      <c r="D28" s="44"/>
      <c r="E28" s="44"/>
      <c r="F28" s="44"/>
      <c r="G28" s="44"/>
      <c r="H28" s="45"/>
      <c r="I28" s="44"/>
      <c r="J28" s="44"/>
      <c r="K28" s="45"/>
      <c r="L28" s="44"/>
      <c r="M28" s="44"/>
      <c r="N28" s="45"/>
      <c r="O28" s="44"/>
      <c r="P28" s="44"/>
      <c r="Q28" s="45"/>
      <c r="R28" s="33"/>
      <c r="S28" s="33"/>
      <c r="T28" s="33"/>
      <c r="U28" s="33"/>
      <c r="V28" s="33"/>
      <c r="W28" s="33"/>
      <c r="X28" s="33"/>
      <c r="Y28" s="33"/>
      <c r="Z28" s="33"/>
      <c r="AA28" s="33"/>
    </row>
    <row r="29" spans="1:27" ht="21" x14ac:dyDescent="0.5">
      <c r="A29" s="74" t="s">
        <v>131</v>
      </c>
      <c r="B29" s="33"/>
      <c r="C29" s="34" t="str">
        <f t="shared" ref="C29:Q29" ca="1" si="18">IF(IFERROR(FIND("CLK",C4),0),IF(OR(C65&gt;C44,C66&gt;C45,C67&lt;C46,AND(C68&lt;C47,C68&lt;C59),C69&gt;(C40-C62/C16),C70&lt;(C41+C62/C16)),"FAIL","PASS"),IF(C38="N/A", IF(OR(C73&gt;C55,C74&gt;C56,C75&lt;C57,AND(C76&lt;C58,C76&lt;C59),C77&gt;(C51-C62),C78&lt;(C52+C62)),"FAIL","PASS"),IF(C51="N/A",IF(OR(C65&gt;C44,C66&gt;C45,C67&lt;C46,AND(C68&lt;C47,C68&lt;C59),C69&gt;(C40-C62/C16),C70&lt;(C41+C62/C16)),"FAIL","PASS"),IF(OR(C65&gt;C44,C66&gt;C45,C67&lt;C46,AND(C68&lt;C47,C68&lt;C59),C69&gt;(C40-C62/C16),C70&lt;(C41+C62/C16),C73&gt;C55,C74&gt;C56,C75&lt;C57,AND(C76&lt;C58,C76&lt;C59),C77&gt;(C51-C62),C78&lt;(C52+C62)),"FAIL","PASS"))))</f>
        <v>PASS</v>
      </c>
      <c r="D29" s="34" t="str">
        <f t="shared" ca="1" si="18"/>
        <v>PASS</v>
      </c>
      <c r="E29" s="34" t="str">
        <f t="shared" ca="1" si="18"/>
        <v>PASS</v>
      </c>
      <c r="F29" s="34" t="str">
        <f t="shared" ca="1" si="18"/>
        <v>PASS</v>
      </c>
      <c r="G29" s="34" t="str">
        <f t="shared" ca="1" si="18"/>
        <v>PASS</v>
      </c>
      <c r="H29" s="34" t="str">
        <f t="shared" ca="1" si="18"/>
        <v>PASS</v>
      </c>
      <c r="I29" s="34" t="str">
        <f t="shared" ca="1" si="18"/>
        <v>PASS</v>
      </c>
      <c r="J29" s="34" t="str">
        <f t="shared" ca="1" si="18"/>
        <v>PASS</v>
      </c>
      <c r="K29" s="34" t="str">
        <f t="shared" ca="1" si="18"/>
        <v>PASS</v>
      </c>
      <c r="L29" s="34" t="str">
        <f t="shared" ca="1" si="18"/>
        <v>PASS</v>
      </c>
      <c r="M29" s="34" t="str">
        <f t="shared" ca="1" si="18"/>
        <v>PASS</v>
      </c>
      <c r="N29" s="34" t="str">
        <f t="shared" ca="1" si="18"/>
        <v>PASS</v>
      </c>
      <c r="O29" s="34" t="str">
        <f t="shared" ca="1" si="18"/>
        <v>PASS</v>
      </c>
      <c r="P29" s="34" t="str">
        <f t="shared" ca="1" si="18"/>
        <v>PASS</v>
      </c>
      <c r="Q29" s="34" t="str">
        <f t="shared" ca="1" si="18"/>
        <v>PASS</v>
      </c>
      <c r="R29" s="34" t="str">
        <f t="shared" ref="R29:X29" ca="1" si="19">IF(IFERROR(FIND("CLK",R4),0),IF(OR(R65&gt;R44,R66&gt;R45,R67&lt;R46,AND(R68&lt;R47,R68&lt;R59),R69&gt;(R40-R62/R16),R70&lt;(R41+R62/R16)),"FAIL","PASS"),IF(R38="N/A", IF(OR(R73&gt;R55,R74&gt;R56,R75&lt;R57,AND(R76&lt;R58,R76&lt;R59),R77&gt;(R51-R62),R78&lt;(R52+R62)),"FAIL","PASS"),IF(R51="N/A",IF(OR(R65&gt;R44,R66&gt;R45,R67&lt;R46,AND(R68&lt;R47,R68&lt;R59),R69&gt;(R40-R62/R16),R70&lt;(R41+R62/R16)),"FAIL","PASS"),IF(OR(R65&gt;R44,R66&gt;R45,R67&lt;R46,AND(R68&lt;R47,R68&lt;R59),R69&gt;(R40-R62/R16),R70&lt;(R41+R62/R16),R73&gt;R55,R74&gt;R56,R75&lt;R57,AND(R76&lt;R58,R76&lt;R59),R77&gt;(R51-R62),R78&lt;(R52+R62)),"FAIL","PASS"))))</f>
        <v>PASS</v>
      </c>
      <c r="S29" s="34" t="str">
        <f t="shared" ca="1" si="19"/>
        <v>PASS</v>
      </c>
      <c r="T29" s="34" t="str">
        <f t="shared" ca="1" si="19"/>
        <v>PASS</v>
      </c>
      <c r="U29" s="34" t="str">
        <f t="shared" ca="1" si="19"/>
        <v>PASS</v>
      </c>
      <c r="V29" s="34" t="str">
        <f t="shared" ca="1" si="19"/>
        <v>PASS</v>
      </c>
      <c r="W29" s="34" t="str">
        <f t="shared" ca="1" si="19"/>
        <v>PASS</v>
      </c>
      <c r="X29" s="34" t="str">
        <f t="shared" ca="1" si="19"/>
        <v>PASS</v>
      </c>
      <c r="Y29" s="34" t="e">
        <f t="shared" ref="Y29:AA29" ca="1" si="20">IF(IFERROR(FIND("CLK",Y4),0),IF(OR(Y65&gt;Y44,Y66&gt;Y45,Y67&lt;Y46,AND(Y68&lt;Y47,Y68&lt;Y59),Y69&gt;(Y40-Y62),Y70&lt;(Y41+Y62)),"FAIL","PASS"),IF(Y38="N/A", IF(OR(Y73&gt;Y55,Y74&gt;Y56,Y75&lt;Y57,AND(Y76&lt;Y58,Y76&lt;Y59),Y77&gt;(Y51-Y62),Y78&lt;(Y52+Y62)),"FAIL","PASS"),IF(Y51="N/A",IF(OR(Y65&gt;Y44,Y66&gt;Y45,Y67&lt;Y46,AND(Y68&lt;Y47,Y68&lt;Y59),Y69&gt;(Y40-Y62),Y70&lt;(Y41+Y62)),"FAIL","PASS"),IF(OR(Y65&gt;Y44,Y66&gt;Y45,Y67&lt;Y46,AND(Y68&lt;Y47,Y68&lt;Y59),Y69&gt;(Y40-Y62),Y70&lt;(Y41+Y62),Y73&gt;Y55,Y74&gt;Y56,Y75&lt;Y57,AND(Y76&lt;Y58,Y76&lt;Y59),Y77&gt;(Y51-Y62),Y78&lt;(Y52+Y62)),"FAIL","PASS"))))</f>
        <v>#REF!</v>
      </c>
      <c r="Z29" s="34" t="e">
        <f t="shared" ca="1" si="20"/>
        <v>#REF!</v>
      </c>
      <c r="AA29" s="34" t="e">
        <f t="shared" ca="1" si="20"/>
        <v>#REF!</v>
      </c>
    </row>
    <row r="30" spans="1:27" x14ac:dyDescent="0.35">
      <c r="A30" s="33"/>
      <c r="B30" s="33"/>
      <c r="C30" s="34"/>
      <c r="D30" s="34"/>
      <c r="E30" s="34"/>
      <c r="F30" s="34"/>
      <c r="G30" s="34"/>
      <c r="H30" s="34"/>
      <c r="I30" s="34"/>
      <c r="J30" s="34"/>
      <c r="K30" s="34"/>
      <c r="L30" s="34"/>
      <c r="M30" s="34"/>
      <c r="N30" s="34"/>
      <c r="O30" s="34"/>
      <c r="P30" s="34"/>
      <c r="Q30" s="34"/>
      <c r="R30" s="33"/>
      <c r="S30" s="33"/>
      <c r="T30" s="33"/>
      <c r="U30" s="33"/>
      <c r="V30" s="33"/>
      <c r="W30" s="33"/>
      <c r="X30" s="33"/>
      <c r="Y30" s="33"/>
      <c r="Z30" s="33"/>
      <c r="AA30" s="33"/>
    </row>
    <row r="31" spans="1:27" ht="21" x14ac:dyDescent="0.5">
      <c r="A31" s="74" t="s">
        <v>132</v>
      </c>
      <c r="B31" s="33"/>
      <c r="C31" s="34"/>
      <c r="D31" s="34"/>
      <c r="E31" s="34"/>
      <c r="F31" s="34"/>
      <c r="G31" s="34"/>
      <c r="H31" s="34"/>
      <c r="I31" s="34"/>
      <c r="J31" s="34"/>
      <c r="K31" s="34"/>
      <c r="L31" s="34"/>
      <c r="M31" s="34"/>
      <c r="N31" s="34"/>
      <c r="O31" s="34"/>
      <c r="P31" s="34"/>
      <c r="Q31" s="34"/>
      <c r="R31" s="33"/>
      <c r="S31" s="33"/>
      <c r="T31" s="33"/>
      <c r="U31" s="33"/>
      <c r="V31" s="33"/>
      <c r="W31" s="33"/>
      <c r="X31" s="33"/>
      <c r="Y31" s="33"/>
      <c r="Z31" s="33"/>
      <c r="AA31" s="33"/>
    </row>
    <row r="32" spans="1:27" ht="97.5" customHeight="1" x14ac:dyDescent="0.35">
      <c r="A32" s="75" t="s">
        <v>133</v>
      </c>
      <c r="B32" s="35" t="s">
        <v>134</v>
      </c>
      <c r="C32" s="135" t="str" cm="1">
        <f t="array" aca="1" ref="C32" ca="1">INDIRECT("'"&amp;C$4&amp;"'!"&amp;$B32)</f>
        <v/>
      </c>
      <c r="D32" s="135" t="str" cm="1">
        <f t="array" aca="1" ref="D32" ca="1">INDIRECT("'"&amp;D$4&amp;"'!"&amp;$B32)</f>
        <v/>
      </c>
      <c r="E32" s="135" t="str" cm="1">
        <f t="array" aca="1" ref="E32" ca="1">INDIRECT("'"&amp;E$4&amp;"'!"&amp;$B32)</f>
        <v/>
      </c>
      <c r="F32" s="135" t="str" cm="1">
        <f t="array" aca="1" ref="F32" ca="1">INDIRECT("'"&amp;F$4&amp;"'!"&amp;$B32)</f>
        <v/>
      </c>
      <c r="G32" s="135" t="str" cm="1">
        <f t="array" aca="1" ref="G32" ca="1">INDIRECT("'"&amp;G$4&amp;"'!"&amp;$B32)</f>
        <v/>
      </c>
      <c r="H32" s="135" t="str" cm="1">
        <f t="array" aca="1" ref="H32" ca="1">INDIRECT("'"&amp;H$4&amp;"'!"&amp;$B32)</f>
        <v/>
      </c>
      <c r="I32" s="135" t="str" cm="1">
        <f t="array" aca="1" ref="I32" ca="1">INDIRECT("'"&amp;I$4&amp;"'!"&amp;$B32)</f>
        <v/>
      </c>
      <c r="J32" s="135" t="str" cm="1">
        <f t="array" aca="1" ref="J32" ca="1">INDIRECT("'"&amp;J$4&amp;"'!"&amp;$B32)</f>
        <v/>
      </c>
      <c r="K32" s="135" t="str" cm="1">
        <f t="array" aca="1" ref="K32" ca="1">IF(AND(ISNUMBER(SEARCH("MHZ - CLK",K4)),K27="N/A"),"High Speed CLK cannot have current assist setting as N/A",INDIRECT("'"&amp;K$4&amp;"'!"&amp;$B32))</f>
        <v/>
      </c>
      <c r="L32" s="135" t="str" cm="1">
        <f t="array" aca="1" ref="L32" ca="1">INDIRECT("'"&amp;L$4&amp;"'!"&amp;$B32)</f>
        <v/>
      </c>
      <c r="M32" s="135" t="str" cm="1">
        <f t="array" aca="1" ref="M32" ca="1">INDIRECT("'"&amp;M$4&amp;"'!"&amp;$B32)</f>
        <v/>
      </c>
      <c r="N32" s="135" t="str" cm="1">
        <f t="array" aca="1" ref="N32" ca="1">INDIRECT("'"&amp;N$4&amp;"'!"&amp;$B32)</f>
        <v/>
      </c>
      <c r="O32" s="135" t="str" cm="1">
        <f t="array" aca="1" ref="O32" ca="1">INDIRECT("'"&amp;O$4&amp;"'!"&amp;$B32)</f>
        <v/>
      </c>
      <c r="P32" s="135" t="str" cm="1">
        <f t="array" aca="1" ref="P32" ca="1">INDIRECT("'"&amp;P$4&amp;"'!"&amp;$B32)</f>
        <v/>
      </c>
      <c r="Q32" s="135" t="str" cm="1">
        <f t="array" aca="1" ref="Q32" ca="1">IF(AND(ISNUMBER(SEARCH("MHZ - CLK",Q4)),Q27="N/A"),"High Speed CLK cannot have current assist setting as N/A",INDIRECT("'"&amp;Q$4&amp;"'!"&amp;$B32))</f>
        <v/>
      </c>
      <c r="R32" s="135" t="str" cm="1">
        <f t="array" aca="1" ref="R32" ca="1">INDIRECT("'"&amp;R$4&amp;"'!"&amp;$B32)</f>
        <v/>
      </c>
      <c r="S32" s="135" t="str" cm="1">
        <f t="array" aca="1" ref="S32" ca="1">INDIRECT("'"&amp;S$4&amp;"'!"&amp;$B32)</f>
        <v/>
      </c>
      <c r="T32" s="135" t="str" cm="1">
        <f t="array" aca="1" ref="T32" ca="1">INDIRECT("'"&amp;T$4&amp;"'!"&amp;$B32)</f>
        <v/>
      </c>
      <c r="U32" s="135" t="str" cm="1">
        <f t="array" aca="1" ref="U32" ca="1">INDIRECT("'"&amp;U$4&amp;"'!"&amp;$B32)</f>
        <v/>
      </c>
      <c r="V32" s="135" t="str" cm="1">
        <f t="array" aca="1" ref="V32" ca="1">INDIRECT("'"&amp;V$4&amp;"'!"&amp;$B32)</f>
        <v/>
      </c>
      <c r="W32" s="135" t="str" cm="1">
        <f t="array" aca="1" ref="W32" ca="1">INDIRECT("'"&amp;W$4&amp;"'!"&amp;$B32)</f>
        <v/>
      </c>
      <c r="X32" s="135" t="str" cm="1">
        <f t="array" aca="1" ref="X32" ca="1">INDIRECT("'"&amp;X$4&amp;"'!"&amp;$B32)</f>
        <v/>
      </c>
      <c r="Y32" s="87" t="str" cm="1">
        <f t="array" aca="1" ref="Y32" ca="1">IF(Y38="N/A","",INDIRECT("'"&amp;Y$4&amp;"'!"&amp;$B32))</f>
        <v/>
      </c>
      <c r="Z32" s="87" t="e" cm="1">
        <f t="array" aca="1" ref="Z32" ca="1">IF(Z38="N/A","",INDIRECT("'"&amp;Z$4&amp;"'!"&amp;$B32))</f>
        <v>#REF!</v>
      </c>
      <c r="AA32" s="87" t="e" cm="1">
        <f t="array" aca="1" ref="AA32" ca="1">IF(AA38="N/A","",INDIRECT("'"&amp;AA$4&amp;"'!"&amp;$B32))</f>
        <v>#REF!</v>
      </c>
    </row>
    <row r="33" spans="1:36" ht="173.25" customHeight="1" x14ac:dyDescent="0.35">
      <c r="A33" s="75" t="s">
        <v>135</v>
      </c>
      <c r="B33" s="35" t="s">
        <v>136</v>
      </c>
      <c r="C33" s="135" t="str" cm="1">
        <f t="array" aca="1" ref="C33" ca="1">INDIRECT("'"&amp;C$4&amp;"'!"&amp;$B33)</f>
        <v/>
      </c>
      <c r="D33" s="135" t="str" cm="1">
        <f t="array" aca="1" ref="D33" ca="1">INDIRECT("'"&amp;D$4&amp;"'!"&amp;$B33)</f>
        <v/>
      </c>
      <c r="E33" s="135" t="str" cm="1">
        <f t="array" aca="1" ref="E33" ca="1">INDIRECT("'"&amp;E$4&amp;"'!"&amp;$B33)</f>
        <v/>
      </c>
      <c r="F33" s="135" t="str" cm="1">
        <f t="array" aca="1" ref="F33" ca="1">INDIRECT("'"&amp;F$4&amp;"'!"&amp;$B33)</f>
        <v/>
      </c>
      <c r="G33" s="135" t="str" cm="1">
        <f t="array" aca="1" ref="G33" ca="1">INDIRECT("'"&amp;G$4&amp;"'!"&amp;$B33)</f>
        <v/>
      </c>
      <c r="H33" s="135" t="str" cm="1">
        <f t="array" aca="1" ref="H33" ca="1">INDIRECT("'"&amp;H$4&amp;"'!"&amp;$B33)</f>
        <v/>
      </c>
      <c r="I33" s="135" t="str" cm="1">
        <f t="array" aca="1" ref="I33" ca="1">INDIRECT("'"&amp;I$4&amp;"'!"&amp;$B33)</f>
        <v/>
      </c>
      <c r="J33" s="135" t="str" cm="1">
        <f t="array" aca="1" ref="J33" ca="1">INDIRECT("'"&amp;J$4&amp;"'!"&amp;$B33)</f>
        <v/>
      </c>
      <c r="K33" s="135" t="str" cm="1">
        <f t="array" aca="1" ref="K33" ca="1">INDIRECT("'"&amp;K$4&amp;"'!"&amp;$B33)</f>
        <v/>
      </c>
      <c r="L33" s="135" t="str" cm="1">
        <f t="array" aca="1" ref="L33" ca="1">INDIRECT("'"&amp;L$4&amp;"'!"&amp;$B33)</f>
        <v/>
      </c>
      <c r="M33" s="135" t="str" cm="1">
        <f t="array" aca="1" ref="M33" ca="1">INDIRECT("'"&amp;M$4&amp;"'!"&amp;$B33)</f>
        <v/>
      </c>
      <c r="N33" s="135" t="str" cm="1">
        <f t="array" aca="1" ref="N33" ca="1">INDIRECT("'"&amp;N$4&amp;"'!"&amp;$B33)</f>
        <v/>
      </c>
      <c r="O33" s="135" t="str" cm="1">
        <f t="array" aca="1" ref="O33" ca="1">INDIRECT("'"&amp;O$4&amp;"'!"&amp;$B33)</f>
        <v/>
      </c>
      <c r="P33" s="135" t="str" cm="1">
        <f t="array" aca="1" ref="P33" ca="1">INDIRECT("'"&amp;P$4&amp;"'!"&amp;$B33)</f>
        <v/>
      </c>
      <c r="Q33" s="135" t="str" cm="1">
        <f t="array" aca="1" ref="Q33" ca="1">INDIRECT("'"&amp;Q$4&amp;"'!"&amp;$B33)</f>
        <v/>
      </c>
      <c r="R33" s="135" t="str" cm="1">
        <f t="array" aca="1" ref="R33" ca="1">INDIRECT("'"&amp;R$4&amp;"'!"&amp;$B33)</f>
        <v/>
      </c>
      <c r="S33" s="135" t="str" cm="1">
        <f t="array" aca="1" ref="S33" ca="1">INDIRECT("'"&amp;S$4&amp;"'!"&amp;$B33)</f>
        <v/>
      </c>
      <c r="T33" s="135" t="str" cm="1">
        <f t="array" aca="1" ref="T33" ca="1">INDIRECT("'"&amp;T$4&amp;"'!"&amp;$B33)</f>
        <v/>
      </c>
      <c r="U33" s="135" t="str" cm="1">
        <f t="array" aca="1" ref="U33" ca="1">INDIRECT("'"&amp;U$4&amp;"'!"&amp;$B33)</f>
        <v/>
      </c>
      <c r="V33" s="135" t="str" cm="1">
        <f t="array" aca="1" ref="V33" ca="1">INDIRECT("'"&amp;V$4&amp;"'!"&amp;$B33)</f>
        <v/>
      </c>
      <c r="W33" s="135" t="str" cm="1">
        <f t="array" aca="1" ref="W33" ca="1">INDIRECT("'"&amp;W$4&amp;"'!"&amp;$B33)</f>
        <v/>
      </c>
      <c r="X33" s="135" t="str" cm="1">
        <f t="array" aca="1" ref="X33" ca="1">INDIRECT("'"&amp;X$4&amp;"'!"&amp;$B33)</f>
        <v/>
      </c>
      <c r="Y33" s="87" t="str" cm="1">
        <f t="array" aca="1" ref="Y33" ca="1">IF(Y38="N/A","",INDIRECT("'"&amp;Y$4&amp;"'!"&amp;$B33))</f>
        <v/>
      </c>
      <c r="Z33" s="87" t="e" cm="1">
        <f t="array" aca="1" ref="Z33" ca="1">IF(Z38="N/A","",INDIRECT("'"&amp;Z$4&amp;"'!"&amp;$B33))</f>
        <v>#REF!</v>
      </c>
      <c r="AA33" s="87" t="e" cm="1">
        <f t="array" aca="1" ref="AA33" ca="1">IF(AA38="N/A","",INDIRECT("'"&amp;AA$4&amp;"'!"&amp;$B33))</f>
        <v>#REF!</v>
      </c>
    </row>
    <row r="34" spans="1:36" ht="110.25" customHeight="1" x14ac:dyDescent="0.35">
      <c r="A34" s="75" t="s">
        <v>137</v>
      </c>
      <c r="B34" s="35" t="s">
        <v>138</v>
      </c>
      <c r="C34" s="135" t="str" cm="1">
        <f t="array" aca="1" ref="C34" ca="1">INDIRECT("'"&amp;C$4&amp;"'!"&amp;$B34)</f>
        <v/>
      </c>
      <c r="D34" s="135" t="str" cm="1">
        <f t="array" aca="1" ref="D34" ca="1">INDIRECT("'"&amp;D$4&amp;"'!"&amp;$B34)</f>
        <v/>
      </c>
      <c r="E34" s="135" t="str" cm="1">
        <f t="array" aca="1" ref="E34" ca="1">INDIRECT("'"&amp;E$4&amp;"'!"&amp;$B34)</f>
        <v/>
      </c>
      <c r="F34" s="135" t="str" cm="1">
        <f t="array" aca="1" ref="F34" ca="1">INDIRECT("'"&amp;F$4&amp;"'!"&amp;$B34)</f>
        <v/>
      </c>
      <c r="G34" s="135" t="str" cm="1">
        <f t="array" aca="1" ref="G34" ca="1">INDIRECT("'"&amp;G$4&amp;"'!"&amp;$B34)</f>
        <v/>
      </c>
      <c r="H34" s="135" t="str" cm="1">
        <f t="array" aca="1" ref="H34" ca="1">INDIRECT("'"&amp;H$4&amp;"'!"&amp;$B34)</f>
        <v/>
      </c>
      <c r="I34" s="136"/>
      <c r="J34" s="136"/>
      <c r="K34" s="136"/>
      <c r="L34" s="135" t="str" cm="1">
        <f t="array" aca="1" ref="L34" ca="1">INDIRECT("'"&amp;L$4&amp;"'!"&amp;$B34)</f>
        <v/>
      </c>
      <c r="M34" s="135" t="str" cm="1">
        <f t="array" aca="1" ref="M34" ca="1">INDIRECT("'"&amp;M$4&amp;"'!"&amp;$B34)</f>
        <v/>
      </c>
      <c r="N34" s="135" t="str" cm="1">
        <f t="array" aca="1" ref="N34" ca="1">INDIRECT("'"&amp;N$4&amp;"'!"&amp;$B34)</f>
        <v/>
      </c>
      <c r="O34" s="136"/>
      <c r="P34" s="136"/>
      <c r="Q34" s="136"/>
      <c r="R34" s="135" t="str" cm="1">
        <f t="array" aca="1" ref="R34" ca="1">INDIRECT("'"&amp;R$4&amp;"'!"&amp;$B34)</f>
        <v/>
      </c>
      <c r="S34" s="135" t="str" cm="1">
        <f t="array" aca="1" ref="S34" ca="1">INDIRECT("'"&amp;S$4&amp;"'!"&amp;$B34)</f>
        <v/>
      </c>
      <c r="T34" s="135" t="str" cm="1">
        <f t="array" aca="1" ref="T34" ca="1">INDIRECT("'"&amp;T$4&amp;"'!"&amp;$B34)</f>
        <v/>
      </c>
      <c r="U34" s="135" t="str" cm="1">
        <f t="array" aca="1" ref="U34" ca="1">INDIRECT("'"&amp;U$4&amp;"'!"&amp;$B34)</f>
        <v/>
      </c>
      <c r="V34" s="135" t="str" cm="1">
        <f t="array" aca="1" ref="V34" ca="1">INDIRECT("'"&amp;V$4&amp;"'!"&amp;$B34)</f>
        <v/>
      </c>
      <c r="W34" s="135" t="str" cm="1">
        <f t="array" aca="1" ref="W34" ca="1">INDIRECT("'"&amp;W$4&amp;"'!"&amp;$B34)</f>
        <v/>
      </c>
      <c r="X34" s="135" t="str" cm="1">
        <f t="array" aca="1" ref="X34" ca="1">INDIRECT("'"&amp;X$4&amp;"'!"&amp;$B34)</f>
        <v/>
      </c>
      <c r="Y34" s="87" t="e" cm="1">
        <f t="array" aca="1" ref="Y34" ca="1">IF(Y51="N/A","",INDIRECT("'"&amp;Y$4&amp;"'!"&amp;$B34))</f>
        <v>#REF!</v>
      </c>
      <c r="Z34" s="87" t="e" cm="1">
        <f t="array" aca="1" ref="Z34" ca="1">IF(Z38="N/A","",INDIRECT("'"&amp;Z$4&amp;"'!"&amp;$B34))</f>
        <v>#REF!</v>
      </c>
      <c r="AA34" s="87" t="e" cm="1">
        <f t="array" aca="1" ref="AA34" ca="1">IF(AA38="N/A","",INDIRECT("'"&amp;AA$4&amp;"'!"&amp;$B34))</f>
        <v>#REF!</v>
      </c>
    </row>
    <row r="35" spans="1:36" ht="12.75" customHeight="1" x14ac:dyDescent="0.35">
      <c r="A35" s="35"/>
      <c r="B35" s="35"/>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J35">
        <v>9.4499999999999993</v>
      </c>
    </row>
    <row r="36" spans="1:36" x14ac:dyDescent="0.35">
      <c r="A36" s="33" t="s">
        <v>139</v>
      </c>
      <c r="B36" s="33"/>
      <c r="C36" s="44"/>
      <c r="D36" s="44"/>
      <c r="E36" s="44"/>
      <c r="F36" s="44"/>
      <c r="G36" s="44"/>
      <c r="H36" s="44"/>
      <c r="I36" s="44"/>
      <c r="J36" s="44"/>
      <c r="K36" s="44"/>
      <c r="L36" s="44"/>
      <c r="M36" s="44"/>
      <c r="N36" s="44"/>
      <c r="O36" s="44"/>
      <c r="P36" s="44"/>
      <c r="Q36" s="44"/>
      <c r="R36" s="33"/>
      <c r="S36" s="33"/>
      <c r="T36" s="33"/>
      <c r="U36" s="33"/>
      <c r="V36" s="33"/>
      <c r="W36" s="33"/>
      <c r="X36" s="33"/>
      <c r="Y36" s="33"/>
      <c r="Z36" s="33"/>
      <c r="AA36" s="33"/>
    </row>
    <row r="37" spans="1:36" hidden="1" x14ac:dyDescent="0.35">
      <c r="A37" s="35" t="s">
        <v>140</v>
      </c>
      <c r="B37" s="33"/>
      <c r="C37" s="33" t="s">
        <v>141</v>
      </c>
      <c r="D37" s="33" t="s">
        <v>141</v>
      </c>
      <c r="E37" s="33" t="s">
        <v>141</v>
      </c>
      <c r="F37" s="33" t="s">
        <v>141</v>
      </c>
      <c r="G37" s="33" t="s">
        <v>141</v>
      </c>
      <c r="H37" s="33" t="s">
        <v>141</v>
      </c>
      <c r="I37" s="33" t="s">
        <v>141</v>
      </c>
      <c r="J37" s="33" t="s">
        <v>141</v>
      </c>
      <c r="K37" s="33" t="s">
        <v>141</v>
      </c>
      <c r="L37" s="33" t="s">
        <v>141</v>
      </c>
      <c r="M37" s="33" t="s">
        <v>141</v>
      </c>
      <c r="N37" s="33" t="s">
        <v>141</v>
      </c>
      <c r="O37" s="33" t="s">
        <v>141</v>
      </c>
      <c r="P37" s="33" t="s">
        <v>141</v>
      </c>
      <c r="Q37" s="33" t="s">
        <v>141</v>
      </c>
      <c r="R37" s="33" t="s">
        <v>142</v>
      </c>
      <c r="S37" s="33" t="s">
        <v>142</v>
      </c>
      <c r="T37" s="33" t="s">
        <v>142</v>
      </c>
      <c r="U37" s="33" t="s">
        <v>142</v>
      </c>
      <c r="V37" s="33" t="s">
        <v>142</v>
      </c>
      <c r="W37" s="33" t="s">
        <v>142</v>
      </c>
      <c r="X37" s="33" t="s">
        <v>141</v>
      </c>
      <c r="Y37" s="33" t="s">
        <v>141</v>
      </c>
      <c r="Z37" s="33" t="s">
        <v>141</v>
      </c>
      <c r="AA37" s="33" t="s">
        <v>141</v>
      </c>
    </row>
    <row r="38" spans="1:36" x14ac:dyDescent="0.35">
      <c r="A38" s="35" t="s">
        <v>143</v>
      </c>
      <c r="B38" s="35"/>
      <c r="C38" s="46">
        <v>0.3</v>
      </c>
      <c r="D38" s="46">
        <v>0.3</v>
      </c>
      <c r="E38" s="46">
        <v>0.3</v>
      </c>
      <c r="F38" s="46">
        <v>0.3</v>
      </c>
      <c r="G38" s="46">
        <v>0.3</v>
      </c>
      <c r="H38" s="46">
        <v>0.3</v>
      </c>
      <c r="I38" s="46">
        <v>0.3</v>
      </c>
      <c r="J38" s="46">
        <v>0.3</v>
      </c>
      <c r="K38" s="46">
        <v>0.3</v>
      </c>
      <c r="L38" s="46">
        <v>0.3</v>
      </c>
      <c r="M38" s="46">
        <v>0.3</v>
      </c>
      <c r="N38" s="46">
        <v>0.3</v>
      </c>
      <c r="O38" s="46">
        <v>0.3</v>
      </c>
      <c r="P38" s="46">
        <v>0.3</v>
      </c>
      <c r="Q38" s="46">
        <v>0.3</v>
      </c>
      <c r="R38" s="46">
        <v>0.8</v>
      </c>
      <c r="S38" s="46">
        <v>0.8</v>
      </c>
      <c r="T38" s="46">
        <v>0.8</v>
      </c>
      <c r="U38" s="46">
        <v>0.3</v>
      </c>
      <c r="V38" s="46">
        <v>0.3</v>
      </c>
      <c r="W38" s="46">
        <v>0.3</v>
      </c>
      <c r="X38" s="46">
        <v>0.3</v>
      </c>
      <c r="Y38" s="46" t="s">
        <v>41</v>
      </c>
      <c r="Z38" s="46">
        <v>0.3</v>
      </c>
      <c r="AA38" s="46">
        <v>0.3</v>
      </c>
    </row>
    <row r="39" spans="1:36" x14ac:dyDescent="0.35">
      <c r="A39" s="35" t="s">
        <v>144</v>
      </c>
      <c r="B39" s="35"/>
      <c r="C39" s="46">
        <v>0.7</v>
      </c>
      <c r="D39" s="46">
        <v>0.7</v>
      </c>
      <c r="E39" s="46">
        <v>0.7</v>
      </c>
      <c r="F39" s="46">
        <v>0.7</v>
      </c>
      <c r="G39" s="46">
        <v>0.7</v>
      </c>
      <c r="H39" s="46">
        <v>0.7</v>
      </c>
      <c r="I39" s="46">
        <v>0.7</v>
      </c>
      <c r="J39" s="46">
        <v>0.7</v>
      </c>
      <c r="K39" s="46">
        <v>0.7</v>
      </c>
      <c r="L39" s="46">
        <v>0.7</v>
      </c>
      <c r="M39" s="46">
        <v>0.7</v>
      </c>
      <c r="N39" s="46">
        <v>0.7</v>
      </c>
      <c r="O39" s="46">
        <v>0.7</v>
      </c>
      <c r="P39" s="46">
        <v>0.7</v>
      </c>
      <c r="Q39" s="46">
        <v>0.7</v>
      </c>
      <c r="R39" s="46">
        <v>1.35</v>
      </c>
      <c r="S39" s="46">
        <v>1.35</v>
      </c>
      <c r="T39" s="46">
        <v>1.35</v>
      </c>
      <c r="U39" s="46">
        <v>0.7</v>
      </c>
      <c r="V39" s="46">
        <v>0.7</v>
      </c>
      <c r="W39" s="46">
        <v>0.7</v>
      </c>
      <c r="X39" s="46">
        <v>0.7</v>
      </c>
      <c r="Y39" s="46" t="s">
        <v>41</v>
      </c>
      <c r="Z39" s="46">
        <v>0.7</v>
      </c>
      <c r="AA39" s="46">
        <v>0.7</v>
      </c>
    </row>
    <row r="40" spans="1:36" hidden="1" x14ac:dyDescent="0.35">
      <c r="A40" s="35" t="s">
        <v>145</v>
      </c>
      <c r="B40" s="35"/>
      <c r="C40" s="46">
        <f t="shared" ref="C40:X40" si="21">IF(C$37="absolute",C38/C$16,C38)</f>
        <v>0.3</v>
      </c>
      <c r="D40" s="46">
        <f t="shared" si="21"/>
        <v>0.3</v>
      </c>
      <c r="E40" s="46">
        <f t="shared" si="21"/>
        <v>0.3</v>
      </c>
      <c r="F40" s="46">
        <f t="shared" si="21"/>
        <v>0.3</v>
      </c>
      <c r="G40" s="46">
        <f t="shared" si="21"/>
        <v>0.3</v>
      </c>
      <c r="H40" s="46">
        <f t="shared" si="21"/>
        <v>0.3</v>
      </c>
      <c r="I40" s="46">
        <f t="shared" si="21"/>
        <v>0.3</v>
      </c>
      <c r="J40" s="46">
        <f t="shared" si="21"/>
        <v>0.3</v>
      </c>
      <c r="K40" s="46">
        <f t="shared" si="21"/>
        <v>0.3</v>
      </c>
      <c r="L40" s="46">
        <f t="shared" si="21"/>
        <v>0.3</v>
      </c>
      <c r="M40" s="46">
        <f t="shared" si="21"/>
        <v>0.3</v>
      </c>
      <c r="N40" s="46">
        <f t="shared" si="21"/>
        <v>0.3</v>
      </c>
      <c r="O40" s="46">
        <f t="shared" si="21"/>
        <v>0.3</v>
      </c>
      <c r="P40" s="46">
        <f t="shared" si="21"/>
        <v>0.3</v>
      </c>
      <c r="Q40" s="46">
        <f t="shared" si="21"/>
        <v>0.3</v>
      </c>
      <c r="R40" s="46">
        <f t="shared" si="21"/>
        <v>0.44444444444444448</v>
      </c>
      <c r="S40" s="46">
        <f t="shared" si="21"/>
        <v>0.44444444444444448</v>
      </c>
      <c r="T40" s="46">
        <f t="shared" si="21"/>
        <v>0.44444444444444448</v>
      </c>
      <c r="U40" s="46">
        <f t="shared" ref="U40:W40" si="22">IF(U$37="absolute",U38/U$16,U38)</f>
        <v>0.16666666666666666</v>
      </c>
      <c r="V40" s="46">
        <f t="shared" si="22"/>
        <v>0.16666666666666666</v>
      </c>
      <c r="W40" s="46">
        <f t="shared" si="22"/>
        <v>9.0909090909090912E-2</v>
      </c>
      <c r="X40" s="46">
        <f t="shared" si="21"/>
        <v>0.3</v>
      </c>
      <c r="Y40" s="46" t="s">
        <v>41</v>
      </c>
      <c r="Z40" s="46">
        <f>IF(Z$37="absolute",Z38/Z$16,Z38)</f>
        <v>0.3</v>
      </c>
      <c r="AA40" s="46">
        <f>IF(AA$37="absolute",AA38/AA$16,AA38)</f>
        <v>0.3</v>
      </c>
    </row>
    <row r="41" spans="1:36" hidden="1" x14ac:dyDescent="0.35">
      <c r="A41" s="35" t="s">
        <v>146</v>
      </c>
      <c r="B41" s="35"/>
      <c r="C41" s="46">
        <f t="shared" ref="C41:X41" si="23">IF(C$37="absolute",C39/C$16,C39)</f>
        <v>0.7</v>
      </c>
      <c r="D41" s="46">
        <f t="shared" si="23"/>
        <v>0.7</v>
      </c>
      <c r="E41" s="46">
        <f t="shared" si="23"/>
        <v>0.7</v>
      </c>
      <c r="F41" s="46">
        <f t="shared" si="23"/>
        <v>0.7</v>
      </c>
      <c r="G41" s="46">
        <f t="shared" si="23"/>
        <v>0.7</v>
      </c>
      <c r="H41" s="46">
        <f t="shared" si="23"/>
        <v>0.7</v>
      </c>
      <c r="I41" s="46">
        <f t="shared" si="23"/>
        <v>0.7</v>
      </c>
      <c r="J41" s="46">
        <f t="shared" si="23"/>
        <v>0.7</v>
      </c>
      <c r="K41" s="46">
        <f t="shared" si="23"/>
        <v>0.7</v>
      </c>
      <c r="L41" s="46">
        <f t="shared" si="23"/>
        <v>0.7</v>
      </c>
      <c r="M41" s="46">
        <f t="shared" si="23"/>
        <v>0.7</v>
      </c>
      <c r="N41" s="46">
        <f t="shared" si="23"/>
        <v>0.7</v>
      </c>
      <c r="O41" s="46">
        <f t="shared" si="23"/>
        <v>0.7</v>
      </c>
      <c r="P41" s="46">
        <f t="shared" si="23"/>
        <v>0.7</v>
      </c>
      <c r="Q41" s="46">
        <f t="shared" si="23"/>
        <v>0.7</v>
      </c>
      <c r="R41" s="46">
        <f t="shared" si="23"/>
        <v>0.75</v>
      </c>
      <c r="S41" s="46">
        <f t="shared" si="23"/>
        <v>0.75</v>
      </c>
      <c r="T41" s="46">
        <f t="shared" si="23"/>
        <v>0.75</v>
      </c>
      <c r="U41" s="46">
        <f t="shared" ref="U41:W41" si="24">IF(U$37="absolute",U39/U$16,U39)</f>
        <v>0.38888888888888884</v>
      </c>
      <c r="V41" s="46">
        <f t="shared" si="24"/>
        <v>0.38888888888888884</v>
      </c>
      <c r="W41" s="46">
        <f t="shared" si="24"/>
        <v>0.21212121212121213</v>
      </c>
      <c r="X41" s="46">
        <f t="shared" si="23"/>
        <v>0.7</v>
      </c>
      <c r="Y41" s="46" t="s">
        <v>41</v>
      </c>
      <c r="Z41" s="46">
        <f>IF(Z$37="absolute",Z39/Z$16,Z39)</f>
        <v>0.7</v>
      </c>
      <c r="AA41" s="46">
        <f>IF(AA$37="absolute",AA39/AA$16,AA39)</f>
        <v>0.7</v>
      </c>
    </row>
    <row r="42" spans="1:36" x14ac:dyDescent="0.35">
      <c r="A42" s="35" t="s">
        <v>147</v>
      </c>
      <c r="B42" s="35"/>
      <c r="C42" s="46">
        <v>0.3</v>
      </c>
      <c r="D42" s="46">
        <v>0.3</v>
      </c>
      <c r="E42" s="46">
        <v>0.3</v>
      </c>
      <c r="F42" s="46">
        <v>0.3</v>
      </c>
      <c r="G42" s="46">
        <v>0.3</v>
      </c>
      <c r="H42" s="46">
        <v>0.3</v>
      </c>
      <c r="I42" s="46">
        <v>0.3</v>
      </c>
      <c r="J42" s="46">
        <v>0.3</v>
      </c>
      <c r="K42" s="46">
        <v>0.3</v>
      </c>
      <c r="L42" s="46">
        <v>0.3</v>
      </c>
      <c r="M42" s="46">
        <v>0.3</v>
      </c>
      <c r="N42" s="46">
        <v>0.3</v>
      </c>
      <c r="O42" s="46">
        <v>0.3</v>
      </c>
      <c r="P42" s="46">
        <v>0.3</v>
      </c>
      <c r="Q42" s="46">
        <v>0.3</v>
      </c>
      <c r="R42" s="46">
        <f>R38-0.15</f>
        <v>0.65</v>
      </c>
      <c r="S42" s="46">
        <f t="shared" ref="S42:T42" si="25">S38-0.15</f>
        <v>0.65</v>
      </c>
      <c r="T42" s="46">
        <f t="shared" si="25"/>
        <v>0.65</v>
      </c>
      <c r="U42" s="46">
        <v>0.3</v>
      </c>
      <c r="V42" s="46">
        <v>0.3</v>
      </c>
      <c r="W42" s="46">
        <v>0.3</v>
      </c>
      <c r="X42" s="46">
        <v>0.3</v>
      </c>
      <c r="Y42" s="46" t="s">
        <v>41</v>
      </c>
      <c r="Z42" s="46">
        <v>0.3</v>
      </c>
      <c r="AA42" s="46">
        <v>0.3</v>
      </c>
    </row>
    <row r="43" spans="1:36" x14ac:dyDescent="0.35">
      <c r="A43" s="35" t="s">
        <v>148</v>
      </c>
      <c r="B43" s="35"/>
      <c r="C43" s="46">
        <v>0.7</v>
      </c>
      <c r="D43" s="46">
        <v>0.7</v>
      </c>
      <c r="E43" s="46">
        <v>0.7</v>
      </c>
      <c r="F43" s="46">
        <v>0.7</v>
      </c>
      <c r="G43" s="46">
        <v>0.7</v>
      </c>
      <c r="H43" s="46">
        <v>0.7</v>
      </c>
      <c r="I43" s="46">
        <v>0.7</v>
      </c>
      <c r="J43" s="46">
        <v>0.7</v>
      </c>
      <c r="K43" s="46">
        <v>0.7</v>
      </c>
      <c r="L43" s="46">
        <v>0.7</v>
      </c>
      <c r="M43" s="46">
        <v>0.7</v>
      </c>
      <c r="N43" s="46">
        <v>0.7</v>
      </c>
      <c r="O43" s="46">
        <v>0.7</v>
      </c>
      <c r="P43" s="46">
        <v>0.7</v>
      </c>
      <c r="Q43" s="46">
        <v>0.7</v>
      </c>
      <c r="R43" s="46">
        <f>R39+0.15</f>
        <v>1.5</v>
      </c>
      <c r="S43" s="46">
        <f t="shared" ref="S43:T43" si="26">S39+0.15</f>
        <v>1.5</v>
      </c>
      <c r="T43" s="46">
        <f t="shared" si="26"/>
        <v>1.5</v>
      </c>
      <c r="U43" s="46">
        <v>0.7</v>
      </c>
      <c r="V43" s="46">
        <v>0.7</v>
      </c>
      <c r="W43" s="46">
        <v>0.7</v>
      </c>
      <c r="X43" s="46">
        <v>0.7</v>
      </c>
      <c r="Y43" s="46" t="s">
        <v>41</v>
      </c>
      <c r="Z43" s="46">
        <v>0.7</v>
      </c>
      <c r="AA43" s="46">
        <v>0.7</v>
      </c>
    </row>
    <row r="44" spans="1:36" x14ac:dyDescent="0.35">
      <c r="A44" s="35" t="s">
        <v>149</v>
      </c>
      <c r="B44" s="35"/>
      <c r="C44" s="37">
        <f>0.000001</f>
        <v>9.9999999999999995E-7</v>
      </c>
      <c r="D44" s="37">
        <f>0.0000003</f>
        <v>2.9999999999999999E-7</v>
      </c>
      <c r="E44" s="37">
        <f>0.00000012</f>
        <v>1.1999999999999999E-7</v>
      </c>
      <c r="F44" s="37">
        <f>0.000001</f>
        <v>9.9999999999999995E-7</v>
      </c>
      <c r="G44" s="37">
        <f>0.0000003</f>
        <v>2.9999999999999999E-7</v>
      </c>
      <c r="H44" s="37">
        <f>0.00000016</f>
        <v>1.6E-7</v>
      </c>
      <c r="I44" s="37">
        <f>0.000001</f>
        <v>9.9999999999999995E-7</v>
      </c>
      <c r="J44" s="37">
        <f>0.0000003</f>
        <v>2.9999999999999999E-7</v>
      </c>
      <c r="K44" s="37">
        <f>0.00000008</f>
        <v>8.0000000000000002E-8</v>
      </c>
      <c r="L44" s="37">
        <f>0.000001</f>
        <v>9.9999999999999995E-7</v>
      </c>
      <c r="M44" s="37">
        <f>0.0000003</f>
        <v>2.9999999999999999E-7</v>
      </c>
      <c r="N44" s="37">
        <f>0.00000008</f>
        <v>8.0000000000000002E-8</v>
      </c>
      <c r="O44" s="37">
        <f>0.000001</f>
        <v>9.9999999999999995E-7</v>
      </c>
      <c r="P44" s="37">
        <f>0.0000003</f>
        <v>2.9999999999999999E-7</v>
      </c>
      <c r="Q44" s="37">
        <f>0.00000004</f>
        <v>4.0000000000000001E-8</v>
      </c>
      <c r="R44" s="37">
        <f>0.000001</f>
        <v>9.9999999999999995E-7</v>
      </c>
      <c r="S44" s="37">
        <f>0.0000003</f>
        <v>2.9999999999999999E-7</v>
      </c>
      <c r="T44" s="37">
        <f>0.00000012</f>
        <v>1.1999999999999999E-7</v>
      </c>
      <c r="U44" s="37">
        <v>9.9999999999999995E-7</v>
      </c>
      <c r="V44" s="37">
        <v>2.9999999999999999E-7</v>
      </c>
      <c r="W44" s="37">
        <v>1.1999999999999999E-7</v>
      </c>
      <c r="X44" s="37">
        <f>0.0000003</f>
        <v>2.9999999999999999E-7</v>
      </c>
      <c r="Y44" s="37" t="s">
        <v>41</v>
      </c>
      <c r="Z44" s="37">
        <v>9.9999999999999995E-7</v>
      </c>
      <c r="AA44" s="37">
        <v>9.9999999999999995E-7</v>
      </c>
    </row>
    <row r="45" spans="1:36" x14ac:dyDescent="0.35">
      <c r="A45" s="35" t="s">
        <v>150</v>
      </c>
      <c r="B45" s="35"/>
      <c r="C45" s="37">
        <f>0.0000003</f>
        <v>2.9999999999999999E-7</v>
      </c>
      <c r="D45" s="37">
        <f>0.0000003</f>
        <v>2.9999999999999999E-7</v>
      </c>
      <c r="E45" s="37">
        <f>0.00000012</f>
        <v>1.1999999999999999E-7</v>
      </c>
      <c r="F45" s="37">
        <f>0.0000003</f>
        <v>2.9999999999999999E-7</v>
      </c>
      <c r="G45" s="37">
        <f>0.0000003</f>
        <v>2.9999999999999999E-7</v>
      </c>
      <c r="H45" s="37">
        <f>0.00000016</f>
        <v>1.6E-7</v>
      </c>
      <c r="I45" s="37">
        <f>0.0000003</f>
        <v>2.9999999999999999E-7</v>
      </c>
      <c r="J45" s="37">
        <f>0.0000003</f>
        <v>2.9999999999999999E-7</v>
      </c>
      <c r="K45" s="37">
        <f>0.00000008</f>
        <v>8.0000000000000002E-8</v>
      </c>
      <c r="L45" s="37">
        <f>0.0000003</f>
        <v>2.9999999999999999E-7</v>
      </c>
      <c r="M45" s="37">
        <f>0.0000003</f>
        <v>2.9999999999999999E-7</v>
      </c>
      <c r="N45" s="37">
        <f>0.00000008</f>
        <v>8.0000000000000002E-8</v>
      </c>
      <c r="O45" s="37">
        <f>0.0000003</f>
        <v>2.9999999999999999E-7</v>
      </c>
      <c r="P45" s="37">
        <f>0.0000003</f>
        <v>2.9999999999999999E-7</v>
      </c>
      <c r="Q45" s="37">
        <f>0.00000004</f>
        <v>4.0000000000000001E-8</v>
      </c>
      <c r="R45" s="37">
        <f>0.0000003</f>
        <v>2.9999999999999999E-7</v>
      </c>
      <c r="S45" s="37">
        <f>0.0000003</f>
        <v>2.9999999999999999E-7</v>
      </c>
      <c r="T45" s="37">
        <f>0.00000012</f>
        <v>1.1999999999999999E-7</v>
      </c>
      <c r="U45" s="37">
        <v>2.9999999999999999E-7</v>
      </c>
      <c r="V45" s="37">
        <v>2.9999999999999999E-7</v>
      </c>
      <c r="W45" s="37">
        <v>1.1999999999999999E-7</v>
      </c>
      <c r="X45" s="37">
        <f>0.0000003</f>
        <v>2.9999999999999999E-7</v>
      </c>
      <c r="Y45" s="37" t="s">
        <v>41</v>
      </c>
      <c r="Z45" s="37">
        <v>9.9999999999999995E-7</v>
      </c>
      <c r="AA45" s="37">
        <v>9.9999999999999995E-7</v>
      </c>
    </row>
    <row r="46" spans="1:36" x14ac:dyDescent="0.35">
      <c r="A46" s="35" t="s">
        <v>151</v>
      </c>
      <c r="B46" s="35"/>
      <c r="C46" s="115"/>
      <c r="D46" s="37">
        <f>0.00000002</f>
        <v>2E-8</v>
      </c>
      <c r="E46" s="115"/>
      <c r="F46" s="115"/>
      <c r="G46" s="37">
        <f>0.00000002</f>
        <v>2E-8</v>
      </c>
      <c r="H46" s="37">
        <f>0.00000002</f>
        <v>2E-8</v>
      </c>
      <c r="I46" s="115"/>
      <c r="J46" s="37">
        <f>0.00000002</f>
        <v>2E-8</v>
      </c>
      <c r="K46" s="37">
        <f>0.00000002</f>
        <v>2E-8</v>
      </c>
      <c r="L46" s="115"/>
      <c r="M46" s="37">
        <f>0.00000002</f>
        <v>2E-8</v>
      </c>
      <c r="N46" s="37">
        <f>0.00000001</f>
        <v>1E-8</v>
      </c>
      <c r="O46" s="115"/>
      <c r="P46" s="37">
        <f>0.00000001</f>
        <v>1E-8</v>
      </c>
      <c r="Q46" s="37">
        <f>0.00000001</f>
        <v>1E-8</v>
      </c>
      <c r="R46" s="115"/>
      <c r="S46" s="37">
        <f>0.00000002</f>
        <v>2E-8</v>
      </c>
      <c r="T46" s="115"/>
      <c r="U46" s="115"/>
      <c r="V46" s="37">
        <v>2E-8</v>
      </c>
      <c r="W46" s="115"/>
      <c r="X46" s="37">
        <f>0.00000002</f>
        <v>2E-8</v>
      </c>
      <c r="Y46" s="37" t="s">
        <v>41</v>
      </c>
      <c r="Z46" s="37">
        <v>2E-8</v>
      </c>
      <c r="AA46" s="37">
        <v>2E-8</v>
      </c>
    </row>
    <row r="47" spans="1:36" x14ac:dyDescent="0.35">
      <c r="A47" s="35" t="s">
        <v>152</v>
      </c>
      <c r="B47" s="35"/>
      <c r="C47" s="115"/>
      <c r="D47" s="37">
        <f>20*(D$16/5.5)*0.000000001</f>
        <v>6.5454545454545451E-9</v>
      </c>
      <c r="E47" s="37">
        <f>20*(E$16/5.5)*0.000000001</f>
        <v>6.5454545454545451E-9</v>
      </c>
      <c r="F47" s="115"/>
      <c r="G47" s="37">
        <f>20*(G$16/5.5)*0.000000001</f>
        <v>6.5454545454545451E-9</v>
      </c>
      <c r="H47" s="37">
        <f>0.00000002</f>
        <v>2E-8</v>
      </c>
      <c r="I47" s="115"/>
      <c r="J47" s="37">
        <f>20*(J$16/5.5)*0.000000001</f>
        <v>6.5454545454545451E-9</v>
      </c>
      <c r="K47" s="37">
        <f>0.00000002</f>
        <v>2E-8</v>
      </c>
      <c r="L47" s="115"/>
      <c r="M47" s="37">
        <f>20*(M$16/5.5)*0.000000001</f>
        <v>6.5454545454545451E-9</v>
      </c>
      <c r="N47" s="37">
        <f>0.00000001</f>
        <v>1E-8</v>
      </c>
      <c r="O47" s="115"/>
      <c r="P47" s="37">
        <f>20*(P$16/5.5)*0.000000001</f>
        <v>6.5454545454545451E-9</v>
      </c>
      <c r="Q47" s="37">
        <f>0.00000001</f>
        <v>1E-8</v>
      </c>
      <c r="R47" s="115"/>
      <c r="S47" s="115"/>
      <c r="T47" s="115"/>
      <c r="U47" s="115"/>
      <c r="V47" s="115"/>
      <c r="W47" s="115"/>
      <c r="X47" s="37">
        <f>20*(X$16/5.5)*0.000000001</f>
        <v>6.5454545454545451E-9</v>
      </c>
      <c r="Y47" s="37" t="s">
        <v>41</v>
      </c>
      <c r="Z47" s="37">
        <v>6.5454545454545451E-9</v>
      </c>
      <c r="AA47" s="37">
        <v>6.5454545454545451E-9</v>
      </c>
    </row>
    <row r="48" spans="1:36" x14ac:dyDescent="0.35">
      <c r="A48" s="35"/>
      <c r="B48" s="35"/>
      <c r="C48" s="37"/>
      <c r="D48" s="37"/>
      <c r="E48" s="37"/>
      <c r="F48" s="37"/>
      <c r="G48" s="37"/>
      <c r="H48" s="37"/>
      <c r="I48" s="37"/>
      <c r="J48" s="37"/>
      <c r="K48" s="37"/>
      <c r="L48" s="37"/>
      <c r="M48" s="37"/>
      <c r="N48" s="37"/>
      <c r="O48" s="37"/>
      <c r="P48" s="37"/>
      <c r="Q48" s="37"/>
      <c r="R48" s="37"/>
      <c r="S48" s="37"/>
      <c r="T48" s="37"/>
      <c r="U48" s="33"/>
      <c r="V48" s="33"/>
      <c r="W48" s="33"/>
      <c r="X48" s="37"/>
      <c r="Y48" s="37"/>
      <c r="Z48" s="37"/>
      <c r="AA48" s="37"/>
    </row>
    <row r="49" spans="1:27" x14ac:dyDescent="0.35">
      <c r="A49" s="33" t="s">
        <v>153</v>
      </c>
      <c r="B49" s="33"/>
      <c r="C49" s="44"/>
      <c r="D49" s="44"/>
      <c r="E49" s="44"/>
      <c r="F49" s="44"/>
      <c r="G49" s="44"/>
      <c r="H49" s="44"/>
      <c r="I49" s="44"/>
      <c r="J49" s="44"/>
      <c r="K49" s="44"/>
      <c r="L49" s="44"/>
      <c r="M49" s="44"/>
      <c r="N49" s="44"/>
      <c r="O49" s="44"/>
      <c r="P49" s="44"/>
      <c r="Q49" s="44"/>
      <c r="R49" s="33"/>
      <c r="S49" s="33"/>
      <c r="T49" s="33"/>
      <c r="U49" s="33"/>
      <c r="V49" s="33"/>
      <c r="W49" s="33"/>
      <c r="X49" s="44"/>
      <c r="Y49" s="44"/>
      <c r="Z49" s="44"/>
      <c r="AA49" s="44"/>
    </row>
    <row r="50" spans="1:27" hidden="1" x14ac:dyDescent="0.35">
      <c r="A50" s="35" t="s">
        <v>140</v>
      </c>
      <c r="B50" s="33"/>
      <c r="C50" s="33" t="s">
        <v>141</v>
      </c>
      <c r="D50" s="33" t="s">
        <v>141</v>
      </c>
      <c r="E50" s="33" t="s">
        <v>141</v>
      </c>
      <c r="F50" s="33" t="s">
        <v>141</v>
      </c>
      <c r="G50" s="33" t="s">
        <v>141</v>
      </c>
      <c r="H50" s="33" t="s">
        <v>141</v>
      </c>
      <c r="I50" s="33" t="s">
        <v>141</v>
      </c>
      <c r="J50" s="33" t="s">
        <v>141</v>
      </c>
      <c r="K50" s="33" t="s">
        <v>141</v>
      </c>
      <c r="L50" s="33" t="s">
        <v>141</v>
      </c>
      <c r="M50" s="33" t="s">
        <v>141</v>
      </c>
      <c r="N50" s="33" t="s">
        <v>141</v>
      </c>
      <c r="O50" s="33" t="s">
        <v>141</v>
      </c>
      <c r="P50" s="33" t="s">
        <v>141</v>
      </c>
      <c r="Q50" s="33" t="s">
        <v>141</v>
      </c>
      <c r="R50" s="33" t="s">
        <v>141</v>
      </c>
      <c r="S50" s="33" t="s">
        <v>141</v>
      </c>
      <c r="T50" s="33" t="s">
        <v>141</v>
      </c>
      <c r="U50" s="33" t="s">
        <v>141</v>
      </c>
      <c r="V50" s="33" t="s">
        <v>141</v>
      </c>
      <c r="W50" s="33" t="s">
        <v>141</v>
      </c>
      <c r="X50" s="33" t="s">
        <v>141</v>
      </c>
      <c r="Y50" s="33" t="s">
        <v>141</v>
      </c>
      <c r="Z50" s="33" t="s">
        <v>141</v>
      </c>
      <c r="AA50" s="33" t="s">
        <v>141</v>
      </c>
    </row>
    <row r="51" spans="1:27" x14ac:dyDescent="0.35">
      <c r="A51" s="35" t="s">
        <v>143</v>
      </c>
      <c r="B51" s="35"/>
      <c r="C51" s="46">
        <v>0.3</v>
      </c>
      <c r="D51" s="46">
        <v>0.3</v>
      </c>
      <c r="E51" s="46">
        <v>0.3</v>
      </c>
      <c r="F51" s="46">
        <v>0.3</v>
      </c>
      <c r="G51" s="46">
        <v>0.3</v>
      </c>
      <c r="H51" s="46">
        <v>0.3</v>
      </c>
      <c r="I51" s="46">
        <v>0.3</v>
      </c>
      <c r="J51" s="46">
        <v>0.3</v>
      </c>
      <c r="K51" s="46">
        <v>0.3</v>
      </c>
      <c r="L51" s="46">
        <v>0.3</v>
      </c>
      <c r="M51" s="46">
        <v>0.3</v>
      </c>
      <c r="N51" s="46">
        <v>0.3</v>
      </c>
      <c r="O51" s="46">
        <v>0.3</v>
      </c>
      <c r="P51" s="46">
        <v>0.3</v>
      </c>
      <c r="Q51" s="46">
        <v>0.3</v>
      </c>
      <c r="R51" s="46">
        <v>0.3</v>
      </c>
      <c r="S51" s="46">
        <v>0.3</v>
      </c>
      <c r="T51" s="46">
        <v>0.3</v>
      </c>
      <c r="U51" s="46">
        <v>0.3</v>
      </c>
      <c r="V51" s="46">
        <v>0.3</v>
      </c>
      <c r="W51" s="46">
        <v>0.3</v>
      </c>
      <c r="X51" s="46">
        <v>0.3</v>
      </c>
      <c r="Y51" s="46">
        <v>0.3</v>
      </c>
      <c r="Z51" s="46">
        <v>0.3</v>
      </c>
      <c r="AA51" s="46">
        <v>0.3</v>
      </c>
    </row>
    <row r="52" spans="1:27" x14ac:dyDescent="0.35">
      <c r="A52" s="35" t="s">
        <v>144</v>
      </c>
      <c r="B52" s="35"/>
      <c r="C52" s="46">
        <v>0.7</v>
      </c>
      <c r="D52" s="46">
        <v>0.7</v>
      </c>
      <c r="E52" s="46">
        <v>0.7</v>
      </c>
      <c r="F52" s="46">
        <v>0.7</v>
      </c>
      <c r="G52" s="46">
        <v>0.7</v>
      </c>
      <c r="H52" s="46">
        <v>0.7</v>
      </c>
      <c r="I52" s="46">
        <v>0.7</v>
      </c>
      <c r="J52" s="46">
        <v>0.7</v>
      </c>
      <c r="K52" s="46">
        <v>0.7</v>
      </c>
      <c r="L52" s="46">
        <v>0.7</v>
      </c>
      <c r="M52" s="46">
        <v>0.7</v>
      </c>
      <c r="N52" s="46">
        <v>0.7</v>
      </c>
      <c r="O52" s="46">
        <v>0.7</v>
      </c>
      <c r="P52" s="46">
        <v>0.7</v>
      </c>
      <c r="Q52" s="46">
        <v>0.7</v>
      </c>
      <c r="R52" s="46">
        <v>0.7</v>
      </c>
      <c r="S52" s="46">
        <v>0.7</v>
      </c>
      <c r="T52" s="46">
        <v>0.7</v>
      </c>
      <c r="U52" s="46">
        <v>0.7</v>
      </c>
      <c r="V52" s="46">
        <v>0.7</v>
      </c>
      <c r="W52" s="46">
        <v>0.7</v>
      </c>
      <c r="X52" s="46">
        <v>0.7</v>
      </c>
      <c r="Y52" s="46">
        <v>0.7</v>
      </c>
      <c r="Z52" s="46">
        <v>0.7</v>
      </c>
      <c r="AA52" s="46">
        <v>0.7</v>
      </c>
    </row>
    <row r="53" spans="1:27" x14ac:dyDescent="0.35">
      <c r="A53" s="35" t="s">
        <v>147</v>
      </c>
      <c r="B53" s="35"/>
      <c r="C53" s="46">
        <v>0.3</v>
      </c>
      <c r="D53" s="46">
        <v>0.3</v>
      </c>
      <c r="E53" s="46">
        <v>0.3</v>
      </c>
      <c r="F53" s="46">
        <v>0.3</v>
      </c>
      <c r="G53" s="46">
        <v>0.3</v>
      </c>
      <c r="H53" s="46">
        <v>0.3</v>
      </c>
      <c r="I53" s="46">
        <v>0.3</v>
      </c>
      <c r="J53" s="46">
        <v>0.3</v>
      </c>
      <c r="K53" s="46">
        <v>0.3</v>
      </c>
      <c r="L53" s="46">
        <v>0.3</v>
      </c>
      <c r="M53" s="46">
        <v>0.3</v>
      </c>
      <c r="N53" s="46">
        <v>0.3</v>
      </c>
      <c r="O53" s="46">
        <v>0.3</v>
      </c>
      <c r="P53" s="46">
        <v>0.3</v>
      </c>
      <c r="Q53" s="46">
        <v>0.3</v>
      </c>
      <c r="R53" s="46">
        <v>0.3</v>
      </c>
      <c r="S53" s="46">
        <v>0.3</v>
      </c>
      <c r="T53" s="46">
        <v>0.3</v>
      </c>
      <c r="U53" s="46">
        <v>0.3</v>
      </c>
      <c r="V53" s="46">
        <v>0.3</v>
      </c>
      <c r="W53" s="46">
        <v>0.3</v>
      </c>
      <c r="X53" s="46">
        <v>0.3</v>
      </c>
      <c r="Y53" s="46">
        <v>0.3</v>
      </c>
      <c r="Z53" s="46">
        <v>0.3</v>
      </c>
      <c r="AA53" s="46">
        <v>0.3</v>
      </c>
    </row>
    <row r="54" spans="1:27" x14ac:dyDescent="0.35">
      <c r="A54" s="35" t="s">
        <v>148</v>
      </c>
      <c r="B54" s="35"/>
      <c r="C54" s="46">
        <v>0.7</v>
      </c>
      <c r="D54" s="46">
        <v>0.7</v>
      </c>
      <c r="E54" s="46">
        <v>0.7</v>
      </c>
      <c r="F54" s="46">
        <v>0.7</v>
      </c>
      <c r="G54" s="46">
        <v>0.7</v>
      </c>
      <c r="H54" s="46">
        <v>0.7</v>
      </c>
      <c r="I54" s="46">
        <v>0.7</v>
      </c>
      <c r="J54" s="46">
        <v>0.7</v>
      </c>
      <c r="K54" s="46">
        <v>0.7</v>
      </c>
      <c r="L54" s="46">
        <v>0.7</v>
      </c>
      <c r="M54" s="46">
        <v>0.7</v>
      </c>
      <c r="N54" s="46">
        <v>0.7</v>
      </c>
      <c r="O54" s="46">
        <v>0.7</v>
      </c>
      <c r="P54" s="46">
        <v>0.7</v>
      </c>
      <c r="Q54" s="46">
        <v>0.7</v>
      </c>
      <c r="R54" s="46">
        <v>0.7</v>
      </c>
      <c r="S54" s="46">
        <v>0.7</v>
      </c>
      <c r="T54" s="46">
        <v>0.7</v>
      </c>
      <c r="U54" s="46">
        <v>0.7</v>
      </c>
      <c r="V54" s="46">
        <v>0.7</v>
      </c>
      <c r="W54" s="46">
        <v>0.7</v>
      </c>
      <c r="X54" s="46">
        <v>0.7</v>
      </c>
      <c r="Y54" s="46">
        <v>0.7</v>
      </c>
      <c r="Z54" s="46">
        <v>0.7</v>
      </c>
      <c r="AA54" s="46">
        <v>0.7</v>
      </c>
    </row>
    <row r="55" spans="1:27" x14ac:dyDescent="0.35">
      <c r="A55" s="35" t="s">
        <v>149</v>
      </c>
      <c r="B55" s="35"/>
      <c r="C55" s="37">
        <f>0.000001</f>
        <v>9.9999999999999995E-7</v>
      </c>
      <c r="D55" s="37">
        <f>0.0000003</f>
        <v>2.9999999999999999E-7</v>
      </c>
      <c r="E55" s="37">
        <f>0.00000012</f>
        <v>1.1999999999999999E-7</v>
      </c>
      <c r="F55" s="37">
        <f>0.000001</f>
        <v>9.9999999999999995E-7</v>
      </c>
      <c r="G55" s="37">
        <f>0.0000003</f>
        <v>2.9999999999999999E-7</v>
      </c>
      <c r="H55" s="37">
        <f>0.00000016</f>
        <v>1.6E-7</v>
      </c>
      <c r="I55" s="37">
        <f>0.000001</f>
        <v>9.9999999999999995E-7</v>
      </c>
      <c r="J55" s="37">
        <f>0.0000003</f>
        <v>2.9999999999999999E-7</v>
      </c>
      <c r="K55" s="37">
        <f>0.00000008</f>
        <v>8.0000000000000002E-8</v>
      </c>
      <c r="L55" s="37">
        <f>0.000001</f>
        <v>9.9999999999999995E-7</v>
      </c>
      <c r="M55" s="37">
        <f>0.0000003</f>
        <v>2.9999999999999999E-7</v>
      </c>
      <c r="N55" s="37">
        <f>0.00000008</f>
        <v>8.0000000000000002E-8</v>
      </c>
      <c r="O55" s="37">
        <f>0.000001</f>
        <v>9.9999999999999995E-7</v>
      </c>
      <c r="P55" s="37">
        <f>0.0000003</f>
        <v>2.9999999999999999E-7</v>
      </c>
      <c r="Q55" s="37">
        <f>0.00000004</f>
        <v>4.0000000000000001E-8</v>
      </c>
      <c r="R55" s="37">
        <f>0.000001</f>
        <v>9.9999999999999995E-7</v>
      </c>
      <c r="S55" s="37">
        <f>0.0000003</f>
        <v>2.9999999999999999E-7</v>
      </c>
      <c r="T55" s="37">
        <f>0.00000012</f>
        <v>1.1999999999999999E-7</v>
      </c>
      <c r="U55" s="37">
        <v>9.9999999999999995E-7</v>
      </c>
      <c r="V55" s="37">
        <v>2.9999999999999999E-7</v>
      </c>
      <c r="W55" s="37">
        <v>1.1999999999999999E-7</v>
      </c>
      <c r="X55" s="37">
        <f>0.0000003</f>
        <v>2.9999999999999999E-7</v>
      </c>
      <c r="Y55" s="37">
        <v>9.9999999999999995E-7</v>
      </c>
      <c r="Z55" s="37">
        <v>9.9999999999999995E-7</v>
      </c>
      <c r="AA55" s="37">
        <v>9.9999999999999995E-7</v>
      </c>
    </row>
    <row r="56" spans="1:27" x14ac:dyDescent="0.35">
      <c r="A56" s="35" t="s">
        <v>150</v>
      </c>
      <c r="B56" s="35"/>
      <c r="C56" s="37">
        <f>0.0000003</f>
        <v>2.9999999999999999E-7</v>
      </c>
      <c r="D56" s="37">
        <f>0.0000003</f>
        <v>2.9999999999999999E-7</v>
      </c>
      <c r="E56" s="37">
        <f>0.00000012</f>
        <v>1.1999999999999999E-7</v>
      </c>
      <c r="F56" s="37">
        <f>0.0000003</f>
        <v>2.9999999999999999E-7</v>
      </c>
      <c r="G56" s="37">
        <f>0.0000003</f>
        <v>2.9999999999999999E-7</v>
      </c>
      <c r="H56" s="37">
        <f>0.00000016</f>
        <v>1.6E-7</v>
      </c>
      <c r="I56" s="37">
        <f>0.0000003</f>
        <v>2.9999999999999999E-7</v>
      </c>
      <c r="J56" s="37">
        <f>0.0000003</f>
        <v>2.9999999999999999E-7</v>
      </c>
      <c r="K56" s="37">
        <f>0.00000008</f>
        <v>8.0000000000000002E-8</v>
      </c>
      <c r="L56" s="37">
        <f>0.0000003</f>
        <v>2.9999999999999999E-7</v>
      </c>
      <c r="M56" s="37">
        <f>0.0000003</f>
        <v>2.9999999999999999E-7</v>
      </c>
      <c r="N56" s="37">
        <f>0.00000008</f>
        <v>8.0000000000000002E-8</v>
      </c>
      <c r="O56" s="37">
        <f>0.0000003</f>
        <v>2.9999999999999999E-7</v>
      </c>
      <c r="P56" s="37">
        <f>0.0000003</f>
        <v>2.9999999999999999E-7</v>
      </c>
      <c r="Q56" s="37">
        <f>0.00000004</f>
        <v>4.0000000000000001E-8</v>
      </c>
      <c r="R56" s="37">
        <f>0.0000003</f>
        <v>2.9999999999999999E-7</v>
      </c>
      <c r="S56" s="37">
        <f>0.0000003</f>
        <v>2.9999999999999999E-7</v>
      </c>
      <c r="T56" s="37">
        <f>0.00000012</f>
        <v>1.1999999999999999E-7</v>
      </c>
      <c r="U56" s="37">
        <v>2.9999999999999999E-7</v>
      </c>
      <c r="V56" s="37">
        <v>2.9999999999999999E-7</v>
      </c>
      <c r="W56" s="37">
        <v>1.1999999999999999E-7</v>
      </c>
      <c r="X56" s="37">
        <f>0.0000003</f>
        <v>2.9999999999999999E-7</v>
      </c>
      <c r="Y56" s="37">
        <v>9.9999999999999995E-7</v>
      </c>
      <c r="Z56" s="37">
        <v>9.9999999999999995E-7</v>
      </c>
      <c r="AA56" s="37">
        <v>9.9999999999999995E-7</v>
      </c>
    </row>
    <row r="57" spans="1:27" x14ac:dyDescent="0.35">
      <c r="A57" s="35" t="s">
        <v>151</v>
      </c>
      <c r="B57" s="35"/>
      <c r="C57" s="115"/>
      <c r="D57" s="37">
        <f>0.00000002</f>
        <v>2E-8</v>
      </c>
      <c r="E57" s="115"/>
      <c r="F57" s="115"/>
      <c r="G57" s="37">
        <f>0.00000002</f>
        <v>2E-8</v>
      </c>
      <c r="H57" s="37">
        <f>0.00000002</f>
        <v>2E-8</v>
      </c>
      <c r="I57" s="115"/>
      <c r="J57" s="37">
        <f>0.00000002</f>
        <v>2E-8</v>
      </c>
      <c r="K57" s="37">
        <f>0.00000002</f>
        <v>2E-8</v>
      </c>
      <c r="L57" s="115"/>
      <c r="M57" s="37">
        <f>0.00000002</f>
        <v>2E-8</v>
      </c>
      <c r="N57" s="37">
        <f>0.00000001</f>
        <v>1E-8</v>
      </c>
      <c r="O57" s="115"/>
      <c r="P57" s="37">
        <f>0.00000001</f>
        <v>1E-8</v>
      </c>
      <c r="Q57" s="37">
        <f>0.00000001</f>
        <v>1E-8</v>
      </c>
      <c r="R57" s="115"/>
      <c r="S57" s="37">
        <f>0.00000002</f>
        <v>2E-8</v>
      </c>
      <c r="T57" s="115"/>
      <c r="U57" s="115"/>
      <c r="V57" s="37">
        <v>2E-8</v>
      </c>
      <c r="W57" s="115"/>
      <c r="X57" s="37">
        <f>0.00000002</f>
        <v>2E-8</v>
      </c>
      <c r="Y57" s="37">
        <f>0.00000002</f>
        <v>2E-8</v>
      </c>
      <c r="Z57" s="37">
        <f>0.00000002</f>
        <v>2E-8</v>
      </c>
      <c r="AA57" s="37">
        <f>0.00000002</f>
        <v>2E-8</v>
      </c>
    </row>
    <row r="58" spans="1:27" x14ac:dyDescent="0.35">
      <c r="A58" s="35" t="s">
        <v>152</v>
      </c>
      <c r="B58" s="35"/>
      <c r="C58" s="115"/>
      <c r="D58" s="37">
        <f>20*(D$16/5.5)*0.000000001</f>
        <v>6.5454545454545451E-9</v>
      </c>
      <c r="E58" s="37">
        <f>20*(E16/5.5)*0.000000001</f>
        <v>6.5454545454545451E-9</v>
      </c>
      <c r="F58" s="115"/>
      <c r="G58" s="37">
        <f>20*(G$16/5.5)*0.000000001</f>
        <v>6.5454545454545451E-9</v>
      </c>
      <c r="H58" s="37">
        <f>0.00000002</f>
        <v>2E-8</v>
      </c>
      <c r="I58" s="115"/>
      <c r="J58" s="37">
        <f>20*(J$16/5.5)*0.000000001</f>
        <v>6.5454545454545451E-9</v>
      </c>
      <c r="K58" s="37">
        <f>0.00000002</f>
        <v>2E-8</v>
      </c>
      <c r="L58" s="115"/>
      <c r="M58" s="37">
        <f>20*(M$16/5.5)*0.000000001</f>
        <v>6.5454545454545451E-9</v>
      </c>
      <c r="N58" s="37">
        <f>0.00000001</f>
        <v>1E-8</v>
      </c>
      <c r="O58" s="115"/>
      <c r="P58" s="37">
        <f>20*(P$16/5.5)*0.000000001</f>
        <v>6.5454545454545451E-9</v>
      </c>
      <c r="Q58" s="37">
        <f>0.00000001</f>
        <v>1E-8</v>
      </c>
      <c r="R58" s="115"/>
      <c r="S58" s="115"/>
      <c r="T58" s="115"/>
      <c r="U58" s="115"/>
      <c r="V58" s="37">
        <v>6.5454545454545451E-9</v>
      </c>
      <c r="W58" s="37">
        <v>6.5454545454545451E-9</v>
      </c>
      <c r="X58" s="37">
        <f>20*(X16/5.5)*0.000000001</f>
        <v>6.5454545454545451E-9</v>
      </c>
      <c r="Y58" s="37">
        <f>20*(Y16/5.5)*0.000000001</f>
        <v>6.5454545454545451E-9</v>
      </c>
      <c r="Z58" s="37">
        <f>20*(Z16/5.5)*0.000000001</f>
        <v>6.5454545454545451E-9</v>
      </c>
      <c r="AA58" s="37">
        <f>20*(AA16/5.5)*0.000000001</f>
        <v>6.5454545454545451E-9</v>
      </c>
    </row>
    <row r="59" spans="1:27" x14ac:dyDescent="0.35">
      <c r="A59" s="35" t="s">
        <v>154</v>
      </c>
      <c r="B59" s="35"/>
      <c r="C59" s="37">
        <f>0.0000000001</f>
        <v>1E-10</v>
      </c>
      <c r="D59" s="37">
        <f t="shared" ref="D59:X59" si="27">0.0000000001</f>
        <v>1E-10</v>
      </c>
      <c r="E59" s="37">
        <f t="shared" si="27"/>
        <v>1E-10</v>
      </c>
      <c r="F59" s="37">
        <f t="shared" si="27"/>
        <v>1E-10</v>
      </c>
      <c r="G59" s="37">
        <f t="shared" si="27"/>
        <v>1E-10</v>
      </c>
      <c r="H59" s="37">
        <f t="shared" si="27"/>
        <v>1E-10</v>
      </c>
      <c r="I59" s="37">
        <f t="shared" si="27"/>
        <v>1E-10</v>
      </c>
      <c r="J59" s="37">
        <f t="shared" si="27"/>
        <v>1E-10</v>
      </c>
      <c r="K59" s="37">
        <f t="shared" si="27"/>
        <v>1E-10</v>
      </c>
      <c r="L59" s="37">
        <f t="shared" si="27"/>
        <v>1E-10</v>
      </c>
      <c r="M59" s="37">
        <f t="shared" si="27"/>
        <v>1E-10</v>
      </c>
      <c r="N59" s="37">
        <f t="shared" si="27"/>
        <v>1E-10</v>
      </c>
      <c r="O59" s="37">
        <f t="shared" si="27"/>
        <v>1E-10</v>
      </c>
      <c r="P59" s="37">
        <f t="shared" si="27"/>
        <v>1E-10</v>
      </c>
      <c r="Q59" s="37">
        <f t="shared" si="27"/>
        <v>1E-10</v>
      </c>
      <c r="R59" s="37">
        <f t="shared" si="27"/>
        <v>1E-10</v>
      </c>
      <c r="S59" s="37">
        <f t="shared" si="27"/>
        <v>1E-10</v>
      </c>
      <c r="T59" s="37">
        <f t="shared" si="27"/>
        <v>1E-10</v>
      </c>
      <c r="U59" s="37">
        <f t="shared" si="27"/>
        <v>1E-10</v>
      </c>
      <c r="V59" s="37">
        <f t="shared" si="27"/>
        <v>1E-10</v>
      </c>
      <c r="W59" s="37">
        <f t="shared" si="27"/>
        <v>1E-10</v>
      </c>
      <c r="X59" s="37">
        <f t="shared" si="27"/>
        <v>1E-10</v>
      </c>
      <c r="Y59" s="37">
        <f t="shared" ref="Y59:AA59" si="28">0.0000000005</f>
        <v>5.0000000000000003E-10</v>
      </c>
      <c r="Z59" s="37">
        <f t="shared" si="28"/>
        <v>5.0000000000000003E-10</v>
      </c>
      <c r="AA59" s="37">
        <f t="shared" si="28"/>
        <v>5.0000000000000003E-10</v>
      </c>
    </row>
    <row r="60" spans="1:27" x14ac:dyDescent="0.35">
      <c r="A60" s="35"/>
      <c r="B60" s="35"/>
      <c r="C60" s="37"/>
      <c r="D60" s="37"/>
      <c r="E60" s="37"/>
      <c r="F60" s="37"/>
      <c r="G60" s="37"/>
      <c r="H60" s="37"/>
      <c r="I60" s="37"/>
      <c r="J60" s="37"/>
      <c r="K60" s="37"/>
      <c r="L60" s="37"/>
      <c r="M60" s="37"/>
      <c r="N60" s="37"/>
      <c r="O60" s="37"/>
      <c r="P60" s="37"/>
      <c r="Q60" s="37"/>
      <c r="R60" s="37"/>
      <c r="S60" s="37"/>
      <c r="T60" s="37"/>
      <c r="U60" s="37"/>
      <c r="V60" s="37"/>
      <c r="W60" s="37"/>
      <c r="X60" s="37"/>
      <c r="Y60" s="37"/>
      <c r="Z60" s="37"/>
      <c r="AA60" s="37"/>
    </row>
    <row r="61" spans="1:27" x14ac:dyDescent="0.35">
      <c r="A61" s="33" t="s">
        <v>155</v>
      </c>
      <c r="B61" s="35"/>
      <c r="C61" s="37"/>
      <c r="D61" s="37"/>
      <c r="E61" s="37"/>
      <c r="F61" s="37"/>
      <c r="G61" s="37"/>
      <c r="H61" s="37"/>
      <c r="I61" s="37"/>
      <c r="J61" s="37"/>
      <c r="K61" s="37"/>
      <c r="L61" s="37"/>
      <c r="M61" s="37"/>
      <c r="N61" s="37"/>
      <c r="O61" s="37"/>
      <c r="P61" s="37"/>
      <c r="Q61" s="37"/>
      <c r="R61" s="37"/>
      <c r="S61" s="37"/>
      <c r="T61" s="37"/>
      <c r="U61" s="37"/>
      <c r="V61" s="37"/>
      <c r="W61" s="37"/>
      <c r="X61" s="37"/>
      <c r="Y61" s="37"/>
      <c r="Z61" s="37"/>
      <c r="AA61" s="37"/>
    </row>
    <row r="62" spans="1:27" x14ac:dyDescent="0.35">
      <c r="A62" s="35" t="s">
        <v>156</v>
      </c>
      <c r="B62" s="35"/>
      <c r="C62" s="70">
        <v>0.02</v>
      </c>
      <c r="D62" s="70">
        <v>0.02</v>
      </c>
      <c r="E62" s="70">
        <v>0.02</v>
      </c>
      <c r="F62" s="70">
        <f>H62</f>
        <v>0.02</v>
      </c>
      <c r="G62" s="70">
        <f>H62</f>
        <v>0.02</v>
      </c>
      <c r="H62" s="70">
        <v>0.02</v>
      </c>
      <c r="I62" s="70">
        <f>K62</f>
        <v>0.02</v>
      </c>
      <c r="J62" s="70">
        <f>K62</f>
        <v>0.02</v>
      </c>
      <c r="K62" s="70">
        <v>0.02</v>
      </c>
      <c r="L62" s="70">
        <f>N62</f>
        <v>0.02</v>
      </c>
      <c r="M62" s="70">
        <f>N62</f>
        <v>0.02</v>
      </c>
      <c r="N62" s="70">
        <v>0.02</v>
      </c>
      <c r="O62" s="70">
        <f>Q62</f>
        <v>0.02</v>
      </c>
      <c r="P62" s="70">
        <f>Q62</f>
        <v>0.02</v>
      </c>
      <c r="Q62" s="70">
        <v>0.02</v>
      </c>
      <c r="R62" s="70">
        <v>0.02</v>
      </c>
      <c r="S62" s="70">
        <v>0.02</v>
      </c>
      <c r="T62" s="70">
        <v>0.02</v>
      </c>
      <c r="U62" s="70">
        <v>0.02</v>
      </c>
      <c r="V62" s="70">
        <v>0.02</v>
      </c>
      <c r="W62" s="70">
        <v>0.02</v>
      </c>
      <c r="X62" s="70">
        <v>0.02</v>
      </c>
      <c r="Y62" s="70">
        <v>0.02</v>
      </c>
      <c r="Z62" s="70">
        <v>0.02</v>
      </c>
      <c r="AA62" s="70">
        <v>0.02</v>
      </c>
    </row>
    <row r="63" spans="1:27" x14ac:dyDescent="0.35">
      <c r="A63" s="35"/>
      <c r="B63" s="35"/>
      <c r="C63" s="37"/>
      <c r="D63" s="37"/>
      <c r="E63" s="37"/>
      <c r="F63" s="37"/>
      <c r="G63" s="37"/>
      <c r="H63" s="37"/>
      <c r="I63" s="37"/>
      <c r="J63" s="37"/>
      <c r="K63" s="37"/>
      <c r="L63" s="37"/>
      <c r="M63" s="37"/>
      <c r="N63" s="37"/>
      <c r="O63" s="37"/>
      <c r="P63" s="37"/>
      <c r="Q63" s="37"/>
      <c r="R63" s="33"/>
      <c r="S63" s="33"/>
      <c r="T63" s="33"/>
      <c r="U63" s="33"/>
      <c r="V63" s="33"/>
      <c r="W63" s="33"/>
      <c r="X63" s="33"/>
      <c r="Y63" s="33"/>
      <c r="Z63" s="33"/>
      <c r="AA63" s="33"/>
    </row>
    <row r="64" spans="1:27" x14ac:dyDescent="0.35">
      <c r="A64" s="33" t="s">
        <v>157</v>
      </c>
      <c r="B64" s="33"/>
      <c r="C64" s="57"/>
      <c r="D64" s="57"/>
      <c r="E64" s="57"/>
      <c r="F64" s="57"/>
      <c r="G64" s="57"/>
      <c r="H64" s="57"/>
      <c r="I64" s="57"/>
      <c r="J64" s="57"/>
      <c r="K64" s="57"/>
      <c r="L64" s="57"/>
      <c r="M64" s="57"/>
      <c r="N64" s="57"/>
      <c r="O64" s="57"/>
      <c r="P64" s="57"/>
      <c r="Q64" s="57"/>
      <c r="R64" s="33"/>
      <c r="S64" s="33"/>
      <c r="T64" s="33"/>
      <c r="U64" s="33"/>
      <c r="V64" s="33"/>
      <c r="W64" s="33"/>
      <c r="X64" s="33"/>
      <c r="Y64" s="33"/>
      <c r="Z64" s="33"/>
      <c r="AA64" s="33"/>
    </row>
    <row r="65" spans="1:27" x14ac:dyDescent="0.35">
      <c r="A65" s="35" t="s">
        <v>158</v>
      </c>
      <c r="B65" s="35" t="s">
        <v>159</v>
      </c>
      <c r="C65" s="38" cm="1">
        <f t="array" aca="1" ref="C65" ca="1">INDIRECT("'"&amp;C$4&amp;"'!"&amp;$B65)</f>
        <v>3.4248186921767268E-7</v>
      </c>
      <c r="D65" s="38" cm="1">
        <f t="array" aca="1" ref="D65" ca="1">INDIRECT("'"&amp;D$4&amp;"'!"&amp;$B65)</f>
        <v>1.2969019663843186E-7</v>
      </c>
      <c r="E65" s="38" cm="1">
        <f t="array" aca="1" ref="E65" ca="1">INDIRECT("'"&amp;E$4&amp;"'!"&amp;$B65)</f>
        <v>4.9507826824481939E-8</v>
      </c>
      <c r="F65" s="38" cm="1">
        <f t="array" aca="1" ref="F65" ca="1">INDIRECT("'"&amp;F$4&amp;"'!"&amp;$B65)</f>
        <v>1.4356791446660439E-7</v>
      </c>
      <c r="G65" s="38" cm="1">
        <f t="array" aca="1" ref="G65" ca="1">INDIRECT("'"&amp;G$4&amp;"'!"&amp;$B65)</f>
        <v>1.4356791446660439E-7</v>
      </c>
      <c r="H65" s="38" cm="1">
        <f t="array" aca="1" ref="H65" ca="1">INDIRECT("'"&amp;H$4&amp;"'!"&amp;$B65)</f>
        <v>1.4356791446660439E-7</v>
      </c>
      <c r="I65" s="38" cm="1">
        <f t="array" aca="1" ref="I65" ca="1">INDIRECT("'"&amp;I$4&amp;"'!"&amp;$B65)</f>
        <v>7.5721293905315535E-8</v>
      </c>
      <c r="J65" s="38" cm="1">
        <f t="array" aca="1" ref="J65" ca="1">INDIRECT("'"&amp;J$4&amp;"'!"&amp;$B65)</f>
        <v>7.5721293905315535E-8</v>
      </c>
      <c r="K65" s="38" cm="1">
        <f t="array" aca="1" ref="K65" ca="1">INDIRECT("'"&amp;K$4&amp;"'!"&amp;$B65)</f>
        <v>7.5721293905315535E-8</v>
      </c>
      <c r="L65" s="38" cm="1">
        <f t="array" aca="1" ref="L65" ca="1">INDIRECT("'"&amp;L$4&amp;"'!"&amp;$B65)</f>
        <v>5.95408399484559E-8</v>
      </c>
      <c r="M65" s="38" cm="1">
        <f t="array" aca="1" ref="M65" ca="1">INDIRECT("'"&amp;M$4&amp;"'!"&amp;$B65)</f>
        <v>5.95408399484559E-8</v>
      </c>
      <c r="N65" s="38" cm="1">
        <f t="array" aca="1" ref="N65" ca="1">INDIRECT("'"&amp;N$4&amp;"'!"&amp;$B65)</f>
        <v>5.95408399484559E-8</v>
      </c>
      <c r="O65" s="38" cm="1">
        <f t="array" aca="1" ref="O65" ca="1">INDIRECT("'"&amp;O$4&amp;"'!"&amp;$B65)</f>
        <v>3.1478193940924747E-8</v>
      </c>
      <c r="P65" s="38" cm="1">
        <f t="array" aca="1" ref="P65" ca="1">INDIRECT("'"&amp;P$4&amp;"'!"&amp;$B65)</f>
        <v>3.1478193940924747E-8</v>
      </c>
      <c r="Q65" s="38" cm="1">
        <f t="array" aca="1" ref="Q65" ca="1">INDIRECT("'"&amp;Q$4&amp;"'!"&amp;$B65)</f>
        <v>3.1478193940924747E-8</v>
      </c>
      <c r="R65" s="38" cm="1">
        <f t="array" aca="1" ref="R65" ca="1">INDIRECT("'"&amp;R$4&amp;"'!"&amp;$B65)</f>
        <v>4.398410036817092E-7</v>
      </c>
      <c r="S65" s="38" cm="1">
        <f t="array" aca="1" ref="S65" ca="1">INDIRECT("'"&amp;S$4&amp;"'!"&amp;$B65)</f>
        <v>1.6791796261480574E-7</v>
      </c>
      <c r="T65" s="38" cm="1">
        <f t="array" aca="1" ref="T65" ca="1">INDIRECT("'"&amp;T$4&amp;"'!"&amp;$B65)</f>
        <v>8.402681135186927E-8</v>
      </c>
      <c r="U65" s="38" cm="1">
        <f t="array" aca="1" ref="U65" ca="1">INDIRECT("'"&amp;U$4&amp;"'!"&amp;$B65)</f>
        <v>1.6190022579380159E-7</v>
      </c>
      <c r="V65" s="38" cm="1">
        <f t="array" aca="1" ref="V65" ca="1">INDIRECT("'"&amp;V$4&amp;"'!"&amp;$B65)</f>
        <v>7.263240409281355E-8</v>
      </c>
      <c r="W65" s="38" cm="1">
        <f t="array" aca="1" ref="W65" ca="1">INDIRECT("'"&amp;W$4&amp;"'!"&amp;$B65)</f>
        <v>1.2007201506201104E-8</v>
      </c>
      <c r="X65" s="38" cm="1">
        <f t="array" aca="1" ref="X65" ca="1">INDIRECT("'"&amp;X$4&amp;"'!"&amp;$B65)</f>
        <v>1.1880389798128283E-7</v>
      </c>
      <c r="Y65" s="116" t="str" cm="1">
        <f t="array" aca="1" ref="Y65" ca="1">IF(Y38="N/A","",INDIRECT("'"&amp;Y$4&amp;"'!"&amp;$B65))</f>
        <v/>
      </c>
      <c r="Z65" s="38" t="e" cm="1">
        <f t="array" aca="1" ref="Z65" ca="1">INDIRECT("'"&amp;Z$4&amp;"'!"&amp;$B65)</f>
        <v>#REF!</v>
      </c>
      <c r="AA65" s="38" t="e" cm="1">
        <f t="array" aca="1" ref="AA65" ca="1">INDIRECT("'"&amp;AA$4&amp;"'!"&amp;$B65)</f>
        <v>#REF!</v>
      </c>
    </row>
    <row r="66" spans="1:27" x14ac:dyDescent="0.35">
      <c r="A66" s="35" t="s">
        <v>160</v>
      </c>
      <c r="B66" s="35" t="s">
        <v>161</v>
      </c>
      <c r="C66" s="38" cm="1">
        <f t="array" aca="1" ref="C66" ca="1">INDIRECT("'"&amp;C$4&amp;"'!"&amp;$B66)</f>
        <v>2.1605534018873997E-8</v>
      </c>
      <c r="D66" s="38" cm="1">
        <f t="array" aca="1" ref="D66" ca="1">INDIRECT("'"&amp;D$4&amp;"'!"&amp;$B66)</f>
        <v>2.1605534018873997E-8</v>
      </c>
      <c r="E66" s="38" cm="1">
        <f t="array" aca="1" ref="E66" ca="1">INDIRECT("'"&amp;E$4&amp;"'!"&amp;$B66)</f>
        <v>1.2427151103215194E-8</v>
      </c>
      <c r="F66" s="38" cm="1">
        <f t="array" aca="1" ref="F66" ca="1">INDIRECT("'"&amp;F$4&amp;"'!"&amp;$B66)</f>
        <v>2.1605534018873997E-8</v>
      </c>
      <c r="G66" s="38" cm="1">
        <f t="array" aca="1" ref="G66" ca="1">INDIRECT("'"&amp;G$4&amp;"'!"&amp;$B66)</f>
        <v>2.1605534018873997E-8</v>
      </c>
      <c r="H66" s="38" cm="1">
        <f t="array" aca="1" ref="H66" ca="1">INDIRECT("'"&amp;H$4&amp;"'!"&amp;$B66)</f>
        <v>2.1605534018873997E-8</v>
      </c>
      <c r="I66" s="38" cm="1">
        <f t="array" aca="1" ref="I66" ca="1">INDIRECT("'"&amp;I$4&amp;"'!"&amp;$B66)</f>
        <v>2.1605534018873997E-8</v>
      </c>
      <c r="J66" s="38" cm="1">
        <f t="array" aca="1" ref="J66" ca="1">INDIRECT("'"&amp;J$4&amp;"'!"&amp;$B66)</f>
        <v>2.1605534018873997E-8</v>
      </c>
      <c r="K66" s="38" cm="1">
        <f t="array" aca="1" ref="K66" ca="1">INDIRECT("'"&amp;K$4&amp;"'!"&amp;$B66)</f>
        <v>2.1605534018873997E-8</v>
      </c>
      <c r="L66" s="38" cm="1">
        <f t="array" aca="1" ref="L66" ca="1">INDIRECT("'"&amp;L$4&amp;"'!"&amp;$B66)</f>
        <v>5.716981414329966E-9</v>
      </c>
      <c r="M66" s="38" cm="1">
        <f t="array" aca="1" ref="M66" ca="1">INDIRECT("'"&amp;M$4&amp;"'!"&amp;$B66)</f>
        <v>5.716981414329966E-9</v>
      </c>
      <c r="N66" s="38" cm="1">
        <f t="array" aca="1" ref="N66" ca="1">INDIRECT("'"&amp;N$4&amp;"'!"&amp;$B66)</f>
        <v>5.716981414329966E-9</v>
      </c>
      <c r="O66" s="38" cm="1">
        <f t="array" aca="1" ref="O66" ca="1">INDIRECT("'"&amp;O$4&amp;"'!"&amp;$B66)</f>
        <v>5.716981414329966E-9</v>
      </c>
      <c r="P66" s="38" cm="1">
        <f t="array" aca="1" ref="P66" ca="1">INDIRECT("'"&amp;P$4&amp;"'!"&amp;$B66)</f>
        <v>5.716981414329966E-9</v>
      </c>
      <c r="Q66" s="38" cm="1">
        <f t="array" aca="1" ref="Q66" ca="1">INDIRECT("'"&amp;Q$4&amp;"'!"&amp;$B66)</f>
        <v>5.716981414329966E-9</v>
      </c>
      <c r="R66" s="38" cm="1">
        <f t="array" aca="1" ref="R66" ca="1">INDIRECT("'"&amp;R$4&amp;"'!"&amp;$B66)</f>
        <v>2.8900206404764888E-8</v>
      </c>
      <c r="S66" s="38" cm="1">
        <f t="array" aca="1" ref="S66" ca="1">INDIRECT("'"&amp;S$4&amp;"'!"&amp;$B66)</f>
        <v>1.7923538569915303E-8</v>
      </c>
      <c r="T66" s="38" cm="1">
        <f t="array" aca="1" ref="T66" ca="1">INDIRECT("'"&amp;T$4&amp;"'!"&amp;$B66)</f>
        <v>2.5298194900764911E-8</v>
      </c>
      <c r="U66" s="38" cm="1">
        <f t="array" aca="1" ref="U66" ca="1">INDIRECT("'"&amp;U$4&amp;"'!"&amp;$B66)</f>
        <v>2.8079671534639058E-8</v>
      </c>
      <c r="V66" s="38" cm="1">
        <f t="array" aca="1" ref="V66" ca="1">INDIRECT("'"&amp;V$4&amp;"'!"&amp;$B66)</f>
        <v>3.2166004473924562E-8</v>
      </c>
      <c r="W66" s="38" cm="1">
        <f t="array" aca="1" ref="W66" ca="1">INDIRECT("'"&amp;W$4&amp;"'!"&amp;$B66)</f>
        <v>2.5304526913443125E-8</v>
      </c>
      <c r="X66" s="38" cm="1">
        <f t="array" aca="1" ref="X66" ca="1">INDIRECT("'"&amp;X$4&amp;"'!"&amp;$B66)</f>
        <v>4.3158717877844123E-8</v>
      </c>
      <c r="Y66" s="116" t="str" cm="1">
        <f t="array" aca="1" ref="Y66" ca="1">IF(Y38="N/A","",INDIRECT("'"&amp;Y$4&amp;"'!"&amp;$B66))</f>
        <v/>
      </c>
      <c r="Z66" s="38" t="e" cm="1">
        <f t="array" aca="1" ref="Z66" ca="1">INDIRECT("'"&amp;Z$4&amp;"'!"&amp;$B66)</f>
        <v>#REF!</v>
      </c>
      <c r="AA66" s="38" t="e" cm="1">
        <f t="array" aca="1" ref="AA66" ca="1">INDIRECT("'"&amp;AA$4&amp;"'!"&amp;$B66)</f>
        <v>#REF!</v>
      </c>
    </row>
    <row r="67" spans="1:27" x14ac:dyDescent="0.35">
      <c r="A67" s="35" t="s">
        <v>162</v>
      </c>
      <c r="B67" s="35" t="s">
        <v>163</v>
      </c>
      <c r="C67" s="38" cm="1">
        <f t="array" aca="1" ref="C67" ca="1">INDIRECT("'"&amp;C$4&amp;"'!"&amp;$B67)</f>
        <v>2.3489257511406977E-7</v>
      </c>
      <c r="D67" s="38" cm="1">
        <f t="array" aca="1" ref="D67" ca="1">INDIRECT("'"&amp;D$4&amp;"'!"&amp;$B67)</f>
        <v>8.7550869288750583E-8</v>
      </c>
      <c r="E67" s="38" cm="1">
        <f t="array" aca="1" ref="E67" ca="1">INDIRECT("'"&amp;E$4&amp;"'!"&amp;$B67)</f>
        <v>3.2030805890091832E-8</v>
      </c>
      <c r="F67" s="38" cm="1">
        <f t="array" aca="1" ref="F67" ca="1">INDIRECT("'"&amp;F$4&amp;"'!"&amp;$B67)</f>
        <v>9.716011101226428E-8</v>
      </c>
      <c r="G67" s="38" cm="1">
        <f t="array" aca="1" ref="G67" ca="1">INDIRECT("'"&amp;G$4&amp;"'!"&amp;$B67)</f>
        <v>9.716011101226428E-8</v>
      </c>
      <c r="H67" s="38" cm="1">
        <f t="array" aca="1" ref="H67" ca="1">INDIRECT("'"&amp;H$4&amp;"'!"&amp;$B67)</f>
        <v>9.716011101226428E-8</v>
      </c>
      <c r="I67" s="38" cm="1">
        <f t="array" aca="1" ref="I67" ca="1">INDIRECT("'"&amp;I$4&amp;"'!"&amp;$B67)</f>
        <v>5.0181595867462772E-8</v>
      </c>
      <c r="J67" s="38" cm="1">
        <f t="array" aca="1" ref="J67" ca="1">INDIRECT("'"&amp;J$4&amp;"'!"&amp;$B67)</f>
        <v>5.0181595867462772E-8</v>
      </c>
      <c r="K67" s="38" cm="1">
        <f t="array" aca="1" ref="K67" ca="1">INDIRECT("'"&amp;K$4&amp;"'!"&amp;$B67)</f>
        <v>5.0181595867462772E-8</v>
      </c>
      <c r="L67" s="38" cm="1">
        <f t="array" aca="1" ref="L67" ca="1">INDIRECT("'"&amp;L$4&amp;"'!"&amp;$B67)</f>
        <v>3.5879046436894368E-8</v>
      </c>
      <c r="M67" s="38" cm="1">
        <f t="array" aca="1" ref="M67" ca="1">INDIRECT("'"&amp;M$4&amp;"'!"&amp;$B67)</f>
        <v>3.5879046436894368E-8</v>
      </c>
      <c r="N67" s="38" cm="1">
        <f t="array" aca="1" ref="N67" ca="1">INDIRECT("'"&amp;N$4&amp;"'!"&amp;$B67)</f>
        <v>3.5879046436894368E-8</v>
      </c>
      <c r="O67" s="38" cm="1">
        <f t="array" aca="1" ref="O67" ca="1">INDIRECT("'"&amp;O$4&amp;"'!"&amp;$B67)</f>
        <v>1.8657104168454167E-8</v>
      </c>
      <c r="P67" s="38" cm="1">
        <f t="array" aca="1" ref="P67" ca="1">INDIRECT("'"&amp;P$4&amp;"'!"&amp;$B67)</f>
        <v>1.8657104168454167E-8</v>
      </c>
      <c r="Q67" s="38" cm="1">
        <f t="array" aca="1" ref="Q67" ca="1">INDIRECT("'"&amp;Q$4&amp;"'!"&amp;$B67)</f>
        <v>1.8657104168454167E-8</v>
      </c>
      <c r="R67" s="38" cm="1">
        <f t="array" aca="1" ref="R67" ca="1">INDIRECT("'"&amp;R$4&amp;"'!"&amp;$B67)</f>
        <v>2.2643483906104852E-7</v>
      </c>
      <c r="S67" s="38" cm="1">
        <f t="array" aca="1" ref="S67" ca="1">INDIRECT("'"&amp;S$4&amp;"'!"&amp;$B67)</f>
        <v>8.4535673501092623E-8</v>
      </c>
      <c r="T67" s="38" cm="1">
        <f t="array" aca="1" ref="T67" ca="1">INDIRECT("'"&amp;T$4&amp;"'!"&amp;$B67)</f>
        <v>4.0758271189742187E-8</v>
      </c>
      <c r="U67" s="38" cm="1">
        <f t="array" aca="1" ref="U67" ca="1">INDIRECT("'"&amp;U$4&amp;"'!"&amp;$B67)</f>
        <v>1.0058321906228511E-7</v>
      </c>
      <c r="V67" s="38" cm="1">
        <f t="array" aca="1" ref="V67" ca="1">INDIRECT("'"&amp;V$4&amp;"'!"&amp;$B67)</f>
        <v>4.4703653128913504E-8</v>
      </c>
      <c r="W67" s="38" cm="1">
        <f t="array" aca="1" ref="W67" ca="1">INDIRECT("'"&amp;W$4&amp;"'!"&amp;$B67)</f>
        <v>6.53306417246263E-9</v>
      </c>
      <c r="X67" s="38" cm="1">
        <f t="array" aca="1" ref="X67" ca="1">INDIRECT("'"&amp;X$4&amp;"'!"&amp;$B67)</f>
        <v>8.0077014611119853E-8</v>
      </c>
      <c r="Y67" s="116" t="str" cm="1">
        <f t="array" aca="1" ref="Y67" ca="1">IF(Y38="N/A","",INDIRECT("'"&amp;Y$4&amp;"'!"&amp;$B67))</f>
        <v/>
      </c>
      <c r="Z67" s="38" t="e" cm="1">
        <f t="array" aca="1" ref="Z67" ca="1">INDIRECT("'"&amp;Z$4&amp;"'!"&amp;$B67)</f>
        <v>#REF!</v>
      </c>
      <c r="AA67" s="38" t="e" cm="1">
        <f t="array" aca="1" ref="AA67" ca="1">INDIRECT("'"&amp;AA$4&amp;"'!"&amp;$B67)</f>
        <v>#REF!</v>
      </c>
    </row>
    <row r="68" spans="1:27" x14ac:dyDescent="0.35">
      <c r="A68" s="35" t="s">
        <v>164</v>
      </c>
      <c r="B68" s="35" t="s">
        <v>165</v>
      </c>
      <c r="C68" s="38" cm="1">
        <f t="array" aca="1" ref="C68" ca="1">INDIRECT("'"&amp;C$4&amp;"'!"&amp;$B68)</f>
        <v>1.0262490295885478E-8</v>
      </c>
      <c r="D68" s="38" cm="1">
        <f t="array" aca="1" ref="D68" ca="1">INDIRECT("'"&amp;D$4&amp;"'!"&amp;$B68)</f>
        <v>1.0262490295885478E-8</v>
      </c>
      <c r="E68" s="38" cm="1">
        <f t="array" aca="1" ref="E68" ca="1">INDIRECT("'"&amp;E$4&amp;"'!"&amp;$B68)</f>
        <v>6.0479110975299597E-9</v>
      </c>
      <c r="F68" s="38" cm="1">
        <f t="array" aca="1" ref="F68" ca="1">INDIRECT("'"&amp;F$4&amp;"'!"&amp;$B68)</f>
        <v>1.0262490295885478E-8</v>
      </c>
      <c r="G68" s="38" cm="1">
        <f t="array" aca="1" ref="G68" ca="1">INDIRECT("'"&amp;G$4&amp;"'!"&amp;$B68)</f>
        <v>1.0262490295885478E-8</v>
      </c>
      <c r="H68" s="38" cm="1">
        <f t="array" aca="1" ref="H68" ca="1">INDIRECT("'"&amp;H$4&amp;"'!"&amp;$B68)</f>
        <v>1.0262490295885478E-8</v>
      </c>
      <c r="I68" s="38" cm="1">
        <f t="array" aca="1" ref="I68" ca="1">INDIRECT("'"&amp;I$4&amp;"'!"&amp;$B68)</f>
        <v>1.0262490295885478E-8</v>
      </c>
      <c r="J68" s="38" cm="1">
        <f t="array" aca="1" ref="J68" ca="1">INDIRECT("'"&amp;J$4&amp;"'!"&amp;$B68)</f>
        <v>1.0262490295885478E-8</v>
      </c>
      <c r="K68" s="38" cm="1">
        <f t="array" aca="1" ref="K68" ca="1">INDIRECT("'"&amp;K$4&amp;"'!"&amp;$B68)</f>
        <v>1.0262490295885478E-8</v>
      </c>
      <c r="L68" s="38" cm="1">
        <f t="array" aca="1" ref="L68" ca="1">INDIRECT("'"&amp;L$4&amp;"'!"&amp;$B68)</f>
        <v>2.3263198569803835E-9</v>
      </c>
      <c r="M68" s="38" cm="1">
        <f t="array" aca="1" ref="M68" ca="1">INDIRECT("'"&amp;M$4&amp;"'!"&amp;$B68)</f>
        <v>2.3263198569803835E-9</v>
      </c>
      <c r="N68" s="38" cm="1">
        <f t="array" aca="1" ref="N68" ca="1">INDIRECT("'"&amp;N$4&amp;"'!"&amp;$B68)</f>
        <v>2.3263198569803835E-9</v>
      </c>
      <c r="O68" s="38" cm="1">
        <f t="array" aca="1" ref="O68" ca="1">INDIRECT("'"&amp;O$4&amp;"'!"&amp;$B68)</f>
        <v>2.3263198569803835E-9</v>
      </c>
      <c r="P68" s="38" cm="1">
        <f t="array" aca="1" ref="P68" ca="1">INDIRECT("'"&amp;P$4&amp;"'!"&amp;$B68)</f>
        <v>2.3263198569803835E-9</v>
      </c>
      <c r="Q68" s="38" cm="1">
        <f t="array" aca="1" ref="Q68" ca="1">INDIRECT("'"&amp;Q$4&amp;"'!"&amp;$B68)</f>
        <v>2.3263198569803835E-9</v>
      </c>
      <c r="R68" s="38" cm="1">
        <f t="array" aca="1" ref="R68" ca="1">INDIRECT("'"&amp;R$4&amp;"'!"&amp;$B68)</f>
        <v>1.3504095824450348E-8</v>
      </c>
      <c r="S68" s="38" cm="1">
        <f t="array" aca="1" ref="S68" ca="1">INDIRECT("'"&amp;S$4&amp;"'!"&amp;$B68)</f>
        <v>8.0367116419371291E-9</v>
      </c>
      <c r="T68" s="38" cm="1">
        <f t="array" aca="1" ref="T68" ca="1">INDIRECT("'"&amp;T$4&amp;"'!"&amp;$B68)</f>
        <v>8.6397789640701286E-9</v>
      </c>
      <c r="U68" s="38" cm="1">
        <f t="array" aca="1" ref="U68" ca="1">INDIRECT("'"&amp;U$4&amp;"'!"&amp;$B68)</f>
        <v>1.4250655687783387E-8</v>
      </c>
      <c r="V68" s="38" cm="1">
        <f t="array" aca="1" ref="V68" ca="1">INDIRECT("'"&amp;V$4&amp;"'!"&amp;$B68)</f>
        <v>1.4851930276077982E-8</v>
      </c>
      <c r="W68" s="38" cm="1">
        <f t="array" aca="1" ref="W68" ca="1">INDIRECT("'"&amp;W$4&amp;"'!"&amp;$B68)</f>
        <v>6.7867510867033718E-9</v>
      </c>
      <c r="X68" s="38" cm="1">
        <f t="array" aca="1" ref="X68" ca="1">INDIRECT("'"&amp;X$4&amp;"'!"&amp;$B68)</f>
        <v>1.90471935566848E-8</v>
      </c>
      <c r="Y68" s="116" t="str" cm="1">
        <f t="array" aca="1" ref="Y68" ca="1">IF(Y38="N/A","",INDIRECT("'"&amp;Y$4&amp;"'!"&amp;$B68))</f>
        <v/>
      </c>
      <c r="Z68" s="38" t="e" cm="1">
        <f t="array" aca="1" ref="Z68" ca="1">INDIRECT("'"&amp;Z$4&amp;"'!"&amp;$B68)</f>
        <v>#REF!</v>
      </c>
      <c r="AA68" s="38" t="e" cm="1">
        <f t="array" aca="1" ref="AA68" ca="1">INDIRECT("'"&amp;AA$4&amp;"'!"&amp;$B68)</f>
        <v>#REF!</v>
      </c>
    </row>
    <row r="69" spans="1:27" x14ac:dyDescent="0.35">
      <c r="A69" s="35" t="s">
        <v>166</v>
      </c>
      <c r="B69" s="35" t="s">
        <v>167</v>
      </c>
      <c r="C69" s="59" cm="1">
        <f t="array" aca="1" ref="C69" ca="1">INDIRECT("'"&amp;C$4&amp;"'!"&amp;$B69)</f>
        <v>6.5764120554627298E-2</v>
      </c>
      <c r="D69" s="59" cm="1">
        <f t="array" aca="1" ref="D69" ca="1">INDIRECT("'"&amp;D$4&amp;"'!"&amp;$B69)</f>
        <v>0.15885847070562409</v>
      </c>
      <c r="E69" s="59" cm="1">
        <f t="array" aca="1" ref="E69" ca="1">INDIRECT("'"&amp;E$4&amp;"'!"&amp;$B69)</f>
        <v>0.22894283236567545</v>
      </c>
      <c r="F69" s="59" cm="1">
        <f t="array" aca="1" ref="F69" ca="1">INDIRECT("'"&amp;F$4&amp;"'!"&amp;$B69)</f>
        <v>0.14543211773796963</v>
      </c>
      <c r="G69" s="59" cm="1">
        <f t="array" aca="1" ref="G69" ca="1">INDIRECT("'"&amp;G$4&amp;"'!"&amp;$B69)</f>
        <v>0.14543211773796963</v>
      </c>
      <c r="H69" s="59" cm="1">
        <f t="array" aca="1" ref="H69" ca="1">INDIRECT("'"&amp;H$4&amp;"'!"&amp;$B69)</f>
        <v>0.14543211773796963</v>
      </c>
      <c r="I69" s="59" cm="1">
        <f t="array" aca="1" ref="I69" ca="1">INDIRECT("'"&amp;I$4&amp;"'!"&amp;$B69)</f>
        <v>0.24783833852652642</v>
      </c>
      <c r="J69" s="59" cm="1">
        <f t="array" aca="1" ref="J69" ca="1">INDIRECT("'"&amp;J$4&amp;"'!"&amp;$B69)</f>
        <v>0.24783833852652642</v>
      </c>
      <c r="K69" s="59" cm="1">
        <f t="array" aca="1" ref="K69" ca="1">INDIRECT("'"&amp;K$4&amp;"'!"&amp;$B69)</f>
        <v>0.24783833852652642</v>
      </c>
      <c r="L69" s="59" cm="1">
        <f t="array" aca="1" ref="L69" ca="1">INDIRECT("'"&amp;L$4&amp;"'!"&amp;$B69)</f>
        <v>9.7538034587048225E-2</v>
      </c>
      <c r="M69" s="59" cm="1">
        <f t="array" aca="1" ref="M69" ca="1">INDIRECT("'"&amp;M$4&amp;"'!"&amp;$B69)</f>
        <v>9.7538034587048225E-2</v>
      </c>
      <c r="N69" s="59" cm="1">
        <f t="array" aca="1" ref="N69" ca="1">INDIRECT("'"&amp;N$4&amp;"'!"&amp;$B69)</f>
        <v>9.7538034587048225E-2</v>
      </c>
      <c r="O69" s="59" cm="1">
        <f t="array" aca="1" ref="O69" ca="1">INDIRECT("'"&amp;O$4&amp;"'!"&amp;$B69)</f>
        <v>0.17207990991013794</v>
      </c>
      <c r="P69" s="59" cm="1">
        <f t="array" aca="1" ref="P69" ca="1">INDIRECT("'"&amp;P$4&amp;"'!"&amp;$B69)</f>
        <v>0.17207990991013794</v>
      </c>
      <c r="Q69" s="59" cm="1">
        <f t="array" aca="1" ref="Q69" ca="1">INDIRECT("'"&amp;Q$4&amp;"'!"&amp;$B69)</f>
        <v>0.17207990991013794</v>
      </c>
      <c r="R69" s="59" cm="1">
        <f t="array" aca="1" ref="R69" ca="1">INDIRECT("'"&amp;R$4&amp;"'!"&amp;$B69)</f>
        <v>9.3218642071877383E-2</v>
      </c>
      <c r="S69" s="59" cm="1">
        <f t="array" aca="1" ref="S69" ca="1">INDIRECT("'"&amp;S$4&amp;"'!"&amp;$B69)</f>
        <v>0.1363529796457619</v>
      </c>
      <c r="T69" s="59" cm="1">
        <f t="array" aca="1" ref="T69" ca="1">INDIRECT("'"&amp;T$4&amp;"'!"&amp;$B69)</f>
        <v>0.2466792188319705</v>
      </c>
      <c r="U69" s="59" cm="1">
        <f t="array" aca="1" ref="U69" ca="1">INDIRECT("'"&amp;U$4&amp;"'!"&amp;$B69)</f>
        <v>3.1707301010037256E-2</v>
      </c>
      <c r="V69" s="59" cm="1">
        <f t="array" aca="1" ref="V69" ca="1">INDIRECT("'"&amp;V$4&amp;"'!"&amp;$B69)</f>
        <v>6.8621667264389313E-2</v>
      </c>
      <c r="W69" s="59" cm="1">
        <f t="array" aca="1" ref="W69" ca="1">INDIRECT("'"&amp;W$4&amp;"'!"&amp;$B69)</f>
        <v>7.3497551783103576E-2</v>
      </c>
      <c r="X69" s="59" cm="1">
        <f t="array" aca="1" ref="X69" ca="1">INDIRECT("'"&amp;X$4&amp;"'!"&amp;$B69)</f>
        <v>0.17053979573887276</v>
      </c>
      <c r="Y69" s="59" t="e" cm="1">
        <f t="array" aca="1" ref="Y69" ca="1">INDIRECT("'"&amp;Y$4&amp;"'!"&amp;$B69)</f>
        <v>#REF!</v>
      </c>
      <c r="Z69" s="59" t="e" cm="1">
        <f t="array" aca="1" ref="Z69" ca="1">INDIRECT("'"&amp;Z$4&amp;"'!"&amp;$B69)</f>
        <v>#REF!</v>
      </c>
      <c r="AA69" s="59" t="e" cm="1">
        <f t="array" aca="1" ref="AA69" ca="1">INDIRECT("'"&amp;AA$4&amp;"'!"&amp;$B69)</f>
        <v>#REF!</v>
      </c>
    </row>
    <row r="70" spans="1:27" x14ac:dyDescent="0.35">
      <c r="A70" s="35" t="s">
        <v>168</v>
      </c>
      <c r="B70" s="35" t="s">
        <v>169</v>
      </c>
      <c r="C70" s="59" cm="1">
        <f t="array" aca="1" ref="C70" ca="1">INDIRECT("'"&amp;C$4&amp;"'!"&amp;$B70)</f>
        <v>0.99999742818205017</v>
      </c>
      <c r="D70" s="59" cm="1">
        <f t="array" aca="1" ref="D70" ca="1">INDIRECT("'"&amp;D$4&amp;"'!"&amp;$B70)</f>
        <v>0.99999904139634077</v>
      </c>
      <c r="E70" s="59" cm="1">
        <f t="array" aca="1" ref="E70" ca="1">INDIRECT("'"&amp;E$4&amp;"'!"&amp;$B70)</f>
        <v>0.99999964927554275</v>
      </c>
      <c r="F70" s="59" cm="1">
        <f t="array" aca="1" ref="F70" ca="1">INDIRECT("'"&amp;F$4&amp;"'!"&amp;$B70)</f>
        <v>0.999998936186554</v>
      </c>
      <c r="G70" s="59" cm="1">
        <f t="array" aca="1" ref="G70" ca="1">INDIRECT("'"&amp;G$4&amp;"'!"&amp;$B70)</f>
        <v>0.999998936186554</v>
      </c>
      <c r="H70" s="59" cm="1">
        <f t="array" aca="1" ref="H70" ca="1">INDIRECT("'"&amp;H$4&amp;"'!"&amp;$B70)</f>
        <v>0.999998936186554</v>
      </c>
      <c r="I70" s="59" cm="1">
        <f t="array" aca="1" ref="I70" ca="1">INDIRECT("'"&amp;I$4&amp;"'!"&amp;$B70)</f>
        <v>0.99999945054572226</v>
      </c>
      <c r="J70" s="59" cm="1">
        <f t="array" aca="1" ref="J70" ca="1">INDIRECT("'"&amp;J$4&amp;"'!"&amp;$B70)</f>
        <v>0.99999945054572226</v>
      </c>
      <c r="K70" s="59" cm="1">
        <f t="array" aca="1" ref="K70" ca="1">INDIRECT("'"&amp;K$4&amp;"'!"&amp;$B70)</f>
        <v>0.99999945054572226</v>
      </c>
      <c r="L70" s="59" cm="1">
        <f t="array" aca="1" ref="L70" ca="1">INDIRECT("'"&amp;L$4&amp;"'!"&amp;$B70)</f>
        <v>0.99999912323465179</v>
      </c>
      <c r="M70" s="59" cm="1">
        <f t="array" aca="1" ref="M70" ca="1">INDIRECT("'"&amp;M$4&amp;"'!"&amp;$B70)</f>
        <v>0.99999912323465179</v>
      </c>
      <c r="N70" s="59" cm="1">
        <f t="array" aca="1" ref="N70" ca="1">INDIRECT("'"&amp;N$4&amp;"'!"&amp;$B70)</f>
        <v>0.99999912323465179</v>
      </c>
      <c r="O70" s="59" cm="1">
        <f t="array" aca="1" ref="O70" ca="1">INDIRECT("'"&amp;O$4&amp;"'!"&amp;$B70)</f>
        <v>0.99999954407408964</v>
      </c>
      <c r="P70" s="59" cm="1">
        <f t="array" aca="1" ref="P70" ca="1">INDIRECT("'"&amp;P$4&amp;"'!"&amp;$B70)</f>
        <v>0.99999954407408964</v>
      </c>
      <c r="Q70" s="59" cm="1">
        <f t="array" aca="1" ref="Q70" ca="1">INDIRECT("'"&amp;Q$4&amp;"'!"&amp;$B70)</f>
        <v>0.99999954407408964</v>
      </c>
      <c r="R70" s="59" cm="1">
        <f t="array" aca="1" ref="R70" ca="1">INDIRECT("'"&amp;R$4&amp;"'!"&amp;$B70)</f>
        <v>0.99999824647920199</v>
      </c>
      <c r="S70" s="59" cm="1">
        <f t="array" aca="1" ref="S70" ca="1">INDIRECT("'"&amp;S$4&amp;"'!"&amp;$B70)</f>
        <v>0.99999934533654922</v>
      </c>
      <c r="T70" s="59" cm="1">
        <f t="array" aca="1" ref="T70" ca="1">INDIRECT("'"&amp;T$4&amp;"'!"&amp;$B70)</f>
        <v>0.99999968434621955</v>
      </c>
      <c r="U70" s="59" cm="1">
        <f t="array" aca="1" ref="U70" ca="1">INDIRECT("'"&amp;U$4&amp;"'!"&amp;$B70)</f>
        <v>0.99999684368610631</v>
      </c>
      <c r="V70" s="59" cm="1">
        <f t="array" aca="1" ref="V70" ca="1">INDIRECT("'"&amp;V$4&amp;"'!"&amp;$B70)</f>
        <v>0.99999859717809214</v>
      </c>
      <c r="W70" s="59" cm="1">
        <f t="array" aca="1" ref="W70" ca="1">INDIRECT("'"&amp;W$4&amp;"'!"&amp;$B70)</f>
        <v>0.99999883098707931</v>
      </c>
      <c r="X70" s="59" cm="1">
        <f t="array" aca="1" ref="X70" ca="1">INDIRECT("'"&amp;X$4&amp;"'!"&amp;$B70)</f>
        <v>0.99999912322689011</v>
      </c>
      <c r="Y70" s="59" t="e" cm="1">
        <f t="array" aca="1" ref="Y70" ca="1">INDIRECT("'"&amp;Y$4&amp;"'!"&amp;$B70)</f>
        <v>#REF!</v>
      </c>
      <c r="Z70" s="59" t="e" cm="1">
        <f t="array" aca="1" ref="Z70" ca="1">INDIRECT("'"&amp;Z$4&amp;"'!"&amp;$B70)</f>
        <v>#REF!</v>
      </c>
      <c r="AA70" s="59" t="e" cm="1">
        <f t="array" aca="1" ref="AA70" ca="1">INDIRECT("'"&amp;AA$4&amp;"'!"&amp;$B70)</f>
        <v>#REF!</v>
      </c>
    </row>
    <row r="71" spans="1:27" x14ac:dyDescent="0.35">
      <c r="A71" s="35"/>
      <c r="B71" s="35"/>
      <c r="C71" s="39"/>
      <c r="D71" s="39"/>
      <c r="E71" s="39"/>
      <c r="F71" s="39"/>
      <c r="G71" s="39"/>
      <c r="H71" s="39"/>
      <c r="I71" s="39"/>
      <c r="J71" s="39"/>
      <c r="K71" s="39"/>
      <c r="L71" s="39"/>
      <c r="M71" s="39"/>
      <c r="N71" s="39"/>
      <c r="O71" s="39"/>
      <c r="P71" s="39"/>
      <c r="Q71" s="39"/>
      <c r="R71" s="57"/>
      <c r="S71" s="57"/>
      <c r="T71" s="57"/>
      <c r="U71" s="57"/>
      <c r="V71" s="57"/>
      <c r="W71" s="57"/>
      <c r="X71" s="57"/>
      <c r="Y71" s="57"/>
      <c r="Z71" s="57"/>
      <c r="AA71" s="57"/>
    </row>
    <row r="72" spans="1:27" x14ac:dyDescent="0.35">
      <c r="A72" s="33" t="s">
        <v>137</v>
      </c>
      <c r="B72" s="33"/>
      <c r="C72" s="57"/>
      <c r="D72" s="57"/>
      <c r="E72" s="57"/>
      <c r="F72" s="57"/>
      <c r="G72" s="57"/>
      <c r="H72" s="57"/>
      <c r="I72" s="57"/>
      <c r="J72" s="57"/>
      <c r="K72" s="57"/>
      <c r="L72" s="57"/>
      <c r="M72" s="57"/>
      <c r="N72" s="57"/>
      <c r="O72" s="57"/>
      <c r="P72" s="57"/>
      <c r="Q72" s="57"/>
      <c r="R72" s="57"/>
      <c r="S72" s="57"/>
      <c r="T72" s="57"/>
      <c r="U72" s="57"/>
      <c r="V72" s="57"/>
      <c r="W72" s="57"/>
      <c r="X72" s="57"/>
      <c r="Y72" s="57"/>
      <c r="Z72" s="57"/>
      <c r="AA72" s="57"/>
    </row>
    <row r="73" spans="1:27" x14ac:dyDescent="0.35">
      <c r="A73" s="35" t="s">
        <v>158</v>
      </c>
      <c r="B73" s="35" t="s">
        <v>170</v>
      </c>
      <c r="C73" s="38" cm="1">
        <f t="array" aca="1" ref="C73" ca="1">INDIRECT("'"&amp;C$4&amp;"'!"&amp;$B73)</f>
        <v>3.4248186921767268E-7</v>
      </c>
      <c r="D73" s="38" cm="1">
        <f t="array" aca="1" ref="D73" ca="1">INDIRECT("'"&amp;D$4&amp;"'!"&amp;$B73)</f>
        <v>1.2969019663843186E-7</v>
      </c>
      <c r="E73" s="38" cm="1">
        <f t="array" aca="1" ref="E73" ca="1">INDIRECT("'"&amp;E$4&amp;"'!"&amp;$B73)</f>
        <v>4.9507826824481939E-8</v>
      </c>
      <c r="F73" s="38" cm="1">
        <f t="array" aca="1" ref="F73" ca="1">INDIRECT("'"&amp;F$4&amp;"'!"&amp;$B73)</f>
        <v>1.4356791446660439E-7</v>
      </c>
      <c r="G73" s="38" cm="1">
        <f t="array" aca="1" ref="G73" ca="1">INDIRECT("'"&amp;G$4&amp;"'!"&amp;$B73)</f>
        <v>1.4356791446660439E-7</v>
      </c>
      <c r="H73" s="38" cm="1">
        <f t="array" aca="1" ref="H73" ca="1">INDIRECT("'"&amp;H$4&amp;"'!"&amp;$B73)</f>
        <v>1.4356791446660439E-7</v>
      </c>
      <c r="I73" s="116"/>
      <c r="J73" s="116"/>
      <c r="K73" s="116"/>
      <c r="L73" s="38" cm="1">
        <f t="array" aca="1" ref="L73" ca="1">INDIRECT("'"&amp;L$4&amp;"'!"&amp;$B73)</f>
        <v>5.95408399484559E-8</v>
      </c>
      <c r="M73" s="38" cm="1">
        <f t="array" aca="1" ref="M73" ca="1">INDIRECT("'"&amp;M$4&amp;"'!"&amp;$B73)</f>
        <v>5.95408399484559E-8</v>
      </c>
      <c r="N73" s="38" cm="1">
        <f t="array" aca="1" ref="N73" ca="1">INDIRECT("'"&amp;N$4&amp;"'!"&amp;$B73)</f>
        <v>5.95408399484559E-8</v>
      </c>
      <c r="O73" s="116"/>
      <c r="P73" s="116"/>
      <c r="Q73" s="116"/>
      <c r="R73" s="38" cm="1">
        <f t="array" aca="1" ref="R73" ca="1">INDIRECT("'"&amp;R$4&amp;"'!"&amp;$B73)</f>
        <v>2.3445154637731012E-7</v>
      </c>
      <c r="S73" s="38" cm="1">
        <f t="array" aca="1" ref="S73" ca="1">INDIRECT("'"&amp;S$4&amp;"'!"&amp;$B73)</f>
        <v>8.950649364209266E-8</v>
      </c>
      <c r="T73" s="38" cm="1">
        <f t="array" aca="1" ref="T73" ca="1">INDIRECT("'"&amp;T$4&amp;"'!"&amp;$B73)</f>
        <v>4.478940274712614E-8</v>
      </c>
      <c r="U73" s="38" cm="1">
        <f t="array" aca="1" ref="U73" ca="1">INDIRECT("'"&amp;U$4&amp;"'!"&amp;$B73)</f>
        <v>4.1948778277769463E-7</v>
      </c>
      <c r="V73" s="38" cm="1">
        <f t="array" aca="1" ref="V73" ca="1">INDIRECT("'"&amp;V$4&amp;"'!"&amp;$B73)</f>
        <v>1.8819248707851031E-7</v>
      </c>
      <c r="W73" s="38" cm="1">
        <f t="array" aca="1" ref="W73" ca="1">INDIRECT("'"&amp;W$4&amp;"'!"&amp;$B73)</f>
        <v>6.8616100898413214E-8</v>
      </c>
      <c r="X73" s="38" cm="1">
        <f t="array" aca="1" ref="X73" ca="1">INDIRECT("'"&amp;X$4&amp;"'!"&amp;$B73)</f>
        <v>1.1880389798128283E-7</v>
      </c>
      <c r="Y73" s="38" t="e" cm="1">
        <f t="array" aca="1" ref="Y73" ca="1">INDIRECT("'"&amp;Y$4&amp;"'!"&amp;$B73)</f>
        <v>#REF!</v>
      </c>
      <c r="Z73" s="38" t="e" cm="1">
        <f t="array" aca="1" ref="Z73" ca="1">INDIRECT("'"&amp;Z$4&amp;"'!"&amp;$B73)</f>
        <v>#REF!</v>
      </c>
      <c r="AA73" s="38" t="e" cm="1">
        <f t="array" aca="1" ref="AA73" ca="1">INDIRECT("'"&amp;AA$4&amp;"'!"&amp;$B73)</f>
        <v>#REF!</v>
      </c>
    </row>
    <row r="74" spans="1:27" x14ac:dyDescent="0.35">
      <c r="A74" s="35" t="s">
        <v>160</v>
      </c>
      <c r="B74" s="35" t="s">
        <v>171</v>
      </c>
      <c r="C74" s="38" cm="1">
        <f t="array" aca="1" ref="C74" ca="1">INDIRECT("'"&amp;C$4&amp;"'!"&amp;$B74)</f>
        <v>2.2780366956631629E-8</v>
      </c>
      <c r="D74" s="38" cm="1">
        <f t="array" aca="1" ref="D74" ca="1">INDIRECT("'"&amp;D$4&amp;"'!"&amp;$B74)</f>
        <v>2.2780366956631629E-8</v>
      </c>
      <c r="E74" s="38" cm="1">
        <f t="array" aca="1" ref="E74" ca="1">INDIRECT("'"&amp;E$4&amp;"'!"&amp;$B74)</f>
        <v>6.1858501236152233E-9</v>
      </c>
      <c r="F74" s="38" cm="1">
        <f t="array" aca="1" ref="F74" ca="1">INDIRECT("'"&amp;F$4&amp;"'!"&amp;$B74)</f>
        <v>1.0591474394673357E-8</v>
      </c>
      <c r="G74" s="38" cm="1">
        <f t="array" aca="1" ref="G74" ca="1">INDIRECT("'"&amp;G$4&amp;"'!"&amp;$B74)</f>
        <v>1.0591474394673357E-8</v>
      </c>
      <c r="H74" s="38" cm="1">
        <f t="array" aca="1" ref="H74" ca="1">INDIRECT("'"&amp;H$4&amp;"'!"&amp;$B74)</f>
        <v>1.0591474394673357E-8</v>
      </c>
      <c r="I74" s="116"/>
      <c r="J74" s="116"/>
      <c r="K74" s="116"/>
      <c r="L74" s="38" cm="1">
        <f t="array" aca="1" ref="L74" ca="1">INDIRECT("'"&amp;L$4&amp;"'!"&amp;$B74)</f>
        <v>4.7889839777171611E-9</v>
      </c>
      <c r="M74" s="38" cm="1">
        <f t="array" aca="1" ref="M74" ca="1">INDIRECT("'"&amp;M$4&amp;"'!"&amp;$B74)</f>
        <v>4.7889839777171611E-9</v>
      </c>
      <c r="N74" s="38" cm="1">
        <f t="array" aca="1" ref="N74" ca="1">INDIRECT("'"&amp;N$4&amp;"'!"&amp;$B74)</f>
        <v>4.7889839777171611E-9</v>
      </c>
      <c r="O74" s="116"/>
      <c r="P74" s="116"/>
      <c r="Q74" s="116"/>
      <c r="R74" s="38" cm="1">
        <f t="array" aca="1" ref="R74" ca="1">INDIRECT("'"&amp;R$4&amp;"'!"&amp;$B74)</f>
        <v>3.70627473199242E-8</v>
      </c>
      <c r="S74" s="38" cm="1">
        <f t="array" aca="1" ref="S74" ca="1">INDIRECT("'"&amp;S$4&amp;"'!"&amp;$B74)</f>
        <v>2.3678183634823517E-8</v>
      </c>
      <c r="T74" s="38" cm="1">
        <f t="array" aca="1" ref="T74" ca="1">INDIRECT("'"&amp;T$4&amp;"'!"&amp;$B74)</f>
        <v>1.1044440858279584E-8</v>
      </c>
      <c r="U74" s="38" cm="1">
        <f t="array" aca="1" ref="U74" ca="1">INDIRECT("'"&amp;U$4&amp;"'!"&amp;$B74)</f>
        <v>2.6414453271546342E-8</v>
      </c>
      <c r="V74" s="38" cm="1">
        <f t="array" aca="1" ref="V74" ca="1">INDIRECT("'"&amp;V$4&amp;"'!"&amp;$B74)</f>
        <v>2.9050902246761485E-8</v>
      </c>
      <c r="W74" s="38" cm="1">
        <f t="array" aca="1" ref="W74" ca="1">INDIRECT("'"&amp;W$4&amp;"'!"&amp;$B74)</f>
        <v>1.2128427384568205E-8</v>
      </c>
      <c r="X74" s="38" cm="1">
        <f t="array" aca="1" ref="X74" ca="1">INDIRECT("'"&amp;X$4&amp;"'!"&amp;$B74)</f>
        <v>4.685137535873332E-8</v>
      </c>
      <c r="Y74" s="38" t="e" cm="1">
        <f t="array" aca="1" ref="Y74" ca="1">INDIRECT("'"&amp;Y$4&amp;"'!"&amp;$B74)</f>
        <v>#REF!</v>
      </c>
      <c r="Z74" s="38" t="e" cm="1">
        <f t="array" aca="1" ref="Z74" ca="1">INDIRECT("'"&amp;Z$4&amp;"'!"&amp;$B74)</f>
        <v>#REF!</v>
      </c>
      <c r="AA74" s="38" t="e" cm="1">
        <f t="array" aca="1" ref="AA74" ca="1">INDIRECT("'"&amp;AA$4&amp;"'!"&amp;$B74)</f>
        <v>#REF!</v>
      </c>
    </row>
    <row r="75" spans="1:27" x14ac:dyDescent="0.35">
      <c r="A75" s="35" t="s">
        <v>162</v>
      </c>
      <c r="B75" s="35" t="s">
        <v>172</v>
      </c>
      <c r="C75" s="38" cm="1">
        <f t="array" aca="1" ref="C75" ca="1">INDIRECT("'"&amp;C$4&amp;"'!"&amp;$B75)</f>
        <v>2.3489257511406977E-7</v>
      </c>
      <c r="D75" s="38" cm="1">
        <f t="array" aca="1" ref="D75" ca="1">INDIRECT("'"&amp;D$4&amp;"'!"&amp;$B75)</f>
        <v>8.7550869288750583E-8</v>
      </c>
      <c r="E75" s="38" cm="1">
        <f t="array" aca="1" ref="E75" ca="1">INDIRECT("'"&amp;E$4&amp;"'!"&amp;$B75)</f>
        <v>3.2030805890091832E-8</v>
      </c>
      <c r="F75" s="38" cm="1">
        <f t="array" aca="1" ref="F75" ca="1">INDIRECT("'"&amp;F$4&amp;"'!"&amp;$B75)</f>
        <v>9.716011101226428E-8</v>
      </c>
      <c r="G75" s="38" cm="1">
        <f t="array" aca="1" ref="G75" ca="1">INDIRECT("'"&amp;G$4&amp;"'!"&amp;$B75)</f>
        <v>9.716011101226428E-8</v>
      </c>
      <c r="H75" s="38" cm="1">
        <f t="array" aca="1" ref="H75" ca="1">INDIRECT("'"&amp;H$4&amp;"'!"&amp;$B75)</f>
        <v>9.716011101226428E-8</v>
      </c>
      <c r="I75" s="116"/>
      <c r="J75" s="116"/>
      <c r="K75" s="116"/>
      <c r="L75" s="38" cm="1">
        <f t="array" aca="1" ref="L75" ca="1">INDIRECT("'"&amp;L$4&amp;"'!"&amp;$B75)</f>
        <v>3.5879046436894368E-8</v>
      </c>
      <c r="M75" s="38" cm="1">
        <f t="array" aca="1" ref="M75" ca="1">INDIRECT("'"&amp;M$4&amp;"'!"&amp;$B75)</f>
        <v>3.5879046436894368E-8</v>
      </c>
      <c r="N75" s="38" cm="1">
        <f t="array" aca="1" ref="N75" ca="1">INDIRECT("'"&amp;N$4&amp;"'!"&amp;$B75)</f>
        <v>3.5879046436894368E-8</v>
      </c>
      <c r="O75" s="116"/>
      <c r="P75" s="116"/>
      <c r="Q75" s="116"/>
      <c r="R75" s="38" cm="1">
        <f t="array" aca="1" ref="R75" ca="1">INDIRECT("'"&amp;R$4&amp;"'!"&amp;$B75)</f>
        <v>1.601540288418739E-7</v>
      </c>
      <c r="S75" s="38" cm="1">
        <f t="array" aca="1" ref="S75" ca="1">INDIRECT("'"&amp;S$4&amp;"'!"&amp;$B75)</f>
        <v>5.9790837612276972E-8</v>
      </c>
      <c r="T75" s="38" cm="1">
        <f t="array" aca="1" ref="T75" ca="1">INDIRECT("'"&amp;T$4&amp;"'!"&amp;$B75)</f>
        <v>2.8827725303821282E-8</v>
      </c>
      <c r="U75" s="38" cm="1">
        <f t="array" aca="1" ref="U75" ca="1">INDIRECT("'"&amp;U$4&amp;"'!"&amp;$B75)</f>
        <v>2.8827725081991944E-7</v>
      </c>
      <c r="V75" s="38" cm="1">
        <f t="array" aca="1" ref="V75" ca="1">INDIRECT("'"&amp;V$4&amp;"'!"&amp;$B75)</f>
        <v>1.2812322319521616E-7</v>
      </c>
      <c r="W75" s="38" cm="1">
        <f t="array" aca="1" ref="W75" ca="1">INDIRECT("'"&amp;W$4&amp;"'!"&amp;$B75)</f>
        <v>3.9981311986567208E-8</v>
      </c>
      <c r="X75" s="38" cm="1">
        <f t="array" aca="1" ref="X75" ca="1">INDIRECT("'"&amp;X$4&amp;"'!"&amp;$B75)</f>
        <v>8.0077014611119853E-8</v>
      </c>
      <c r="Y75" s="38" t="e" cm="1">
        <f t="array" aca="1" ref="Y75" ca="1">INDIRECT("'"&amp;Y$4&amp;"'!"&amp;$B75)</f>
        <v>#REF!</v>
      </c>
      <c r="Z75" s="38" t="e" cm="1">
        <f t="array" aca="1" ref="Z75" ca="1">INDIRECT("'"&amp;Z$4&amp;"'!"&amp;$B75)</f>
        <v>#REF!</v>
      </c>
      <c r="AA75" s="38" t="e" cm="1">
        <f t="array" aca="1" ref="AA75" ca="1">INDIRECT("'"&amp;AA$4&amp;"'!"&amp;$B75)</f>
        <v>#REF!</v>
      </c>
    </row>
    <row r="76" spans="1:27" x14ac:dyDescent="0.35">
      <c r="A76" s="35" t="s">
        <v>164</v>
      </c>
      <c r="B76" s="35" t="s">
        <v>173</v>
      </c>
      <c r="C76" s="38" cm="1">
        <f t="array" aca="1" ref="C76" ca="1">INDIRECT("'"&amp;C$4&amp;"'!"&amp;$B76)</f>
        <v>9.3071857084351626E-9</v>
      </c>
      <c r="D76" s="38" cm="1">
        <f t="array" aca="1" ref="D76" ca="1">INDIRECT("'"&amp;D$4&amp;"'!"&amp;$B76)</f>
        <v>9.3071857084351626E-9</v>
      </c>
      <c r="E76" s="38" cm="1">
        <f t="array" aca="1" ref="E76" ca="1">INDIRECT("'"&amp;E$4&amp;"'!"&amp;$B76)</f>
        <v>2.9572194617395459E-9</v>
      </c>
      <c r="F76" s="38" cm="1">
        <f t="array" aca="1" ref="F76" ca="1">INDIRECT("'"&amp;F$4&amp;"'!"&amp;$B76)</f>
        <v>4.6430512865409298E-9</v>
      </c>
      <c r="G76" s="38" cm="1">
        <f t="array" aca="1" ref="G76" ca="1">INDIRECT("'"&amp;G$4&amp;"'!"&amp;$B76)</f>
        <v>4.6430512865409298E-9</v>
      </c>
      <c r="H76" s="38" cm="1">
        <f t="array" aca="1" ref="H76" ca="1">INDIRECT("'"&amp;H$4&amp;"'!"&amp;$B76)</f>
        <v>4.6430512865409298E-9</v>
      </c>
      <c r="I76" s="116"/>
      <c r="J76" s="116"/>
      <c r="K76" s="116"/>
      <c r="L76" s="38" cm="1">
        <f t="array" aca="1" ref="L76" ca="1">INDIRECT("'"&amp;L$4&amp;"'!"&amp;$B76)</f>
        <v>1.6968629442640647E-9</v>
      </c>
      <c r="M76" s="38" cm="1">
        <f t="array" aca="1" ref="M76" ca="1">INDIRECT("'"&amp;M$4&amp;"'!"&amp;$B76)</f>
        <v>1.6968629442640647E-9</v>
      </c>
      <c r="N76" s="38" cm="1">
        <f t="array" aca="1" ref="N76" ca="1">INDIRECT("'"&amp;N$4&amp;"'!"&amp;$B76)</f>
        <v>1.6968629442640647E-9</v>
      </c>
      <c r="O76" s="116"/>
      <c r="P76" s="116"/>
      <c r="Q76" s="116"/>
      <c r="R76" s="38" cm="1">
        <f t="array" aca="1" ref="R76" ca="1">INDIRECT("'"&amp;R$4&amp;"'!"&amp;$B76)</f>
        <v>1.5888847087724362E-8</v>
      </c>
      <c r="S76" s="38" cm="1">
        <f t="array" aca="1" ref="S76" ca="1">INDIRECT("'"&amp;S$4&amp;"'!"&amp;$B76)</f>
        <v>9.6832192220403368E-9</v>
      </c>
      <c r="T76" s="38" cm="1">
        <f t="array" aca="1" ref="T76" ca="1">INDIRECT("'"&amp;T$4&amp;"'!"&amp;$B76)</f>
        <v>4.9168328903141989E-9</v>
      </c>
      <c r="U76" s="38" cm="1">
        <f t="array" aca="1" ref="U76" ca="1">INDIRECT("'"&amp;U$4&amp;"'!"&amp;$B76)</f>
        <v>1.0360642927922411E-8</v>
      </c>
      <c r="V76" s="38" cm="1">
        <f t="array" aca="1" ref="V76" ca="1">INDIRECT("'"&amp;V$4&amp;"'!"&amp;$B76)</f>
        <v>1.0608181221392333E-8</v>
      </c>
      <c r="W76" s="38" cm="1">
        <f t="array" aca="1" ref="W76" ca="1">INDIRECT("'"&amp;W$4&amp;"'!"&amp;$B76)</f>
        <v>3.3865196591770832E-9</v>
      </c>
      <c r="X76" s="38" cm="1">
        <f t="array" aca="1" ref="X76" ca="1">INDIRECT("'"&amp;X$4&amp;"'!"&amp;$B76)</f>
        <v>1.6952753502055003E-8</v>
      </c>
      <c r="Y76" s="38" t="e" cm="1">
        <f t="array" aca="1" ref="Y76" ca="1">INDIRECT("'"&amp;Y$4&amp;"'!"&amp;$B76)</f>
        <v>#REF!</v>
      </c>
      <c r="Z76" s="38" t="e" cm="1">
        <f t="array" aca="1" ref="Z76" ca="1">INDIRECT("'"&amp;Z$4&amp;"'!"&amp;$B76)</f>
        <v>#REF!</v>
      </c>
      <c r="AA76" s="38" t="e" cm="1">
        <f t="array" aca="1" ref="AA76" ca="1">INDIRECT("'"&amp;AA$4&amp;"'!"&amp;$B76)</f>
        <v>#REF!</v>
      </c>
    </row>
    <row r="77" spans="1:27" x14ac:dyDescent="0.35">
      <c r="A77" s="35" t="s">
        <v>166</v>
      </c>
      <c r="B77" s="35" t="s">
        <v>174</v>
      </c>
      <c r="C77" s="59" cm="1">
        <f t="array" aca="1" ref="C77" ca="1">INDIRECT("'"&amp;C$4&amp;"'!"&amp;$B77)</f>
        <v>6.9093063807722066E-2</v>
      </c>
      <c r="D77" s="59" cm="1">
        <f t="array" aca="1" ref="D77" ca="1">INDIRECT("'"&amp;D$4&amp;"'!"&amp;$B77)</f>
        <v>0.166062163188578</v>
      </c>
      <c r="E77" s="59" cm="1">
        <f t="array" aca="1" ref="E77" ca="1">INDIRECT("'"&amp;E$4&amp;"'!"&amp;$B77)</f>
        <v>0.12876649016385158</v>
      </c>
      <c r="F77" s="59" cm="1">
        <f t="array" aca="1" ref="F77" ca="1">INDIRECT("'"&amp;F$4&amp;"'!"&amp;$B77)</f>
        <v>7.7002643443583499E-2</v>
      </c>
      <c r="G77" s="59" cm="1">
        <f t="array" aca="1" ref="G77" ca="1">INDIRECT("'"&amp;G$4&amp;"'!"&amp;$B77)</f>
        <v>7.7002643443583499E-2</v>
      </c>
      <c r="H77" s="59" cm="1">
        <f t="array" aca="1" ref="H77" ca="1">INDIRECT("'"&amp;H$4&amp;"'!"&amp;$B77)</f>
        <v>7.7002643443583499E-2</v>
      </c>
      <c r="I77" s="117"/>
      <c r="J77" s="117"/>
      <c r="K77" s="117"/>
      <c r="L77" s="59" cm="1">
        <f t="array" aca="1" ref="L77" ca="1">INDIRECT("'"&amp;L$4&amp;"'!"&amp;$B77)</f>
        <v>8.3019795066711241E-2</v>
      </c>
      <c r="M77" s="59" cm="1">
        <f t="array" aca="1" ref="M77" ca="1">INDIRECT("'"&amp;M$4&amp;"'!"&amp;$B77)</f>
        <v>8.3019795066711241E-2</v>
      </c>
      <c r="N77" s="59" cm="1">
        <f t="array" aca="1" ref="N77" ca="1">INDIRECT("'"&amp;N$4&amp;"'!"&amp;$B77)</f>
        <v>8.3019795066711241E-2</v>
      </c>
      <c r="O77" s="117"/>
      <c r="P77" s="117"/>
      <c r="Q77" s="117"/>
      <c r="R77" s="59" cm="1">
        <f t="array" aca="1" ref="R77" ca="1">INDIRECT("'"&amp;R$4&amp;"'!"&amp;$B77)</f>
        <v>9.7811414389711193E-2</v>
      </c>
      <c r="S77" s="59" cm="1">
        <f t="array" aca="1" ref="S77" ca="1">INDIRECT("'"&amp;S$4&amp;"'!"&amp;$B77)</f>
        <v>0.14220167584142657</v>
      </c>
      <c r="T77" s="59" cm="1">
        <f t="array" aca="1" ref="T77" ca="1">INDIRECT("'"&amp;T$4&amp;"'!"&amp;$B77)</f>
        <v>0.13923980377245687</v>
      </c>
      <c r="U77" s="59" cm="1">
        <f t="array" aca="1" ref="U77" ca="1">INDIRECT("'"&amp;U$4&amp;"'!"&amp;$B77)</f>
        <v>4.5223426990923257E-2</v>
      </c>
      <c r="V77" s="59" cm="1">
        <f t="array" aca="1" ref="V77" ca="1">INDIRECT("'"&amp;V$4&amp;"'!"&amp;$B77)</f>
        <v>9.6308462084538124E-2</v>
      </c>
      <c r="W77" s="59" cm="1">
        <f t="array" aca="1" ref="W77" ca="1">INDIRECT("'"&amp;W$4&amp;"'!"&amp;$B77)</f>
        <v>0.10618650892234761</v>
      </c>
      <c r="X77" s="59" cm="1">
        <f t="array" aca="1" ref="X77" ca="1">INDIRECT("'"&amp;X$4&amp;"'!"&amp;$B77)</f>
        <v>0.17819347292115212</v>
      </c>
      <c r="Y77" s="59" t="e" cm="1">
        <f t="array" aca="1" ref="Y77" ca="1">INDIRECT("'"&amp;Y$4&amp;"'!"&amp;$B77)</f>
        <v>#REF!</v>
      </c>
      <c r="Z77" s="59" t="e" cm="1">
        <f t="array" aca="1" ref="Z77" ca="1">INDIRECT("'"&amp;Z$4&amp;"'!"&amp;$B77)</f>
        <v>#REF!</v>
      </c>
      <c r="AA77" s="59" t="e" cm="1">
        <f t="array" aca="1" ref="AA77" ca="1">INDIRECT("'"&amp;AA$4&amp;"'!"&amp;$B77)</f>
        <v>#REF!</v>
      </c>
    </row>
    <row r="78" spans="1:27" x14ac:dyDescent="0.35">
      <c r="A78" s="35" t="s">
        <v>168</v>
      </c>
      <c r="B78" s="35" t="s">
        <v>175</v>
      </c>
      <c r="C78" s="59" cm="1">
        <f t="array" aca="1" ref="C78" ca="1">INDIRECT("'"&amp;C$4&amp;"'!"&amp;$B78)</f>
        <v>0.99999742818204995</v>
      </c>
      <c r="D78" s="59" cm="1">
        <f t="array" aca="1" ref="D78" ca="1">INDIRECT("'"&amp;D$4&amp;"'!"&amp;$B78)</f>
        <v>0.99999904139634066</v>
      </c>
      <c r="E78" s="59" cm="1">
        <f t="array" aca="1" ref="E78" ca="1">INDIRECT("'"&amp;E$4&amp;"'!"&amp;$B78)</f>
        <v>0.99999964927554297</v>
      </c>
      <c r="F78" s="59" cm="1">
        <f t="array" aca="1" ref="F78" ca="1">INDIRECT("'"&amp;F$4&amp;"'!"&amp;$B78)</f>
        <v>0.999998936186554</v>
      </c>
      <c r="G78" s="59" cm="1">
        <f t="array" aca="1" ref="G78" ca="1">INDIRECT("'"&amp;G$4&amp;"'!"&amp;$B78)</f>
        <v>0.999998936186554</v>
      </c>
      <c r="H78" s="59" cm="1">
        <f t="array" aca="1" ref="H78" ca="1">INDIRECT("'"&amp;H$4&amp;"'!"&amp;$B78)</f>
        <v>0.999998936186554</v>
      </c>
      <c r="I78" s="117"/>
      <c r="J78" s="117"/>
      <c r="K78" s="117"/>
      <c r="L78" s="59" cm="1">
        <f t="array" aca="1" ref="L78" ca="1">INDIRECT("'"&amp;L$4&amp;"'!"&amp;$B78)</f>
        <v>0.99999912323465157</v>
      </c>
      <c r="M78" s="59" cm="1">
        <f t="array" aca="1" ref="M78" ca="1">INDIRECT("'"&amp;M$4&amp;"'!"&amp;$B78)</f>
        <v>0.99999912323465157</v>
      </c>
      <c r="N78" s="59" cm="1">
        <f t="array" aca="1" ref="N78" ca="1">INDIRECT("'"&amp;N$4&amp;"'!"&amp;$B78)</f>
        <v>0.99999912323465157</v>
      </c>
      <c r="O78" s="117"/>
      <c r="P78" s="117"/>
      <c r="Q78" s="117"/>
      <c r="R78" s="59" cm="1">
        <f t="array" aca="1" ref="R78" ca="1">INDIRECT("'"&amp;R$4&amp;"'!"&amp;$B78)</f>
        <v>0.99999824647920199</v>
      </c>
      <c r="S78" s="59" cm="1">
        <f t="array" aca="1" ref="S78" ca="1">INDIRECT("'"&amp;S$4&amp;"'!"&amp;$B78)</f>
        <v>0.99999934533654922</v>
      </c>
      <c r="T78" s="59" cm="1">
        <f t="array" aca="1" ref="T78" ca="1">INDIRECT("'"&amp;T$4&amp;"'!"&amp;$B78)</f>
        <v>0.99999968434621955</v>
      </c>
      <c r="U78" s="59" cm="1">
        <f t="array" aca="1" ref="U78" ca="1">INDIRECT("'"&amp;U$4&amp;"'!"&amp;$B78)</f>
        <v>0.99999684368610631</v>
      </c>
      <c r="V78" s="59" cm="1">
        <f t="array" aca="1" ref="V78" ca="1">INDIRECT("'"&amp;V$4&amp;"'!"&amp;$B78)</f>
        <v>0.99999859717809214</v>
      </c>
      <c r="W78" s="59" cm="1">
        <f t="array" aca="1" ref="W78" ca="1">INDIRECT("'"&amp;W$4&amp;"'!"&amp;$B78)</f>
        <v>0.99999883098707931</v>
      </c>
      <c r="X78" s="59" cm="1">
        <f t="array" aca="1" ref="X78" ca="1">INDIRECT("'"&amp;X$4&amp;"'!"&amp;$B78)</f>
        <v>0.99999912322689011</v>
      </c>
      <c r="Y78" s="59" t="e" cm="1">
        <f t="array" aca="1" ref="Y78" ca="1">INDIRECT("'"&amp;Y$4&amp;"'!"&amp;$B78)</f>
        <v>#REF!</v>
      </c>
      <c r="Z78" s="59" t="e" cm="1">
        <f t="array" aca="1" ref="Z78" ca="1">INDIRECT("'"&amp;Z$4&amp;"'!"&amp;$B78)</f>
        <v>#REF!</v>
      </c>
      <c r="AA78" s="59" t="e" cm="1">
        <f t="array" aca="1" ref="AA78" ca="1">INDIRECT("'"&amp;AA$4&amp;"'!"&amp;$B78)</f>
        <v>#REF!</v>
      </c>
    </row>
    <row r="79" spans="1:27" x14ac:dyDescent="0.35">
      <c r="A79" s="35"/>
      <c r="B79" s="35"/>
      <c r="C79" s="58"/>
      <c r="D79" s="57"/>
      <c r="E79" s="57"/>
      <c r="F79" s="57"/>
      <c r="G79" s="57"/>
      <c r="H79" s="57"/>
      <c r="I79" s="118"/>
      <c r="J79" s="118"/>
      <c r="K79" s="118"/>
      <c r="L79" s="57"/>
      <c r="M79" s="57"/>
      <c r="N79" s="57"/>
      <c r="O79" s="57"/>
      <c r="P79" s="57"/>
      <c r="Q79" s="57"/>
      <c r="R79" s="33"/>
      <c r="S79" s="33"/>
      <c r="T79" s="33"/>
      <c r="U79" s="114"/>
      <c r="V79" s="114"/>
      <c r="W79" s="114"/>
      <c r="X79" s="114"/>
      <c r="Y79" s="114"/>
      <c r="Z79" s="114"/>
      <c r="AA79" s="114"/>
    </row>
    <row r="80" spans="1:27" hidden="1" x14ac:dyDescent="0.35">
      <c r="A80" s="33" t="s">
        <v>176</v>
      </c>
      <c r="B80" s="33"/>
      <c r="C80" s="176"/>
      <c r="D80" s="176"/>
      <c r="E80" s="176"/>
      <c r="F80" s="176"/>
      <c r="G80" s="176"/>
      <c r="H80" s="176"/>
      <c r="I80" s="176"/>
      <c r="J80" s="176"/>
      <c r="K80" s="176"/>
      <c r="L80" s="176"/>
      <c r="M80" s="176"/>
      <c r="N80" s="176"/>
      <c r="O80" s="176"/>
      <c r="P80" s="176"/>
      <c r="Q80" s="176"/>
      <c r="R80" s="33"/>
      <c r="S80" s="33"/>
      <c r="T80" s="33"/>
      <c r="U80" s="114"/>
      <c r="V80" s="114"/>
      <c r="W80" s="114"/>
      <c r="X80" s="114"/>
      <c r="Y80" s="114"/>
      <c r="Z80" s="114"/>
      <c r="AA80" s="114"/>
    </row>
    <row r="81" spans="1:27" hidden="1" x14ac:dyDescent="0.35">
      <c r="A81" s="35" t="s">
        <v>177</v>
      </c>
      <c r="B81" s="35"/>
      <c r="C81" s="38">
        <v>4.9999999999999997E-12</v>
      </c>
      <c r="D81" s="38">
        <f>$C81</f>
        <v>4.9999999999999997E-12</v>
      </c>
      <c r="E81" s="38">
        <f t="shared" ref="E81:Q83" si="29">$C81</f>
        <v>4.9999999999999997E-12</v>
      </c>
      <c r="F81" s="38">
        <f t="shared" si="29"/>
        <v>4.9999999999999997E-12</v>
      </c>
      <c r="G81" s="38">
        <f t="shared" si="29"/>
        <v>4.9999999999999997E-12</v>
      </c>
      <c r="H81" s="38">
        <f t="shared" si="29"/>
        <v>4.9999999999999997E-12</v>
      </c>
      <c r="I81" s="38">
        <f t="shared" si="29"/>
        <v>4.9999999999999997E-12</v>
      </c>
      <c r="J81" s="38">
        <f t="shared" si="29"/>
        <v>4.9999999999999997E-12</v>
      </c>
      <c r="K81" s="38">
        <f t="shared" si="29"/>
        <v>4.9999999999999997E-12</v>
      </c>
      <c r="L81" s="38">
        <f t="shared" si="29"/>
        <v>4.9999999999999997E-12</v>
      </c>
      <c r="M81" s="38">
        <f t="shared" si="29"/>
        <v>4.9999999999999997E-12</v>
      </c>
      <c r="N81" s="38">
        <f t="shared" si="29"/>
        <v>4.9999999999999997E-12</v>
      </c>
      <c r="O81" s="38">
        <f t="shared" si="29"/>
        <v>4.9999999999999997E-12</v>
      </c>
      <c r="P81" s="38">
        <f t="shared" si="29"/>
        <v>4.9999999999999997E-12</v>
      </c>
      <c r="Q81" s="38">
        <f t="shared" si="29"/>
        <v>4.9999999999999997E-12</v>
      </c>
      <c r="R81" s="38">
        <f t="shared" ref="R81:Y92" si="30">$C81</f>
        <v>4.9999999999999997E-12</v>
      </c>
      <c r="S81" s="38">
        <f t="shared" si="30"/>
        <v>4.9999999999999997E-12</v>
      </c>
      <c r="T81" s="38">
        <f t="shared" si="30"/>
        <v>4.9999999999999997E-12</v>
      </c>
      <c r="U81" s="38">
        <f t="shared" si="30"/>
        <v>4.9999999999999997E-12</v>
      </c>
      <c r="V81" s="38">
        <f t="shared" si="30"/>
        <v>4.9999999999999997E-12</v>
      </c>
      <c r="W81" s="38">
        <f t="shared" si="30"/>
        <v>4.9999999999999997E-12</v>
      </c>
      <c r="X81" s="38">
        <f t="shared" si="30"/>
        <v>4.9999999999999997E-12</v>
      </c>
      <c r="Y81" s="38">
        <f t="shared" si="30"/>
        <v>4.9999999999999997E-12</v>
      </c>
      <c r="Z81" s="38">
        <f t="shared" ref="Z81:AA92" si="31">$C81</f>
        <v>4.9999999999999997E-12</v>
      </c>
      <c r="AA81" s="38">
        <f t="shared" si="31"/>
        <v>4.9999999999999997E-12</v>
      </c>
    </row>
    <row r="82" spans="1:27" hidden="1" x14ac:dyDescent="0.35">
      <c r="A82" s="35" t="s">
        <v>178</v>
      </c>
      <c r="B82" s="35"/>
      <c r="C82" s="38">
        <f>0.0000000000005</f>
        <v>4.9999999999999999E-13</v>
      </c>
      <c r="D82" s="38">
        <f>$C82</f>
        <v>4.9999999999999999E-13</v>
      </c>
      <c r="E82" s="38">
        <f t="shared" ref="E82:AA82" si="32">$C82</f>
        <v>4.9999999999999999E-13</v>
      </c>
      <c r="F82" s="38">
        <f t="shared" si="32"/>
        <v>4.9999999999999999E-13</v>
      </c>
      <c r="G82" s="38">
        <f t="shared" si="32"/>
        <v>4.9999999999999999E-13</v>
      </c>
      <c r="H82" s="38">
        <f t="shared" si="32"/>
        <v>4.9999999999999999E-13</v>
      </c>
      <c r="I82" s="38">
        <f t="shared" si="32"/>
        <v>4.9999999999999999E-13</v>
      </c>
      <c r="J82" s="38">
        <f t="shared" si="32"/>
        <v>4.9999999999999999E-13</v>
      </c>
      <c r="K82" s="38">
        <f t="shared" si="32"/>
        <v>4.9999999999999999E-13</v>
      </c>
      <c r="L82" s="38">
        <f t="shared" si="32"/>
        <v>4.9999999999999999E-13</v>
      </c>
      <c r="M82" s="38">
        <f t="shared" si="32"/>
        <v>4.9999999999999999E-13</v>
      </c>
      <c r="N82" s="38">
        <f t="shared" si="32"/>
        <v>4.9999999999999999E-13</v>
      </c>
      <c r="O82" s="38">
        <f t="shared" si="32"/>
        <v>4.9999999999999999E-13</v>
      </c>
      <c r="P82" s="38">
        <f t="shared" si="32"/>
        <v>4.9999999999999999E-13</v>
      </c>
      <c r="Q82" s="38">
        <f t="shared" si="32"/>
        <v>4.9999999999999999E-13</v>
      </c>
      <c r="R82" s="38">
        <f t="shared" si="32"/>
        <v>4.9999999999999999E-13</v>
      </c>
      <c r="S82" s="38">
        <f t="shared" si="32"/>
        <v>4.9999999999999999E-13</v>
      </c>
      <c r="T82" s="38">
        <f t="shared" si="32"/>
        <v>4.9999999999999999E-13</v>
      </c>
      <c r="U82" s="38">
        <f t="shared" si="32"/>
        <v>4.9999999999999999E-13</v>
      </c>
      <c r="V82" s="38">
        <f t="shared" si="32"/>
        <v>4.9999999999999999E-13</v>
      </c>
      <c r="W82" s="38">
        <f t="shared" si="32"/>
        <v>4.9999999999999999E-13</v>
      </c>
      <c r="X82" s="38">
        <f t="shared" si="32"/>
        <v>4.9999999999999999E-13</v>
      </c>
      <c r="Y82" s="38">
        <f t="shared" si="32"/>
        <v>4.9999999999999999E-13</v>
      </c>
      <c r="Z82" s="38">
        <f t="shared" si="32"/>
        <v>4.9999999999999999E-13</v>
      </c>
      <c r="AA82" s="38">
        <f t="shared" si="32"/>
        <v>4.9999999999999999E-13</v>
      </c>
    </row>
    <row r="83" spans="1:27" hidden="1" x14ac:dyDescent="0.35">
      <c r="A83" s="35" t="s">
        <v>179</v>
      </c>
      <c r="B83" s="35"/>
      <c r="C83" s="38">
        <f>0.0000000000009*7*1.3</f>
        <v>8.1900000000000013E-12</v>
      </c>
      <c r="D83" s="38">
        <f>$C83</f>
        <v>8.1900000000000013E-12</v>
      </c>
      <c r="E83" s="38">
        <f>$C83</f>
        <v>8.1900000000000013E-12</v>
      </c>
      <c r="F83" s="38">
        <f t="shared" si="29"/>
        <v>8.1900000000000013E-12</v>
      </c>
      <c r="G83" s="38">
        <f t="shared" si="29"/>
        <v>8.1900000000000013E-12</v>
      </c>
      <c r="H83" s="38">
        <f t="shared" si="29"/>
        <v>8.1900000000000013E-12</v>
      </c>
      <c r="I83" s="38">
        <f t="shared" si="29"/>
        <v>8.1900000000000013E-12</v>
      </c>
      <c r="J83" s="38">
        <f t="shared" si="29"/>
        <v>8.1900000000000013E-12</v>
      </c>
      <c r="K83" s="38">
        <f t="shared" si="29"/>
        <v>8.1900000000000013E-12</v>
      </c>
      <c r="L83" s="38">
        <f t="shared" si="29"/>
        <v>8.1900000000000013E-12</v>
      </c>
      <c r="M83" s="38">
        <f t="shared" si="29"/>
        <v>8.1900000000000013E-12</v>
      </c>
      <c r="N83" s="38">
        <f t="shared" si="29"/>
        <v>8.1900000000000013E-12</v>
      </c>
      <c r="O83" s="38">
        <f t="shared" si="29"/>
        <v>8.1900000000000013E-12</v>
      </c>
      <c r="P83" s="38">
        <f t="shared" si="29"/>
        <v>8.1900000000000013E-12</v>
      </c>
      <c r="Q83" s="38">
        <f t="shared" si="29"/>
        <v>8.1900000000000013E-12</v>
      </c>
      <c r="R83" s="38">
        <f t="shared" ref="R83:X83" si="33">$C83</f>
        <v>8.1900000000000013E-12</v>
      </c>
      <c r="S83" s="38">
        <f t="shared" si="33"/>
        <v>8.1900000000000013E-12</v>
      </c>
      <c r="T83" s="38">
        <f t="shared" si="33"/>
        <v>8.1900000000000013E-12</v>
      </c>
      <c r="U83" s="38">
        <f t="shared" si="33"/>
        <v>8.1900000000000013E-12</v>
      </c>
      <c r="V83" s="38">
        <f t="shared" si="33"/>
        <v>8.1900000000000013E-12</v>
      </c>
      <c r="W83" s="38">
        <f t="shared" si="33"/>
        <v>8.1900000000000013E-12</v>
      </c>
      <c r="X83" s="38">
        <f t="shared" si="33"/>
        <v>8.1900000000000013E-12</v>
      </c>
      <c r="Y83" s="38">
        <f t="shared" si="30"/>
        <v>8.1900000000000013E-12</v>
      </c>
      <c r="Z83" s="38">
        <f t="shared" si="31"/>
        <v>8.1900000000000013E-12</v>
      </c>
      <c r="AA83" s="38">
        <f t="shared" si="31"/>
        <v>8.1900000000000013E-12</v>
      </c>
    </row>
    <row r="84" spans="1:27" hidden="1" x14ac:dyDescent="0.35">
      <c r="A84" s="35" t="s">
        <v>180</v>
      </c>
      <c r="B84" s="35"/>
      <c r="C84" s="57">
        <v>0.69</v>
      </c>
      <c r="D84" s="57">
        <f t="shared" ref="D84:X99" si="34">$C84</f>
        <v>0.69</v>
      </c>
      <c r="E84" s="57">
        <f t="shared" si="34"/>
        <v>0.69</v>
      </c>
      <c r="F84" s="57">
        <f t="shared" si="34"/>
        <v>0.69</v>
      </c>
      <c r="G84" s="57">
        <f t="shared" si="34"/>
        <v>0.69</v>
      </c>
      <c r="H84" s="57">
        <f t="shared" si="34"/>
        <v>0.69</v>
      </c>
      <c r="I84" s="57">
        <f t="shared" si="34"/>
        <v>0.69</v>
      </c>
      <c r="J84" s="57">
        <f t="shared" si="34"/>
        <v>0.69</v>
      </c>
      <c r="K84" s="57">
        <f t="shared" si="34"/>
        <v>0.69</v>
      </c>
      <c r="L84" s="57">
        <f t="shared" si="34"/>
        <v>0.69</v>
      </c>
      <c r="M84" s="57">
        <f t="shared" si="34"/>
        <v>0.69</v>
      </c>
      <c r="N84" s="57">
        <f t="shared" si="34"/>
        <v>0.69</v>
      </c>
      <c r="O84" s="57">
        <f t="shared" si="34"/>
        <v>0.69</v>
      </c>
      <c r="P84" s="57">
        <f t="shared" si="34"/>
        <v>0.69</v>
      </c>
      <c r="Q84" s="57">
        <f t="shared" si="34"/>
        <v>0.69</v>
      </c>
      <c r="R84" s="57">
        <f t="shared" si="34"/>
        <v>0.69</v>
      </c>
      <c r="S84" s="57">
        <f t="shared" si="34"/>
        <v>0.69</v>
      </c>
      <c r="T84" s="57">
        <f t="shared" si="34"/>
        <v>0.69</v>
      </c>
      <c r="U84" s="57">
        <f t="shared" si="34"/>
        <v>0.69</v>
      </c>
      <c r="V84" s="57">
        <f t="shared" si="34"/>
        <v>0.69</v>
      </c>
      <c r="W84" s="57">
        <f t="shared" si="34"/>
        <v>0.69</v>
      </c>
      <c r="X84" s="57">
        <f t="shared" si="34"/>
        <v>0.69</v>
      </c>
      <c r="Y84" s="57">
        <f t="shared" si="30"/>
        <v>0.69</v>
      </c>
      <c r="Z84" s="57">
        <f t="shared" si="31"/>
        <v>0.69</v>
      </c>
      <c r="AA84" s="57">
        <f t="shared" si="31"/>
        <v>0.69</v>
      </c>
    </row>
    <row r="85" spans="1:27" hidden="1" x14ac:dyDescent="0.35">
      <c r="A85" s="35" t="s">
        <v>181</v>
      </c>
      <c r="B85" s="35"/>
      <c r="C85" s="57">
        <v>6.5</v>
      </c>
      <c r="D85" s="57">
        <f t="shared" ref="D85:AA85" si="35">$C85</f>
        <v>6.5</v>
      </c>
      <c r="E85" s="57">
        <f t="shared" si="35"/>
        <v>6.5</v>
      </c>
      <c r="F85" s="57">
        <f t="shared" si="35"/>
        <v>6.5</v>
      </c>
      <c r="G85" s="57">
        <f t="shared" si="35"/>
        <v>6.5</v>
      </c>
      <c r="H85" s="57">
        <f t="shared" si="35"/>
        <v>6.5</v>
      </c>
      <c r="I85" s="57">
        <f t="shared" si="35"/>
        <v>6.5</v>
      </c>
      <c r="J85" s="57">
        <f t="shared" si="35"/>
        <v>6.5</v>
      </c>
      <c r="K85" s="57">
        <f t="shared" si="35"/>
        <v>6.5</v>
      </c>
      <c r="L85" s="57">
        <f t="shared" si="35"/>
        <v>6.5</v>
      </c>
      <c r="M85" s="57">
        <f t="shared" si="35"/>
        <v>6.5</v>
      </c>
      <c r="N85" s="57">
        <f t="shared" si="35"/>
        <v>6.5</v>
      </c>
      <c r="O85" s="57">
        <f t="shared" si="35"/>
        <v>6.5</v>
      </c>
      <c r="P85" s="57">
        <f t="shared" si="35"/>
        <v>6.5</v>
      </c>
      <c r="Q85" s="57">
        <f t="shared" si="35"/>
        <v>6.5</v>
      </c>
      <c r="R85" s="57">
        <f t="shared" si="35"/>
        <v>6.5</v>
      </c>
      <c r="S85" s="57">
        <f t="shared" si="35"/>
        <v>6.5</v>
      </c>
      <c r="T85" s="57">
        <f t="shared" si="35"/>
        <v>6.5</v>
      </c>
      <c r="U85" s="57">
        <f t="shared" si="35"/>
        <v>6.5</v>
      </c>
      <c r="V85" s="57">
        <f t="shared" si="35"/>
        <v>6.5</v>
      </c>
      <c r="W85" s="57">
        <f t="shared" si="35"/>
        <v>6.5</v>
      </c>
      <c r="X85" s="57">
        <f t="shared" si="35"/>
        <v>6.5</v>
      </c>
      <c r="Y85" s="57">
        <f t="shared" si="35"/>
        <v>6.5</v>
      </c>
      <c r="Z85" s="57">
        <f t="shared" si="35"/>
        <v>6.5</v>
      </c>
      <c r="AA85" s="57">
        <f t="shared" si="35"/>
        <v>6.5</v>
      </c>
    </row>
    <row r="86" spans="1:27" hidden="1" x14ac:dyDescent="0.35">
      <c r="A86" s="35" t="s">
        <v>182</v>
      </c>
      <c r="B86" s="35"/>
      <c r="C86" s="38">
        <v>4.9999999999999997E-12</v>
      </c>
      <c r="D86" s="57">
        <f t="shared" si="34"/>
        <v>4.9999999999999997E-12</v>
      </c>
      <c r="E86" s="57">
        <f t="shared" si="34"/>
        <v>4.9999999999999997E-12</v>
      </c>
      <c r="F86" s="57">
        <f t="shared" si="34"/>
        <v>4.9999999999999997E-12</v>
      </c>
      <c r="G86" s="57">
        <f t="shared" si="34"/>
        <v>4.9999999999999997E-12</v>
      </c>
      <c r="H86" s="57">
        <f t="shared" si="34"/>
        <v>4.9999999999999997E-12</v>
      </c>
      <c r="I86" s="57">
        <f t="shared" si="34"/>
        <v>4.9999999999999997E-12</v>
      </c>
      <c r="J86" s="57">
        <f t="shared" si="34"/>
        <v>4.9999999999999997E-12</v>
      </c>
      <c r="K86" s="57">
        <f t="shared" si="34"/>
        <v>4.9999999999999997E-12</v>
      </c>
      <c r="L86" s="57">
        <f t="shared" si="34"/>
        <v>4.9999999999999997E-12</v>
      </c>
      <c r="M86" s="57">
        <f t="shared" si="34"/>
        <v>4.9999999999999997E-12</v>
      </c>
      <c r="N86" s="57">
        <f t="shared" si="34"/>
        <v>4.9999999999999997E-12</v>
      </c>
      <c r="O86" s="57">
        <f t="shared" si="34"/>
        <v>4.9999999999999997E-12</v>
      </c>
      <c r="P86" s="57">
        <f t="shared" si="34"/>
        <v>4.9999999999999997E-12</v>
      </c>
      <c r="Q86" s="57">
        <f t="shared" si="34"/>
        <v>4.9999999999999997E-12</v>
      </c>
      <c r="R86" s="38">
        <v>4.9999999999999997E-12</v>
      </c>
      <c r="S86" s="38">
        <v>4.9999999999999997E-12</v>
      </c>
      <c r="T86" s="38">
        <v>4.9999999999999997E-12</v>
      </c>
      <c r="U86" s="38">
        <v>4.9999999999999997E-12</v>
      </c>
      <c r="V86" s="38">
        <v>4.9999999999999997E-12</v>
      </c>
      <c r="W86" s="38">
        <v>4.9999999999999997E-12</v>
      </c>
      <c r="X86" s="38">
        <v>4.9999999999999997E-12</v>
      </c>
      <c r="Y86" s="38">
        <v>3.9999999999999999E-12</v>
      </c>
      <c r="Z86" s="38">
        <v>3.9999999999999999E-12</v>
      </c>
      <c r="AA86" s="38">
        <v>3.9999999999999999E-12</v>
      </c>
    </row>
    <row r="87" spans="1:27" hidden="1" x14ac:dyDescent="0.35">
      <c r="A87" s="35" t="s">
        <v>183</v>
      </c>
      <c r="B87" s="35"/>
      <c r="C87" s="59">
        <v>2.93</v>
      </c>
      <c r="D87" s="57">
        <f t="shared" si="34"/>
        <v>2.93</v>
      </c>
      <c r="E87" s="57">
        <f t="shared" si="34"/>
        <v>2.93</v>
      </c>
      <c r="F87" s="57">
        <f t="shared" si="34"/>
        <v>2.93</v>
      </c>
      <c r="G87" s="57">
        <f t="shared" si="34"/>
        <v>2.93</v>
      </c>
      <c r="H87" s="57">
        <f t="shared" si="34"/>
        <v>2.93</v>
      </c>
      <c r="I87" s="57">
        <f t="shared" si="34"/>
        <v>2.93</v>
      </c>
      <c r="J87" s="57">
        <f t="shared" si="34"/>
        <v>2.93</v>
      </c>
      <c r="K87" s="57">
        <f t="shared" si="34"/>
        <v>2.93</v>
      </c>
      <c r="L87" s="57">
        <f t="shared" si="34"/>
        <v>2.93</v>
      </c>
      <c r="M87" s="57">
        <f t="shared" si="34"/>
        <v>2.93</v>
      </c>
      <c r="N87" s="57">
        <f t="shared" si="34"/>
        <v>2.93</v>
      </c>
      <c r="O87" s="57">
        <f t="shared" si="34"/>
        <v>2.93</v>
      </c>
      <c r="P87" s="57">
        <f t="shared" si="34"/>
        <v>2.93</v>
      </c>
      <c r="Q87" s="57">
        <f t="shared" si="34"/>
        <v>2.93</v>
      </c>
      <c r="R87" s="59">
        <v>2.2999999999999998</v>
      </c>
      <c r="S87" s="59">
        <v>2.2999999999999998</v>
      </c>
      <c r="T87" s="59">
        <v>2.2999999999999998</v>
      </c>
      <c r="U87" s="59">
        <v>2.2999999999999998</v>
      </c>
      <c r="V87" s="59">
        <v>2.2999999999999998</v>
      </c>
      <c r="W87" s="59">
        <v>2.2999999999999998</v>
      </c>
      <c r="X87" s="59">
        <v>2.2999999999999998</v>
      </c>
      <c r="Y87" s="59">
        <v>6.5</v>
      </c>
      <c r="Z87" s="59">
        <v>6.5</v>
      </c>
      <c r="AA87" s="59">
        <v>6.5</v>
      </c>
    </row>
    <row r="88" spans="1:27" hidden="1" x14ac:dyDescent="0.35">
      <c r="A88" s="35" t="s">
        <v>184</v>
      </c>
      <c r="B88" s="35"/>
      <c r="C88" s="40">
        <v>0.25</v>
      </c>
      <c r="D88" s="40">
        <f t="shared" si="34"/>
        <v>0.25</v>
      </c>
      <c r="E88" s="40">
        <f t="shared" si="34"/>
        <v>0.25</v>
      </c>
      <c r="F88" s="40">
        <v>0.25</v>
      </c>
      <c r="G88" s="40">
        <f t="shared" si="34"/>
        <v>0.25</v>
      </c>
      <c r="H88" s="40">
        <f t="shared" si="34"/>
        <v>0.25</v>
      </c>
      <c r="I88" s="40">
        <v>0.25</v>
      </c>
      <c r="J88" s="40">
        <f t="shared" si="34"/>
        <v>0.25</v>
      </c>
      <c r="K88" s="40">
        <f t="shared" si="34"/>
        <v>0.25</v>
      </c>
      <c r="L88" s="40">
        <v>0.25</v>
      </c>
      <c r="M88" s="40">
        <f t="shared" si="34"/>
        <v>0.25</v>
      </c>
      <c r="N88" s="40">
        <f t="shared" si="34"/>
        <v>0.25</v>
      </c>
      <c r="O88" s="40">
        <v>0.25</v>
      </c>
      <c r="P88" s="40">
        <f t="shared" si="34"/>
        <v>0.25</v>
      </c>
      <c r="Q88" s="40">
        <f t="shared" si="34"/>
        <v>0.25</v>
      </c>
      <c r="R88" s="40">
        <f t="shared" si="34"/>
        <v>0.25</v>
      </c>
      <c r="S88" s="40">
        <f t="shared" si="34"/>
        <v>0.25</v>
      </c>
      <c r="T88" s="40">
        <f t="shared" si="34"/>
        <v>0.25</v>
      </c>
      <c r="U88" s="40">
        <f t="shared" si="34"/>
        <v>0.25</v>
      </c>
      <c r="V88" s="40">
        <f t="shared" si="34"/>
        <v>0.25</v>
      </c>
      <c r="W88" s="40">
        <f t="shared" si="34"/>
        <v>0.25</v>
      </c>
      <c r="X88" s="40">
        <f t="shared" si="34"/>
        <v>0.25</v>
      </c>
      <c r="Y88" s="40">
        <f t="shared" si="30"/>
        <v>0.25</v>
      </c>
      <c r="Z88" s="40">
        <f t="shared" si="31"/>
        <v>0.25</v>
      </c>
      <c r="AA88" s="40">
        <f t="shared" si="31"/>
        <v>0.25</v>
      </c>
    </row>
    <row r="89" spans="1:27" hidden="1" x14ac:dyDescent="0.35">
      <c r="A89" s="35" t="s">
        <v>185</v>
      </c>
      <c r="B89" s="35"/>
      <c r="C89" s="40">
        <v>0.25</v>
      </c>
      <c r="D89" s="40">
        <f t="shared" si="34"/>
        <v>0.25</v>
      </c>
      <c r="E89" s="40">
        <f t="shared" si="34"/>
        <v>0.25</v>
      </c>
      <c r="F89" s="40">
        <v>0.25</v>
      </c>
      <c r="G89" s="40">
        <f t="shared" si="34"/>
        <v>0.25</v>
      </c>
      <c r="H89" s="40">
        <f t="shared" si="34"/>
        <v>0.25</v>
      </c>
      <c r="I89" s="40">
        <v>0.25</v>
      </c>
      <c r="J89" s="40">
        <f t="shared" si="34"/>
        <v>0.25</v>
      </c>
      <c r="K89" s="40">
        <f t="shared" si="34"/>
        <v>0.25</v>
      </c>
      <c r="L89" s="40">
        <v>0.25</v>
      </c>
      <c r="M89" s="40">
        <f t="shared" si="34"/>
        <v>0.25</v>
      </c>
      <c r="N89" s="40">
        <f t="shared" si="34"/>
        <v>0.25</v>
      </c>
      <c r="O89" s="40">
        <v>0.25</v>
      </c>
      <c r="P89" s="40">
        <f t="shared" si="34"/>
        <v>0.25</v>
      </c>
      <c r="Q89" s="40">
        <f t="shared" si="34"/>
        <v>0.25</v>
      </c>
      <c r="R89" s="40">
        <f t="shared" si="34"/>
        <v>0.25</v>
      </c>
      <c r="S89" s="40">
        <f t="shared" si="34"/>
        <v>0.25</v>
      </c>
      <c r="T89" s="40">
        <f t="shared" si="34"/>
        <v>0.25</v>
      </c>
      <c r="U89" s="40">
        <f t="shared" si="34"/>
        <v>0.25</v>
      </c>
      <c r="V89" s="40">
        <f t="shared" si="34"/>
        <v>0.25</v>
      </c>
      <c r="W89" s="40">
        <f t="shared" si="34"/>
        <v>0.25</v>
      </c>
      <c r="X89" s="40">
        <f t="shared" si="34"/>
        <v>0.25</v>
      </c>
      <c r="Y89" s="40">
        <f t="shared" si="30"/>
        <v>0.25</v>
      </c>
      <c r="Z89" s="40">
        <f t="shared" si="31"/>
        <v>0.25</v>
      </c>
      <c r="AA89" s="40">
        <f t="shared" si="31"/>
        <v>0.25</v>
      </c>
    </row>
    <row r="90" spans="1:27" hidden="1" x14ac:dyDescent="0.35">
      <c r="A90" s="35" t="s">
        <v>186</v>
      </c>
      <c r="B90" s="35"/>
      <c r="C90" s="63"/>
      <c r="D90" s="63"/>
      <c r="E90" s="63"/>
      <c r="F90" s="63"/>
      <c r="G90" s="63"/>
      <c r="H90" s="63"/>
      <c r="I90" s="63"/>
      <c r="J90" s="63"/>
      <c r="K90" s="63"/>
      <c r="L90" s="63"/>
      <c r="M90" s="63"/>
      <c r="N90" s="63"/>
      <c r="O90" s="63"/>
      <c r="P90" s="63"/>
      <c r="Q90" s="63"/>
      <c r="R90" s="63"/>
      <c r="S90" s="63"/>
      <c r="T90" s="63"/>
      <c r="U90" s="63"/>
      <c r="V90" s="63"/>
      <c r="W90" s="63"/>
      <c r="X90" s="63"/>
      <c r="Y90" s="63"/>
      <c r="Z90" s="63"/>
      <c r="AA90" s="63"/>
    </row>
    <row r="91" spans="1:27" hidden="1" x14ac:dyDescent="0.35">
      <c r="A91" s="35" t="s">
        <v>187</v>
      </c>
      <c r="B91" s="35"/>
      <c r="C91" s="40">
        <v>0.25</v>
      </c>
      <c r="D91" s="40">
        <f t="shared" si="34"/>
        <v>0.25</v>
      </c>
      <c r="E91" s="40">
        <f t="shared" si="34"/>
        <v>0.25</v>
      </c>
      <c r="F91" s="40">
        <v>0.25</v>
      </c>
      <c r="G91" s="40">
        <f t="shared" si="34"/>
        <v>0.25</v>
      </c>
      <c r="H91" s="40">
        <f t="shared" si="34"/>
        <v>0.25</v>
      </c>
      <c r="I91" s="40">
        <v>0.25</v>
      </c>
      <c r="J91" s="40">
        <f t="shared" si="34"/>
        <v>0.25</v>
      </c>
      <c r="K91" s="40">
        <f t="shared" si="34"/>
        <v>0.25</v>
      </c>
      <c r="L91" s="40">
        <v>0.25</v>
      </c>
      <c r="M91" s="40">
        <f t="shared" si="34"/>
        <v>0.25</v>
      </c>
      <c r="N91" s="40">
        <f t="shared" si="34"/>
        <v>0.25</v>
      </c>
      <c r="O91" s="40">
        <v>0.25</v>
      </c>
      <c r="P91" s="40">
        <f t="shared" si="34"/>
        <v>0.25</v>
      </c>
      <c r="Q91" s="40">
        <f t="shared" si="34"/>
        <v>0.25</v>
      </c>
      <c r="R91" s="40">
        <f t="shared" si="34"/>
        <v>0.25</v>
      </c>
      <c r="S91" s="40">
        <f t="shared" si="34"/>
        <v>0.25</v>
      </c>
      <c r="T91" s="40">
        <f t="shared" si="34"/>
        <v>0.25</v>
      </c>
      <c r="U91" s="40">
        <f t="shared" si="34"/>
        <v>0.25</v>
      </c>
      <c r="V91" s="40">
        <f t="shared" si="34"/>
        <v>0.25</v>
      </c>
      <c r="W91" s="40">
        <f t="shared" si="34"/>
        <v>0.25</v>
      </c>
      <c r="X91" s="40">
        <f t="shared" si="34"/>
        <v>0.25</v>
      </c>
      <c r="Y91" s="40">
        <f t="shared" si="30"/>
        <v>0.25</v>
      </c>
      <c r="Z91" s="40">
        <f t="shared" si="31"/>
        <v>0.25</v>
      </c>
      <c r="AA91" s="40">
        <f t="shared" si="31"/>
        <v>0.25</v>
      </c>
    </row>
    <row r="92" spans="1:27" hidden="1" x14ac:dyDescent="0.35">
      <c r="A92" s="35" t="s">
        <v>188</v>
      </c>
      <c r="B92" s="35"/>
      <c r="C92" s="40">
        <v>0.25</v>
      </c>
      <c r="D92" s="40">
        <f t="shared" si="34"/>
        <v>0.25</v>
      </c>
      <c r="E92" s="40">
        <f t="shared" si="34"/>
        <v>0.25</v>
      </c>
      <c r="F92" s="40">
        <v>0.25</v>
      </c>
      <c r="G92" s="40">
        <f t="shared" si="34"/>
        <v>0.25</v>
      </c>
      <c r="H92" s="40">
        <f t="shared" si="34"/>
        <v>0.25</v>
      </c>
      <c r="I92" s="40">
        <v>0.25</v>
      </c>
      <c r="J92" s="40">
        <f t="shared" si="34"/>
        <v>0.25</v>
      </c>
      <c r="K92" s="40">
        <f t="shared" si="34"/>
        <v>0.25</v>
      </c>
      <c r="L92" s="40">
        <v>0.25</v>
      </c>
      <c r="M92" s="40">
        <f t="shared" si="34"/>
        <v>0.25</v>
      </c>
      <c r="N92" s="40">
        <f t="shared" si="34"/>
        <v>0.25</v>
      </c>
      <c r="O92" s="40">
        <v>0.25</v>
      </c>
      <c r="P92" s="40">
        <f t="shared" si="34"/>
        <v>0.25</v>
      </c>
      <c r="Q92" s="40">
        <f t="shared" si="34"/>
        <v>0.25</v>
      </c>
      <c r="R92" s="40">
        <f t="shared" si="34"/>
        <v>0.25</v>
      </c>
      <c r="S92" s="40">
        <f t="shared" si="34"/>
        <v>0.25</v>
      </c>
      <c r="T92" s="40">
        <f t="shared" si="34"/>
        <v>0.25</v>
      </c>
      <c r="U92" s="40">
        <f t="shared" si="34"/>
        <v>0.25</v>
      </c>
      <c r="V92" s="40">
        <f t="shared" si="34"/>
        <v>0.25</v>
      </c>
      <c r="W92" s="40">
        <f t="shared" si="34"/>
        <v>0.25</v>
      </c>
      <c r="X92" s="40">
        <f t="shared" si="34"/>
        <v>0.25</v>
      </c>
      <c r="Y92" s="40">
        <f t="shared" si="30"/>
        <v>0.25</v>
      </c>
      <c r="Z92" s="40">
        <f t="shared" si="31"/>
        <v>0.25</v>
      </c>
      <c r="AA92" s="40">
        <f t="shared" si="31"/>
        <v>0.25</v>
      </c>
    </row>
    <row r="93" spans="1:27" hidden="1" x14ac:dyDescent="0.35">
      <c r="A93" s="35"/>
      <c r="B93" s="35"/>
      <c r="C93" s="40"/>
      <c r="D93" s="38"/>
      <c r="E93" s="38"/>
      <c r="F93" s="40"/>
      <c r="G93" s="38"/>
      <c r="H93" s="57"/>
      <c r="I93" s="40"/>
      <c r="J93" s="38"/>
      <c r="K93" s="57"/>
      <c r="L93" s="40"/>
      <c r="M93" s="38"/>
      <c r="N93" s="57"/>
      <c r="O93" s="40"/>
      <c r="P93" s="38"/>
      <c r="Q93" s="57"/>
      <c r="R93" s="33"/>
      <c r="S93" s="33"/>
      <c r="T93" s="33"/>
      <c r="U93" s="114"/>
      <c r="V93" s="114"/>
      <c r="W93" s="114"/>
      <c r="X93" s="114"/>
      <c r="Y93" s="114"/>
      <c r="Z93" s="114"/>
      <c r="AA93" s="114"/>
    </row>
    <row r="94" spans="1:27" x14ac:dyDescent="0.35">
      <c r="A94" s="33" t="s">
        <v>189</v>
      </c>
      <c r="B94" s="33"/>
      <c r="C94" s="33"/>
      <c r="D94" s="38"/>
      <c r="E94" s="38"/>
      <c r="F94" s="33"/>
      <c r="G94" s="38"/>
      <c r="H94" s="33"/>
      <c r="I94" s="33"/>
      <c r="J94" s="38"/>
      <c r="K94" s="33"/>
      <c r="L94" s="33"/>
      <c r="M94" s="38"/>
      <c r="N94" s="33"/>
      <c r="O94" s="33"/>
      <c r="P94" s="38"/>
      <c r="Q94" s="33"/>
      <c r="R94" s="33"/>
      <c r="S94" s="33"/>
      <c r="T94" s="33"/>
      <c r="U94" s="33"/>
      <c r="V94" s="33"/>
      <c r="W94" s="33"/>
      <c r="X94" s="33"/>
      <c r="Y94" s="33"/>
      <c r="Z94" s="33"/>
      <c r="AA94" s="33"/>
    </row>
    <row r="95" spans="1:27" x14ac:dyDescent="0.35">
      <c r="A95" s="35" t="s">
        <v>190</v>
      </c>
      <c r="B95" s="35"/>
      <c r="C95" s="38">
        <f>0.000000000001</f>
        <v>9.9999999999999998E-13</v>
      </c>
      <c r="D95" s="38">
        <f t="shared" ref="D95:AA95" si="36">$C95</f>
        <v>9.9999999999999998E-13</v>
      </c>
      <c r="E95" s="38">
        <f t="shared" si="36"/>
        <v>9.9999999999999998E-13</v>
      </c>
      <c r="F95" s="38">
        <f t="shared" si="36"/>
        <v>9.9999999999999998E-13</v>
      </c>
      <c r="G95" s="38">
        <f t="shared" si="36"/>
        <v>9.9999999999999998E-13</v>
      </c>
      <c r="H95" s="38">
        <f t="shared" si="36"/>
        <v>9.9999999999999998E-13</v>
      </c>
      <c r="I95" s="38">
        <f t="shared" si="36"/>
        <v>9.9999999999999998E-13</v>
      </c>
      <c r="J95" s="38">
        <f t="shared" si="36"/>
        <v>9.9999999999999998E-13</v>
      </c>
      <c r="K95" s="38">
        <f t="shared" si="36"/>
        <v>9.9999999999999998E-13</v>
      </c>
      <c r="L95" s="38">
        <f t="shared" si="36"/>
        <v>9.9999999999999998E-13</v>
      </c>
      <c r="M95" s="38">
        <f t="shared" si="36"/>
        <v>9.9999999999999998E-13</v>
      </c>
      <c r="N95" s="38">
        <f t="shared" si="36"/>
        <v>9.9999999999999998E-13</v>
      </c>
      <c r="O95" s="38">
        <f t="shared" si="36"/>
        <v>9.9999999999999998E-13</v>
      </c>
      <c r="P95" s="38">
        <f t="shared" si="36"/>
        <v>9.9999999999999998E-13</v>
      </c>
      <c r="Q95" s="38">
        <f t="shared" si="36"/>
        <v>9.9999999999999998E-13</v>
      </c>
      <c r="R95" s="38">
        <f t="shared" si="36"/>
        <v>9.9999999999999998E-13</v>
      </c>
      <c r="S95" s="38">
        <f t="shared" si="36"/>
        <v>9.9999999999999998E-13</v>
      </c>
      <c r="T95" s="38">
        <f t="shared" si="36"/>
        <v>9.9999999999999998E-13</v>
      </c>
      <c r="U95" s="38">
        <f t="shared" si="36"/>
        <v>9.9999999999999998E-13</v>
      </c>
      <c r="V95" s="38">
        <f t="shared" si="36"/>
        <v>9.9999999999999998E-13</v>
      </c>
      <c r="W95" s="38">
        <f t="shared" si="36"/>
        <v>9.9999999999999998E-13</v>
      </c>
      <c r="X95" s="38">
        <f t="shared" si="36"/>
        <v>9.9999999999999998E-13</v>
      </c>
      <c r="Y95" s="38">
        <f t="shared" si="36"/>
        <v>9.9999999999999998E-13</v>
      </c>
      <c r="Z95" s="38">
        <f t="shared" si="36"/>
        <v>9.9999999999999998E-13</v>
      </c>
      <c r="AA95" s="38">
        <f t="shared" si="36"/>
        <v>9.9999999999999998E-13</v>
      </c>
    </row>
    <row r="96" spans="1:27" x14ac:dyDescent="0.35">
      <c r="A96" s="35" t="s">
        <v>191</v>
      </c>
      <c r="B96" s="35"/>
      <c r="C96" s="38">
        <f>0.00000000001</f>
        <v>9.9999999999999994E-12</v>
      </c>
      <c r="D96" s="38">
        <f t="shared" si="34"/>
        <v>9.9999999999999994E-12</v>
      </c>
      <c r="E96" s="38">
        <f t="shared" ref="E96:AA96" si="37">$C96</f>
        <v>9.9999999999999994E-12</v>
      </c>
      <c r="F96" s="38">
        <f t="shared" si="37"/>
        <v>9.9999999999999994E-12</v>
      </c>
      <c r="G96" s="38">
        <f t="shared" si="37"/>
        <v>9.9999999999999994E-12</v>
      </c>
      <c r="H96" s="38">
        <f t="shared" si="37"/>
        <v>9.9999999999999994E-12</v>
      </c>
      <c r="I96" s="38">
        <f t="shared" si="37"/>
        <v>9.9999999999999994E-12</v>
      </c>
      <c r="J96" s="38">
        <f t="shared" si="37"/>
        <v>9.9999999999999994E-12</v>
      </c>
      <c r="K96" s="38">
        <f t="shared" si="37"/>
        <v>9.9999999999999994E-12</v>
      </c>
      <c r="L96" s="38">
        <f t="shared" si="37"/>
        <v>9.9999999999999994E-12</v>
      </c>
      <c r="M96" s="38">
        <f t="shared" si="37"/>
        <v>9.9999999999999994E-12</v>
      </c>
      <c r="N96" s="38">
        <f t="shared" si="37"/>
        <v>9.9999999999999994E-12</v>
      </c>
      <c r="O96" s="38">
        <f t="shared" si="37"/>
        <v>9.9999999999999994E-12</v>
      </c>
      <c r="P96" s="38">
        <f t="shared" si="37"/>
        <v>9.9999999999999994E-12</v>
      </c>
      <c r="Q96" s="38">
        <f t="shared" si="37"/>
        <v>9.9999999999999994E-12</v>
      </c>
      <c r="R96" s="38">
        <f t="shared" si="37"/>
        <v>9.9999999999999994E-12</v>
      </c>
      <c r="S96" s="38">
        <f t="shared" si="37"/>
        <v>9.9999999999999994E-12</v>
      </c>
      <c r="T96" s="38">
        <f t="shared" si="37"/>
        <v>9.9999999999999994E-12</v>
      </c>
      <c r="U96" s="38">
        <f t="shared" si="37"/>
        <v>9.9999999999999994E-12</v>
      </c>
      <c r="V96" s="38">
        <f t="shared" si="37"/>
        <v>9.9999999999999994E-12</v>
      </c>
      <c r="W96" s="38">
        <f t="shared" si="37"/>
        <v>9.9999999999999994E-12</v>
      </c>
      <c r="X96" s="38">
        <f t="shared" si="37"/>
        <v>9.9999999999999994E-12</v>
      </c>
      <c r="Y96" s="38">
        <f t="shared" si="37"/>
        <v>9.9999999999999994E-12</v>
      </c>
      <c r="Z96" s="38">
        <f t="shared" si="37"/>
        <v>9.9999999999999994E-12</v>
      </c>
      <c r="AA96" s="38">
        <f t="shared" si="37"/>
        <v>9.9999999999999994E-12</v>
      </c>
    </row>
    <row r="97" spans="1:27" x14ac:dyDescent="0.35">
      <c r="A97" s="35" t="s">
        <v>192</v>
      </c>
      <c r="B97" s="35"/>
      <c r="C97" s="57">
        <v>133</v>
      </c>
      <c r="D97" s="57">
        <v>133</v>
      </c>
      <c r="E97" s="57">
        <v>20</v>
      </c>
      <c r="F97" s="57">
        <f>H97</f>
        <v>50</v>
      </c>
      <c r="G97" s="57">
        <f>H97</f>
        <v>50</v>
      </c>
      <c r="H97" s="57">
        <v>50</v>
      </c>
      <c r="I97" s="57">
        <f>K97</f>
        <v>50</v>
      </c>
      <c r="J97" s="57">
        <f>K97</f>
        <v>50</v>
      </c>
      <c r="K97" s="57">
        <v>50</v>
      </c>
      <c r="L97" s="57">
        <f>N97</f>
        <v>50</v>
      </c>
      <c r="M97" s="57">
        <f>N97</f>
        <v>50</v>
      </c>
      <c r="N97" s="57">
        <v>50</v>
      </c>
      <c r="O97" s="57">
        <f>Q97</f>
        <v>50</v>
      </c>
      <c r="P97" s="57">
        <f>Q97</f>
        <v>50</v>
      </c>
      <c r="Q97" s="57">
        <v>50</v>
      </c>
      <c r="R97" s="57">
        <v>133</v>
      </c>
      <c r="S97" s="57">
        <v>66.7</v>
      </c>
      <c r="T97" s="57">
        <v>20</v>
      </c>
      <c r="U97" s="57">
        <v>100</v>
      </c>
      <c r="V97" s="57">
        <v>100</v>
      </c>
      <c r="W97" s="57">
        <v>100</v>
      </c>
      <c r="X97" s="57">
        <v>133</v>
      </c>
      <c r="Y97" s="88">
        <v>11</v>
      </c>
      <c r="Z97" s="88">
        <v>200</v>
      </c>
      <c r="AA97" s="88">
        <v>200</v>
      </c>
    </row>
    <row r="98" spans="1:27" x14ac:dyDescent="0.35">
      <c r="A98" s="35" t="s">
        <v>184</v>
      </c>
      <c r="B98" s="35"/>
      <c r="C98" s="40">
        <v>0.5</v>
      </c>
      <c r="D98" s="40">
        <v>0.5</v>
      </c>
      <c r="E98" s="40">
        <v>0.5</v>
      </c>
      <c r="F98" s="40">
        <f>H98</f>
        <v>0.5</v>
      </c>
      <c r="G98" s="40">
        <f>H98</f>
        <v>0.5</v>
      </c>
      <c r="H98" s="40">
        <f t="shared" si="34"/>
        <v>0.5</v>
      </c>
      <c r="I98" s="40">
        <f>K98</f>
        <v>0.5</v>
      </c>
      <c r="J98" s="40">
        <f>K98</f>
        <v>0.5</v>
      </c>
      <c r="K98" s="40">
        <f t="shared" si="34"/>
        <v>0.5</v>
      </c>
      <c r="L98" s="40">
        <f>N98</f>
        <v>0.5</v>
      </c>
      <c r="M98" s="40">
        <f>N98</f>
        <v>0.5</v>
      </c>
      <c r="N98" s="40">
        <f t="shared" si="34"/>
        <v>0.5</v>
      </c>
      <c r="O98" s="40">
        <f>Q98</f>
        <v>0.5</v>
      </c>
      <c r="P98" s="40">
        <f>Q98</f>
        <v>0.5</v>
      </c>
      <c r="Q98" s="40">
        <f t="shared" si="34"/>
        <v>0.5</v>
      </c>
      <c r="R98" s="40">
        <f t="shared" si="34"/>
        <v>0.5</v>
      </c>
      <c r="S98" s="40">
        <f t="shared" si="34"/>
        <v>0.5</v>
      </c>
      <c r="T98" s="40">
        <f t="shared" si="34"/>
        <v>0.5</v>
      </c>
      <c r="U98" s="40">
        <v>0.6</v>
      </c>
      <c r="V98" s="40">
        <v>0.6</v>
      </c>
      <c r="W98" s="40">
        <v>0.6</v>
      </c>
      <c r="X98" s="40">
        <v>0.5</v>
      </c>
      <c r="Y98" s="89">
        <f>1-9/11</f>
        <v>0.18181818181818177</v>
      </c>
      <c r="Z98" s="89">
        <v>0.95</v>
      </c>
      <c r="AA98" s="89">
        <v>0.95</v>
      </c>
    </row>
    <row r="99" spans="1:27" x14ac:dyDescent="0.35">
      <c r="A99" s="35" t="s">
        <v>185</v>
      </c>
      <c r="B99" s="35"/>
      <c r="C99" s="40">
        <v>0</v>
      </c>
      <c r="D99" s="40">
        <v>0</v>
      </c>
      <c r="E99" s="40">
        <v>0</v>
      </c>
      <c r="F99" s="40">
        <f>H99</f>
        <v>0</v>
      </c>
      <c r="G99" s="40">
        <f>H99</f>
        <v>0</v>
      </c>
      <c r="H99" s="40">
        <f t="shared" si="34"/>
        <v>0</v>
      </c>
      <c r="I99" s="40">
        <f>K99</f>
        <v>0</v>
      </c>
      <c r="J99" s="40">
        <f>K99</f>
        <v>0</v>
      </c>
      <c r="K99" s="40">
        <f t="shared" si="34"/>
        <v>0</v>
      </c>
      <c r="L99" s="40">
        <f>N99</f>
        <v>0</v>
      </c>
      <c r="M99" s="40">
        <f>N99</f>
        <v>0</v>
      </c>
      <c r="N99" s="40">
        <f t="shared" si="34"/>
        <v>0</v>
      </c>
      <c r="O99" s="40">
        <f>Q99</f>
        <v>0</v>
      </c>
      <c r="P99" s="40">
        <f>Q99</f>
        <v>0</v>
      </c>
      <c r="Q99" s="40">
        <f t="shared" si="34"/>
        <v>0</v>
      </c>
      <c r="R99" s="40">
        <f t="shared" si="34"/>
        <v>0</v>
      </c>
      <c r="S99" s="40">
        <f t="shared" si="34"/>
        <v>0</v>
      </c>
      <c r="T99" s="40">
        <f t="shared" si="34"/>
        <v>0</v>
      </c>
      <c r="U99" s="40">
        <f t="shared" si="34"/>
        <v>0</v>
      </c>
      <c r="V99" s="40">
        <f t="shared" si="34"/>
        <v>0</v>
      </c>
      <c r="W99" s="40">
        <f t="shared" si="34"/>
        <v>0</v>
      </c>
      <c r="X99" s="40">
        <v>0</v>
      </c>
      <c r="Y99" s="89">
        <f>13/11-1</f>
        <v>0.18181818181818188</v>
      </c>
      <c r="Z99" s="89">
        <v>0.5</v>
      </c>
      <c r="AA99" s="89">
        <v>0.5</v>
      </c>
    </row>
    <row r="100" spans="1:27" x14ac:dyDescent="0.35">
      <c r="A100" s="33"/>
      <c r="B100" s="33"/>
      <c r="C100" s="57"/>
      <c r="D100" s="38"/>
      <c r="E100" s="38"/>
      <c r="F100" s="57"/>
      <c r="G100" s="38"/>
      <c r="H100" s="57"/>
      <c r="I100" s="57"/>
      <c r="J100" s="38"/>
      <c r="K100" s="57"/>
      <c r="L100" s="57"/>
      <c r="M100" s="38"/>
      <c r="N100" s="57"/>
      <c r="O100" s="57"/>
      <c r="P100" s="38"/>
      <c r="Q100" s="57"/>
      <c r="R100" s="33"/>
      <c r="S100" s="33"/>
      <c r="T100" s="33"/>
      <c r="U100" s="33"/>
      <c r="V100" s="33"/>
      <c r="W100" s="33"/>
      <c r="X100" s="33"/>
      <c r="Y100" s="33"/>
      <c r="Z100" s="33"/>
      <c r="AA100" s="33"/>
    </row>
    <row r="101" spans="1:27" ht="14.25" customHeight="1" x14ac:dyDescent="0.35">
      <c r="A101" s="36" t="s">
        <v>193</v>
      </c>
      <c r="B101" s="36"/>
      <c r="C101" s="38">
        <f t="shared" ref="C101:AA101" si="38">C10/39.37*C9+C12+C81+C82+C86+C95*C15</f>
        <v>1.4358026416052834E-10</v>
      </c>
      <c r="D101" s="38">
        <f t="shared" si="38"/>
        <v>1.4358026416052834E-10</v>
      </c>
      <c r="E101" s="38">
        <f t="shared" si="38"/>
        <v>1.4358026416052834E-10</v>
      </c>
      <c r="F101" s="38">
        <f t="shared" si="38"/>
        <v>1.4358026416052834E-10</v>
      </c>
      <c r="G101" s="38">
        <f t="shared" si="38"/>
        <v>1.4358026416052834E-10</v>
      </c>
      <c r="H101" s="38">
        <f t="shared" si="38"/>
        <v>1.4358026416052834E-10</v>
      </c>
      <c r="I101" s="38">
        <f t="shared" si="38"/>
        <v>1.4358026416052834E-10</v>
      </c>
      <c r="J101" s="38">
        <f t="shared" si="38"/>
        <v>1.4358026416052834E-10</v>
      </c>
      <c r="K101" s="38">
        <f t="shared" si="38"/>
        <v>1.4358026416052834E-10</v>
      </c>
      <c r="L101" s="38">
        <f t="shared" si="38"/>
        <v>6.4332105664211329E-11</v>
      </c>
      <c r="M101" s="38">
        <f t="shared" si="38"/>
        <v>6.4332105664211329E-11</v>
      </c>
      <c r="N101" s="38">
        <f t="shared" si="38"/>
        <v>6.4332105664211329E-11</v>
      </c>
      <c r="O101" s="38">
        <f t="shared" si="38"/>
        <v>6.4332105664211329E-11</v>
      </c>
      <c r="P101" s="38">
        <f t="shared" si="38"/>
        <v>6.4332105664211329E-11</v>
      </c>
      <c r="Q101" s="38">
        <f t="shared" si="38"/>
        <v>6.4332105664211329E-11</v>
      </c>
      <c r="R101" s="38">
        <f t="shared" si="38"/>
        <v>1.4358026416052834E-10</v>
      </c>
      <c r="S101" s="38">
        <f t="shared" si="38"/>
        <v>1.4358026416052834E-10</v>
      </c>
      <c r="T101" s="38">
        <f t="shared" si="38"/>
        <v>1.4358026416052834E-10</v>
      </c>
      <c r="U101" s="38">
        <f t="shared" si="38"/>
        <v>1.4358026416052834E-10</v>
      </c>
      <c r="V101" s="38">
        <f t="shared" si="38"/>
        <v>1.4358026416052834E-10</v>
      </c>
      <c r="W101" s="38">
        <f t="shared" si="38"/>
        <v>5.3765684531369072E-11</v>
      </c>
      <c r="X101" s="38">
        <f t="shared" si="38"/>
        <v>1.4358026416052834E-10</v>
      </c>
      <c r="Y101" s="38">
        <f t="shared" si="38"/>
        <v>2.1463639827279659E-10</v>
      </c>
      <c r="Z101" s="38">
        <f t="shared" si="38"/>
        <v>2.6042049784099565E-10</v>
      </c>
      <c r="AA101" s="38">
        <f t="shared" si="38"/>
        <v>2.6042049784099565E-10</v>
      </c>
    </row>
    <row r="102" spans="1:27" ht="14.25" customHeight="1" x14ac:dyDescent="0.35">
      <c r="A102" s="36" t="s">
        <v>194</v>
      </c>
      <c r="B102" s="36"/>
      <c r="C102" s="38">
        <f>C10/39.37*C9+C12+C81+C83+C86+C96*C15</f>
        <v>1.6027026416052833E-10</v>
      </c>
      <c r="D102" s="38">
        <f t="shared" ref="D102:X102" si="39">D10/39.37*D9+D12+D81+D83+D86+D96*D15</f>
        <v>1.6027026416052833E-10</v>
      </c>
      <c r="E102" s="38">
        <f t="shared" si="39"/>
        <v>1.6027026416052833E-10</v>
      </c>
      <c r="F102" s="38">
        <f t="shared" si="39"/>
        <v>1.6027026416052833E-10</v>
      </c>
      <c r="G102" s="38">
        <f t="shared" si="39"/>
        <v>1.6027026416052833E-10</v>
      </c>
      <c r="H102" s="38">
        <f t="shared" si="39"/>
        <v>1.6027026416052833E-10</v>
      </c>
      <c r="I102" s="38">
        <f t="shared" si="39"/>
        <v>1.6027026416052833E-10</v>
      </c>
      <c r="J102" s="38">
        <f t="shared" si="39"/>
        <v>1.6027026416052833E-10</v>
      </c>
      <c r="K102" s="38">
        <f t="shared" si="39"/>
        <v>1.6027026416052833E-10</v>
      </c>
      <c r="L102" s="38">
        <f t="shared" si="39"/>
        <v>8.1022105664211338E-11</v>
      </c>
      <c r="M102" s="38">
        <f t="shared" si="39"/>
        <v>8.1022105664211338E-11</v>
      </c>
      <c r="N102" s="38">
        <f t="shared" si="39"/>
        <v>8.1022105664211338E-11</v>
      </c>
      <c r="O102" s="38">
        <f t="shared" si="39"/>
        <v>8.1022105664211338E-11</v>
      </c>
      <c r="P102" s="38">
        <f t="shared" si="39"/>
        <v>8.1022105664211338E-11</v>
      </c>
      <c r="Q102" s="38">
        <f t="shared" si="39"/>
        <v>8.1022105664211338E-11</v>
      </c>
      <c r="R102" s="38">
        <f t="shared" si="39"/>
        <v>1.6027026416052833E-10</v>
      </c>
      <c r="S102" s="38">
        <f t="shared" si="39"/>
        <v>1.6027026416052833E-10</v>
      </c>
      <c r="T102" s="38">
        <f t="shared" si="39"/>
        <v>1.6027026416052833E-10</v>
      </c>
      <c r="U102" s="38">
        <f t="shared" si="39"/>
        <v>1.6027026416052833E-10</v>
      </c>
      <c r="V102" s="38">
        <f t="shared" si="39"/>
        <v>1.6027026416052833E-10</v>
      </c>
      <c r="W102" s="38">
        <f t="shared" si="39"/>
        <v>7.0455684531369075E-11</v>
      </c>
      <c r="X102" s="38">
        <f t="shared" si="39"/>
        <v>1.6027026416052833E-10</v>
      </c>
      <c r="Y102" s="38">
        <f>Y11/39.37*Y10+Y13+Y82+Y84+Y87+Y97*Y16</f>
        <v>47.31004064008178</v>
      </c>
      <c r="Z102" s="38">
        <f>Z11/39.37*Z10+Z13+Z82+Z84+Z87+Z97*Z16</f>
        <v>392.59005080010212</v>
      </c>
      <c r="AA102" s="38">
        <f>AA11/39.37*AA10+AA13+AA82+AA84+AA87+AA97*AA16</f>
        <v>392.59005080010212</v>
      </c>
    </row>
    <row r="103" spans="1:27" x14ac:dyDescent="0.35">
      <c r="A103" s="36" t="s">
        <v>195</v>
      </c>
      <c r="B103" s="36"/>
      <c r="C103" s="39">
        <f t="shared" ref="C103:X103" si="40">C10/39.37*C8+C11+C84+C87</f>
        <v>16.31240538481077</v>
      </c>
      <c r="D103" s="39">
        <f t="shared" si="40"/>
        <v>16.31240538481077</v>
      </c>
      <c r="E103" s="39">
        <f t="shared" si="40"/>
        <v>16.31240538481077</v>
      </c>
      <c r="F103" s="39">
        <f t="shared" si="40"/>
        <v>16.31240538481077</v>
      </c>
      <c r="G103" s="39">
        <f t="shared" si="40"/>
        <v>16.31240538481077</v>
      </c>
      <c r="H103" s="39">
        <f t="shared" si="40"/>
        <v>16.31240538481077</v>
      </c>
      <c r="I103" s="39">
        <f t="shared" si="40"/>
        <v>16.31240538481077</v>
      </c>
      <c r="J103" s="39">
        <f t="shared" si="40"/>
        <v>16.31240538481077</v>
      </c>
      <c r="K103" s="39">
        <f t="shared" si="40"/>
        <v>16.31240538481077</v>
      </c>
      <c r="L103" s="39">
        <f t="shared" si="40"/>
        <v>8.6969621539243072</v>
      </c>
      <c r="M103" s="39">
        <f t="shared" si="40"/>
        <v>8.6969621539243072</v>
      </c>
      <c r="N103" s="39">
        <f t="shared" si="40"/>
        <v>8.6969621539243072</v>
      </c>
      <c r="O103" s="39">
        <f t="shared" si="40"/>
        <v>8.6969621539243072</v>
      </c>
      <c r="P103" s="39">
        <f t="shared" si="40"/>
        <v>8.6969621539243072</v>
      </c>
      <c r="Q103" s="39">
        <f t="shared" si="40"/>
        <v>8.6969621539243072</v>
      </c>
      <c r="R103" s="39">
        <f t="shared" si="40"/>
        <v>15.682405384810767</v>
      </c>
      <c r="S103" s="39">
        <f t="shared" si="40"/>
        <v>15.682405384810767</v>
      </c>
      <c r="T103" s="39">
        <f t="shared" si="40"/>
        <v>15.682405384810767</v>
      </c>
      <c r="U103" s="39">
        <f t="shared" si="40"/>
        <v>15.682405384810767</v>
      </c>
      <c r="V103" s="39">
        <f t="shared" si="40"/>
        <v>15.682405384810767</v>
      </c>
      <c r="W103" s="39">
        <f t="shared" si="40"/>
        <v>7.0515697231394467</v>
      </c>
      <c r="X103" s="39">
        <f t="shared" si="40"/>
        <v>15.682405384810767</v>
      </c>
      <c r="Y103" s="39">
        <f t="shared" ref="Y103:AA103" si="41">Y10/39.37*Y8+Y11+Y84+Y87</f>
        <v>77.888501397002798</v>
      </c>
      <c r="Z103" s="39">
        <f t="shared" si="41"/>
        <v>90.563126746253488</v>
      </c>
      <c r="AA103" s="39">
        <f t="shared" si="41"/>
        <v>90.563126746253488</v>
      </c>
    </row>
    <row r="104" spans="1:27" x14ac:dyDescent="0.35">
      <c r="A104" s="36" t="s">
        <v>196</v>
      </c>
      <c r="B104" s="36"/>
      <c r="C104" s="39">
        <f t="shared" ref="C104:X104" si="42">C10/39.37*C8+C11+C85+C87</f>
        <v>22.122405384810769</v>
      </c>
      <c r="D104" s="39">
        <f t="shared" si="42"/>
        <v>22.122405384810769</v>
      </c>
      <c r="E104" s="39">
        <f t="shared" si="42"/>
        <v>22.122405384810769</v>
      </c>
      <c r="F104" s="39">
        <f t="shared" si="42"/>
        <v>22.122405384810769</v>
      </c>
      <c r="G104" s="39">
        <f t="shared" si="42"/>
        <v>22.122405384810769</v>
      </c>
      <c r="H104" s="39">
        <f t="shared" si="42"/>
        <v>22.122405384810769</v>
      </c>
      <c r="I104" s="39">
        <f t="shared" si="42"/>
        <v>22.122405384810769</v>
      </c>
      <c r="J104" s="39">
        <f t="shared" si="42"/>
        <v>22.122405384810769</v>
      </c>
      <c r="K104" s="39">
        <f t="shared" si="42"/>
        <v>22.122405384810769</v>
      </c>
      <c r="L104" s="39">
        <f t="shared" si="42"/>
        <v>14.506962153924308</v>
      </c>
      <c r="M104" s="39">
        <f t="shared" si="42"/>
        <v>14.506962153924308</v>
      </c>
      <c r="N104" s="39">
        <f t="shared" si="42"/>
        <v>14.506962153924308</v>
      </c>
      <c r="O104" s="39">
        <f t="shared" si="42"/>
        <v>14.506962153924308</v>
      </c>
      <c r="P104" s="39">
        <f t="shared" si="42"/>
        <v>14.506962153924308</v>
      </c>
      <c r="Q104" s="39">
        <f t="shared" si="42"/>
        <v>14.506962153924308</v>
      </c>
      <c r="R104" s="39">
        <f t="shared" si="42"/>
        <v>21.49240538481077</v>
      </c>
      <c r="S104" s="39">
        <f t="shared" si="42"/>
        <v>21.49240538481077</v>
      </c>
      <c r="T104" s="39">
        <f t="shared" si="42"/>
        <v>21.49240538481077</v>
      </c>
      <c r="U104" s="39">
        <f t="shared" si="42"/>
        <v>21.49240538481077</v>
      </c>
      <c r="V104" s="39">
        <f t="shared" si="42"/>
        <v>21.49240538481077</v>
      </c>
      <c r="W104" s="39">
        <f t="shared" si="42"/>
        <v>12.861569723139446</v>
      </c>
      <c r="X104" s="39">
        <f t="shared" si="42"/>
        <v>21.49240538481077</v>
      </c>
      <c r="Y104" s="39">
        <f>Y11/39.37*Y9+Y12+Y85+Y88</f>
        <v>6.7500000000995684</v>
      </c>
      <c r="Z104" s="39">
        <f>Z11/39.37*Z9+Z12+Z85+Z88</f>
        <v>6.7500000000995684</v>
      </c>
      <c r="AA104" s="39">
        <f>AA11/39.37*AA9+AA12+AA85+AA88</f>
        <v>6.7500000000995684</v>
      </c>
    </row>
    <row r="105" spans="1:27" x14ac:dyDescent="0.35">
      <c r="A105" s="33"/>
      <c r="B105" s="33"/>
      <c r="C105" s="57"/>
      <c r="D105" s="57"/>
      <c r="E105" s="57"/>
      <c r="F105" s="57"/>
      <c r="G105" s="57"/>
      <c r="H105" s="57"/>
      <c r="I105" s="57"/>
      <c r="J105" s="57"/>
      <c r="K105" s="57"/>
      <c r="L105" s="57"/>
      <c r="M105" s="57"/>
      <c r="N105" s="57"/>
      <c r="O105" s="57"/>
      <c r="P105" s="57"/>
      <c r="Q105" s="57"/>
      <c r="R105" s="33"/>
      <c r="S105" s="33"/>
      <c r="T105" s="33"/>
      <c r="U105" s="33"/>
      <c r="V105" s="33"/>
      <c r="W105" s="33"/>
      <c r="X105" s="33"/>
    </row>
    <row r="106" spans="1:27" x14ac:dyDescent="0.35">
      <c r="A106" s="33"/>
      <c r="B106" s="33"/>
      <c r="C106" s="57"/>
      <c r="D106" s="57"/>
      <c r="E106" s="57"/>
      <c r="F106" s="57"/>
      <c r="G106" s="57"/>
      <c r="H106" s="57"/>
      <c r="I106" s="57"/>
      <c r="J106" s="57"/>
      <c r="K106" s="57"/>
      <c r="L106" s="57"/>
      <c r="M106" s="57"/>
      <c r="N106" s="57"/>
      <c r="O106" s="57"/>
      <c r="P106" s="57"/>
      <c r="Q106" s="57"/>
      <c r="R106" s="33"/>
      <c r="S106" s="33"/>
      <c r="T106" s="33"/>
      <c r="U106" s="33"/>
      <c r="V106" s="33"/>
      <c r="W106" s="33"/>
      <c r="X106" s="33"/>
    </row>
    <row r="107" spans="1:27" x14ac:dyDescent="0.35">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row>
    <row r="113" spans="3:15" x14ac:dyDescent="0.35">
      <c r="C113" s="11"/>
      <c r="F113" s="11"/>
      <c r="I113" s="11"/>
      <c r="L113" s="11"/>
      <c r="O113" s="11"/>
    </row>
  </sheetData>
  <sheetProtection algorithmName="SHA-512" hashValue="7nEFJkQZ1LEN1s23bnWxpxlNNgEhoci1GCfS7dnkE+qinlaA6MpwaNjJ27XFeGLea8oLna2FYnGE3O0tSk2yMQ==" saltValue="byI0jf0nEREAWeSukBfEkw==" spinCount="100000" sheet="1" objects="1" scenarios="1"/>
  <protectedRanges>
    <protectedRange sqref="H25:H26 K25:K27 N25:N26 Q25:Q27 R24:AA26 C24:E26 H10:H18 K10:K18 N10:N18 Q10:AA18 F24:Q24 C10:E18" name="user_input"/>
    <protectedRange sqref="K8:K9 N8:N9 Q8:AA9 H8:H9 C8:E9" name="user_input_1"/>
  </protectedRanges>
  <mergeCells count="1">
    <mergeCell ref="C80:Q80"/>
  </mergeCells>
  <conditionalFormatting sqref="C32:E32 H32 K32 N32">
    <cfRule type="containsText" dxfId="1289" priority="845" operator="containsText" text="fail">
      <formula>NOT(ISERROR(SEARCH("fail",C32)))</formula>
    </cfRule>
  </conditionalFormatting>
  <conditionalFormatting sqref="C52:H52 L52:N52">
    <cfRule type="expression" dxfId="1288" priority="715">
      <formula>C$78&lt;C$52</formula>
    </cfRule>
  </conditionalFormatting>
  <conditionalFormatting sqref="C55:H55">
    <cfRule type="cellIs" dxfId="1287" priority="797" operator="lessThan">
      <formula>C$73</formula>
    </cfRule>
  </conditionalFormatting>
  <conditionalFormatting sqref="C56:H56">
    <cfRule type="cellIs" dxfId="1286" priority="796" operator="lessThan">
      <formula>C$74</formula>
    </cfRule>
  </conditionalFormatting>
  <conditionalFormatting sqref="C57:H57">
    <cfRule type="expression" priority="790" stopIfTrue="1">
      <formula>ISBLANK(C$75)</formula>
    </cfRule>
    <cfRule type="cellIs" dxfId="1285" priority="791" operator="greaterThan">
      <formula>C$75</formula>
    </cfRule>
  </conditionalFormatting>
  <conditionalFormatting sqref="C58:H58">
    <cfRule type="expression" dxfId="1284" priority="808">
      <formula>C$76&lt;C$58</formula>
    </cfRule>
    <cfRule type="expression" dxfId="1283" priority="795">
      <formula>C$76&lt;C$59</formula>
    </cfRule>
    <cfRule type="expression" dxfId="1282" priority="794" stopIfTrue="1">
      <formula>ISBLANK(C$76)</formula>
    </cfRule>
  </conditionalFormatting>
  <conditionalFormatting sqref="C60:H61">
    <cfRule type="cellIs" dxfId="1281" priority="793" operator="greaterThan">
      <formula>C$76</formula>
    </cfRule>
    <cfRule type="expression" priority="792" stopIfTrue="1">
      <formula>ISBLANK(C$76)</formula>
    </cfRule>
  </conditionalFormatting>
  <conditionalFormatting sqref="C77:H77 L77:N77">
    <cfRule type="cellIs" dxfId="1280" priority="702" operator="greaterThan">
      <formula>C$51-C$62</formula>
    </cfRule>
  </conditionalFormatting>
  <conditionalFormatting sqref="C78:H78 L78:N78">
    <cfRule type="cellIs" dxfId="1279" priority="701" operator="lessThan">
      <formula>C$52+C$62</formula>
    </cfRule>
  </conditionalFormatting>
  <conditionalFormatting sqref="C68:T68">
    <cfRule type="expression" dxfId="1278" priority="639">
      <formula>C$68&lt;C$47</formula>
    </cfRule>
  </conditionalFormatting>
  <conditionalFormatting sqref="C39:U39">
    <cfRule type="expression" dxfId="1277" priority="234">
      <formula>C$70&lt;(C$41-C$62)</formula>
    </cfRule>
  </conditionalFormatting>
  <conditionalFormatting sqref="C40:X40">
    <cfRule type="expression" dxfId="1276" priority="98">
      <formula>C$69&gt;(C$40-C$62)</formula>
    </cfRule>
  </conditionalFormatting>
  <conditionalFormatting sqref="C44:X44">
    <cfRule type="cellIs" dxfId="1275" priority="88" operator="lessThan">
      <formula>C$65</formula>
    </cfRule>
  </conditionalFormatting>
  <conditionalFormatting sqref="C45:X45">
    <cfRule type="cellIs" dxfId="1274" priority="87" operator="lessThan">
      <formula>C$66</formula>
    </cfRule>
  </conditionalFormatting>
  <conditionalFormatting sqref="C24:AA24">
    <cfRule type="cellIs" dxfId="1273" priority="430" operator="lessThan">
      <formula>C$21</formula>
    </cfRule>
    <cfRule type="cellIs" dxfId="1272" priority="431" operator="greaterThan">
      <formula>C$22</formula>
    </cfRule>
  </conditionalFormatting>
  <conditionalFormatting sqref="C27:AA27">
    <cfRule type="expression" dxfId="1271" priority="393">
      <formula>ISNUMBER(SEARCH("current_assist",C$32))</formula>
    </cfRule>
  </conditionalFormatting>
  <conditionalFormatting sqref="C29:AA29">
    <cfRule type="containsText" dxfId="1270" priority="637" operator="containsText" text="PASS">
      <formula>NOT(ISERROR(SEARCH("PASS",C29)))</formula>
    </cfRule>
    <cfRule type="containsText" dxfId="1269" priority="636" operator="containsText" text="FAIL">
      <formula>NOT(ISERROR(SEARCH("FAIL",C29)))</formula>
    </cfRule>
  </conditionalFormatting>
  <conditionalFormatting sqref="C33:AA35">
    <cfRule type="containsText" dxfId="1268" priority="391" operator="containsText" text="failed">
      <formula>NOT(ISERROR(SEARCH("failed",C33)))</formula>
    </cfRule>
  </conditionalFormatting>
  <conditionalFormatting sqref="C38:AA38">
    <cfRule type="expression" dxfId="1267" priority="99">
      <formula>C$69&gt;(C$40-C$62)</formula>
    </cfRule>
  </conditionalFormatting>
  <conditionalFormatting sqref="C41:AA41">
    <cfRule type="expression" dxfId="1266" priority="100">
      <formula>C$70&lt;(C$41-C$62)</formula>
    </cfRule>
  </conditionalFormatting>
  <conditionalFormatting sqref="C44:AA47">
    <cfRule type="containsText" priority="1" stopIfTrue="1" operator="containsText" text="N/A">
      <formula>NOT(ISERROR(SEARCH("N/A",C44)))</formula>
    </cfRule>
  </conditionalFormatting>
  <conditionalFormatting sqref="C46:AA46">
    <cfRule type="cellIs" dxfId="1265" priority="91" operator="greaterThan">
      <formula>C$67</formula>
    </cfRule>
  </conditionalFormatting>
  <conditionalFormatting sqref="C47:AA47">
    <cfRule type="expression" dxfId="1264" priority="92">
      <formula>C$68&lt;C$59</formula>
    </cfRule>
    <cfRule type="expression" dxfId="1263" priority="93">
      <formula>C$68&lt;C$47</formula>
    </cfRule>
  </conditionalFormatting>
  <conditionalFormatting sqref="C51:AA51">
    <cfRule type="expression" dxfId="1262" priority="427">
      <formula>C$77&gt;C$51</formula>
    </cfRule>
  </conditionalFormatting>
  <conditionalFormatting sqref="C59:AA59">
    <cfRule type="expression" priority="514" stopIfTrue="1">
      <formula>ISBLANK(C$76)</formula>
    </cfRule>
    <cfRule type="cellIs" dxfId="1261" priority="515" operator="greaterThan">
      <formula>C$76</formula>
    </cfRule>
  </conditionalFormatting>
  <conditionalFormatting sqref="C65:AA65">
    <cfRule type="cellIs" dxfId="1260" priority="377" operator="greaterThan">
      <formula>C$44</formula>
    </cfRule>
  </conditionalFormatting>
  <conditionalFormatting sqref="C65:AA68">
    <cfRule type="containsBlanks" priority="372" stopIfTrue="1">
      <formula>LEN(TRIM(C65))=0</formula>
    </cfRule>
  </conditionalFormatting>
  <conditionalFormatting sqref="C66:AA66">
    <cfRule type="cellIs" dxfId="1259" priority="417" operator="greaterThan">
      <formula>C$45</formula>
    </cfRule>
  </conditionalFormatting>
  <conditionalFormatting sqref="C67:AA67">
    <cfRule type="cellIs" dxfId="1258" priority="374" operator="lessThan">
      <formula>C$46</formula>
    </cfRule>
  </conditionalFormatting>
  <conditionalFormatting sqref="C68:AA68">
    <cfRule type="expression" dxfId="1257" priority="421">
      <formula>C$68&lt;C$59</formula>
    </cfRule>
  </conditionalFormatting>
  <conditionalFormatting sqref="C69:AA69">
    <cfRule type="cellIs" dxfId="1256" priority="368" operator="greaterThan">
      <formula>C$40-C$62</formula>
    </cfRule>
  </conditionalFormatting>
  <conditionalFormatting sqref="C70:AA70">
    <cfRule type="cellIs" dxfId="1255" priority="369" operator="lessThan">
      <formula>C$41+C$62</formula>
    </cfRule>
  </conditionalFormatting>
  <conditionalFormatting sqref="C73:AA73">
    <cfRule type="cellIs" dxfId="1254" priority="365" operator="greaterThan">
      <formula>C$55</formula>
    </cfRule>
  </conditionalFormatting>
  <conditionalFormatting sqref="C73:AA76">
    <cfRule type="containsBlanks" priority="357" stopIfTrue="1">
      <formula>LEN(TRIM(C73))=0</formula>
    </cfRule>
  </conditionalFormatting>
  <conditionalFormatting sqref="C74:AA74">
    <cfRule type="cellIs" dxfId="1253" priority="364" operator="greaterThan">
      <formula>C$56</formula>
    </cfRule>
  </conditionalFormatting>
  <conditionalFormatting sqref="C75:AA75">
    <cfRule type="cellIs" dxfId="1252" priority="363" operator="lessThan">
      <formula>C$57</formula>
    </cfRule>
  </conditionalFormatting>
  <conditionalFormatting sqref="C76:AA76">
    <cfRule type="expression" dxfId="1251" priority="361">
      <formula>C$76&lt;C$59</formula>
    </cfRule>
    <cfRule type="expression" dxfId="1250" priority="362">
      <formula>C$76&lt;C$58</formula>
    </cfRule>
  </conditionalFormatting>
  <conditionalFormatting sqref="D44:AA45">
    <cfRule type="cellIs" dxfId="1249" priority="3" operator="lessThan">
      <formula>D$74</formula>
    </cfRule>
  </conditionalFormatting>
  <conditionalFormatting sqref="F32:G32">
    <cfRule type="containsText" dxfId="1248" priority="804" operator="containsText" text="current">
      <formula>NOT(ISERROR(SEARCH("current",F32)))</formula>
    </cfRule>
  </conditionalFormatting>
  <conditionalFormatting sqref="I32:J32">
    <cfRule type="containsText" dxfId="1247" priority="785" operator="containsText" text="current">
      <formula>NOT(ISERROR(SEARCH("current",I32)))</formula>
    </cfRule>
  </conditionalFormatting>
  <conditionalFormatting sqref="L32:M32">
    <cfRule type="containsText" dxfId="1246" priority="766" operator="containsText" text="current">
      <formula>NOT(ISERROR(SEARCH("current",L32)))</formula>
    </cfRule>
  </conditionalFormatting>
  <conditionalFormatting sqref="L55:N55">
    <cfRule type="cellIs" dxfId="1245" priority="759" operator="lessThan">
      <formula>L$73</formula>
    </cfRule>
  </conditionalFormatting>
  <conditionalFormatting sqref="L56:N56">
    <cfRule type="cellIs" dxfId="1244" priority="758" operator="lessThan">
      <formula>L$74</formula>
    </cfRule>
  </conditionalFormatting>
  <conditionalFormatting sqref="L57:N57">
    <cfRule type="cellIs" dxfId="1243" priority="753" operator="greaterThan">
      <formula>L$75</formula>
    </cfRule>
    <cfRule type="expression" priority="752" stopIfTrue="1">
      <formula>ISBLANK(L$75)</formula>
    </cfRule>
  </conditionalFormatting>
  <conditionalFormatting sqref="L58:N58">
    <cfRule type="expression" dxfId="1242" priority="770">
      <formula>L$76&lt;L$58</formula>
    </cfRule>
    <cfRule type="expression" dxfId="1241" priority="757">
      <formula>L$76&lt;L$59</formula>
    </cfRule>
    <cfRule type="expression" dxfId="1240" priority="756" stopIfTrue="1">
      <formula>ISBLANK(L$76)</formula>
    </cfRule>
  </conditionalFormatting>
  <conditionalFormatting sqref="L60:N61">
    <cfRule type="expression" priority="754" stopIfTrue="1">
      <formula>ISBLANK(L$76)</formula>
    </cfRule>
    <cfRule type="cellIs" dxfId="1239" priority="755" operator="greaterThan">
      <formula>L$76</formula>
    </cfRule>
  </conditionalFormatting>
  <conditionalFormatting sqref="O32:P32">
    <cfRule type="containsText" dxfId="1238" priority="747" operator="containsText" text="current">
      <formula>NOT(ISERROR(SEARCH("current",O32)))</formula>
    </cfRule>
  </conditionalFormatting>
  <conditionalFormatting sqref="Q32:X32">
    <cfRule type="containsText" dxfId="1237" priority="439" operator="containsText" text="fail">
      <formula>NOT(ISERROR(SEARCH("fail",Q32)))</formula>
    </cfRule>
  </conditionalFormatting>
  <conditionalFormatting sqref="R55:AA55">
    <cfRule type="cellIs" dxfId="1236" priority="426" operator="lessThan">
      <formula>R$73</formula>
    </cfRule>
  </conditionalFormatting>
  <conditionalFormatting sqref="R56:AA56">
    <cfRule type="cellIs" dxfId="1235" priority="425" operator="lessThan">
      <formula>R$74</formula>
    </cfRule>
  </conditionalFormatting>
  <conditionalFormatting sqref="R57:AA57">
    <cfRule type="cellIs" dxfId="1234" priority="433" operator="greaterThan">
      <formula>R$75</formula>
    </cfRule>
    <cfRule type="expression" priority="432" stopIfTrue="1">
      <formula>ISBLANK(R$75)</formula>
    </cfRule>
  </conditionalFormatting>
  <conditionalFormatting sqref="R58:AA58">
    <cfRule type="expression" dxfId="1233" priority="441">
      <formula>R$76&lt;R$58</formula>
    </cfRule>
    <cfRule type="expression" dxfId="1232" priority="437">
      <formula>R$76&lt;R$59</formula>
    </cfRule>
    <cfRule type="expression" dxfId="1231" priority="436" stopIfTrue="1">
      <formula>ISBLANK(R$76)</formula>
    </cfRule>
  </conditionalFormatting>
  <conditionalFormatting sqref="R60:AA61">
    <cfRule type="expression" priority="434" stopIfTrue="1">
      <formula>ISBLANK(R$76)</formula>
    </cfRule>
    <cfRule type="cellIs" dxfId="1230" priority="435" operator="greaterThan">
      <formula>R$76</formula>
    </cfRule>
  </conditionalFormatting>
  <conditionalFormatting sqref="R77:AA77">
    <cfRule type="cellIs" dxfId="1229" priority="367" operator="greaterThan">
      <formula>R$51-R$62</formula>
    </cfRule>
  </conditionalFormatting>
  <conditionalFormatting sqref="R78:AA78">
    <cfRule type="cellIs" dxfId="1228" priority="366" operator="lessThan">
      <formula>R$52+R$62</formula>
    </cfRule>
  </conditionalFormatting>
  <conditionalFormatting sqref="U68">
    <cfRule type="expression" dxfId="1227" priority="378">
      <formula>U$68&lt;U$47</formula>
    </cfRule>
  </conditionalFormatting>
  <conditionalFormatting sqref="V68:AA68">
    <cfRule type="expression" dxfId="1226" priority="422">
      <formula>V$68&lt;V$47</formula>
    </cfRule>
  </conditionalFormatting>
  <conditionalFormatting sqref="X52:AA52">
    <cfRule type="expression" dxfId="1225" priority="524">
      <formula>X$78&lt;X$52</formula>
    </cfRule>
  </conditionalFormatting>
  <conditionalFormatting sqref="Y32:AA32">
    <cfRule type="containsText" dxfId="1224" priority="545" operator="containsText" text="current">
      <formula>NOT(ISERROR(SEARCH("current",Y32)))</formula>
    </cfRule>
  </conditionalFormatting>
  <conditionalFormatting sqref="Y40:AA41">
    <cfRule type="expression" dxfId="1223" priority="528">
      <formula>Y$69&gt;(Y$40-Y$62)</formula>
    </cfRule>
  </conditionalFormatting>
  <conditionalFormatting sqref="Z40:AA40">
    <cfRule type="expression" dxfId="1222" priority="511">
      <formula>Z$69&gt;(Z$40-Z$62)</formula>
    </cfRule>
  </conditionalFormatting>
  <dataValidations count="4">
    <dataValidation type="list" allowBlank="1" showInputMessage="1" showErrorMessage="1" sqref="C26:E26 H26 K26 N26 Q26:AA26" xr:uid="{FA750775-BA3D-41CC-9F53-165D1B5B9887}">
      <formula1>$AF$5:$AH$5</formula1>
    </dataValidation>
    <dataValidation type="list" allowBlank="1" showInputMessage="1" showErrorMessage="1" sqref="Q27" xr:uid="{0B0B40A1-AE82-47EB-A9C0-2FC0D86785B4}">
      <formula1>$AE$7:$AN$7</formula1>
    </dataValidation>
    <dataValidation type="list" allowBlank="1" showInputMessage="1" showErrorMessage="1" sqref="K27" xr:uid="{6B328977-2161-4A46-987E-0D9100D2555D}">
      <formula1>$AF$7:$AN$7</formula1>
    </dataValidation>
    <dataValidation type="list" allowBlank="1" showInputMessage="1" showErrorMessage="1" sqref="Q25:AA25 N25 K25 H25 C25:E25" xr:uid="{AA8A60E4-C74F-4E8C-B2E6-A88AA0E4DA1D}">
      <formula1>$AF$12:$AG$12</formula1>
    </dataValidation>
  </dataValidations>
  <hyperlinks>
    <hyperlink ref="Y4" location="PROCHOT!A1" display="PROCHOT" xr:uid="{C95FBE9C-13B4-4427-ACDC-F3AA6F8D9B51}"/>
    <hyperlink ref="Z4" location="CATERR!A1" display="PROCHOT" xr:uid="{0502C7F1-7E76-4B4A-977B-9EFAC28BFDB7}"/>
    <hyperlink ref="AA4" location="THERMTRIP!A1" display="THERMTRIP" xr:uid="{BA758659-F796-43B9-A659-04CBED4430FF}"/>
  </hyperlinks>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1703F-8BA6-4F1D-8F5C-C593A27D5FD9}">
  <dimension ref="A1:AK130"/>
  <sheetViews>
    <sheetView topLeftCell="G48"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Summary!D16</f>
        <v>1.8</v>
      </c>
      <c r="K2" s="10">
        <v>1000000000000</v>
      </c>
      <c r="L2" s="15">
        <v>0.1</v>
      </c>
      <c r="M2" s="15">
        <v>0.1</v>
      </c>
      <c r="N2" s="17">
        <f>Summary!D26</f>
        <v>100</v>
      </c>
      <c r="O2" s="15">
        <f>Summary!D88</f>
        <v>0.25</v>
      </c>
      <c r="P2" s="15">
        <f>Summary!D89</f>
        <v>0.25</v>
      </c>
      <c r="Q2" s="5" t="str">
        <f>Summary!D27</f>
        <v>N/A</v>
      </c>
      <c r="R2" s="5">
        <f>Summary!D51</f>
        <v>0.3</v>
      </c>
      <c r="S2" s="5">
        <f>Summary!D52</f>
        <v>0.7</v>
      </c>
      <c r="T2" s="5">
        <f>Summary!D53</f>
        <v>0.3</v>
      </c>
      <c r="U2" s="5">
        <f>Summary!D54</f>
        <v>0.7</v>
      </c>
      <c r="V2" s="130">
        <f>Summary!D55</f>
        <v>2.9999999999999999E-7</v>
      </c>
      <c r="W2" s="130">
        <f>Summary!D56</f>
        <v>2.9999999999999999E-7</v>
      </c>
      <c r="X2" s="131">
        <f>V2</f>
        <v>2.9999999999999999E-7</v>
      </c>
      <c r="Y2" s="132">
        <f>IF(Summary!D57="","",Summary!D57)</f>
        <v>2E-8</v>
      </c>
      <c r="Z2" s="132">
        <f>IF(Summary!D58="","",Summary!D58)</f>
        <v>6.5454545454545451E-9</v>
      </c>
      <c r="AA2" s="4">
        <f>Summary!D59</f>
        <v>1E-10</v>
      </c>
      <c r="AB2" s="41">
        <f>Summary!D81</f>
        <v>4.9999999999999997E-12</v>
      </c>
      <c r="AC2" s="41">
        <f>Summary!D83</f>
        <v>8.1900000000000013E-12</v>
      </c>
      <c r="AD2" s="3">
        <f>Summary!D84</f>
        <v>0.69</v>
      </c>
      <c r="AE2" s="41">
        <f>Summary!D86</f>
        <v>4.9999999999999997E-12</v>
      </c>
      <c r="AF2" s="5">
        <f>Summary!D87</f>
        <v>2.93</v>
      </c>
      <c r="AG2" s="127" t="str">
        <f>Summary!D50</f>
        <v>relative</v>
      </c>
      <c r="AH2" s="3">
        <f>Summary!$AG5</f>
        <v>100</v>
      </c>
      <c r="AI2" s="3" t="s">
        <v>97</v>
      </c>
      <c r="AJ2" s="3">
        <f>Summary!$AG9</f>
        <v>2.1659999999999999E-5</v>
      </c>
      <c r="AK2" s="3">
        <f>Summary!$AG8</f>
        <v>3.1259999999999999</v>
      </c>
    </row>
    <row r="3" spans="1:37" s="3" customFormat="1" x14ac:dyDescent="0.35">
      <c r="A3" s="3" t="s">
        <v>266</v>
      </c>
      <c r="B3" s="3">
        <v>1</v>
      </c>
      <c r="C3" s="10">
        <v>1000000000000</v>
      </c>
      <c r="D3" s="15">
        <v>0.1</v>
      </c>
      <c r="E3" s="15">
        <v>0.1</v>
      </c>
      <c r="F3" s="10">
        <v>1000000000000</v>
      </c>
      <c r="G3" s="15">
        <v>0.1</v>
      </c>
      <c r="H3" s="15">
        <v>0.1</v>
      </c>
      <c r="I3" s="3" t="s">
        <v>265</v>
      </c>
      <c r="J3" s="3">
        <f>Summary!D16</f>
        <v>1.8</v>
      </c>
      <c r="K3" s="10">
        <v>1000000000000</v>
      </c>
      <c r="L3" s="15">
        <v>0.1</v>
      </c>
      <c r="M3" s="15">
        <v>0.1</v>
      </c>
      <c r="N3">
        <f>Summary!D97</f>
        <v>133</v>
      </c>
      <c r="O3" s="15">
        <f>Summary!D98</f>
        <v>0.5</v>
      </c>
      <c r="P3" s="15">
        <f>Summary!D99</f>
        <v>0</v>
      </c>
      <c r="Q3"/>
      <c r="R3" s="5">
        <f>Summary!D38</f>
        <v>0.3</v>
      </c>
      <c r="S3" s="5">
        <f>Summary!D39</f>
        <v>0.7</v>
      </c>
      <c r="T3" s="5">
        <f>Summary!D42</f>
        <v>0.3</v>
      </c>
      <c r="U3" s="5">
        <f>Summary!D43</f>
        <v>0.7</v>
      </c>
      <c r="V3" s="130">
        <f>Summary!D44</f>
        <v>2.9999999999999999E-7</v>
      </c>
      <c r="W3" s="130">
        <f>Summary!D45</f>
        <v>2.9999999999999999E-7</v>
      </c>
      <c r="X3" s="131">
        <f>V3</f>
        <v>2.9999999999999999E-7</v>
      </c>
      <c r="Y3" s="132">
        <f>IF(Summary!D46="","",Summary!D46)</f>
        <v>2E-8</v>
      </c>
      <c r="Z3" s="132">
        <f>IF(Summary!D47="","",Summary!D47)</f>
        <v>6.5454545454545451E-9</v>
      </c>
      <c r="AA3" s="4">
        <f>Summary!D59</f>
        <v>1E-10</v>
      </c>
      <c r="AB3" s="41">
        <f>Summary!D96</f>
        <v>9.9999999999999994E-12</v>
      </c>
      <c r="AG3" s="127" t="str">
        <f>Summary!D37</f>
        <v>relative</v>
      </c>
      <c r="AH3" s="3" t="str">
        <f>IF(Summary!$AH5="","",Summary!$AH5)</f>
        <v/>
      </c>
      <c r="AI3" s="134" t="str">
        <f>Summary!$AH7</f>
        <v>001</v>
      </c>
      <c r="AJ3" s="3">
        <f>IF(Summary!$AH9="","",IF($J$2=1.8,Summary!$AH$9,IF($J$2=3.3,Summary!$AH$11,"n/a")))</f>
        <v>0.63580000000000003</v>
      </c>
      <c r="AK3" s="3">
        <f>IF(Summary!$AH9="","",IF($J$2=1.8,Summary!$AH$8,IF($J$2=3.3,Summary!$AH$10,"n/a")))</f>
        <v>4.8479999999999999</v>
      </c>
    </row>
    <row r="4" spans="1:37" x14ac:dyDescent="0.35">
      <c r="AH4" s="3" t="str">
        <f>IF(Summary!$AI5="","",Summary!$AI5)</f>
        <v/>
      </c>
      <c r="AI4" s="3" t="str">
        <f>IF(Summary!$AI7="","",Summary!$AI7)</f>
        <v>010</v>
      </c>
      <c r="AJ4" s="3">
        <f>IF(Summary!$AI9="","",IF($J$2=1.8,Summary!$AI$9,IF($J$2=3.3,Summary!$AI$11,"n/a")))</f>
        <v>1.256</v>
      </c>
      <c r="AK4" s="3">
        <f>IF(Summary!$AI9="","",IF($J$2=1.8,Summary!$AI$8,IF($J$2=3.3,Summary!$AI$10,"n/a")))</f>
        <v>6.53</v>
      </c>
    </row>
    <row r="5" spans="1:37" x14ac:dyDescent="0.35">
      <c r="B5" s="172" t="s">
        <v>267</v>
      </c>
      <c r="C5" s="173"/>
      <c r="D5" s="173"/>
      <c r="E5" s="174"/>
      <c r="F5" s="172" t="s">
        <v>268</v>
      </c>
      <c r="G5" s="173"/>
      <c r="H5" s="173"/>
      <c r="I5" s="174"/>
      <c r="L5" s="1"/>
      <c r="AH5" s="3" t="str">
        <f>IF(Summary!$AJ5="","",Summary!$AJ5)</f>
        <v/>
      </c>
      <c r="AI5" s="3" t="str">
        <f>IF(Summary!$AJ7="","",Summary!$AJ7)</f>
        <v>011</v>
      </c>
      <c r="AJ5" s="3">
        <f>IF(Summary!$AJ9="","",IF($J$2=1.8,Summary!$AJ$9,IF($J$2=3.3,Summary!$AJ$11,"n/a")))</f>
        <v>1.8879999999999999</v>
      </c>
      <c r="AK5" s="3">
        <f>IF(Summary!$AJ9="","",IF($J$2=1.8,Summary!$AJ$8,IF($J$2=3.3,Summary!$AJ$10,"n/a")))</f>
        <v>8.2360000000000007</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IF(Summary!$AK7="","",Summary!$AK7)</f>
        <v>100</v>
      </c>
      <c r="AJ6" s="3">
        <f>IF(Summary!$AK9="","",IF($J$2=1.8,Summary!$AK$9,IF($J$2=3.3,Summary!$AK$11,"n/a")))</f>
        <v>2.5049999999999999</v>
      </c>
      <c r="AK6" s="3">
        <f>IF(Summary!$AK9="","",IF($J$2=1.8,Summary!$AK$8,IF($J$2=3.3,Summary!$AK$10,"n/a")))</f>
        <v>9.9280000000000008</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427329345.73217905</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427329345.73217905</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398.88612926332922</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378.31470632001259</v>
      </c>
      <c r="F7" s="123">
        <f>_xlfn.IFNA(_xlfn.XLOOKUP($X$2,AB34:AB129,P34:P129,,-1), "Out of support PU range")</f>
        <v>1890</v>
      </c>
      <c r="G7" s="124">
        <f>_xlfn.IFNA(_xlfn.XLOOKUP($X$3,S34:S129,P34:P129,,-1), "Out of support PU range")</f>
        <v>1890</v>
      </c>
      <c r="H7" s="124">
        <f>_xlfn.IFNA(MAX(_xlfn.XLOOKUP(MAX($Y$2:$AA$2),AA34:AA129,O34:O129,,1), _xlfn.XLOOKUP($W$2,AD34:AD129,O34:O129,,-1)), "Fail AC VIL")</f>
        <v>408.5</v>
      </c>
      <c r="I7" s="129">
        <f>_xlfn.IFNA(MAX(_xlfn.XLOOKUP(MAX($Y$3:$AA$3),R34:R129,O34:O129,,1), _xlfn.XLOOKUP($W$3,AC34:AC129,O34:O129,,-1)), "Fail AC VIL")</f>
        <v>408.5</v>
      </c>
      <c r="J7" s="21">
        <v>20000</v>
      </c>
      <c r="K7" s="2">
        <f>MIN(
MIN(FLOOR(B7,10^(LEN(ROUND(B7,0))-1))/10,
FLOOR(C7,10^(LEN(ROUND(C7,0))-1))/10,
IF(F7*10&gt;=J7,FLOOR(F7,10^(LEN(ROUND(F7,0))-1))/10,FLOOR(F7,10^(LEN(ROUND(F7,0))-1))),
FLOOR(G7,10^(LEN(ROUND(G7,0))-1))/10),
MAX(I7,J7)
)</f>
        <v>100</v>
      </c>
      <c r="L7" s="1"/>
      <c r="N7" s="71">
        <f>Summary!D62</f>
        <v>0.02</v>
      </c>
      <c r="AI7" s="3" t="str">
        <f>IF(Summary!$AL7="","",Summary!$AL7)</f>
        <v>101</v>
      </c>
      <c r="AJ7" s="3">
        <f>IF(Summary!$AL9="","",IF($J$2=1.8,Summary!$AL$9,IF($J$2=3.3,Summary!$AL$11,"n/a")))</f>
        <v>3.1339999999999999</v>
      </c>
      <c r="AK7" s="3">
        <f>IF(Summary!$AL9="","",IF($J$2=1.8,Summary!$AL$8,IF($J$2=3.3,Summary!$AL$10,"n/a")))</f>
        <v>11.7</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333.85714246409191</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333.85714246409191</v>
      </c>
      <c r="E8">
        <f>X2/(1.204*K18)</f>
        <v>1554.6828759599234</v>
      </c>
      <c r="F8">
        <f>X3/(1.204*K18)</f>
        <v>1554.6828759599234</v>
      </c>
      <c r="H8">
        <f>AA2/(1.204*K18)</f>
        <v>0.51822762531997457</v>
      </c>
      <c r="I8" s="2">
        <f>AA3/(1.204*K18)</f>
        <v>0.51822762531997457</v>
      </c>
      <c r="J8" s="8">
        <v>20000</v>
      </c>
      <c r="K8">
        <f>MIN(MIN(FLOOR(B8,10^(LEN(ROUND(B8,0))-1))/10,FLOOR(C8,10^(LEN(ROUND(C8,0))-1))/10,FLOOR(E8,10^(LEN(ROUND(E8,0))-1))/10,FLOOR(F8,10^(LEN(ROUND(F8,0))-1))/10),MAX(I8,J8))</f>
        <v>30</v>
      </c>
      <c r="N8" s="1"/>
      <c r="AI8" s="3" t="str">
        <f>IF(Summary!$AM7="","",Summary!$AM7)</f>
        <v>110</v>
      </c>
      <c r="AJ8" s="3">
        <f>IF(Summary!$AM9="","",IF($J$2=1.8,Summary!$AM$9,IF($J$2=3.3,Summary!$AM$11,"n/a")))</f>
        <v>3.76</v>
      </c>
      <c r="AK8" s="3">
        <f>IF(Summary!$AM9="","",IF($J$2=1.8,Summary!$AM$8,IF($J$2=3.3,Summary!$AM$10,"n/a")))</f>
        <v>13.42</v>
      </c>
    </row>
    <row r="9" spans="1:37" x14ac:dyDescent="0.35">
      <c r="B9" s="1"/>
      <c r="M9" s="2"/>
      <c r="AI9" s="3">
        <f>IF(Summary!$AN7="","",Summary!$AN7)</f>
        <v>111</v>
      </c>
      <c r="AJ9" s="3">
        <f>IF(Summary!$AN9="","",IF($J$2=1.8,Summary!$AN$9,IF($J$2=3.3,Summary!$AN$11,"n/a")))</f>
        <v>4.3620000000000001</v>
      </c>
      <c r="AK9" s="3">
        <f>IF(Summary!$AN9="","",IF($J$2=1.8,Summary!$AN$8,IF($J$2=3.3,Summary!$AN$10,"n/a")))</f>
        <v>15.09</v>
      </c>
    </row>
    <row r="10" spans="1:37" ht="21" x14ac:dyDescent="0.5">
      <c r="D10" t="s">
        <v>278</v>
      </c>
      <c r="F10" s="7" t="s">
        <v>279</v>
      </c>
      <c r="G10" s="7"/>
      <c r="H10" t="s">
        <v>280</v>
      </c>
      <c r="S10" s="20"/>
      <c r="U10" s="20"/>
      <c r="AI10" s="3" t="str">
        <f>IF(Summary!$AO7="","",Summary!$AO7)</f>
        <v/>
      </c>
      <c r="AJ10" s="3" t="str">
        <f>IF(Summary!$AO9="","",IF($J$2=1.8,Summary!$AO$9,IF($J$2=3.3,Summary!$AO$11,"n/a")))</f>
        <v/>
      </c>
      <c r="AK10" s="3" t="str">
        <f>IF(Summary!$AO9="","",IF($J$2=1.8,Summary!$AO$8,IF($J$2=3.3,Summary!$AO$10,"n/a")))</f>
        <v/>
      </c>
    </row>
    <row r="11" spans="1:37" x14ac:dyDescent="0.35">
      <c r="A11" t="s">
        <v>281</v>
      </c>
      <c r="B11" t="str">
        <f>IF(SUM(B2:B3)=2,
IF(
          (1/(1/F2+1/F3))
          /(
            (1/(1/C2+1/C3))
          +
            (1/(1/F2+1/F3))
          )
&lt;S2,"need resistor","no need"),
"no need")</f>
        <v>need resistor</v>
      </c>
      <c r="C11" s="11">
        <f>Summary!D24</f>
        <v>820</v>
      </c>
      <c r="D11" s="1">
        <f>IF(AND(B11="no need", C11=""), "",IF(AND(B11="no need", C11&gt;0), "please remove resistor",   IF(AND(B11="need resistor", ISBLANK(C11)), "please enter resistor",  (1/(1/F2+1/F3))/(1/(1/(1/(1/C2+1/C3))+1/C11)+(1/(1/F2+1/F3))) ) ))</f>
        <v>0.99999999835999998</v>
      </c>
      <c r="F11" s="7">
        <f>IF(B11="no need", 1000000000, C11)</f>
        <v>820</v>
      </c>
      <c r="G11" s="7" t="s">
        <v>281</v>
      </c>
      <c r="H11" s="62">
        <f>Summary!D25</f>
        <v>0.05</v>
      </c>
      <c r="K11" s="6" t="s">
        <v>282</v>
      </c>
      <c r="N11" s="19" t="s">
        <v>283</v>
      </c>
      <c r="P11" s="19" t="s">
        <v>284</v>
      </c>
      <c r="R11" s="127" t="s">
        <v>285</v>
      </c>
      <c r="S11" s="127">
        <f>($J$2+$J$2*Summary!$D$17)</f>
        <v>1.8900000000000001</v>
      </c>
      <c r="AI11" s="3" t="str">
        <f>IF(Summary!$AP7="","",Summary!$AP7)</f>
        <v/>
      </c>
      <c r="AJ11" s="3" t="str">
        <f>IF(Summary!$AP9="","",IF($J$2=1.8,Summary!$AP$9,IF($J$2=3.3,Summary!$AP$11,"n/a")))</f>
        <v/>
      </c>
      <c r="AK11" s="3" t="str">
        <f>IF(Summary!$AP9="","",IF($J$2=1.8,Summary!$AP$8,IF($J$2=3.3,Summary!$AP$10,"n/a")))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Summary!D10</f>
        <v>25</v>
      </c>
      <c r="L12" t="s">
        <v>287</v>
      </c>
      <c r="N12" s="4">
        <f>SUM(AB2:AC3,AE2:AE3)</f>
        <v>2.8189999999999998E-11</v>
      </c>
      <c r="O12" t="s">
        <v>288</v>
      </c>
      <c r="P12" s="61">
        <f>Summary!D84+Summary!D87</f>
        <v>3.62</v>
      </c>
      <c r="Q12" t="s">
        <v>289</v>
      </c>
      <c r="R12" s="127" t="s">
        <v>290</v>
      </c>
      <c r="S12" s="127">
        <f>($J$2-$J$2*Summary!$D$17)</f>
        <v>1.71</v>
      </c>
      <c r="AI12" s="3" t="str">
        <f>IF(Summary!$AQ7="","",Summary!$AQ7)</f>
        <v/>
      </c>
      <c r="AJ12" s="3" t="str">
        <f>IF(Summary!$AQ9="","",IF($J$2=1.8,Summary!$AQ$9,IF($J$2=3.3,Summary!$AQ$11,"n/a")))</f>
        <v/>
      </c>
      <c r="AK12" s="3" t="str">
        <f>IF(Summary!$AQ9="","",IF($J$2=1.8,Summary!$AQ$8,IF($J$2=3.3,Summary!$AQ$10,"n/a")))</f>
        <v/>
      </c>
    </row>
    <row r="13" spans="1:37" x14ac:dyDescent="0.35">
      <c r="P13" t="s">
        <v>291</v>
      </c>
      <c r="R13" s="127" t="s">
        <v>292</v>
      </c>
      <c r="S13" s="127">
        <f>($J$3+$J$3*Summary!$D$18)</f>
        <v>1.8900000000000001</v>
      </c>
    </row>
    <row r="14" spans="1:37" x14ac:dyDescent="0.35">
      <c r="K14" s="6" t="s">
        <v>293</v>
      </c>
      <c r="N14" s="6" t="s">
        <v>294</v>
      </c>
      <c r="R14" s="127" t="s">
        <v>295</v>
      </c>
      <c r="S14" s="127">
        <f>($J$3-$J$3*Summary!$D$18)</f>
        <v>1.71</v>
      </c>
    </row>
    <row r="15" spans="1:37" x14ac:dyDescent="0.35">
      <c r="B15" s="2"/>
      <c r="C15" s="2"/>
      <c r="K15" s="3">
        <f>Summary!D8</f>
        <v>19.988</v>
      </c>
      <c r="L15" t="s">
        <v>296</v>
      </c>
      <c r="N15" s="41">
        <f>Summary!D9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0.9999990413963401</v>
      </c>
      <c r="C18">
        <f>B42</f>
        <v>0.99999929038221158</v>
      </c>
      <c r="D18">
        <f>B102</f>
        <v>0.99999904139634066</v>
      </c>
      <c r="E18">
        <f>C102</f>
        <v>0.166062163188578</v>
      </c>
      <c r="F18" s="126">
        <f>_xlfn.LET(
_xlpm.Rbus, (1/(1/((1/(1/($G$91+$G$93)+1/$G$90))+$G$92)+1/($G$89))),
_xlpm.VCC, IF($AG$2="absolute",$S$13,1),
_xlpm.Vspec_abs, $U$2-$N$7,
(LN(1-$T$2/_xlpm.VCC)-LN(1-_xlpm.Vspec_abs/_xlpm.VCC))*$K$19*_xlpm.Rbus
)</f>
        <v>8.7550869288750583E-8</v>
      </c>
      <c r="G18" s="128">
        <f>_xlfn.LET(
_xlpm.Rbus, (1/(1/((1/(1/($D$91+$D$93)+1/$D$90))+$D$92)+1/($D$89))),
_xlpm.VCC, IF($AG$2="absolute",$S$14,1),
_xlpm.Vspec_abs, $U$2+$N$7,
(LN(1-$T$2/_xlpm.VCC)-LN(1-_xlpm.Vspec_abs/_xlpm.VCC))*$K$18*_xlpm.Rbus
)</f>
        <v>1.2969019663843186E-7</v>
      </c>
      <c r="H18" s="126">
        <f>_xlfn.LET(
_xlpm.Rbus, (1/(1/((1/(1/($H$96+$H$93)+1/$H$95))+$H$92)+1/($H$94))),
_xlpm.VCC, IF($AG$2="absolute",$S$14,1),
_xlpm.Vspec_abs, $T$2+$N$7,
_xlpm.Vspec_rel, _xlpm.Vspec_abs/_xlpm.VCC,
IFERROR((LN($U$2)-LN(_xlpm.Vspec_rel))*$K$19*_xlpm.Rbus, "Vlow exceeds VIL spec")
)</f>
        <v>9.3071857084351626E-9</v>
      </c>
      <c r="I18" s="128">
        <f>_xlfn.LET(
_xlpm.Rbus, (1/(1/((1/(1/($F$96+$F$93)+1/$F$95))+$F$92)+1/($F$94))),
_xlpm.VCC, IF($AG$2="absolute",$S$13,1),
_xlpm.Vspec_abs, $T$2-$N$7,
_xlpm.Vspec_rel, _xlpm.Vspec_abs/_xlpm.VCC,
IFERROR((LN($U$2)-LN(_xlpm.Vspec_rel))*$K$18*_xlpm.Rbus,"Vlow exceeds VIL spec")
)</f>
        <v>2.2780366956631629E-8</v>
      </c>
      <c r="J18" s="139" t="s">
        <v>307</v>
      </c>
      <c r="K18" s="4">
        <f>Summary!D102</f>
        <v>1.6027026416052833E-10</v>
      </c>
      <c r="L18" s="22" t="s">
        <v>288</v>
      </c>
      <c r="M18" s="10">
        <f>K18*1000000000000</f>
        <v>160.27026416052834</v>
      </c>
      <c r="N18" t="s">
        <v>308</v>
      </c>
      <c r="O18" s="49">
        <f>N12+K12/39.37*N15</f>
        <v>1.6027026416052833E-10</v>
      </c>
    </row>
    <row r="19" spans="1:26" x14ac:dyDescent="0.35">
      <c r="A19" t="s">
        <v>309</v>
      </c>
      <c r="B19">
        <f>C64</f>
        <v>0.9999990413963401</v>
      </c>
      <c r="C19">
        <f>C44</f>
        <v>0.99999929038221158</v>
      </c>
      <c r="D19">
        <f>B84</f>
        <v>0.99999904139634077</v>
      </c>
      <c r="E19">
        <f>C84</f>
        <v>0.15885847070562409</v>
      </c>
      <c r="F19" s="126">
        <f>_xlfn.LET(
_xlpm.Rbus,(1/(1/((1/(1/($G$77+$G$72)+1/$G$70))+$G$73)+1/($G$71))),
_xlpm.VCC,IF($AG$3="absolute",$S$11,1),
_xlpm.Vspec_abs,$U$3-$N$7,
(LN(1-($T$3/_xlpm.VCC))-LN(1-_xlpm.Vspec_abs/_xlpm.VCC))*$K$19*_xlpm.Rbus
)</f>
        <v>8.7550869288750583E-8</v>
      </c>
      <c r="G19" s="128">
        <f>_xlfn.LET(
_xlpm.Rbus, (1/(1/((1/(1/($D$77+$D$72)+1/$D$70))+$D$73)+1/($D$71))),
_xlpm.VCC, IF($AG$3="absolute",$S$12,1),
_xlpm.Vspec_abs, $U$3+$N$7,
(LN(1-$T$3/_xlpm.VCC)-LN(1-_xlpm.Vspec_abs/_xlpm.VCC))*$K$18*_xlpm.Rbus
)</f>
        <v>1.2969019663843186E-7</v>
      </c>
      <c r="H19" s="126">
        <f>_xlfn.LET(
_xlpm.Rbus, (1/(1/((1/(1/($H$74+$H$72)+1/$H$75))+$H$73)+1/($H$76))),
_xlpm.VCC, IF($AG$3="absolute",$S$12,1),
_xlpm.Vspec_abs, $T$3+$N$7,
_xlpm.Vspec_rel, _xlpm.Vspec_abs/_xlpm.VCC,
IFERROR((LN($U$3)-LN(_xlpm.Vspec_rel))*$K$19*_xlpm.Rbus, "Vlow exceeds VIL spec")
)</f>
        <v>1.0262490295885478E-8</v>
      </c>
      <c r="I19" s="128">
        <f>_xlfn.LET(
_xlpm.Rbus, (1/(1/((1/(1/($F$74+$F$72)+1/$F$75))+$F$73)+1/($F$76))),
_xlpm.VCC, IF($AG$3="absolute",$S$11,1),
_xlpm.Vspec_abs, $T$3-$N$7,
_xlpm.Vspec_rel, _xlpm.Vspec_abs/_xlpm.VCC,
IFERROR((LN($U$3)-LN(_xlpm.Vspec_rel))*$K$18*_xlpm.Rbus,"Vlow exceeds VIL spec")
)</f>
        <v>2.1605534018873997E-8</v>
      </c>
      <c r="J19" s="139" t="s">
        <v>310</v>
      </c>
      <c r="K19" s="4">
        <f>Summary!D101</f>
        <v>1.4358026416052834E-10</v>
      </c>
      <c r="L19" t="s">
        <v>288</v>
      </c>
    </row>
    <row r="20" spans="1:26" x14ac:dyDescent="0.35">
      <c r="J20" s="139"/>
      <c r="K20" s="6" t="s">
        <v>311</v>
      </c>
    </row>
    <row r="21" spans="1:26" x14ac:dyDescent="0.35">
      <c r="E21" s="120" t="s">
        <v>137</v>
      </c>
      <c r="F21" t="str">
        <f>IF(OR(AND(E18&gt;(R2-N7), Summary!D50="relative"), AND(E18&gt;(R2-N7)/(J3+J3*Summary!D18), Summary!D50="absolute")),IF(U29="no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IF(OR(Summary!D24&gt;Summary!D22,Summary!D24&lt;Summary!D21), "- ensure board PU is within recommended range" &amp; CHAR(10),) &amp; "- reduce MB trace length",""))</f>
        <v/>
      </c>
      <c r="H21">
        <f>_xlfn.LET(
_xlpm.Rbus, (1/(1/((1/(1/($H$96+$H$93)+1/$H$95))+$H$92)+1/($H$94))),
_xlpm.VCC, IF($AG$2="absolute",$S$14,1),
_xlpm.Vspec_abs, $T$2+$N$7,
_xlpm.Vspec_rel, _xlpm.Vspec_abs/_xlpm.VCC,
IFERROR(_xlpm.Rbus, "Vlow exceeds VIL spec")
)</f>
        <v>82.812400458666545</v>
      </c>
      <c r="J21" s="139" t="s">
        <v>307</v>
      </c>
      <c r="K21" s="5">
        <f>Summary!D104</f>
        <v>22.122405384810769</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s="5">
        <f>Summary!D103</f>
        <v>16.31240538481077</v>
      </c>
      <c r="L22" t="s">
        <v>289</v>
      </c>
    </row>
    <row r="23" spans="1:26" x14ac:dyDescent="0.35">
      <c r="B23" s="171" t="s">
        <v>313</v>
      </c>
      <c r="C23" s="171"/>
      <c r="D23" t="s">
        <v>314</v>
      </c>
      <c r="E23" s="175"/>
      <c r="F23" t="str">
        <f>IF(F22="",IF(OR(AND(E19&lt;=(R3-N7), Summary!D37="relative"),AND(E19&lt;=(R3-N7)/(J2+J2*Summary!D17), Summary!D37="absolute")),IF(OR(G19&gt;V3,I19&gt;W3), IF(N2=MIN(AH2:AH5), "failed max rise/fall time spec, recommendations:" &amp; CHAR(10) &amp; "-reduce MB trace length" &amp; CHAR(10) &amp; "-increase trace width (reduce MB trace resistance per length)", "failed max rise/fall time spec, recommendations:" &amp; CHAR(10) &amp; IF(OR(Summary!D24&gt;Summary!D22,Summary!D24&lt;Summary!D21),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Summary!D13</f>
        <v>0</v>
      </c>
      <c r="L24" t="s">
        <v>305</v>
      </c>
    </row>
    <row r="25" spans="1:26" x14ac:dyDescent="0.35">
      <c r="A25" t="s">
        <v>318</v>
      </c>
      <c r="B25" s="11">
        <f>C2*(1-D2)</f>
        <v>900000000000</v>
      </c>
      <c r="C25" s="11">
        <f>C2*(1-D2)</f>
        <v>900000000000</v>
      </c>
      <c r="K25" s="18">
        <f>Summary!D14</f>
        <v>1</v>
      </c>
      <c r="L25" t="s">
        <v>274</v>
      </c>
      <c r="N25" s="72" t="s">
        <v>319</v>
      </c>
    </row>
    <row r="26" spans="1:26" x14ac:dyDescent="0.35">
      <c r="A26" t="s">
        <v>320</v>
      </c>
      <c r="B26" s="11">
        <f>F11*(1-H11)</f>
        <v>779</v>
      </c>
      <c r="C26" s="11">
        <f>F11*(1-H11)</f>
        <v>779</v>
      </c>
      <c r="Q26" t="s">
        <v>321</v>
      </c>
    </row>
    <row r="27" spans="1:26" x14ac:dyDescent="0.35">
      <c r="A27" t="s">
        <v>322</v>
      </c>
      <c r="B27" s="11">
        <f>C3*(1-D3)</f>
        <v>900000000000</v>
      </c>
      <c r="C27" s="11">
        <f>C3*(1-D3)</f>
        <v>900000000000</v>
      </c>
      <c r="Q27" t="s">
        <v>323</v>
      </c>
    </row>
    <row r="28" spans="1:26" x14ac:dyDescent="0.35">
      <c r="A28" t="s">
        <v>324</v>
      </c>
      <c r="B28" s="1">
        <f>K21</f>
        <v>22.122405384810769</v>
      </c>
      <c r="C28">
        <v>0</v>
      </c>
      <c r="Q28" t="s">
        <v>325</v>
      </c>
      <c r="V28" t="s">
        <v>305</v>
      </c>
      <c r="W28" t="s">
        <v>274</v>
      </c>
      <c r="X28" t="s">
        <v>326</v>
      </c>
    </row>
    <row r="29" spans="1:26" x14ac:dyDescent="0.35">
      <c r="A29" t="s">
        <v>327</v>
      </c>
      <c r="B29">
        <v>0</v>
      </c>
      <c r="C29" s="1">
        <f>K21</f>
        <v>22.122405384810769</v>
      </c>
      <c r="F29" s="11"/>
      <c r="T29" t="s">
        <v>328</v>
      </c>
      <c r="U29">
        <f>IF(IF(ISBLANK(Summary!D25),IF(U30=W82,L30,U30),IF(Summary!D25=5%,L30,U30))=N130,"no solution",IF(ISBLANK(Summary!D25),IF(U30=W82,L30,U30),IF(Summary!D25=5%,L30,U30)))</f>
        <v>910</v>
      </c>
      <c r="V29">
        <f>IFERROR(IF(X29=5%,VLOOKUP(1,M34:N129,2,FALSE),VLOOKUP(1,V34:W81,2,FALSE)),"no solution")</f>
        <v>430</v>
      </c>
      <c r="W29">
        <f>IF(U29="no solution","no solution",IF(X29=5%,VLOOKUP(MAX(M34:M129)-1,M34:N129,2,FALSE),VLOOKUP(MAX(V34:V81)-1,V34:W81,2,FALSE)))</f>
        <v>1800</v>
      </c>
      <c r="X29" s="64">
        <f>Summary!D25</f>
        <v>0.05</v>
      </c>
    </row>
    <row r="30" spans="1:26" x14ac:dyDescent="0.35">
      <c r="A30" t="s">
        <v>329</v>
      </c>
      <c r="B30" s="11">
        <f>F2*(1+H2)</f>
        <v>1100000000000</v>
      </c>
      <c r="C30" s="11">
        <f>F2*(1+H2)</f>
        <v>1100000000000</v>
      </c>
      <c r="K30" t="s">
        <v>330</v>
      </c>
      <c r="L30">
        <f>VLOOKUP(Q31,M34:Q154,2)</f>
        <v>910</v>
      </c>
      <c r="T30" t="s">
        <v>331</v>
      </c>
      <c r="U30">
        <f>VLOOKUP(Z31,V34:W82,2)</f>
        <v>820</v>
      </c>
    </row>
    <row r="31" spans="1:26" x14ac:dyDescent="0.35">
      <c r="A31" t="s">
        <v>332</v>
      </c>
      <c r="B31" s="11">
        <f>F12*(1+H12)</f>
        <v>1100000000</v>
      </c>
      <c r="C31" s="11">
        <f>F12*(1+H12)</f>
        <v>1100000000</v>
      </c>
      <c r="Q31" cm="1">
        <f t="array" ref="Q31">MAX(M34:M129+1)/2</f>
        <v>9</v>
      </c>
      <c r="Z31" cm="1">
        <f t="array" ref="Z31">MAX(V34:V81+1)/2</f>
        <v>4.5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4.7907358629788475E-9</v>
      </c>
      <c r="T34">
        <v>1</v>
      </c>
      <c r="U34">
        <v>10</v>
      </c>
      <c r="V34">
        <f>Z34</f>
        <v>0</v>
      </c>
      <c r="W34">
        <f>U34*T34</f>
        <v>10</v>
      </c>
      <c r="X34">
        <f t="shared" ref="X34:X81" si="3">W34*(1-$V$32)</f>
        <v>9</v>
      </c>
      <c r="Y34">
        <f t="shared" ref="Y34:Y81" si="4">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4.7907358629788475E-9</v>
      </c>
      <c r="AC34" s="126" t="str">
        <f t="shared" ref="AC34:AC97" si="5">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97" si="6">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7">IF(AND(Q34=1,Q35=0),Q35+M34+1, Q35+M34)</f>
        <v>0</v>
      </c>
      <c r="N35">
        <f t="shared" si="0"/>
        <v>11</v>
      </c>
      <c r="O35">
        <f t="shared" si="1"/>
        <v>10.45</v>
      </c>
      <c r="P35">
        <f t="shared" si="2"/>
        <v>11.55</v>
      </c>
      <c r="Q35">
        <f t="shared" ref="Q35:Q98" si="8">IF($Q$2="N/A",IF(AND((O35&gt;=MAX($H$7:$I$7)),(P35&lt;=MIN($F$7:$G$7)),(P35&lt;=MIN($B$7:$C$7)),(O35&gt;=MAX($D$7:$E$7))),1,0),IF(AND((O35&gt;=MAX($I$7)),(P35&lt;=MIN($G$7)),(P35&lt;=MIN($C$7)),(O35&gt;=MAX($E$7))),1,0))</f>
        <v>0</v>
      </c>
      <c r="R35" s="126">
        <f t="shared" ref="R35:R98" si="9">_xlfn.LET(
_xlpm.PU, O35,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1.1744628837115299E-9</v>
      </c>
      <c r="S35" s="126">
        <f t="shared" ref="S35:S98" si="10">_xlfn.LET(
_xlpm.PU,P35,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4.9449327284909522E-9</v>
      </c>
      <c r="T35">
        <v>1</v>
      </c>
      <c r="U35">
        <v>12</v>
      </c>
      <c r="V35">
        <f t="shared" ref="V35:V82" si="11">IF(AND(Z34=1,Z35=0),Z35+V34+1, Z35+V34)</f>
        <v>0</v>
      </c>
      <c r="W35">
        <f t="shared" ref="W35:W79" si="12">U35*T35</f>
        <v>12</v>
      </c>
      <c r="X35">
        <f t="shared" si="3"/>
        <v>10.8</v>
      </c>
      <c r="Y35">
        <f t="shared" si="4"/>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4.9449327284909522E-9</v>
      </c>
      <c r="AC35" s="126" t="str">
        <f t="shared" si="5"/>
        <v>Vlow exceeds VIL spec</v>
      </c>
      <c r="AD35" s="126" t="str">
        <f t="shared" si="6"/>
        <v>Vlow exceeds VIL spec</v>
      </c>
    </row>
    <row r="36" spans="1:30" x14ac:dyDescent="0.35">
      <c r="A36" t="s">
        <v>346</v>
      </c>
      <c r="B36">
        <v>1</v>
      </c>
      <c r="C36">
        <v>1</v>
      </c>
      <c r="K36">
        <v>1</v>
      </c>
      <c r="L36">
        <v>12</v>
      </c>
      <c r="M36">
        <f t="shared" si="7"/>
        <v>0</v>
      </c>
      <c r="N36">
        <f t="shared" si="0"/>
        <v>12</v>
      </c>
      <c r="O36">
        <f t="shared" si="1"/>
        <v>11.399999999999999</v>
      </c>
      <c r="P36">
        <f t="shared" si="2"/>
        <v>12.600000000000001</v>
      </c>
      <c r="Q36">
        <f t="shared" si="8"/>
        <v>0</v>
      </c>
      <c r="R36" s="126">
        <f t="shared" si="9"/>
        <v>1.281232236772157E-9</v>
      </c>
      <c r="S36" s="126">
        <f t="shared" si="10"/>
        <v>5.0991295940021736E-9</v>
      </c>
      <c r="T36">
        <v>1</v>
      </c>
      <c r="U36">
        <v>15</v>
      </c>
      <c r="V36">
        <f t="shared" si="11"/>
        <v>0</v>
      </c>
      <c r="W36">
        <f t="shared" si="12"/>
        <v>15</v>
      </c>
      <c r="X36">
        <f t="shared" si="3"/>
        <v>13.5</v>
      </c>
      <c r="Y36">
        <f t="shared" si="4"/>
        <v>16.5</v>
      </c>
      <c r="Z36">
        <f t="shared" si="13"/>
        <v>0</v>
      </c>
      <c r="AA36" s="126">
        <f t="shared" si="14"/>
        <v>1.281232236772157E-9</v>
      </c>
      <c r="AB36" s="126">
        <f t="shared" si="15"/>
        <v>5.0991295940021736E-9</v>
      </c>
      <c r="AC36" s="126" t="str">
        <f t="shared" si="5"/>
        <v>Vlow exceeds VIL spec</v>
      </c>
      <c r="AD36" s="126" t="str">
        <f t="shared" si="6"/>
        <v>Vlow exceeds VIL spec</v>
      </c>
    </row>
    <row r="37" spans="1:30" x14ac:dyDescent="0.35">
      <c r="K37">
        <v>1</v>
      </c>
      <c r="L37">
        <v>13</v>
      </c>
      <c r="M37">
        <f t="shared" si="7"/>
        <v>0</v>
      </c>
      <c r="N37">
        <f t="shared" si="0"/>
        <v>13</v>
      </c>
      <c r="O37">
        <f t="shared" si="1"/>
        <v>12.35</v>
      </c>
      <c r="P37">
        <f t="shared" si="2"/>
        <v>13.65</v>
      </c>
      <c r="Q37">
        <f t="shared" si="8"/>
        <v>0</v>
      </c>
      <c r="R37" s="126">
        <f t="shared" si="9"/>
        <v>1.3880015898321084E-9</v>
      </c>
      <c r="S37" s="126">
        <f t="shared" si="10"/>
        <v>5.2533264595125131E-9</v>
      </c>
      <c r="T37">
        <v>1</v>
      </c>
      <c r="U37">
        <v>18</v>
      </c>
      <c r="V37">
        <f t="shared" si="11"/>
        <v>0</v>
      </c>
      <c r="W37">
        <f t="shared" si="12"/>
        <v>18</v>
      </c>
      <c r="X37">
        <f t="shared" si="3"/>
        <v>16.2</v>
      </c>
      <c r="Y37">
        <f t="shared" si="4"/>
        <v>19.8</v>
      </c>
      <c r="Z37">
        <f t="shared" si="13"/>
        <v>0</v>
      </c>
      <c r="AA37" s="126">
        <f t="shared" si="14"/>
        <v>1.3880015898321084E-9</v>
      </c>
      <c r="AB37" s="126">
        <f t="shared" si="15"/>
        <v>5.2533264595125131E-9</v>
      </c>
      <c r="AC37" s="126" t="str">
        <f t="shared" si="5"/>
        <v>Vlow exceeds VIL spec</v>
      </c>
      <c r="AD37" s="126" t="str">
        <f t="shared" si="6"/>
        <v>Vlow exceeds VIL spec</v>
      </c>
    </row>
    <row r="38" spans="1:30" x14ac:dyDescent="0.35">
      <c r="A38" t="s">
        <v>347</v>
      </c>
      <c r="B38" s="125">
        <f>IF(Summary!D50="absolute",(S2+N7)/(J3-J3*Summary!D18),S2+N7)</f>
        <v>0.72</v>
      </c>
      <c r="K38">
        <v>1</v>
      </c>
      <c r="L38">
        <v>15</v>
      </c>
      <c r="M38">
        <f t="shared" si="7"/>
        <v>0</v>
      </c>
      <c r="N38">
        <f t="shared" si="0"/>
        <v>15</v>
      </c>
      <c r="O38">
        <f t="shared" si="1"/>
        <v>14.25</v>
      </c>
      <c r="P38">
        <f t="shared" si="2"/>
        <v>15.75</v>
      </c>
      <c r="Q38">
        <f t="shared" si="8"/>
        <v>0</v>
      </c>
      <c r="R38" s="126">
        <f t="shared" si="9"/>
        <v>1.601540295949982E-9</v>
      </c>
      <c r="S38" s="126">
        <f t="shared" si="10"/>
        <v>5.5617201905305428E-9</v>
      </c>
      <c r="T38">
        <v>1</v>
      </c>
      <c r="U38">
        <v>22</v>
      </c>
      <c r="V38">
        <f t="shared" si="11"/>
        <v>0</v>
      </c>
      <c r="W38">
        <f t="shared" si="12"/>
        <v>22</v>
      </c>
      <c r="X38">
        <f t="shared" si="3"/>
        <v>19.8</v>
      </c>
      <c r="Y38">
        <f t="shared" si="4"/>
        <v>24.200000000000003</v>
      </c>
      <c r="Z38">
        <f t="shared" si="13"/>
        <v>0</v>
      </c>
      <c r="AA38" s="126">
        <f t="shared" si="14"/>
        <v>1.601540295949982E-9</v>
      </c>
      <c r="AB38" s="126">
        <f t="shared" si="15"/>
        <v>5.5617201905305428E-9</v>
      </c>
      <c r="AC38" s="126" t="str">
        <f t="shared" si="5"/>
        <v>Vlow exceeds VIL spec</v>
      </c>
      <c r="AD38" s="126" t="str">
        <f t="shared" si="6"/>
        <v>Vlow exceeds VIL spec</v>
      </c>
    </row>
    <row r="39" spans="1:30" x14ac:dyDescent="0.35">
      <c r="A39" t="s">
        <v>348</v>
      </c>
      <c r="K39">
        <v>1</v>
      </c>
      <c r="L39">
        <v>16</v>
      </c>
      <c r="M39">
        <f t="shared" si="7"/>
        <v>0</v>
      </c>
      <c r="N39">
        <f t="shared" si="0"/>
        <v>16</v>
      </c>
      <c r="O39">
        <f t="shared" si="1"/>
        <v>15.2</v>
      </c>
      <c r="P39">
        <f t="shared" si="2"/>
        <v>16.8</v>
      </c>
      <c r="Q39">
        <f t="shared" si="8"/>
        <v>0</v>
      </c>
      <c r="R39" s="126">
        <f t="shared" si="9"/>
        <v>1.7083096490079043E-9</v>
      </c>
      <c r="S39" s="126">
        <f t="shared" si="10"/>
        <v>5.7159170560382321E-9</v>
      </c>
      <c r="T39">
        <v>1</v>
      </c>
      <c r="U39">
        <v>27</v>
      </c>
      <c r="V39">
        <f t="shared" si="11"/>
        <v>0</v>
      </c>
      <c r="W39">
        <f t="shared" si="12"/>
        <v>27</v>
      </c>
      <c r="X39">
        <f t="shared" si="3"/>
        <v>24.3</v>
      </c>
      <c r="Y39">
        <f t="shared" si="4"/>
        <v>29.700000000000003</v>
      </c>
      <c r="Z39">
        <f t="shared" si="13"/>
        <v>0</v>
      </c>
      <c r="AA39" s="126">
        <f t="shared" si="14"/>
        <v>1.7083096490079043E-9</v>
      </c>
      <c r="AB39" s="126">
        <f t="shared" si="15"/>
        <v>5.7159170560382321E-9</v>
      </c>
      <c r="AC39" s="126" t="str">
        <f t="shared" si="5"/>
        <v>Vlow exceeds VIL spec</v>
      </c>
      <c r="AD39" s="126" t="str">
        <f t="shared" si="6"/>
        <v>Vlow exceeds VIL spec</v>
      </c>
    </row>
    <row r="40" spans="1:30" x14ac:dyDescent="0.35">
      <c r="A40" t="s">
        <v>349</v>
      </c>
      <c r="C40" s="125">
        <f>IF(Summary!D37="absolute",(S3+N7)/(J2-J2*Summary!D17),S3+N7)</f>
        <v>0.72</v>
      </c>
      <c r="K40">
        <v>1</v>
      </c>
      <c r="L40">
        <v>18</v>
      </c>
      <c r="M40">
        <f t="shared" si="7"/>
        <v>0</v>
      </c>
      <c r="N40">
        <f t="shared" si="0"/>
        <v>18</v>
      </c>
      <c r="O40">
        <f t="shared" si="1"/>
        <v>17.099999999999998</v>
      </c>
      <c r="P40">
        <f t="shared" si="2"/>
        <v>18.900000000000002</v>
      </c>
      <c r="Q40">
        <f t="shared" si="8"/>
        <v>0</v>
      </c>
      <c r="R40" s="126">
        <f t="shared" si="9"/>
        <v>1.9218483551217202E-9</v>
      </c>
      <c r="S40" s="126">
        <f t="shared" si="10"/>
        <v>6.0243107870509612E-9</v>
      </c>
      <c r="T40">
        <v>1</v>
      </c>
      <c r="U40">
        <v>33</v>
      </c>
      <c r="V40">
        <f t="shared" si="11"/>
        <v>0</v>
      </c>
      <c r="W40">
        <f t="shared" si="12"/>
        <v>33</v>
      </c>
      <c r="X40">
        <f t="shared" si="3"/>
        <v>29.7</v>
      </c>
      <c r="Y40">
        <f t="shared" si="4"/>
        <v>36.300000000000004</v>
      </c>
      <c r="Z40">
        <f t="shared" si="13"/>
        <v>0</v>
      </c>
      <c r="AA40" s="126">
        <f t="shared" si="14"/>
        <v>1.9218483551217202E-9</v>
      </c>
      <c r="AB40" s="126">
        <f t="shared" si="15"/>
        <v>6.0243107870509612E-9</v>
      </c>
      <c r="AC40" s="126" t="str">
        <f t="shared" si="5"/>
        <v>Vlow exceeds VIL spec</v>
      </c>
      <c r="AD40" s="126" t="str">
        <f t="shared" si="6"/>
        <v>Vlow exceeds VIL spec</v>
      </c>
    </row>
    <row r="41" spans="1:30" x14ac:dyDescent="0.35">
      <c r="C41" s="1"/>
      <c r="K41">
        <v>1</v>
      </c>
      <c r="L41">
        <v>20</v>
      </c>
      <c r="M41">
        <f t="shared" si="7"/>
        <v>0</v>
      </c>
      <c r="N41">
        <f t="shared" si="0"/>
        <v>20</v>
      </c>
      <c r="O41">
        <f t="shared" si="1"/>
        <v>19</v>
      </c>
      <c r="P41">
        <f t="shared" si="2"/>
        <v>21</v>
      </c>
      <c r="Q41">
        <f t="shared" si="8"/>
        <v>0</v>
      </c>
      <c r="R41" s="126">
        <f t="shared" si="9"/>
        <v>2.1353870612328322E-9</v>
      </c>
      <c r="S41" s="126">
        <f t="shared" si="10"/>
        <v>6.332704518060159E-9</v>
      </c>
      <c r="T41">
        <v>1</v>
      </c>
      <c r="U41">
        <v>39</v>
      </c>
      <c r="V41">
        <f t="shared" si="11"/>
        <v>0</v>
      </c>
      <c r="W41">
        <f t="shared" si="12"/>
        <v>39</v>
      </c>
      <c r="X41">
        <f t="shared" si="3"/>
        <v>35.1</v>
      </c>
      <c r="Y41">
        <f t="shared" si="4"/>
        <v>42.900000000000006</v>
      </c>
      <c r="Z41">
        <f t="shared" si="13"/>
        <v>0</v>
      </c>
      <c r="AA41" s="126">
        <f t="shared" si="14"/>
        <v>2.1353870612328322E-9</v>
      </c>
      <c r="AB41" s="126">
        <f t="shared" si="15"/>
        <v>6.332704518060159E-9</v>
      </c>
      <c r="AC41" s="126" t="str">
        <f t="shared" si="5"/>
        <v>Vlow exceeds VIL spec</v>
      </c>
      <c r="AD41" s="126" t="str">
        <f t="shared" si="6"/>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0.99999929038221158</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0.99999929040232294</v>
      </c>
      <c r="K42">
        <v>1</v>
      </c>
      <c r="L42">
        <v>22</v>
      </c>
      <c r="M42">
        <f t="shared" si="7"/>
        <v>0</v>
      </c>
      <c r="N42">
        <f t="shared" si="0"/>
        <v>22</v>
      </c>
      <c r="O42">
        <f t="shared" si="1"/>
        <v>20.9</v>
      </c>
      <c r="P42">
        <f t="shared" si="2"/>
        <v>23.1</v>
      </c>
      <c r="Q42">
        <f t="shared" si="8"/>
        <v>0</v>
      </c>
      <c r="R42" s="126">
        <f t="shared" si="9"/>
        <v>2.3489257673412385E-9</v>
      </c>
      <c r="S42" s="126">
        <f t="shared" si="10"/>
        <v>6.6410982490658232E-9</v>
      </c>
      <c r="T42">
        <v>1</v>
      </c>
      <c r="U42">
        <v>47</v>
      </c>
      <c r="V42">
        <f t="shared" si="11"/>
        <v>0</v>
      </c>
      <c r="W42">
        <f t="shared" si="12"/>
        <v>47</v>
      </c>
      <c r="X42">
        <f t="shared" si="3"/>
        <v>42.300000000000004</v>
      </c>
      <c r="Y42">
        <f t="shared" si="4"/>
        <v>51.7</v>
      </c>
      <c r="Z42">
        <f t="shared" si="13"/>
        <v>0</v>
      </c>
      <c r="AA42" s="126">
        <f t="shared" si="14"/>
        <v>2.3489257673412385E-9</v>
      </c>
      <c r="AB42" s="126">
        <f t="shared" si="15"/>
        <v>6.6410982490658232E-9</v>
      </c>
      <c r="AC42" s="126" t="str">
        <f t="shared" si="5"/>
        <v>Vlow exceeds VIL spec</v>
      </c>
      <c r="AD42" s="126" t="str">
        <f t="shared" si="6"/>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0.99999929040232294</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0.99999929040232294</v>
      </c>
      <c r="K43">
        <v>1</v>
      </c>
      <c r="L43">
        <v>24</v>
      </c>
      <c r="M43">
        <f t="shared" si="7"/>
        <v>0</v>
      </c>
      <c r="N43">
        <f t="shared" si="0"/>
        <v>24</v>
      </c>
      <c r="O43">
        <f t="shared" si="1"/>
        <v>22.799999999999997</v>
      </c>
      <c r="P43">
        <f t="shared" si="2"/>
        <v>25.200000000000003</v>
      </c>
      <c r="Q43">
        <f t="shared" si="8"/>
        <v>0</v>
      </c>
      <c r="R43" s="126">
        <f t="shared" si="9"/>
        <v>2.5624644734469403E-9</v>
      </c>
      <c r="S43" s="126">
        <f t="shared" si="10"/>
        <v>6.9494919800679569E-9</v>
      </c>
      <c r="T43">
        <v>1</v>
      </c>
      <c r="U43">
        <v>56</v>
      </c>
      <c r="V43">
        <f t="shared" si="11"/>
        <v>0</v>
      </c>
      <c r="W43">
        <f t="shared" si="12"/>
        <v>56</v>
      </c>
      <c r="X43">
        <f t="shared" si="3"/>
        <v>50.4</v>
      </c>
      <c r="Y43">
        <f t="shared" si="4"/>
        <v>61.600000000000009</v>
      </c>
      <c r="Z43">
        <f t="shared" si="13"/>
        <v>0</v>
      </c>
      <c r="AA43" s="126">
        <f t="shared" si="14"/>
        <v>2.5624644734469403E-9</v>
      </c>
      <c r="AB43" s="126">
        <f t="shared" si="15"/>
        <v>6.9494919800679569E-9</v>
      </c>
      <c r="AC43" s="126" t="str">
        <f t="shared" si="5"/>
        <v>Vlow exceeds VIL spec</v>
      </c>
      <c r="AD43" s="126" t="str">
        <f t="shared" si="6"/>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0.99999929040232294</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0.99999929038221158</v>
      </c>
      <c r="K44">
        <v>1</v>
      </c>
      <c r="L44">
        <v>27</v>
      </c>
      <c r="M44">
        <f t="shared" si="7"/>
        <v>0</v>
      </c>
      <c r="N44">
        <f t="shared" si="0"/>
        <v>27</v>
      </c>
      <c r="O44">
        <f t="shared" si="1"/>
        <v>25.65</v>
      </c>
      <c r="P44">
        <f t="shared" si="2"/>
        <v>28.35</v>
      </c>
      <c r="Q44">
        <f t="shared" si="8"/>
        <v>0</v>
      </c>
      <c r="R44" s="126">
        <f t="shared" si="9"/>
        <v>2.8827725326004216E-9</v>
      </c>
      <c r="S44" s="126">
        <f t="shared" si="10"/>
        <v>7.412082576564531E-9</v>
      </c>
      <c r="T44">
        <v>1</v>
      </c>
      <c r="U44">
        <v>68</v>
      </c>
      <c r="V44">
        <f t="shared" si="11"/>
        <v>0</v>
      </c>
      <c r="W44">
        <f t="shared" si="12"/>
        <v>68</v>
      </c>
      <c r="X44">
        <f t="shared" si="3"/>
        <v>61.2</v>
      </c>
      <c r="Y44">
        <f t="shared" si="4"/>
        <v>74.800000000000011</v>
      </c>
      <c r="Z44">
        <f t="shared" si="13"/>
        <v>0</v>
      </c>
      <c r="AA44" s="126">
        <f t="shared" si="14"/>
        <v>2.8827725326004216E-9</v>
      </c>
      <c r="AB44" s="126">
        <f t="shared" si="15"/>
        <v>7.412082576564531E-9</v>
      </c>
      <c r="AC44" s="126" t="str">
        <f t="shared" si="5"/>
        <v>Vlow exceeds VIL spec</v>
      </c>
      <c r="AD44" s="126" t="str">
        <f t="shared" si="6"/>
        <v>Vlow exceeds VIL spec</v>
      </c>
    </row>
    <row r="45" spans="1:30" x14ac:dyDescent="0.35">
      <c r="K45">
        <v>1</v>
      </c>
      <c r="L45">
        <v>30</v>
      </c>
      <c r="M45">
        <f t="shared" si="7"/>
        <v>0</v>
      </c>
      <c r="N45">
        <f t="shared" si="0"/>
        <v>30</v>
      </c>
      <c r="O45">
        <f t="shared" si="1"/>
        <v>28.5</v>
      </c>
      <c r="P45">
        <f t="shared" si="2"/>
        <v>31.5</v>
      </c>
      <c r="Q45">
        <f t="shared" si="8"/>
        <v>0</v>
      </c>
      <c r="R45" s="126">
        <f t="shared" si="9"/>
        <v>3.2030805917478173E-9</v>
      </c>
      <c r="S45" s="126">
        <f t="shared" si="10"/>
        <v>7.8746731730531583E-9</v>
      </c>
      <c r="T45">
        <v>1</v>
      </c>
      <c r="U45">
        <v>82</v>
      </c>
      <c r="V45">
        <f t="shared" si="11"/>
        <v>0</v>
      </c>
      <c r="W45">
        <f t="shared" si="12"/>
        <v>82</v>
      </c>
      <c r="X45">
        <f t="shared" si="3"/>
        <v>73.8</v>
      </c>
      <c r="Y45">
        <f t="shared" si="4"/>
        <v>90.2</v>
      </c>
      <c r="Z45">
        <f t="shared" si="13"/>
        <v>0</v>
      </c>
      <c r="AA45" s="126">
        <f t="shared" si="14"/>
        <v>3.2030805917478173E-9</v>
      </c>
      <c r="AB45" s="126">
        <f t="shared" si="15"/>
        <v>7.8746731730531583E-9</v>
      </c>
      <c r="AC45" s="126" t="str">
        <f t="shared" si="5"/>
        <v>Vlow exceeds VIL spec</v>
      </c>
      <c r="AD45" s="126" t="str">
        <f t="shared" si="6"/>
        <v>Vlow exceeds VIL spec</v>
      </c>
    </row>
    <row r="46" spans="1:30" x14ac:dyDescent="0.35">
      <c r="K46">
        <v>1</v>
      </c>
      <c r="L46">
        <v>33</v>
      </c>
      <c r="M46">
        <f t="shared" si="7"/>
        <v>0</v>
      </c>
      <c r="N46">
        <f t="shared" si="0"/>
        <v>33</v>
      </c>
      <c r="O46">
        <f t="shared" si="1"/>
        <v>31.349999999999998</v>
      </c>
      <c r="P46">
        <f t="shared" si="2"/>
        <v>34.65</v>
      </c>
      <c r="Q46">
        <f t="shared" si="8"/>
        <v>0</v>
      </c>
      <c r="R46" s="126">
        <f t="shared" si="9"/>
        <v>3.5233886508891263E-9</v>
      </c>
      <c r="S46" s="126">
        <f t="shared" si="10"/>
        <v>8.3372637695338381E-9</v>
      </c>
      <c r="T46">
        <v>10</v>
      </c>
      <c r="U46">
        <v>10</v>
      </c>
      <c r="V46">
        <f t="shared" si="11"/>
        <v>0</v>
      </c>
      <c r="W46">
        <f t="shared" si="12"/>
        <v>100</v>
      </c>
      <c r="X46">
        <f t="shared" si="3"/>
        <v>90</v>
      </c>
      <c r="Y46">
        <f t="shared" si="4"/>
        <v>110.00000000000001</v>
      </c>
      <c r="Z46">
        <f t="shared" si="13"/>
        <v>0</v>
      </c>
      <c r="AA46" s="126">
        <f t="shared" si="14"/>
        <v>3.5233886508891263E-9</v>
      </c>
      <c r="AB46" s="126">
        <f t="shared" si="15"/>
        <v>8.3372637695338381E-9</v>
      </c>
      <c r="AC46" s="126" t="str">
        <f t="shared" si="5"/>
        <v>Vlow exceeds VIL spec</v>
      </c>
      <c r="AD46" s="126" t="str">
        <f t="shared" si="6"/>
        <v>Vlow exceeds VIL spec</v>
      </c>
    </row>
    <row r="47" spans="1:30" x14ac:dyDescent="0.35">
      <c r="B47" s="171" t="s">
        <v>353</v>
      </c>
      <c r="C47" s="171"/>
      <c r="K47">
        <v>1</v>
      </c>
      <c r="L47">
        <v>36</v>
      </c>
      <c r="M47">
        <f t="shared" si="7"/>
        <v>0</v>
      </c>
      <c r="N47">
        <f t="shared" si="0"/>
        <v>36</v>
      </c>
      <c r="O47">
        <f t="shared" si="1"/>
        <v>34.199999999999996</v>
      </c>
      <c r="P47">
        <f t="shared" si="2"/>
        <v>37.800000000000004</v>
      </c>
      <c r="Q47">
        <f t="shared" si="8"/>
        <v>0</v>
      </c>
      <c r="R47" s="126">
        <f t="shared" si="9"/>
        <v>3.8436967100243492E-9</v>
      </c>
      <c r="S47" s="126">
        <f t="shared" si="10"/>
        <v>8.7998543660065687E-9</v>
      </c>
      <c r="T47">
        <v>10</v>
      </c>
      <c r="U47">
        <v>12</v>
      </c>
      <c r="V47">
        <f t="shared" si="11"/>
        <v>0</v>
      </c>
      <c r="W47">
        <f>U47*T47</f>
        <v>120</v>
      </c>
      <c r="X47">
        <f t="shared" si="3"/>
        <v>108</v>
      </c>
      <c r="Y47">
        <f t="shared" si="4"/>
        <v>132</v>
      </c>
      <c r="Z47">
        <f t="shared" si="13"/>
        <v>0</v>
      </c>
      <c r="AA47" s="126">
        <f t="shared" si="14"/>
        <v>3.8436967100243492E-9</v>
      </c>
      <c r="AB47" s="126">
        <f t="shared" si="15"/>
        <v>8.7998543660065687E-9</v>
      </c>
      <c r="AC47" s="126" t="str">
        <f t="shared" si="5"/>
        <v>Vlow exceeds VIL spec</v>
      </c>
      <c r="AD47" s="126" t="str">
        <f t="shared" si="6"/>
        <v>Vlow exceeds VIL spec</v>
      </c>
    </row>
    <row r="48" spans="1:30" x14ac:dyDescent="0.35">
      <c r="B48" t="s">
        <v>316</v>
      </c>
      <c r="C48" t="s">
        <v>317</v>
      </c>
      <c r="K48">
        <v>1</v>
      </c>
      <c r="L48">
        <v>39</v>
      </c>
      <c r="M48">
        <f t="shared" si="7"/>
        <v>0</v>
      </c>
      <c r="N48">
        <f t="shared" si="0"/>
        <v>39</v>
      </c>
      <c r="O48">
        <f t="shared" si="1"/>
        <v>37.049999999999997</v>
      </c>
      <c r="P48">
        <f t="shared" si="2"/>
        <v>40.950000000000003</v>
      </c>
      <c r="Q48">
        <f t="shared" si="8"/>
        <v>0</v>
      </c>
      <c r="R48" s="126">
        <f t="shared" si="9"/>
        <v>4.164004769153487E-9</v>
      </c>
      <c r="S48" s="126">
        <f t="shared" si="10"/>
        <v>9.2624449624713517E-9</v>
      </c>
      <c r="T48">
        <v>10</v>
      </c>
      <c r="U48">
        <v>15</v>
      </c>
      <c r="V48">
        <f t="shared" si="11"/>
        <v>0</v>
      </c>
      <c r="W48">
        <f t="shared" si="12"/>
        <v>150</v>
      </c>
      <c r="X48">
        <f t="shared" si="3"/>
        <v>135</v>
      </c>
      <c r="Y48">
        <f t="shared" si="4"/>
        <v>165</v>
      </c>
      <c r="Z48">
        <f t="shared" si="13"/>
        <v>0</v>
      </c>
      <c r="AA48" s="126">
        <f t="shared" si="14"/>
        <v>4.164004769153487E-9</v>
      </c>
      <c r="AB48" s="126">
        <f t="shared" si="15"/>
        <v>9.2624449624713517E-9</v>
      </c>
      <c r="AC48" s="126" t="str">
        <f t="shared" si="5"/>
        <v>Vlow exceeds VIL spec</v>
      </c>
      <c r="AD48" s="126" t="str">
        <f t="shared" si="6"/>
        <v>Vlow exceeds VIL spec</v>
      </c>
    </row>
    <row r="49" spans="1:30" x14ac:dyDescent="0.35">
      <c r="A49" t="s">
        <v>318</v>
      </c>
      <c r="B49" s="11">
        <f>C2*(1+E2)</f>
        <v>1100000000000</v>
      </c>
      <c r="C49" s="11">
        <f>C2*(1+E2)</f>
        <v>1100000000000</v>
      </c>
      <c r="K49">
        <v>1</v>
      </c>
      <c r="L49">
        <v>43</v>
      </c>
      <c r="M49">
        <f t="shared" si="7"/>
        <v>0</v>
      </c>
      <c r="N49">
        <f t="shared" si="0"/>
        <v>43</v>
      </c>
      <c r="O49">
        <f t="shared" si="1"/>
        <v>40.85</v>
      </c>
      <c r="P49">
        <f t="shared" si="2"/>
        <v>45.15</v>
      </c>
      <c r="Q49">
        <f t="shared" si="8"/>
        <v>0</v>
      </c>
      <c r="R49" s="126">
        <f t="shared" si="9"/>
        <v>4.5910821813162061E-9</v>
      </c>
      <c r="S49" s="126">
        <f t="shared" si="10"/>
        <v>9.8792324244120321E-9</v>
      </c>
      <c r="T49">
        <v>10</v>
      </c>
      <c r="U49">
        <v>18</v>
      </c>
      <c r="V49">
        <f t="shared" si="11"/>
        <v>0</v>
      </c>
      <c r="W49">
        <f t="shared" si="12"/>
        <v>180</v>
      </c>
      <c r="X49">
        <f t="shared" si="3"/>
        <v>162</v>
      </c>
      <c r="Y49">
        <f t="shared" si="4"/>
        <v>198.00000000000003</v>
      </c>
      <c r="Z49">
        <f t="shared" si="13"/>
        <v>0</v>
      </c>
      <c r="AA49" s="126">
        <f t="shared" si="14"/>
        <v>4.5910821813162061E-9</v>
      </c>
      <c r="AB49" s="126">
        <f t="shared" si="15"/>
        <v>9.8792324244120321E-9</v>
      </c>
      <c r="AC49" s="126" t="str">
        <f t="shared" si="5"/>
        <v>Vlow exceeds VIL spec</v>
      </c>
      <c r="AD49" s="126" t="str">
        <f t="shared" si="6"/>
        <v>Vlow exceeds VIL spec</v>
      </c>
    </row>
    <row r="50" spans="1:30" x14ac:dyDescent="0.35">
      <c r="A50" t="s">
        <v>320</v>
      </c>
      <c r="B50" s="11">
        <f>F11*(1+H11)</f>
        <v>861</v>
      </c>
      <c r="C50" s="11">
        <f>F11*(1+H11)</f>
        <v>861</v>
      </c>
      <c r="K50">
        <v>1</v>
      </c>
      <c r="L50">
        <v>47</v>
      </c>
      <c r="M50">
        <f t="shared" si="7"/>
        <v>0</v>
      </c>
      <c r="N50">
        <f t="shared" si="0"/>
        <v>47</v>
      </c>
      <c r="O50">
        <f t="shared" si="1"/>
        <v>44.65</v>
      </c>
      <c r="P50">
        <f t="shared" si="2"/>
        <v>49.35</v>
      </c>
      <c r="Q50">
        <f t="shared" si="8"/>
        <v>0</v>
      </c>
      <c r="R50" s="126">
        <f t="shared" si="9"/>
        <v>5.0181595934681032E-9</v>
      </c>
      <c r="S50" s="126">
        <f t="shared" si="10"/>
        <v>1.0496019886338583E-8</v>
      </c>
      <c r="T50">
        <v>10</v>
      </c>
      <c r="U50">
        <v>22</v>
      </c>
      <c r="V50">
        <f t="shared" si="11"/>
        <v>0</v>
      </c>
      <c r="W50">
        <f t="shared" si="12"/>
        <v>220</v>
      </c>
      <c r="X50">
        <f t="shared" si="3"/>
        <v>198</v>
      </c>
      <c r="Y50">
        <f t="shared" si="4"/>
        <v>242.00000000000003</v>
      </c>
      <c r="Z50">
        <f t="shared" si="13"/>
        <v>0</v>
      </c>
      <c r="AA50" s="126">
        <f t="shared" si="14"/>
        <v>5.0181595934681032E-9</v>
      </c>
      <c r="AB50" s="126">
        <f t="shared" si="15"/>
        <v>1.0496019886338583E-8</v>
      </c>
      <c r="AC50" s="126" t="str">
        <f t="shared" si="5"/>
        <v>Vlow exceeds VIL spec</v>
      </c>
      <c r="AD50" s="126" t="str">
        <f t="shared" si="6"/>
        <v>Vlow exceeds VIL spec</v>
      </c>
    </row>
    <row r="51" spans="1:30" x14ac:dyDescent="0.35">
      <c r="A51" t="s">
        <v>322</v>
      </c>
      <c r="B51" s="11">
        <f>C3*(1+E3)</f>
        <v>1100000000000</v>
      </c>
      <c r="C51" s="11">
        <f>C3*(1+E3)</f>
        <v>1100000000000</v>
      </c>
      <c r="K51">
        <v>1</v>
      </c>
      <c r="L51">
        <v>51</v>
      </c>
      <c r="M51">
        <f t="shared" si="7"/>
        <v>0</v>
      </c>
      <c r="N51">
        <f t="shared" si="0"/>
        <v>51</v>
      </c>
      <c r="O51">
        <f t="shared" si="1"/>
        <v>48.449999999999996</v>
      </c>
      <c r="P51">
        <f t="shared" si="2"/>
        <v>53.550000000000004</v>
      </c>
      <c r="Q51">
        <f t="shared" si="8"/>
        <v>0</v>
      </c>
      <c r="R51" s="126">
        <f t="shared" si="9"/>
        <v>5.44523700560918E-9</v>
      </c>
      <c r="S51" s="126">
        <f t="shared" si="10"/>
        <v>1.1112807348251003E-8</v>
      </c>
      <c r="T51">
        <v>10</v>
      </c>
      <c r="U51">
        <v>27</v>
      </c>
      <c r="V51">
        <f t="shared" si="11"/>
        <v>0</v>
      </c>
      <c r="W51">
        <f t="shared" si="12"/>
        <v>270</v>
      </c>
      <c r="X51">
        <f t="shared" si="3"/>
        <v>243</v>
      </c>
      <c r="Y51">
        <f t="shared" si="4"/>
        <v>297</v>
      </c>
      <c r="Z51">
        <f t="shared" si="13"/>
        <v>0</v>
      </c>
      <c r="AA51" s="126">
        <f t="shared" si="14"/>
        <v>5.44523700560918E-9</v>
      </c>
      <c r="AB51" s="126">
        <f t="shared" si="15"/>
        <v>1.1112807348251003E-8</v>
      </c>
      <c r="AC51" s="126" t="str">
        <f t="shared" si="5"/>
        <v>Vlow exceeds VIL spec</v>
      </c>
      <c r="AD51" s="126" t="str">
        <f t="shared" si="6"/>
        <v>Vlow exceeds VIL spec</v>
      </c>
    </row>
    <row r="52" spans="1:30" x14ac:dyDescent="0.35">
      <c r="A52" t="s">
        <v>324</v>
      </c>
      <c r="B52" s="1">
        <f>K21</f>
        <v>22.122405384810769</v>
      </c>
      <c r="C52">
        <v>0</v>
      </c>
      <c r="K52">
        <v>1</v>
      </c>
      <c r="L52">
        <v>56</v>
      </c>
      <c r="M52">
        <f t="shared" si="7"/>
        <v>0</v>
      </c>
      <c r="N52">
        <f t="shared" si="0"/>
        <v>56</v>
      </c>
      <c r="O52">
        <f t="shared" si="1"/>
        <v>53.199999999999996</v>
      </c>
      <c r="P52">
        <f t="shared" si="2"/>
        <v>58.800000000000004</v>
      </c>
      <c r="Q52">
        <f t="shared" si="8"/>
        <v>0</v>
      </c>
      <c r="R52" s="126">
        <f t="shared" si="9"/>
        <v>5.9790837707703136E-9</v>
      </c>
      <c r="S52" s="126">
        <f t="shared" si="10"/>
        <v>1.1883791675621658E-8</v>
      </c>
      <c r="T52">
        <v>10</v>
      </c>
      <c r="U52">
        <v>33</v>
      </c>
      <c r="V52">
        <f t="shared" si="11"/>
        <v>0</v>
      </c>
      <c r="W52">
        <f t="shared" si="12"/>
        <v>330</v>
      </c>
      <c r="X52">
        <f t="shared" si="3"/>
        <v>297</v>
      </c>
      <c r="Y52">
        <f t="shared" si="4"/>
        <v>363.00000000000006</v>
      </c>
      <c r="Z52">
        <f t="shared" si="13"/>
        <v>0</v>
      </c>
      <c r="AA52" s="126">
        <f t="shared" si="14"/>
        <v>5.9790837707703136E-9</v>
      </c>
      <c r="AB52" s="126">
        <f t="shared" si="15"/>
        <v>1.1883791675621658E-8</v>
      </c>
      <c r="AC52" s="126" t="str">
        <f t="shared" si="5"/>
        <v>Vlow exceeds VIL spec</v>
      </c>
      <c r="AD52" s="126" t="str">
        <f t="shared" si="6"/>
        <v>Vlow exceeds VIL spec</v>
      </c>
    </row>
    <row r="53" spans="1:30" x14ac:dyDescent="0.35">
      <c r="A53" t="s">
        <v>327</v>
      </c>
      <c r="B53">
        <v>0</v>
      </c>
      <c r="C53" s="1">
        <f>K21</f>
        <v>22.122405384810769</v>
      </c>
      <c r="K53">
        <v>1</v>
      </c>
      <c r="L53">
        <v>62</v>
      </c>
      <c r="M53">
        <f t="shared" si="7"/>
        <v>0</v>
      </c>
      <c r="N53">
        <f t="shared" si="0"/>
        <v>62</v>
      </c>
      <c r="O53">
        <f t="shared" si="1"/>
        <v>58.9</v>
      </c>
      <c r="P53">
        <f t="shared" si="2"/>
        <v>65.100000000000009</v>
      </c>
      <c r="Q53">
        <f t="shared" si="8"/>
        <v>0</v>
      </c>
      <c r="R53" s="126">
        <f t="shared" si="9"/>
        <v>6.6196998889413597E-9</v>
      </c>
      <c r="S53" s="126">
        <f t="shared" si="10"/>
        <v>1.2808972868437298E-8</v>
      </c>
      <c r="T53">
        <v>10</v>
      </c>
      <c r="U53">
        <v>39</v>
      </c>
      <c r="V53">
        <f t="shared" si="11"/>
        <v>0</v>
      </c>
      <c r="W53">
        <f t="shared" si="12"/>
        <v>390</v>
      </c>
      <c r="X53">
        <f t="shared" si="3"/>
        <v>351</v>
      </c>
      <c r="Y53">
        <f t="shared" si="4"/>
        <v>429.00000000000006</v>
      </c>
      <c r="Z53">
        <f t="shared" si="13"/>
        <v>0</v>
      </c>
      <c r="AA53" s="126">
        <f t="shared" si="14"/>
        <v>6.6196998889413597E-9</v>
      </c>
      <c r="AB53" s="126">
        <f t="shared" si="15"/>
        <v>1.2808972868437298E-8</v>
      </c>
      <c r="AC53" s="126" t="str">
        <f t="shared" si="5"/>
        <v>Vlow exceeds VIL spec</v>
      </c>
      <c r="AD53" s="126" t="str">
        <f t="shared" si="6"/>
        <v>Vlow exceeds VIL spec</v>
      </c>
    </row>
    <row r="54" spans="1:30" x14ac:dyDescent="0.35">
      <c r="A54" t="s">
        <v>329</v>
      </c>
      <c r="B54" s="11">
        <f>F2*(1-G2)</f>
        <v>900000000000</v>
      </c>
      <c r="C54" s="11">
        <f>F2*(1-G2)</f>
        <v>900000000000</v>
      </c>
      <c r="K54">
        <v>1</v>
      </c>
      <c r="L54">
        <v>68</v>
      </c>
      <c r="M54">
        <f t="shared" si="7"/>
        <v>0</v>
      </c>
      <c r="N54">
        <f t="shared" si="0"/>
        <v>68</v>
      </c>
      <c r="O54">
        <f t="shared" si="1"/>
        <v>64.599999999999994</v>
      </c>
      <c r="P54">
        <f t="shared" si="2"/>
        <v>71.400000000000006</v>
      </c>
      <c r="Q54">
        <f t="shared" si="8"/>
        <v>0</v>
      </c>
      <c r="R54" s="126">
        <f t="shared" si="9"/>
        <v>7.2603160070880602E-9</v>
      </c>
      <c r="S54" s="126">
        <f t="shared" si="10"/>
        <v>1.3734154061221149E-8</v>
      </c>
      <c r="T54">
        <v>10</v>
      </c>
      <c r="U54">
        <v>47</v>
      </c>
      <c r="V54">
        <f t="shared" si="11"/>
        <v>1</v>
      </c>
      <c r="W54">
        <f t="shared" si="12"/>
        <v>470</v>
      </c>
      <c r="X54">
        <f t="shared" si="3"/>
        <v>423</v>
      </c>
      <c r="Y54">
        <f t="shared" si="4"/>
        <v>517</v>
      </c>
      <c r="Z54">
        <f t="shared" si="13"/>
        <v>1</v>
      </c>
      <c r="AA54" s="126">
        <f t="shared" si="14"/>
        <v>7.2603160070880602E-9</v>
      </c>
      <c r="AB54" s="126">
        <f t="shared" si="15"/>
        <v>1.3734154061221149E-8</v>
      </c>
      <c r="AC54" s="126" t="str">
        <f t="shared" si="5"/>
        <v>Vlow exceeds VIL spec</v>
      </c>
      <c r="AD54" s="126" t="str">
        <f t="shared" si="6"/>
        <v>Vlow exceeds VIL spec</v>
      </c>
    </row>
    <row r="55" spans="1:30" x14ac:dyDescent="0.35">
      <c r="A55" t="s">
        <v>332</v>
      </c>
      <c r="B55" s="11">
        <f>F12*(1-H12)</f>
        <v>900000000</v>
      </c>
      <c r="C55" s="11">
        <f>F12*(1-H12)</f>
        <v>900000000</v>
      </c>
      <c r="K55">
        <v>1</v>
      </c>
      <c r="L55">
        <v>75</v>
      </c>
      <c r="M55">
        <f t="shared" si="7"/>
        <v>0</v>
      </c>
      <c r="N55">
        <f t="shared" si="0"/>
        <v>75</v>
      </c>
      <c r="O55">
        <f t="shared" si="1"/>
        <v>71.25</v>
      </c>
      <c r="P55">
        <f t="shared" si="2"/>
        <v>78.75</v>
      </c>
      <c r="Q55">
        <f t="shared" si="8"/>
        <v>0</v>
      </c>
      <c r="R55" s="126">
        <f t="shared" si="9"/>
        <v>8.0077014782284446E-9</v>
      </c>
      <c r="S55" s="126">
        <f t="shared" si="10"/>
        <v>1.4813532119428789E-8</v>
      </c>
      <c r="T55">
        <v>10</v>
      </c>
      <c r="U55">
        <v>56</v>
      </c>
      <c r="V55">
        <f t="shared" si="11"/>
        <v>2</v>
      </c>
      <c r="W55">
        <f t="shared" si="12"/>
        <v>560</v>
      </c>
      <c r="X55">
        <f t="shared" si="3"/>
        <v>504</v>
      </c>
      <c r="Y55">
        <f t="shared" si="4"/>
        <v>616</v>
      </c>
      <c r="Z55">
        <f t="shared" si="13"/>
        <v>1</v>
      </c>
      <c r="AA55" s="126">
        <f t="shared" si="14"/>
        <v>8.0077014782284446E-9</v>
      </c>
      <c r="AB55" s="126">
        <f t="shared" si="15"/>
        <v>1.4813532119428789E-8</v>
      </c>
      <c r="AC55" s="126" t="str">
        <f t="shared" si="5"/>
        <v>Vlow exceeds VIL spec</v>
      </c>
      <c r="AD55" s="126" t="str">
        <f t="shared" si="6"/>
        <v>Vlow exceeds VIL spec</v>
      </c>
    </row>
    <row r="56" spans="1:30" x14ac:dyDescent="0.35">
      <c r="A56" t="s">
        <v>333</v>
      </c>
      <c r="B56" s="11">
        <f>F3*(1-G3)</f>
        <v>900000000000</v>
      </c>
      <c r="C56" s="11">
        <f>F3*(1-G3)</f>
        <v>900000000000</v>
      </c>
      <c r="K56">
        <v>1</v>
      </c>
      <c r="L56">
        <v>82</v>
      </c>
      <c r="M56">
        <f t="shared" si="7"/>
        <v>0</v>
      </c>
      <c r="N56">
        <f t="shared" si="0"/>
        <v>82</v>
      </c>
      <c r="O56">
        <f t="shared" si="1"/>
        <v>77.899999999999991</v>
      </c>
      <c r="P56">
        <f t="shared" si="2"/>
        <v>86.100000000000009</v>
      </c>
      <c r="Q56">
        <f t="shared" si="8"/>
        <v>0</v>
      </c>
      <c r="R56" s="126">
        <f t="shared" si="9"/>
        <v>8.7550869493356963E-9</v>
      </c>
      <c r="S56" s="126">
        <f t="shared" si="10"/>
        <v>1.5892910177593163E-8</v>
      </c>
      <c r="T56">
        <v>10</v>
      </c>
      <c r="U56">
        <v>68</v>
      </c>
      <c r="V56">
        <f t="shared" si="11"/>
        <v>3</v>
      </c>
      <c r="W56">
        <f t="shared" si="12"/>
        <v>680</v>
      </c>
      <c r="X56">
        <f t="shared" si="3"/>
        <v>612</v>
      </c>
      <c r="Y56">
        <f t="shared" si="4"/>
        <v>748.00000000000011</v>
      </c>
      <c r="Z56">
        <f t="shared" si="13"/>
        <v>1</v>
      </c>
      <c r="AA56" s="126">
        <f t="shared" si="14"/>
        <v>8.7550869493356963E-9</v>
      </c>
      <c r="AB56" s="126">
        <f t="shared" si="15"/>
        <v>1.5892910177593163E-8</v>
      </c>
      <c r="AC56" s="126" t="str">
        <f t="shared" si="5"/>
        <v>Vlow exceeds VIL spec</v>
      </c>
      <c r="AD56" s="126" t="str">
        <f t="shared" si="6"/>
        <v>Vlow exceeds VIL spec</v>
      </c>
    </row>
    <row r="57" spans="1:30" x14ac:dyDescent="0.35">
      <c r="K57">
        <v>1</v>
      </c>
      <c r="L57">
        <v>91</v>
      </c>
      <c r="M57">
        <f t="shared" si="7"/>
        <v>0</v>
      </c>
      <c r="N57">
        <f t="shared" si="0"/>
        <v>91</v>
      </c>
      <c r="O57">
        <f t="shared" si="1"/>
        <v>86.45</v>
      </c>
      <c r="P57">
        <f t="shared" si="2"/>
        <v>95.55</v>
      </c>
      <c r="Q57">
        <f t="shared" si="8"/>
        <v>0</v>
      </c>
      <c r="R57" s="126">
        <f t="shared" si="9"/>
        <v>9.7160111264249028E-9</v>
      </c>
      <c r="S57" s="126">
        <f t="shared" si="10"/>
        <v>1.7280681966598049E-8</v>
      </c>
      <c r="T57">
        <v>10</v>
      </c>
      <c r="U57">
        <v>82</v>
      </c>
      <c r="V57">
        <f t="shared" si="11"/>
        <v>4</v>
      </c>
      <c r="W57">
        <f t="shared" si="12"/>
        <v>820</v>
      </c>
      <c r="X57">
        <f t="shared" si="3"/>
        <v>738</v>
      </c>
      <c r="Y57">
        <f t="shared" si="4"/>
        <v>902.00000000000011</v>
      </c>
      <c r="Z57">
        <f t="shared" si="13"/>
        <v>1</v>
      </c>
      <c r="AA57" s="126">
        <f t="shared" si="14"/>
        <v>9.7160111264249028E-9</v>
      </c>
      <c r="AB57" s="126">
        <f t="shared" si="15"/>
        <v>1.7280681966598049E-8</v>
      </c>
      <c r="AC57" s="126" t="str">
        <f t="shared" si="5"/>
        <v>Vlow exceeds VIL spec</v>
      </c>
      <c r="AD57" s="126" t="str">
        <f t="shared" si="6"/>
        <v>Vlow exceeds VIL spec</v>
      </c>
    </row>
    <row r="58" spans="1:30" x14ac:dyDescent="0.35">
      <c r="A58" t="s">
        <v>344</v>
      </c>
      <c r="B58">
        <v>1</v>
      </c>
      <c r="C58">
        <v>1</v>
      </c>
      <c r="K58">
        <v>10</v>
      </c>
      <c r="L58">
        <v>10</v>
      </c>
      <c r="M58">
        <f t="shared" si="7"/>
        <v>0</v>
      </c>
      <c r="N58">
        <f t="shared" si="0"/>
        <v>100</v>
      </c>
      <c r="O58">
        <f t="shared" si="1"/>
        <v>95</v>
      </c>
      <c r="P58">
        <f t="shared" si="2"/>
        <v>105</v>
      </c>
      <c r="Q58">
        <f t="shared" si="8"/>
        <v>0</v>
      </c>
      <c r="R58" s="126">
        <f t="shared" si="9"/>
        <v>1.0676935303459338E-8</v>
      </c>
      <c r="S58" s="126">
        <f t="shared" si="10"/>
        <v>1.8668453755531403E-8</v>
      </c>
      <c r="T58">
        <v>100</v>
      </c>
      <c r="U58">
        <v>10</v>
      </c>
      <c r="V58">
        <f t="shared" si="11"/>
        <v>5</v>
      </c>
      <c r="W58">
        <f t="shared" si="12"/>
        <v>1000</v>
      </c>
      <c r="X58">
        <f t="shared" si="3"/>
        <v>900</v>
      </c>
      <c r="Y58">
        <f t="shared" si="4"/>
        <v>1100</v>
      </c>
      <c r="Z58">
        <f t="shared" si="13"/>
        <v>1</v>
      </c>
      <c r="AA58" s="126">
        <f t="shared" si="14"/>
        <v>1.0676935303459338E-8</v>
      </c>
      <c r="AB58" s="126">
        <f t="shared" si="15"/>
        <v>1.8668453755531403E-8</v>
      </c>
      <c r="AC58" s="126" t="str">
        <f t="shared" si="5"/>
        <v>Vlow exceeds VIL spec</v>
      </c>
      <c r="AD58" s="126" t="str">
        <f t="shared" si="6"/>
        <v>Vlow exceeds VIL spec</v>
      </c>
    </row>
    <row r="59" spans="1:30" x14ac:dyDescent="0.35">
      <c r="A59" t="s">
        <v>345</v>
      </c>
      <c r="B59">
        <v>1</v>
      </c>
      <c r="C59">
        <v>1</v>
      </c>
      <c r="K59">
        <v>10</v>
      </c>
      <c r="L59">
        <v>11</v>
      </c>
      <c r="M59">
        <f t="shared" si="7"/>
        <v>0</v>
      </c>
      <c r="N59">
        <f t="shared" si="0"/>
        <v>110</v>
      </c>
      <c r="O59">
        <f t="shared" si="1"/>
        <v>104.5</v>
      </c>
      <c r="P59">
        <f t="shared" si="2"/>
        <v>115.5</v>
      </c>
      <c r="Q59">
        <f t="shared" si="8"/>
        <v>0</v>
      </c>
      <c r="R59" s="126">
        <f t="shared" si="9"/>
        <v>1.1744628833433358E-8</v>
      </c>
      <c r="S59" s="126">
        <f t="shared" si="10"/>
        <v>2.0210422409817902E-8</v>
      </c>
      <c r="T59">
        <v>100</v>
      </c>
      <c r="U59">
        <v>12</v>
      </c>
      <c r="V59">
        <f t="shared" si="11"/>
        <v>6</v>
      </c>
      <c r="W59">
        <f t="shared" si="12"/>
        <v>1200</v>
      </c>
      <c r="X59">
        <f t="shared" si="3"/>
        <v>1080</v>
      </c>
      <c r="Y59">
        <f t="shared" si="4"/>
        <v>1320</v>
      </c>
      <c r="Z59">
        <f t="shared" si="13"/>
        <v>1</v>
      </c>
      <c r="AA59" s="126">
        <f t="shared" si="14"/>
        <v>1.1744628833433358E-8</v>
      </c>
      <c r="AB59" s="126">
        <f t="shared" si="15"/>
        <v>2.0210422409817902E-8</v>
      </c>
      <c r="AC59" s="126" t="str">
        <f t="shared" si="5"/>
        <v>Vlow exceeds VIL spec</v>
      </c>
      <c r="AD59" s="126" t="str">
        <f t="shared" si="6"/>
        <v>Vlow exceeds VIL spec</v>
      </c>
    </row>
    <row r="60" spans="1:30" x14ac:dyDescent="0.35">
      <c r="A60" t="s">
        <v>346</v>
      </c>
      <c r="B60">
        <v>1</v>
      </c>
      <c r="C60">
        <v>1</v>
      </c>
      <c r="K60">
        <v>10</v>
      </c>
      <c r="L60">
        <v>12</v>
      </c>
      <c r="M60">
        <f t="shared" si="7"/>
        <v>0</v>
      </c>
      <c r="N60">
        <f t="shared" si="0"/>
        <v>120</v>
      </c>
      <c r="O60">
        <f t="shared" si="1"/>
        <v>114</v>
      </c>
      <c r="P60">
        <f t="shared" si="2"/>
        <v>126</v>
      </c>
      <c r="Q60">
        <f t="shared" si="8"/>
        <v>0</v>
      </c>
      <c r="R60" s="126">
        <f t="shared" si="9"/>
        <v>1.2812322363339758E-8</v>
      </c>
      <c r="S60" s="126">
        <f t="shared" si="10"/>
        <v>2.1752391064016091E-8</v>
      </c>
      <c r="T60">
        <v>100</v>
      </c>
      <c r="U60">
        <v>15</v>
      </c>
      <c r="V60">
        <f t="shared" si="11"/>
        <v>7</v>
      </c>
      <c r="W60">
        <f t="shared" si="12"/>
        <v>1500</v>
      </c>
      <c r="X60">
        <f t="shared" si="3"/>
        <v>1350</v>
      </c>
      <c r="Y60">
        <f t="shared" si="4"/>
        <v>1650.0000000000002</v>
      </c>
      <c r="Z60">
        <f t="shared" si="13"/>
        <v>1</v>
      </c>
      <c r="AA60" s="126">
        <f t="shared" si="14"/>
        <v>1.2812322363339758E-8</v>
      </c>
      <c r="AB60" s="126">
        <f t="shared" si="15"/>
        <v>2.1752391064016091E-8</v>
      </c>
      <c r="AC60" s="126" t="str">
        <f t="shared" si="5"/>
        <v>Vlow exceeds VIL spec</v>
      </c>
      <c r="AD60" s="126" t="str">
        <f t="shared" si="6"/>
        <v>Vlow exceeds VIL spec</v>
      </c>
    </row>
    <row r="61" spans="1:30" x14ac:dyDescent="0.35">
      <c r="K61">
        <v>10</v>
      </c>
      <c r="L61">
        <v>13</v>
      </c>
      <c r="M61">
        <f t="shared" si="7"/>
        <v>0</v>
      </c>
      <c r="N61">
        <f t="shared" si="0"/>
        <v>130</v>
      </c>
      <c r="O61">
        <f t="shared" si="1"/>
        <v>123.5</v>
      </c>
      <c r="P61">
        <f t="shared" si="2"/>
        <v>136.5</v>
      </c>
      <c r="Q61">
        <f t="shared" si="8"/>
        <v>0</v>
      </c>
      <c r="R61" s="126">
        <f t="shared" si="9"/>
        <v>1.3880015893178537E-8</v>
      </c>
      <c r="S61" s="126">
        <f t="shared" si="10"/>
        <v>2.329435971812596E-8</v>
      </c>
      <c r="T61">
        <v>100</v>
      </c>
      <c r="U61">
        <v>18</v>
      </c>
      <c r="V61">
        <f t="shared" si="11"/>
        <v>8</v>
      </c>
      <c r="W61">
        <f t="shared" si="12"/>
        <v>1800</v>
      </c>
      <c r="X61">
        <f t="shared" si="3"/>
        <v>1620</v>
      </c>
      <c r="Y61">
        <f t="shared" si="4"/>
        <v>1980.0000000000002</v>
      </c>
      <c r="Z61">
        <f t="shared" si="13"/>
        <v>0</v>
      </c>
      <c r="AA61" s="126">
        <f t="shared" si="14"/>
        <v>1.3880015893178537E-8</v>
      </c>
      <c r="AB61" s="126">
        <f t="shared" si="15"/>
        <v>2.329435971812596E-8</v>
      </c>
      <c r="AC61" s="126" t="str">
        <f t="shared" si="5"/>
        <v>Vlow exceeds VIL spec</v>
      </c>
      <c r="AD61" s="126" t="str">
        <f t="shared" si="6"/>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0.9999990413963401</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0.99999904142092033</v>
      </c>
      <c r="K62">
        <v>10</v>
      </c>
      <c r="L62">
        <v>15</v>
      </c>
      <c r="M62">
        <f t="shared" si="7"/>
        <v>0</v>
      </c>
      <c r="N62">
        <f t="shared" si="0"/>
        <v>150</v>
      </c>
      <c r="O62">
        <f t="shared" si="1"/>
        <v>142.5</v>
      </c>
      <c r="P62">
        <f t="shared" si="2"/>
        <v>157.5</v>
      </c>
      <c r="Q62">
        <f t="shared" si="8"/>
        <v>0</v>
      </c>
      <c r="R62" s="126">
        <f t="shared" si="9"/>
        <v>1.6015402952653235E-8</v>
      </c>
      <c r="S62" s="126">
        <f t="shared" si="10"/>
        <v>2.6378297026080768E-8</v>
      </c>
      <c r="T62">
        <v>100</v>
      </c>
      <c r="U62">
        <v>22</v>
      </c>
      <c r="V62">
        <f t="shared" si="11"/>
        <v>8</v>
      </c>
      <c r="W62">
        <f t="shared" si="12"/>
        <v>2200</v>
      </c>
      <c r="X62">
        <f t="shared" si="3"/>
        <v>1980</v>
      </c>
      <c r="Y62">
        <f t="shared" si="4"/>
        <v>2420</v>
      </c>
      <c r="Z62">
        <f t="shared" si="13"/>
        <v>0</v>
      </c>
      <c r="AA62" s="126">
        <f t="shared" si="14"/>
        <v>1.6015402952653235E-8</v>
      </c>
      <c r="AB62" s="126">
        <f t="shared" si="15"/>
        <v>2.6378297026080768E-8</v>
      </c>
      <c r="AC62" s="126" t="str">
        <f t="shared" si="5"/>
        <v>Vlow exceeds VIL spec</v>
      </c>
      <c r="AD62" s="126" t="str">
        <f t="shared" si="6"/>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0.99999904142092033</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0.99999904142092033</v>
      </c>
      <c r="K63">
        <v>10</v>
      </c>
      <c r="L63">
        <v>16</v>
      </c>
      <c r="M63">
        <f t="shared" si="7"/>
        <v>0</v>
      </c>
      <c r="N63">
        <f t="shared" si="0"/>
        <v>160</v>
      </c>
      <c r="O63">
        <f t="shared" si="1"/>
        <v>152</v>
      </c>
      <c r="P63">
        <f t="shared" si="2"/>
        <v>168</v>
      </c>
      <c r="Q63">
        <f t="shared" si="8"/>
        <v>0</v>
      </c>
      <c r="R63" s="126">
        <f t="shared" si="9"/>
        <v>1.7083096482289151E-8</v>
      </c>
      <c r="S63" s="126">
        <f t="shared" si="10"/>
        <v>2.7920265679925704E-8</v>
      </c>
      <c r="T63">
        <v>100</v>
      </c>
      <c r="U63">
        <v>27</v>
      </c>
      <c r="V63">
        <f t="shared" si="11"/>
        <v>8</v>
      </c>
      <c r="W63">
        <f t="shared" si="12"/>
        <v>2700</v>
      </c>
      <c r="X63">
        <f t="shared" si="3"/>
        <v>2430</v>
      </c>
      <c r="Y63">
        <f t="shared" si="4"/>
        <v>2970.0000000000005</v>
      </c>
      <c r="Z63">
        <f t="shared" si="13"/>
        <v>0</v>
      </c>
      <c r="AA63" s="126">
        <f t="shared" si="14"/>
        <v>1.7083096482289151E-8</v>
      </c>
      <c r="AB63" s="126">
        <f t="shared" si="15"/>
        <v>2.7920265679925704E-8</v>
      </c>
      <c r="AC63" s="126" t="str">
        <f t="shared" si="5"/>
        <v>Vlow exceeds VIL spec</v>
      </c>
      <c r="AD63" s="126" t="str">
        <f t="shared" si="6"/>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0.99999904142092033</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0.9999990413963401</v>
      </c>
      <c r="K64">
        <v>10</v>
      </c>
      <c r="L64">
        <v>18</v>
      </c>
      <c r="M64">
        <f t="shared" si="7"/>
        <v>0</v>
      </c>
      <c r="N64">
        <f t="shared" si="0"/>
        <v>180</v>
      </c>
      <c r="O64">
        <f t="shared" si="1"/>
        <v>171</v>
      </c>
      <c r="P64">
        <f t="shared" si="2"/>
        <v>189</v>
      </c>
      <c r="Q64">
        <f t="shared" si="8"/>
        <v>0</v>
      </c>
      <c r="R64" s="126">
        <f t="shared" si="9"/>
        <v>1.9218483541358125E-8</v>
      </c>
      <c r="S64" s="126">
        <f t="shared" si="10"/>
        <v>3.1004202987350634E-8</v>
      </c>
      <c r="T64">
        <v>100</v>
      </c>
      <c r="U64">
        <v>33</v>
      </c>
      <c r="V64">
        <f t="shared" si="11"/>
        <v>8</v>
      </c>
      <c r="W64">
        <f t="shared" si="12"/>
        <v>3300</v>
      </c>
      <c r="X64">
        <f t="shared" si="3"/>
        <v>2970</v>
      </c>
      <c r="Y64">
        <f t="shared" si="4"/>
        <v>3630.0000000000005</v>
      </c>
      <c r="Z64">
        <f t="shared" si="13"/>
        <v>0</v>
      </c>
      <c r="AA64" s="126">
        <f t="shared" si="14"/>
        <v>1.9218483541358125E-8</v>
      </c>
      <c r="AB64" s="126">
        <f t="shared" si="15"/>
        <v>3.1004202987350634E-8</v>
      </c>
      <c r="AC64" s="126" t="str">
        <f t="shared" si="5"/>
        <v>Vlow exceeds VIL spec</v>
      </c>
      <c r="AD64" s="126" t="str">
        <f t="shared" si="6"/>
        <v>Vlow exceeds VIL spec</v>
      </c>
    </row>
    <row r="65" spans="1:31" x14ac:dyDescent="0.35">
      <c r="K65">
        <v>10</v>
      </c>
      <c r="L65">
        <v>20</v>
      </c>
      <c r="M65">
        <f t="shared" si="7"/>
        <v>0</v>
      </c>
      <c r="N65">
        <f t="shared" si="0"/>
        <v>200</v>
      </c>
      <c r="O65">
        <f t="shared" si="1"/>
        <v>190</v>
      </c>
      <c r="P65">
        <f t="shared" si="2"/>
        <v>210</v>
      </c>
      <c r="Q65">
        <f t="shared" si="8"/>
        <v>0</v>
      </c>
      <c r="R65" s="126">
        <f t="shared" si="9"/>
        <v>2.1353870600156614E-8</v>
      </c>
      <c r="S65" s="126">
        <f t="shared" si="10"/>
        <v>3.4088140294422305E-8</v>
      </c>
      <c r="T65">
        <v>100</v>
      </c>
      <c r="U65">
        <v>39</v>
      </c>
      <c r="V65">
        <f t="shared" si="11"/>
        <v>8</v>
      </c>
      <c r="W65">
        <f t="shared" si="12"/>
        <v>3900</v>
      </c>
      <c r="X65">
        <f t="shared" si="3"/>
        <v>3510</v>
      </c>
      <c r="Y65">
        <f t="shared" si="4"/>
        <v>4290</v>
      </c>
      <c r="Z65">
        <f t="shared" si="13"/>
        <v>0</v>
      </c>
      <c r="AA65" s="126">
        <f t="shared" si="14"/>
        <v>2.1353870600156614E-8</v>
      </c>
      <c r="AB65" s="126">
        <f t="shared" si="15"/>
        <v>3.4088140294422305E-8</v>
      </c>
      <c r="AC65" s="126" t="str">
        <f t="shared" si="5"/>
        <v>Vlow exceeds VIL spec</v>
      </c>
      <c r="AD65" s="126" t="str">
        <f t="shared" si="6"/>
        <v>Vlow exceeds VIL spec</v>
      </c>
    </row>
    <row r="66" spans="1:31" x14ac:dyDescent="0.35">
      <c r="I66" s="128"/>
      <c r="J66" s="128"/>
      <c r="K66">
        <v>10</v>
      </c>
      <c r="L66">
        <v>22</v>
      </c>
      <c r="M66">
        <f t="shared" si="7"/>
        <v>0</v>
      </c>
      <c r="N66">
        <f t="shared" si="0"/>
        <v>220</v>
      </c>
      <c r="O66">
        <f t="shared" si="1"/>
        <v>209</v>
      </c>
      <c r="P66">
        <f t="shared" si="2"/>
        <v>231</v>
      </c>
      <c r="Q66">
        <f t="shared" si="8"/>
        <v>0</v>
      </c>
      <c r="R66" s="126">
        <f t="shared" si="9"/>
        <v>2.3489257658684622E-8</v>
      </c>
      <c r="S66" s="126">
        <f t="shared" si="10"/>
        <v>3.7172077601140743E-8</v>
      </c>
      <c r="T66">
        <v>100</v>
      </c>
      <c r="U66">
        <v>47</v>
      </c>
      <c r="V66">
        <f t="shared" si="11"/>
        <v>8</v>
      </c>
      <c r="W66">
        <f t="shared" si="12"/>
        <v>4700</v>
      </c>
      <c r="X66">
        <f t="shared" si="3"/>
        <v>4230</v>
      </c>
      <c r="Y66">
        <f t="shared" si="4"/>
        <v>5170</v>
      </c>
      <c r="Z66">
        <f t="shared" si="13"/>
        <v>0</v>
      </c>
      <c r="AA66" s="126">
        <f t="shared" si="14"/>
        <v>2.3489257658684622E-8</v>
      </c>
      <c r="AB66" s="126">
        <f t="shared" si="15"/>
        <v>3.7172077601140743E-8</v>
      </c>
      <c r="AC66" s="126" t="str">
        <f t="shared" si="5"/>
        <v>Vlow exceeds VIL spec</v>
      </c>
      <c r="AD66" s="126" t="str">
        <f t="shared" si="6"/>
        <v>Vlow exceeds VIL spec</v>
      </c>
    </row>
    <row r="67" spans="1:31" x14ac:dyDescent="0.35">
      <c r="B67" s="171" t="s">
        <v>354</v>
      </c>
      <c r="C67" s="171"/>
      <c r="I67" s="128"/>
      <c r="K67">
        <v>10</v>
      </c>
      <c r="L67">
        <v>24</v>
      </c>
      <c r="M67">
        <f t="shared" si="7"/>
        <v>0</v>
      </c>
      <c r="N67">
        <f t="shared" si="0"/>
        <v>240</v>
      </c>
      <c r="O67">
        <f t="shared" si="1"/>
        <v>228</v>
      </c>
      <c r="P67">
        <f t="shared" si="2"/>
        <v>252</v>
      </c>
      <c r="Q67">
        <f t="shared" si="8"/>
        <v>0</v>
      </c>
      <c r="R67" s="126">
        <f t="shared" si="9"/>
        <v>2.5624644716942152E-8</v>
      </c>
      <c r="S67" s="126">
        <f t="shared" si="10"/>
        <v>4.0256014907505916E-8</v>
      </c>
      <c r="T67">
        <v>100</v>
      </c>
      <c r="U67">
        <v>56</v>
      </c>
      <c r="V67">
        <f t="shared" si="11"/>
        <v>8</v>
      </c>
      <c r="W67">
        <f t="shared" si="12"/>
        <v>5600</v>
      </c>
      <c r="X67">
        <f t="shared" si="3"/>
        <v>5040</v>
      </c>
      <c r="Y67">
        <f t="shared" si="4"/>
        <v>6160.0000000000009</v>
      </c>
      <c r="Z67">
        <f t="shared" si="13"/>
        <v>0</v>
      </c>
      <c r="AA67" s="126">
        <f t="shared" si="14"/>
        <v>2.5624644716942152E-8</v>
      </c>
      <c r="AB67" s="126">
        <f t="shared" si="15"/>
        <v>4.0256014907505916E-8</v>
      </c>
      <c r="AC67" s="126" t="str">
        <f t="shared" si="5"/>
        <v>Vlow exceeds VIL spec</v>
      </c>
      <c r="AD67" s="126" t="str">
        <f t="shared" si="6"/>
        <v>Vlow exceeds VIL spec</v>
      </c>
    </row>
    <row r="68" spans="1:31" ht="28.4" customHeight="1" x14ac:dyDescent="0.35">
      <c r="B68" s="32" t="s">
        <v>355</v>
      </c>
      <c r="C68" s="32" t="s">
        <v>356</v>
      </c>
      <c r="D68" s="32" t="s">
        <v>357</v>
      </c>
      <c r="E68" s="32" t="str">
        <f>IF(Summary!D37="absolute","find min R2, so that max (Vz) = " &amp; TRUNC(R3/J2,3),"find min R2, so that max (Vz) = " &amp; R3)</f>
        <v>find min R2, so that max (Vz) = 0.3</v>
      </c>
      <c r="F68" s="32" t="s">
        <v>358</v>
      </c>
      <c r="G68" s="32" t="s">
        <v>359</v>
      </c>
      <c r="H68" s="32" t="s">
        <v>360</v>
      </c>
      <c r="I68" s="49"/>
      <c r="J68" s="49"/>
      <c r="K68">
        <v>10</v>
      </c>
      <c r="L68">
        <v>27</v>
      </c>
      <c r="M68">
        <f t="shared" si="7"/>
        <v>0</v>
      </c>
      <c r="N68">
        <f t="shared" si="0"/>
        <v>270</v>
      </c>
      <c r="O68">
        <f t="shared" si="1"/>
        <v>256.5</v>
      </c>
      <c r="P68">
        <f t="shared" si="2"/>
        <v>283.5</v>
      </c>
      <c r="Q68">
        <f t="shared" si="8"/>
        <v>0</v>
      </c>
      <c r="R68" s="126">
        <f t="shared" si="9"/>
        <v>2.8827725303821282E-8</v>
      </c>
      <c r="S68" s="126">
        <f t="shared" si="10"/>
        <v>4.4881920866391328E-8</v>
      </c>
      <c r="T68">
        <v>100</v>
      </c>
      <c r="U68">
        <v>68</v>
      </c>
      <c r="V68">
        <f t="shared" si="11"/>
        <v>8</v>
      </c>
      <c r="W68">
        <f t="shared" si="12"/>
        <v>6800</v>
      </c>
      <c r="X68">
        <f t="shared" si="3"/>
        <v>6120</v>
      </c>
      <c r="Y68">
        <f t="shared" si="4"/>
        <v>7480.0000000000009</v>
      </c>
      <c r="Z68">
        <f t="shared" si="13"/>
        <v>0</v>
      </c>
      <c r="AA68" s="126">
        <f t="shared" si="14"/>
        <v>2.8827725303821282E-8</v>
      </c>
      <c r="AB68" s="126">
        <f t="shared" si="15"/>
        <v>4.4881920866391328E-8</v>
      </c>
      <c r="AC68" s="126" t="str">
        <f t="shared" si="5"/>
        <v>Vlow exceeds VIL spec</v>
      </c>
      <c r="AD68" s="126" t="str">
        <f t="shared" si="6"/>
        <v>Vlow exceeds VIL spec</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7"/>
        <v>0</v>
      </c>
      <c r="N69">
        <f t="shared" si="0"/>
        <v>300</v>
      </c>
      <c r="O69">
        <f t="shared" si="1"/>
        <v>285</v>
      </c>
      <c r="P69">
        <f t="shared" si="2"/>
        <v>315</v>
      </c>
      <c r="Q69">
        <f t="shared" si="8"/>
        <v>0</v>
      </c>
      <c r="R69" s="126">
        <f t="shared" si="9"/>
        <v>3.2030805890091832E-8</v>
      </c>
      <c r="S69" s="126">
        <f t="shared" si="10"/>
        <v>4.9507826824481939E-8</v>
      </c>
      <c r="T69">
        <v>100</v>
      </c>
      <c r="U69">
        <v>82</v>
      </c>
      <c r="V69">
        <f t="shared" si="11"/>
        <v>8</v>
      </c>
      <c r="W69">
        <f t="shared" si="12"/>
        <v>8200</v>
      </c>
      <c r="X69">
        <f t="shared" si="3"/>
        <v>7380</v>
      </c>
      <c r="Y69">
        <f t="shared" si="4"/>
        <v>9020</v>
      </c>
      <c r="Z69">
        <f t="shared" si="13"/>
        <v>0</v>
      </c>
      <c r="AA69" s="126">
        <f t="shared" si="14"/>
        <v>3.2030805890091832E-8</v>
      </c>
      <c r="AB69" s="126">
        <f t="shared" si="15"/>
        <v>4.9507826824481939E-8</v>
      </c>
      <c r="AC69" s="126" t="str">
        <f t="shared" si="5"/>
        <v>Vlow exceeds VIL spec</v>
      </c>
      <c r="AD69" s="126" t="str">
        <f t="shared" si="6"/>
        <v>Vlow exceeds VIL spec</v>
      </c>
    </row>
    <row r="70" spans="1:31" x14ac:dyDescent="0.35">
      <c r="A70" t="s">
        <v>320</v>
      </c>
      <c r="B70" s="11">
        <f>F11*(1+H11)</f>
        <v>861</v>
      </c>
      <c r="C70" s="11">
        <f>F11*(1-H11)</f>
        <v>779</v>
      </c>
      <c r="D70" s="11">
        <f>F11*(1+H11)</f>
        <v>861</v>
      </c>
      <c r="E70" s="11"/>
      <c r="F70" s="11">
        <f>F11*(1-H11)</f>
        <v>779</v>
      </c>
      <c r="G70" s="11">
        <f>F11*(1-H11)</f>
        <v>779</v>
      </c>
      <c r="H70" s="11">
        <f>F11*(1+H11)</f>
        <v>861</v>
      </c>
      <c r="K70">
        <v>10</v>
      </c>
      <c r="L70">
        <v>33</v>
      </c>
      <c r="M70">
        <f t="shared" si="7"/>
        <v>0</v>
      </c>
      <c r="N70">
        <f t="shared" si="0"/>
        <v>330</v>
      </c>
      <c r="O70">
        <f t="shared" si="1"/>
        <v>313.5</v>
      </c>
      <c r="P70">
        <f t="shared" si="2"/>
        <v>346.5</v>
      </c>
      <c r="Q70">
        <f t="shared" si="8"/>
        <v>0</v>
      </c>
      <c r="R70" s="126">
        <f t="shared" si="9"/>
        <v>3.5233886475753796E-8</v>
      </c>
      <c r="S70" s="126">
        <f t="shared" si="10"/>
        <v>5.4133732781777735E-8</v>
      </c>
      <c r="T70">
        <v>1000</v>
      </c>
      <c r="U70">
        <v>10</v>
      </c>
      <c r="V70">
        <f t="shared" si="11"/>
        <v>8</v>
      </c>
      <c r="W70">
        <f t="shared" si="12"/>
        <v>10000</v>
      </c>
      <c r="X70">
        <f t="shared" si="3"/>
        <v>9000</v>
      </c>
      <c r="Y70">
        <f t="shared" si="4"/>
        <v>11000</v>
      </c>
      <c r="Z70">
        <f t="shared" si="13"/>
        <v>0</v>
      </c>
      <c r="AA70" s="126">
        <f t="shared" si="14"/>
        <v>3.5233886475753796E-8</v>
      </c>
      <c r="AB70" s="126">
        <f t="shared" si="15"/>
        <v>5.4133732781777735E-8</v>
      </c>
      <c r="AC70" s="126" t="str">
        <f t="shared" si="5"/>
        <v>Vlow exceeds VIL spec</v>
      </c>
      <c r="AD70" s="126" t="str">
        <f t="shared" si="6"/>
        <v>Vlow exceeds VIL spec</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7"/>
        <v>0</v>
      </c>
      <c r="N71">
        <f t="shared" si="0"/>
        <v>360</v>
      </c>
      <c r="O71">
        <f t="shared" si="1"/>
        <v>342</v>
      </c>
      <c r="P71">
        <f t="shared" si="2"/>
        <v>378</v>
      </c>
      <c r="Q71">
        <f t="shared" si="8"/>
        <v>0</v>
      </c>
      <c r="R71" s="126">
        <f t="shared" si="9"/>
        <v>3.8436967060807173E-8</v>
      </c>
      <c r="S71" s="126">
        <f t="shared" si="10"/>
        <v>5.8759638738278703E-8</v>
      </c>
      <c r="T71">
        <v>1000</v>
      </c>
      <c r="U71">
        <v>12</v>
      </c>
      <c r="V71">
        <f t="shared" si="11"/>
        <v>8</v>
      </c>
      <c r="W71">
        <f t="shared" si="12"/>
        <v>12000</v>
      </c>
      <c r="X71">
        <f t="shared" si="3"/>
        <v>10800</v>
      </c>
      <c r="Y71">
        <f t="shared" si="4"/>
        <v>13200.000000000002</v>
      </c>
      <c r="Z71">
        <f t="shared" si="13"/>
        <v>0</v>
      </c>
      <c r="AA71" s="126">
        <f t="shared" si="14"/>
        <v>3.8436967060807173E-8</v>
      </c>
      <c r="AB71" s="126">
        <f t="shared" si="15"/>
        <v>5.8759638738278703E-8</v>
      </c>
      <c r="AC71" s="126" t="str">
        <f t="shared" si="5"/>
        <v>Vlow exceeds VIL spec</v>
      </c>
      <c r="AD71" s="126" t="str">
        <f t="shared" si="6"/>
        <v>Vlow exceeds VIL spec</v>
      </c>
    </row>
    <row r="72" spans="1:31" x14ac:dyDescent="0.35">
      <c r="A72" t="s">
        <v>324</v>
      </c>
      <c r="B72" s="1">
        <f>K21*MIN(K25,K24)</f>
        <v>0</v>
      </c>
      <c r="C72" s="1">
        <f>K21*MAX(K25,K24)</f>
        <v>22.122405384810769</v>
      </c>
      <c r="D72" s="1">
        <f>K21*MIN(K25,K24)</f>
        <v>0</v>
      </c>
      <c r="E72" s="1">
        <f>K21*MAX(K25,K24)</f>
        <v>22.122405384810769</v>
      </c>
      <c r="F72" s="125">
        <f>K21*MAX(K25,K24)</f>
        <v>22.122405384810769</v>
      </c>
      <c r="G72" s="125">
        <f>K22*MAX(K25,K24)</f>
        <v>16.31240538481077</v>
      </c>
      <c r="H72" s="1">
        <f>K22*MIN(K25,K24)</f>
        <v>0</v>
      </c>
      <c r="K72">
        <v>10</v>
      </c>
      <c r="L72">
        <v>39</v>
      </c>
      <c r="M72">
        <f t="shared" si="7"/>
        <v>0</v>
      </c>
      <c r="N72">
        <f t="shared" si="0"/>
        <v>390</v>
      </c>
      <c r="O72">
        <f t="shared" si="1"/>
        <v>370.5</v>
      </c>
      <c r="P72">
        <f t="shared" si="2"/>
        <v>409.5</v>
      </c>
      <c r="Q72">
        <f t="shared" si="8"/>
        <v>0</v>
      </c>
      <c r="R72" s="126">
        <f t="shared" si="9"/>
        <v>4.164004764525197E-8</v>
      </c>
      <c r="S72" s="126">
        <f t="shared" si="10"/>
        <v>6.338554469398485E-8</v>
      </c>
      <c r="T72">
        <v>1000</v>
      </c>
      <c r="U72">
        <v>15</v>
      </c>
      <c r="V72">
        <f t="shared" si="11"/>
        <v>8</v>
      </c>
      <c r="W72">
        <f t="shared" si="12"/>
        <v>15000</v>
      </c>
      <c r="X72">
        <f t="shared" si="3"/>
        <v>13500</v>
      </c>
      <c r="Y72">
        <f t="shared" si="4"/>
        <v>16500</v>
      </c>
      <c r="Z72">
        <f t="shared" si="13"/>
        <v>0</v>
      </c>
      <c r="AA72" s="126">
        <f t="shared" si="14"/>
        <v>4.164004764525197E-8</v>
      </c>
      <c r="AB72" s="126">
        <f t="shared" si="15"/>
        <v>6.338554469398485E-8</v>
      </c>
      <c r="AC72" s="126" t="str">
        <f t="shared" si="5"/>
        <v>Vlow exceeds VIL spec</v>
      </c>
      <c r="AD72" s="126" t="str">
        <f t="shared" si="6"/>
        <v>Vlow exceeds VIL spec</v>
      </c>
    </row>
    <row r="73" spans="1:31" x14ac:dyDescent="0.35">
      <c r="A73" t="s">
        <v>327</v>
      </c>
      <c r="B73" s="1">
        <f>K21-B72</f>
        <v>22.122405384810769</v>
      </c>
      <c r="C73" s="1">
        <f>K21-C72</f>
        <v>0</v>
      </c>
      <c r="D73" s="1">
        <f>K21-D72</f>
        <v>22.122405384810769</v>
      </c>
      <c r="E73" s="1">
        <f>K21-E72</f>
        <v>0</v>
      </c>
      <c r="F73" s="1">
        <f>K21-F72</f>
        <v>0</v>
      </c>
      <c r="G73" s="1">
        <f>K22-G72</f>
        <v>0</v>
      </c>
      <c r="H73" s="1">
        <f>K22-H72</f>
        <v>16.31240538481077</v>
      </c>
      <c r="K73">
        <v>10</v>
      </c>
      <c r="L73">
        <v>43</v>
      </c>
      <c r="M73">
        <f t="shared" si="7"/>
        <v>1</v>
      </c>
      <c r="N73">
        <f t="shared" si="0"/>
        <v>430</v>
      </c>
      <c r="O73">
        <f t="shared" si="1"/>
        <v>408.5</v>
      </c>
      <c r="P73">
        <f t="shared" si="2"/>
        <v>451.5</v>
      </c>
      <c r="Q73">
        <f t="shared" si="8"/>
        <v>1</v>
      </c>
      <c r="R73" s="126">
        <f t="shared" si="9"/>
        <v>4.5910821756898344E-8</v>
      </c>
      <c r="S73" s="126">
        <f t="shared" si="10"/>
        <v>6.9553419300356691E-8</v>
      </c>
      <c r="T73">
        <v>1000</v>
      </c>
      <c r="U73">
        <v>18</v>
      </c>
      <c r="V73">
        <f t="shared" si="11"/>
        <v>8</v>
      </c>
      <c r="W73">
        <f t="shared" si="12"/>
        <v>18000</v>
      </c>
      <c r="X73">
        <f t="shared" si="3"/>
        <v>16200</v>
      </c>
      <c r="Y73">
        <f t="shared" si="4"/>
        <v>19800</v>
      </c>
      <c r="Z73">
        <f t="shared" si="13"/>
        <v>0</v>
      </c>
      <c r="AA73" s="126">
        <f t="shared" si="14"/>
        <v>4.5910821756898344E-8</v>
      </c>
      <c r="AB73" s="126">
        <f t="shared" si="15"/>
        <v>6.9553419300356691E-8</v>
      </c>
      <c r="AC73" s="126">
        <f t="shared" si="5"/>
        <v>8.4190151626949707E-8</v>
      </c>
      <c r="AD73" s="126">
        <f t="shared" si="6"/>
        <v>1.1685794537624216E-7</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7"/>
        <v>2</v>
      </c>
      <c r="N74">
        <f t="shared" si="0"/>
        <v>470</v>
      </c>
      <c r="O74">
        <f t="shared" si="1"/>
        <v>446.5</v>
      </c>
      <c r="P74">
        <f t="shared" si="2"/>
        <v>493.5</v>
      </c>
      <c r="Q74">
        <f t="shared" si="8"/>
        <v>1</v>
      </c>
      <c r="R74" s="126">
        <f t="shared" si="9"/>
        <v>5.0181595867462772E-8</v>
      </c>
      <c r="S74" s="126">
        <f t="shared" si="10"/>
        <v>7.5721293905315535E-8</v>
      </c>
      <c r="T74">
        <v>1000</v>
      </c>
      <c r="U74">
        <v>22</v>
      </c>
      <c r="V74">
        <f t="shared" si="11"/>
        <v>8</v>
      </c>
      <c r="W74">
        <f t="shared" si="12"/>
        <v>22000</v>
      </c>
      <c r="X74">
        <f t="shared" si="3"/>
        <v>19800</v>
      </c>
      <c r="Y74">
        <f t="shared" si="4"/>
        <v>24200.000000000004</v>
      </c>
      <c r="Z74">
        <f t="shared" si="13"/>
        <v>0</v>
      </c>
      <c r="AA74" s="126">
        <f t="shared" si="14"/>
        <v>5.0181595867462772E-8</v>
      </c>
      <c r="AB74" s="126">
        <f t="shared" si="15"/>
        <v>7.5721293905315535E-8</v>
      </c>
      <c r="AC74" s="126">
        <f t="shared" si="5"/>
        <v>6.7610723621601848E-8</v>
      </c>
      <c r="AD74" s="126">
        <f t="shared" si="6"/>
        <v>7.9882231677200238E-8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7"/>
        <v>3</v>
      </c>
      <c r="N75">
        <f t="shared" si="0"/>
        <v>510</v>
      </c>
      <c r="O75">
        <f t="shared" si="1"/>
        <v>484.5</v>
      </c>
      <c r="P75">
        <f t="shared" si="2"/>
        <v>535.5</v>
      </c>
      <c r="Q75">
        <f t="shared" si="8"/>
        <v>1</v>
      </c>
      <c r="R75" s="126">
        <f t="shared" si="9"/>
        <v>5.4452369976945294E-8</v>
      </c>
      <c r="S75" s="126">
        <f t="shared" si="10"/>
        <v>8.1889168508861356E-8</v>
      </c>
      <c r="T75">
        <v>1000</v>
      </c>
      <c r="U75">
        <v>27</v>
      </c>
      <c r="V75">
        <f t="shared" si="11"/>
        <v>8</v>
      </c>
      <c r="W75">
        <f t="shared" si="12"/>
        <v>27000</v>
      </c>
      <c r="X75">
        <f t="shared" si="3"/>
        <v>24300</v>
      </c>
      <c r="Y75">
        <f t="shared" si="4"/>
        <v>29700.000000000004</v>
      </c>
      <c r="Z75">
        <f t="shared" si="13"/>
        <v>0</v>
      </c>
      <c r="AA75" s="126">
        <f t="shared" si="14"/>
        <v>5.4452369976945294E-8</v>
      </c>
      <c r="AB75" s="126">
        <f t="shared" si="15"/>
        <v>8.1889168508861356E-8</v>
      </c>
      <c r="AC75" s="126">
        <f t="shared" si="5"/>
        <v>5.9554865612887689E-8</v>
      </c>
      <c r="AD75" s="126">
        <f t="shared" si="6"/>
        <v>6.7833970719692682E-8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7"/>
        <v>4</v>
      </c>
      <c r="N76">
        <f t="shared" si="0"/>
        <v>560</v>
      </c>
      <c r="O76">
        <f t="shared" si="1"/>
        <v>532</v>
      </c>
      <c r="P76">
        <f t="shared" si="2"/>
        <v>588</v>
      </c>
      <c r="Q76">
        <f t="shared" si="8"/>
        <v>1</v>
      </c>
      <c r="R76" s="126">
        <f t="shared" si="9"/>
        <v>5.9790837612276972E-8</v>
      </c>
      <c r="S76" s="126">
        <f t="shared" si="10"/>
        <v>8.9599011761306616E-8</v>
      </c>
      <c r="T76">
        <v>1000</v>
      </c>
      <c r="U76">
        <v>33</v>
      </c>
      <c r="V76">
        <f t="shared" si="11"/>
        <v>8</v>
      </c>
      <c r="W76">
        <f t="shared" si="12"/>
        <v>33000</v>
      </c>
      <c r="X76">
        <f t="shared" si="3"/>
        <v>29700</v>
      </c>
      <c r="Y76">
        <f t="shared" si="4"/>
        <v>36300</v>
      </c>
      <c r="Z76">
        <f t="shared" si="13"/>
        <v>0</v>
      </c>
      <c r="AA76" s="126">
        <f t="shared" si="14"/>
        <v>5.9790837612276972E-8</v>
      </c>
      <c r="AB76" s="126">
        <f t="shared" si="15"/>
        <v>8.9599011761306616E-8</v>
      </c>
      <c r="AC76" s="126">
        <f t="shared" si="5"/>
        <v>5.3537916260787368E-8</v>
      </c>
      <c r="AD76" s="126">
        <f t="shared" si="6"/>
        <v>5.9730613630789558E-8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7"/>
        <v>5</v>
      </c>
      <c r="N77">
        <f t="shared" si="0"/>
        <v>620</v>
      </c>
      <c r="O77">
        <f t="shared" si="1"/>
        <v>589</v>
      </c>
      <c r="P77">
        <f t="shared" si="2"/>
        <v>651</v>
      </c>
      <c r="Q77">
        <f t="shared" si="8"/>
        <v>1</v>
      </c>
      <c r="R77" s="126">
        <f t="shared" si="9"/>
        <v>6.6196998772443504E-8</v>
      </c>
      <c r="S77" s="126">
        <f t="shared" si="10"/>
        <v>9.8850823661326581E-8</v>
      </c>
      <c r="T77">
        <v>1000</v>
      </c>
      <c r="U77">
        <v>39</v>
      </c>
      <c r="V77">
        <f t="shared" si="11"/>
        <v>8</v>
      </c>
      <c r="W77">
        <f t="shared" si="12"/>
        <v>39000</v>
      </c>
      <c r="X77">
        <f t="shared" si="3"/>
        <v>35100</v>
      </c>
      <c r="Y77">
        <f t="shared" si="4"/>
        <v>42900</v>
      </c>
      <c r="Z77">
        <f t="shared" si="13"/>
        <v>0</v>
      </c>
      <c r="AA77" s="126">
        <f t="shared" si="14"/>
        <v>6.6196998772443504E-8</v>
      </c>
      <c r="AB77" s="126">
        <f t="shared" si="15"/>
        <v>9.8850823661326581E-8</v>
      </c>
      <c r="AC77" s="126">
        <f t="shared" si="5"/>
        <v>4.8999171383728013E-8</v>
      </c>
      <c r="AD77" s="126">
        <f t="shared" si="6"/>
        <v>5.394917096824549E-8</v>
      </c>
    </row>
    <row r="78" spans="1:31" x14ac:dyDescent="0.35">
      <c r="A78" t="s">
        <v>344</v>
      </c>
      <c r="B78">
        <v>1</v>
      </c>
      <c r="C78">
        <v>1</v>
      </c>
      <c r="D78">
        <v>1</v>
      </c>
      <c r="E78">
        <v>1</v>
      </c>
      <c r="F78">
        <v>1</v>
      </c>
      <c r="G78">
        <v>1</v>
      </c>
      <c r="H78">
        <v>1</v>
      </c>
      <c r="K78">
        <v>10</v>
      </c>
      <c r="L78">
        <v>68</v>
      </c>
      <c r="M78">
        <f t="shared" si="7"/>
        <v>6</v>
      </c>
      <c r="N78">
        <f t="shared" si="0"/>
        <v>680</v>
      </c>
      <c r="O78">
        <f t="shared" si="1"/>
        <v>646</v>
      </c>
      <c r="P78">
        <f t="shared" si="2"/>
        <v>714</v>
      </c>
      <c r="Q78">
        <f t="shared" si="8"/>
        <v>1</v>
      </c>
      <c r="R78" s="126">
        <f t="shared" si="9"/>
        <v>7.2603159930175676E-8</v>
      </c>
      <c r="S78" s="126">
        <f t="shared" si="10"/>
        <v>1.081026355581673E-7</v>
      </c>
      <c r="T78">
        <v>1000</v>
      </c>
      <c r="U78">
        <v>47</v>
      </c>
      <c r="V78">
        <f t="shared" si="11"/>
        <v>8</v>
      </c>
      <c r="W78">
        <f t="shared" si="12"/>
        <v>47000</v>
      </c>
      <c r="X78">
        <f t="shared" si="3"/>
        <v>42300</v>
      </c>
      <c r="Y78">
        <f t="shared" si="4"/>
        <v>51700.000000000007</v>
      </c>
      <c r="Z78">
        <f t="shared" si="13"/>
        <v>0</v>
      </c>
      <c r="AA78" s="126">
        <f t="shared" si="14"/>
        <v>7.2603159930175676E-8</v>
      </c>
      <c r="AB78" s="126">
        <f t="shared" si="15"/>
        <v>1.081026355581673E-7</v>
      </c>
      <c r="AC78" s="126">
        <f t="shared" si="5"/>
        <v>4.595081065177937E-8</v>
      </c>
      <c r="AD78" s="126">
        <f t="shared" si="6"/>
        <v>5.0187933999412521E-8</v>
      </c>
    </row>
    <row r="79" spans="1:31" x14ac:dyDescent="0.35">
      <c r="A79" t="s">
        <v>345</v>
      </c>
      <c r="B79">
        <v>1</v>
      </c>
      <c r="C79">
        <v>1</v>
      </c>
      <c r="D79">
        <v>1</v>
      </c>
      <c r="E79">
        <v>1</v>
      </c>
      <c r="F79">
        <v>1</v>
      </c>
      <c r="G79">
        <v>1</v>
      </c>
      <c r="H79">
        <v>1</v>
      </c>
      <c r="K79">
        <v>10</v>
      </c>
      <c r="L79">
        <v>75</v>
      </c>
      <c r="M79">
        <f t="shared" si="7"/>
        <v>7</v>
      </c>
      <c r="N79">
        <f t="shared" si="0"/>
        <v>750</v>
      </c>
      <c r="O79">
        <f t="shared" si="1"/>
        <v>712.5</v>
      </c>
      <c r="P79">
        <f t="shared" si="2"/>
        <v>787.5</v>
      </c>
      <c r="Q79">
        <f t="shared" si="8"/>
        <v>1</v>
      </c>
      <c r="R79" s="126">
        <f t="shared" si="9"/>
        <v>8.0077014611119853E-8</v>
      </c>
      <c r="S79" s="126">
        <f t="shared" si="10"/>
        <v>1.1889641610046324E-7</v>
      </c>
      <c r="T79">
        <v>1000</v>
      </c>
      <c r="U79">
        <v>56</v>
      </c>
      <c r="V79">
        <f t="shared" si="11"/>
        <v>8</v>
      </c>
      <c r="W79">
        <f t="shared" si="12"/>
        <v>56000</v>
      </c>
      <c r="X79">
        <f t="shared" si="3"/>
        <v>50400</v>
      </c>
      <c r="Y79">
        <f t="shared" si="4"/>
        <v>61600.000000000007</v>
      </c>
      <c r="Z79">
        <f t="shared" si="13"/>
        <v>0</v>
      </c>
      <c r="AA79" s="126">
        <f t="shared" si="14"/>
        <v>8.0077014611119853E-8</v>
      </c>
      <c r="AB79" s="126">
        <f t="shared" si="15"/>
        <v>1.1889641610046324E-7</v>
      </c>
      <c r="AC79" s="126">
        <f t="shared" si="5"/>
        <v>4.3441062463419354E-8</v>
      </c>
      <c r="AD79" s="126">
        <f t="shared" si="6"/>
        <v>4.715246132178817E-8</v>
      </c>
      <c r="AE79" s="128"/>
    </row>
    <row r="80" spans="1:31" x14ac:dyDescent="0.35">
      <c r="A80" t="s">
        <v>346</v>
      </c>
      <c r="B80">
        <v>1</v>
      </c>
      <c r="C80">
        <v>1</v>
      </c>
      <c r="D80">
        <v>1</v>
      </c>
      <c r="E80">
        <v>1</v>
      </c>
      <c r="F80">
        <v>1</v>
      </c>
      <c r="G80">
        <v>1</v>
      </c>
      <c r="H80">
        <v>1</v>
      </c>
      <c r="K80">
        <v>10</v>
      </c>
      <c r="L80">
        <v>82</v>
      </c>
      <c r="M80">
        <f t="shared" si="7"/>
        <v>8</v>
      </c>
      <c r="N80">
        <f t="shared" si="0"/>
        <v>820</v>
      </c>
      <c r="O80">
        <f t="shared" si="1"/>
        <v>779</v>
      </c>
      <c r="P80">
        <f t="shared" si="2"/>
        <v>861</v>
      </c>
      <c r="Q80">
        <f t="shared" si="8"/>
        <v>1</v>
      </c>
      <c r="R80" s="126">
        <f t="shared" si="9"/>
        <v>8.7550869288750583E-8</v>
      </c>
      <c r="S80" s="126">
        <f t="shared" si="10"/>
        <v>1.2969019663843186E-7</v>
      </c>
      <c r="T80">
        <v>1000</v>
      </c>
      <c r="U80">
        <v>68</v>
      </c>
      <c r="V80">
        <f t="shared" si="11"/>
        <v>8</v>
      </c>
      <c r="W80">
        <f>U80*T80</f>
        <v>68000</v>
      </c>
      <c r="X80">
        <f t="shared" si="3"/>
        <v>61200</v>
      </c>
      <c r="Y80">
        <f t="shared" si="4"/>
        <v>74800</v>
      </c>
      <c r="Z80">
        <f t="shared" si="13"/>
        <v>0</v>
      </c>
      <c r="AA80" s="126">
        <f t="shared" si="14"/>
        <v>8.7550869288750583E-8</v>
      </c>
      <c r="AB80" s="126">
        <f t="shared" si="15"/>
        <v>1.2969019663843186E-7</v>
      </c>
      <c r="AC80" s="126">
        <f t="shared" si="5"/>
        <v>4.1612918085716634E-8</v>
      </c>
      <c r="AD80" s="126">
        <f t="shared" si="6"/>
        <v>4.4972183187448394E-8</v>
      </c>
      <c r="AE80" s="128"/>
    </row>
    <row r="81" spans="1:31" x14ac:dyDescent="0.35">
      <c r="K81">
        <v>10</v>
      </c>
      <c r="L81">
        <v>91</v>
      </c>
      <c r="M81">
        <f t="shared" si="7"/>
        <v>9</v>
      </c>
      <c r="N81">
        <f t="shared" si="0"/>
        <v>910</v>
      </c>
      <c r="O81">
        <f t="shared" si="1"/>
        <v>864.5</v>
      </c>
      <c r="P81">
        <f t="shared" si="2"/>
        <v>955.5</v>
      </c>
      <c r="Q81">
        <f t="shared" si="8"/>
        <v>1</v>
      </c>
      <c r="R81" s="126">
        <f t="shared" si="9"/>
        <v>9.716011101226428E-8</v>
      </c>
      <c r="S81" s="126">
        <f t="shared" si="10"/>
        <v>1.4356791446660439E-7</v>
      </c>
      <c r="T81">
        <v>1000</v>
      </c>
      <c r="U81">
        <v>82</v>
      </c>
      <c r="V81">
        <f t="shared" si="11"/>
        <v>8</v>
      </c>
      <c r="W81">
        <f t="shared" ref="W81" si="16">U81*T81</f>
        <v>82000</v>
      </c>
      <c r="X81">
        <f t="shared" si="3"/>
        <v>73800</v>
      </c>
      <c r="Y81">
        <f t="shared" si="4"/>
        <v>90200.000000000015</v>
      </c>
      <c r="Z81">
        <f t="shared" si="13"/>
        <v>0</v>
      </c>
      <c r="AA81" s="126">
        <f t="shared" si="14"/>
        <v>9.716011101226428E-8</v>
      </c>
      <c r="AB81" s="126">
        <f t="shared" si="15"/>
        <v>1.4356791446660439E-7</v>
      </c>
      <c r="AC81" s="126">
        <f t="shared" si="5"/>
        <v>3.9881316785523883E-8</v>
      </c>
      <c r="AD81" s="126">
        <f t="shared" si="6"/>
        <v>4.2928929270928432E-8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0.99999904142092111</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0.1349713443617451</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8.0128199146693668E-2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0.84963265568815516</v>
      </c>
      <c r="F82" s="13"/>
      <c r="K82">
        <v>100</v>
      </c>
      <c r="L82">
        <v>10</v>
      </c>
      <c r="M82">
        <f>IF(AND(Q81=1,Q82=0),Q82+M81+1, Q82+M81)</f>
        <v>10</v>
      </c>
      <c r="N82">
        <f t="shared" si="0"/>
        <v>1000</v>
      </c>
      <c r="O82">
        <f t="shared" si="1"/>
        <v>950</v>
      </c>
      <c r="P82">
        <f t="shared" si="2"/>
        <v>1050</v>
      </c>
      <c r="Q82">
        <f t="shared" si="8"/>
        <v>1</v>
      </c>
      <c r="R82" s="126">
        <f t="shared" si="9"/>
        <v>1.0676935273030072E-7</v>
      </c>
      <c r="S82" s="126">
        <f t="shared" si="10"/>
        <v>1.5744563228762362E-7</v>
      </c>
      <c r="V82">
        <f t="shared" si="11"/>
        <v>8</v>
      </c>
      <c r="W82">
        <v>9999999</v>
      </c>
      <c r="AA82" s="126">
        <f t="shared" si="14"/>
        <v>1.0676935273030072E-7</v>
      </c>
      <c r="AB82" s="126">
        <f t="shared" si="15"/>
        <v>1.5744563228762362E-7</v>
      </c>
      <c r="AC82" s="126">
        <f t="shared" si="5"/>
        <v>3.8595939774698293E-8</v>
      </c>
      <c r="AD82" s="126">
        <f t="shared" si="6"/>
        <v>4.1425128288601889E-8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0.99999904142092111</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0.15885847070562409</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8.0128199146693668E-2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17">IF(AND(Q82=1,Q83=0),Q83+M82+1, Q83+M82)</f>
        <v>11</v>
      </c>
      <c r="N83">
        <f t="shared" si="0"/>
        <v>1100</v>
      </c>
      <c r="O83">
        <f t="shared" si="1"/>
        <v>1045</v>
      </c>
      <c r="P83">
        <f t="shared" si="2"/>
        <v>1155</v>
      </c>
      <c r="Q83">
        <f t="shared" si="8"/>
        <v>1</v>
      </c>
      <c r="R83" s="126">
        <f t="shared" si="9"/>
        <v>1.1744628796613945E-7</v>
      </c>
      <c r="S83" s="126">
        <f t="shared" si="10"/>
        <v>1.7286531874703305E-7</v>
      </c>
      <c r="AA83" s="126">
        <f t="shared" si="14"/>
        <v>1.1744628796613945E-7</v>
      </c>
      <c r="AB83" s="126">
        <f t="shared" si="15"/>
        <v>1.7286531874703305E-7</v>
      </c>
      <c r="AC83" s="126">
        <f t="shared" si="5"/>
        <v>3.7507668635803637E-8</v>
      </c>
      <c r="AD83" s="126">
        <f t="shared" si="6"/>
        <v>4.0160140339983966E-8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0.99999904139634077</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0.15885847070562409</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8.0128199163223876E-2</v>
      </c>
      <c r="E84" s="12">
        <f>IF(Summary!D37="absolute",(R3-N7)/(J2+J2*Summary!D17),R3-N7)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0.15885847080668122</v>
      </c>
      <c r="G84" s="12">
        <f t="shared" ref="G84" si="18"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0.15354828366411005</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8.0128199158882543E-2</v>
      </c>
      <c r="K84">
        <v>100</v>
      </c>
      <c r="L84">
        <v>12</v>
      </c>
      <c r="M84">
        <f t="shared" si="17"/>
        <v>12</v>
      </c>
      <c r="N84">
        <f t="shared" si="0"/>
        <v>1200</v>
      </c>
      <c r="O84">
        <f t="shared" si="1"/>
        <v>1140</v>
      </c>
      <c r="P84">
        <f t="shared" si="2"/>
        <v>1260</v>
      </c>
      <c r="Q84">
        <f t="shared" si="8"/>
        <v>1</v>
      </c>
      <c r="R84" s="126">
        <f t="shared" si="9"/>
        <v>1.2812322319521616E-7</v>
      </c>
      <c r="S84" s="126">
        <f t="shared" si="10"/>
        <v>1.8828500519761124E-7</v>
      </c>
      <c r="AA84" s="126">
        <f t="shared" si="14"/>
        <v>1.2812322319521616E-7</v>
      </c>
      <c r="AB84" s="126">
        <f t="shared" si="15"/>
        <v>1.8828500519761124E-7</v>
      </c>
      <c r="AC84" s="126">
        <f t="shared" si="5"/>
        <v>3.6661963038962621E-8</v>
      </c>
      <c r="AD84" s="126">
        <f t="shared" si="6"/>
        <v>3.9182152907509381E-8</v>
      </c>
      <c r="AE84" s="128"/>
    </row>
    <row r="85" spans="1:31" x14ac:dyDescent="0.35">
      <c r="E85" s="73"/>
      <c r="K85">
        <v>100</v>
      </c>
      <c r="L85">
        <v>13</v>
      </c>
      <c r="M85">
        <f t="shared" si="17"/>
        <v>13</v>
      </c>
      <c r="N85">
        <f t="shared" si="0"/>
        <v>1300</v>
      </c>
      <c r="O85">
        <f t="shared" si="1"/>
        <v>1235</v>
      </c>
      <c r="P85">
        <f t="shared" si="2"/>
        <v>1365</v>
      </c>
      <c r="Q85">
        <f t="shared" si="8"/>
        <v>1</v>
      </c>
      <c r="R85" s="126">
        <f t="shared" si="9"/>
        <v>1.388001584175308E-7</v>
      </c>
      <c r="S85" s="126">
        <f t="shared" si="10"/>
        <v>2.037046916393581E-7</v>
      </c>
      <c r="AA85" s="126">
        <f t="shared" si="14"/>
        <v>1.388001584175308E-7</v>
      </c>
      <c r="AB85" s="126">
        <f t="shared" si="15"/>
        <v>2.037046916393581E-7</v>
      </c>
      <c r="AC85" s="126">
        <f t="shared" si="5"/>
        <v>3.5986108353513433E-8</v>
      </c>
      <c r="AD85" s="126">
        <f t="shared" si="6"/>
        <v>3.8403697011441917E-8</v>
      </c>
      <c r="AE85" s="128"/>
    </row>
    <row r="86" spans="1:31" x14ac:dyDescent="0.35">
      <c r="K86">
        <v>100</v>
      </c>
      <c r="L86">
        <v>15</v>
      </c>
      <c r="M86">
        <f t="shared" si="17"/>
        <v>14</v>
      </c>
      <c r="N86">
        <f t="shared" si="0"/>
        <v>1500</v>
      </c>
      <c r="O86">
        <f t="shared" si="1"/>
        <v>1425</v>
      </c>
      <c r="P86">
        <f t="shared" si="2"/>
        <v>1575</v>
      </c>
      <c r="Q86">
        <f t="shared" si="8"/>
        <v>1</v>
      </c>
      <c r="R86" s="126">
        <f t="shared" si="9"/>
        <v>1.601540288418739E-7</v>
      </c>
      <c r="S86" s="126">
        <f t="shared" si="10"/>
        <v>2.3454406449635806E-7</v>
      </c>
      <c r="AA86" s="126">
        <f t="shared" si="14"/>
        <v>1.601540288418739E-7</v>
      </c>
      <c r="AB86" s="126">
        <f t="shared" si="15"/>
        <v>2.3454406449635806E-7</v>
      </c>
      <c r="AC86" s="126">
        <f t="shared" si="5"/>
        <v>3.4974141457944103E-8</v>
      </c>
      <c r="AD86" s="126">
        <f t="shared" si="6"/>
        <v>3.724321162421145E-8</v>
      </c>
      <c r="AE86" s="128"/>
    </row>
    <row r="87" spans="1:31" x14ac:dyDescent="0.35">
      <c r="B87" s="171" t="s">
        <v>362</v>
      </c>
      <c r="C87" s="171"/>
      <c r="K87">
        <v>100</v>
      </c>
      <c r="L87">
        <v>16</v>
      </c>
      <c r="M87">
        <f t="shared" si="17"/>
        <v>15</v>
      </c>
      <c r="N87">
        <f t="shared" si="0"/>
        <v>1600</v>
      </c>
      <c r="O87">
        <f t="shared" si="1"/>
        <v>1520</v>
      </c>
      <c r="P87">
        <f t="shared" si="2"/>
        <v>1680</v>
      </c>
      <c r="Q87">
        <f t="shared" si="8"/>
        <v>1</v>
      </c>
      <c r="R87" s="126">
        <f t="shared" si="9"/>
        <v>1.7083096404390233E-7</v>
      </c>
      <c r="S87" s="126">
        <f t="shared" si="10"/>
        <v>2.4996375091161105E-7</v>
      </c>
      <c r="AA87" s="126">
        <f t="shared" si="14"/>
        <v>1.7083096404390233E-7</v>
      </c>
      <c r="AB87" s="126">
        <f t="shared" si="15"/>
        <v>2.4996375091161105E-7</v>
      </c>
      <c r="AC87" s="126">
        <f t="shared" si="5"/>
        <v>3.4585727989021324E-8</v>
      </c>
      <c r="AD87" s="126">
        <f t="shared" si="6"/>
        <v>3.679941213678877E-8</v>
      </c>
      <c r="AE87" s="128"/>
    </row>
    <row r="88" spans="1:31" ht="29" x14ac:dyDescent="0.35">
      <c r="B88" t="s">
        <v>355</v>
      </c>
      <c r="C88" t="s">
        <v>363</v>
      </c>
      <c r="D88" t="s">
        <v>364</v>
      </c>
      <c r="E88" s="32" t="str">
        <f>IF(Summary!D37="absolute","find min R2, so that max (Vx) = " &amp; TRUNC(R2/J3,3),"find min R2, so that max (Vx) = " &amp; R2)</f>
        <v>find min R2, so that max (Vx) = 0.3</v>
      </c>
      <c r="F88" s="32" t="s">
        <v>365</v>
      </c>
      <c r="G88" s="32" t="s">
        <v>366</v>
      </c>
      <c r="H88" s="32" t="s">
        <v>367</v>
      </c>
      <c r="K88">
        <v>100</v>
      </c>
      <c r="L88">
        <v>18</v>
      </c>
      <c r="M88">
        <f t="shared" si="17"/>
        <v>16</v>
      </c>
      <c r="N88">
        <f t="shared" si="0"/>
        <v>1800</v>
      </c>
      <c r="O88">
        <f t="shared" si="1"/>
        <v>1710</v>
      </c>
      <c r="P88">
        <f t="shared" si="2"/>
        <v>1890</v>
      </c>
      <c r="Q88">
        <f t="shared" si="8"/>
        <v>1</v>
      </c>
      <c r="R88" s="126">
        <f t="shared" si="9"/>
        <v>1.9218483442767305E-7</v>
      </c>
      <c r="S88" s="126">
        <f t="shared" si="10"/>
        <v>2.8080312371562333E-7</v>
      </c>
      <c r="AA88" s="126">
        <f t="shared" si="14"/>
        <v>1.9218483442767305E-7</v>
      </c>
      <c r="AB88" s="126">
        <f t="shared" si="15"/>
        <v>2.8080312371562333E-7</v>
      </c>
      <c r="AC88" s="126">
        <f t="shared" si="5"/>
        <v>3.3965523685238548E-8</v>
      </c>
      <c r="AD88" s="126">
        <f t="shared" si="6"/>
        <v>3.6092631784845068E-8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17"/>
        <v>17</v>
      </c>
      <c r="N89">
        <f t="shared" si="0"/>
        <v>2000</v>
      </c>
      <c r="O89">
        <f t="shared" si="1"/>
        <v>1900</v>
      </c>
      <c r="P89">
        <f t="shared" si="2"/>
        <v>2100</v>
      </c>
      <c r="Q89">
        <f t="shared" si="8"/>
        <v>0</v>
      </c>
      <c r="R89" s="126">
        <f t="shared" si="9"/>
        <v>2.1353870478439558E-7</v>
      </c>
      <c r="S89" s="126">
        <f t="shared" si="10"/>
        <v>3.1164249648431063E-7</v>
      </c>
      <c r="AA89" s="126">
        <f t="shared" si="14"/>
        <v>2.1353870478439558E-7</v>
      </c>
      <c r="AB89" s="126">
        <f t="shared" si="15"/>
        <v>3.1164249648431063E-7</v>
      </c>
      <c r="AC89" s="126">
        <f t="shared" si="5"/>
        <v>3.3492544306016614E-8</v>
      </c>
      <c r="AD89" s="126">
        <f t="shared" si="6"/>
        <v>3.5555174713310756E-8</v>
      </c>
      <c r="AE89" s="128"/>
    </row>
    <row r="90" spans="1:31" x14ac:dyDescent="0.35">
      <c r="A90" t="s">
        <v>320</v>
      </c>
      <c r="B90" s="11">
        <f>F11*(1+H11)</f>
        <v>861</v>
      </c>
      <c r="C90" s="11">
        <f>F11*(1-H11)</f>
        <v>779</v>
      </c>
      <c r="D90" s="11">
        <f>F11*(1+H11)</f>
        <v>861</v>
      </c>
      <c r="E90" s="11"/>
      <c r="F90" s="11">
        <f>F11*(1-H11)</f>
        <v>779</v>
      </c>
      <c r="G90">
        <f>F11*(1-H11)</f>
        <v>779</v>
      </c>
      <c r="H90">
        <f>F11*(1+H11)</f>
        <v>861</v>
      </c>
      <c r="K90">
        <v>100</v>
      </c>
      <c r="L90">
        <v>22</v>
      </c>
      <c r="M90">
        <f t="shared" si="17"/>
        <v>17</v>
      </c>
      <c r="N90">
        <f t="shared" si="0"/>
        <v>2200</v>
      </c>
      <c r="O90">
        <f t="shared" si="1"/>
        <v>2090</v>
      </c>
      <c r="P90">
        <f t="shared" si="2"/>
        <v>2310</v>
      </c>
      <c r="Q90">
        <f t="shared" si="8"/>
        <v>0</v>
      </c>
      <c r="R90" s="126">
        <f t="shared" si="9"/>
        <v>2.3489257511406977E-7</v>
      </c>
      <c r="S90" s="126">
        <f t="shared" si="10"/>
        <v>3.4248186921767268E-7</v>
      </c>
      <c r="AA90" s="126">
        <f t="shared" si="14"/>
        <v>2.3489257511406977E-7</v>
      </c>
      <c r="AB90" s="126">
        <f t="shared" si="15"/>
        <v>3.4248186921767268E-7</v>
      </c>
      <c r="AC90" s="126">
        <f t="shared" si="5"/>
        <v>3.3120110879015651E-8</v>
      </c>
      <c r="AD90" s="126">
        <f t="shared" si="6"/>
        <v>3.5132920428721533E-8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17"/>
        <v>17</v>
      </c>
      <c r="N91">
        <f t="shared" si="0"/>
        <v>2400</v>
      </c>
      <c r="O91">
        <f t="shared" si="1"/>
        <v>2280</v>
      </c>
      <c r="P91">
        <f t="shared" si="2"/>
        <v>2520</v>
      </c>
      <c r="Q91">
        <f t="shared" si="8"/>
        <v>0</v>
      </c>
      <c r="R91" s="126">
        <f t="shared" si="9"/>
        <v>2.562464454166958E-7</v>
      </c>
      <c r="S91" s="126">
        <f t="shared" si="10"/>
        <v>3.733212419157097E-7</v>
      </c>
      <c r="AA91" s="126">
        <f t="shared" si="14"/>
        <v>2.562464454166958E-7</v>
      </c>
      <c r="AB91" s="126">
        <f t="shared" si="15"/>
        <v>3.733212419157097E-7</v>
      </c>
      <c r="AC91" s="126">
        <f t="shared" si="5"/>
        <v>3.2819350349635444E-8</v>
      </c>
      <c r="AD91" s="126">
        <f t="shared" si="6"/>
        <v>3.4792544022081004E-8</v>
      </c>
      <c r="AE91" s="128"/>
    </row>
    <row r="92" spans="1:31" x14ac:dyDescent="0.35">
      <c r="A92" t="s">
        <v>324</v>
      </c>
      <c r="B92" s="1">
        <f>K21-B93</f>
        <v>22.122405384810769</v>
      </c>
      <c r="C92" s="1">
        <f>K21-C93</f>
        <v>0</v>
      </c>
      <c r="D92" s="1">
        <f>K21-D93</f>
        <v>22.122405384810769</v>
      </c>
      <c r="E92" s="1">
        <f>K21-E93</f>
        <v>0</v>
      </c>
      <c r="F92" s="1">
        <f>K21-F93</f>
        <v>0</v>
      </c>
      <c r="G92" s="1">
        <f>K22-G93</f>
        <v>0</v>
      </c>
      <c r="H92" s="1">
        <f>K22-H93</f>
        <v>16.31240538481077</v>
      </c>
      <c r="K92">
        <v>100</v>
      </c>
      <c r="L92">
        <v>27</v>
      </c>
      <c r="M92">
        <f t="shared" si="17"/>
        <v>17</v>
      </c>
      <c r="N92">
        <f t="shared" si="0"/>
        <v>2700</v>
      </c>
      <c r="O92">
        <f t="shared" si="1"/>
        <v>2565</v>
      </c>
      <c r="P92">
        <f t="shared" si="2"/>
        <v>2835</v>
      </c>
      <c r="Q92">
        <f t="shared" si="8"/>
        <v>0</v>
      </c>
      <c r="R92" s="126">
        <f t="shared" si="9"/>
        <v>2.8827725081991944E-7</v>
      </c>
      <c r="S92" s="126">
        <f t="shared" si="10"/>
        <v>4.1958030089653062E-7</v>
      </c>
      <c r="AA92" s="126">
        <f t="shared" si="14"/>
        <v>2.8827725081991944E-7</v>
      </c>
      <c r="AB92" s="126">
        <f t="shared" si="15"/>
        <v>4.1958030089653062E-7</v>
      </c>
      <c r="AC92" s="126">
        <f t="shared" si="5"/>
        <v>3.2463174716825799E-8</v>
      </c>
      <c r="AD92" s="126">
        <f t="shared" si="6"/>
        <v>3.439017516319374E-8</v>
      </c>
      <c r="AE92" s="128"/>
    </row>
    <row r="93" spans="1:31" x14ac:dyDescent="0.35">
      <c r="A93" t="s">
        <v>327</v>
      </c>
      <c r="B93" s="1">
        <f>K21*(1-MAX(K25,K24))</f>
        <v>0</v>
      </c>
      <c r="C93" s="1">
        <f>K21*(1-MIN(K25,K24))</f>
        <v>22.122405384810769</v>
      </c>
      <c r="D93" s="1">
        <f>K21*(1-MAX(K25,K24))</f>
        <v>0</v>
      </c>
      <c r="E93" s="1">
        <f>K21*(1-MIN(K25,K24))</f>
        <v>22.122405384810769</v>
      </c>
      <c r="F93" s="125">
        <f>K21*(1-MIN(K25,K24))</f>
        <v>22.122405384810769</v>
      </c>
      <c r="G93" s="125">
        <f>K22*(1-MIN(K25,K24))</f>
        <v>16.31240538481077</v>
      </c>
      <c r="H93" s="1">
        <f>K22*(1-MAX(K25,K24))</f>
        <v>0</v>
      </c>
      <c r="K93">
        <v>100</v>
      </c>
      <c r="L93">
        <v>30</v>
      </c>
      <c r="M93">
        <f t="shared" si="17"/>
        <v>17</v>
      </c>
      <c r="N93">
        <f t="shared" si="0"/>
        <v>3000</v>
      </c>
      <c r="O93">
        <f t="shared" si="1"/>
        <v>2850</v>
      </c>
      <c r="P93">
        <f t="shared" si="2"/>
        <v>3150</v>
      </c>
      <c r="Q93">
        <f t="shared" si="8"/>
        <v>0</v>
      </c>
      <c r="R93" s="126">
        <f t="shared" si="9"/>
        <v>3.2030805616228445E-7</v>
      </c>
      <c r="S93" s="126">
        <f t="shared" si="10"/>
        <v>4.6583935979787004E-7</v>
      </c>
      <c r="AA93" s="126">
        <f t="shared" si="14"/>
        <v>3.2030805616228445E-7</v>
      </c>
      <c r="AB93" s="126">
        <f t="shared" si="15"/>
        <v>4.6583935979787004E-7</v>
      </c>
      <c r="AC93" s="126">
        <f t="shared" si="5"/>
        <v>3.2186978531816249E-8</v>
      </c>
      <c r="AD93" s="126">
        <f t="shared" si="6"/>
        <v>3.4078704587546179E-8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17"/>
        <v>17</v>
      </c>
      <c r="N94">
        <f t="shared" si="0"/>
        <v>3300</v>
      </c>
      <c r="O94">
        <f t="shared" si="1"/>
        <v>3135</v>
      </c>
      <c r="P94">
        <f t="shared" si="2"/>
        <v>3465</v>
      </c>
      <c r="Q94">
        <f t="shared" si="8"/>
        <v>0</v>
      </c>
      <c r="R94" s="126">
        <f t="shared" si="9"/>
        <v>3.5233886144379104E-7</v>
      </c>
      <c r="S94" s="126">
        <f t="shared" si="10"/>
        <v>5.1209841861972807E-7</v>
      </c>
      <c r="AA94" s="126">
        <f t="shared" si="14"/>
        <v>3.5233886144379104E-7</v>
      </c>
      <c r="AB94" s="126">
        <f t="shared" si="15"/>
        <v>5.1209841861972807E-7</v>
      </c>
      <c r="AC94" s="126">
        <f t="shared" si="5"/>
        <v>3.1966604840582894E-8</v>
      </c>
      <c r="AD94" s="126">
        <f t="shared" si="6"/>
        <v>3.3830533049243161E-8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17"/>
        <v>17</v>
      </c>
      <c r="N95">
        <f t="shared" si="0"/>
        <v>3600</v>
      </c>
      <c r="O95">
        <f t="shared" si="1"/>
        <v>3420</v>
      </c>
      <c r="P95">
        <f t="shared" si="2"/>
        <v>3780</v>
      </c>
      <c r="Q95">
        <f t="shared" si="8"/>
        <v>0</v>
      </c>
      <c r="R95" s="126">
        <f t="shared" si="9"/>
        <v>3.8436966666443901E-7</v>
      </c>
      <c r="S95" s="126">
        <f t="shared" si="10"/>
        <v>5.5835747736210461E-7</v>
      </c>
      <c r="AA95" s="126">
        <f t="shared" si="14"/>
        <v>3.8436966666443901E-7</v>
      </c>
      <c r="AB95" s="126">
        <f t="shared" si="15"/>
        <v>5.5835747736210461E-7</v>
      </c>
      <c r="AC95" s="126">
        <f t="shared" si="5"/>
        <v>3.1786719585133594E-8</v>
      </c>
      <c r="AD95" s="126">
        <f t="shared" si="6"/>
        <v>3.3628188625608505E-8</v>
      </c>
      <c r="AE95" s="128"/>
    </row>
    <row r="96" spans="1:31" x14ac:dyDescent="0.35">
      <c r="A96" t="s">
        <v>333</v>
      </c>
      <c r="B96" s="11">
        <f>F3*(1-G3)</f>
        <v>900000000000</v>
      </c>
      <c r="C96" s="11">
        <f>1/(1/(F3*(1+H3))+1/(N3*(1+P3)))</f>
        <v>132.99999998391911</v>
      </c>
      <c r="D96" s="11">
        <f>1/(1/(F3*(1-G3))+1/(N3*(1-O3)))</f>
        <v>66.499999995086398</v>
      </c>
      <c r="E96" s="11">
        <f>1/(1/(F3*(1+H3))+1/(N3*(1+P3)))</f>
        <v>132.99999998391911</v>
      </c>
      <c r="F96" s="11">
        <f>1/(1/(F3*(1+H3))+1/(N3*(1+P3)))</f>
        <v>132.99999998391911</v>
      </c>
      <c r="G96">
        <f>1/(1/(F3*(1+H3))+1/(N3*(1+P3)))</f>
        <v>132.99999998391911</v>
      </c>
      <c r="H96">
        <f>1/(1/(F3*(1-G3))+1/(N3*(1-O3)))</f>
        <v>66.499999995086398</v>
      </c>
      <c r="K96">
        <v>100</v>
      </c>
      <c r="L96">
        <v>39</v>
      </c>
      <c r="M96">
        <f t="shared" si="17"/>
        <v>17</v>
      </c>
      <c r="N96">
        <f t="shared" si="0"/>
        <v>3900</v>
      </c>
      <c r="O96">
        <f t="shared" si="1"/>
        <v>3705</v>
      </c>
      <c r="P96">
        <f t="shared" si="2"/>
        <v>4095</v>
      </c>
      <c r="Q96">
        <f t="shared" si="8"/>
        <v>0</v>
      </c>
      <c r="R96" s="126">
        <f t="shared" si="9"/>
        <v>4.164004718242285E-7</v>
      </c>
      <c r="S96" s="126">
        <f t="shared" si="10"/>
        <v>6.0461653602499949E-7</v>
      </c>
      <c r="AA96" s="126">
        <f t="shared" si="14"/>
        <v>4.164004718242285E-7</v>
      </c>
      <c r="AB96" s="126">
        <f t="shared" si="15"/>
        <v>6.0461653602499949E-7</v>
      </c>
      <c r="AC96" s="126">
        <f t="shared" si="5"/>
        <v>3.1637125231167961E-8</v>
      </c>
      <c r="AD96" s="126">
        <f t="shared" si="6"/>
        <v>3.3460077392089187E-8</v>
      </c>
      <c r="AE96" s="128"/>
    </row>
    <row r="97" spans="1:31" x14ac:dyDescent="0.35">
      <c r="K97">
        <v>100</v>
      </c>
      <c r="L97">
        <v>43</v>
      </c>
      <c r="M97">
        <f t="shared" si="17"/>
        <v>17</v>
      </c>
      <c r="N97">
        <f t="shared" si="0"/>
        <v>4300</v>
      </c>
      <c r="O97">
        <f t="shared" si="1"/>
        <v>4085</v>
      </c>
      <c r="P97">
        <f t="shared" si="2"/>
        <v>4515</v>
      </c>
      <c r="Q97">
        <f t="shared" si="8"/>
        <v>0</v>
      </c>
      <c r="R97" s="126">
        <f t="shared" si="9"/>
        <v>4.5910821194261226E-7</v>
      </c>
      <c r="S97" s="126">
        <f t="shared" si="10"/>
        <v>6.6629528078522168E-7</v>
      </c>
      <c r="AA97" s="126">
        <f t="shared" si="14"/>
        <v>4.5910821194261226E-7</v>
      </c>
      <c r="AB97" s="126">
        <f t="shared" si="15"/>
        <v>6.6629528078522168E-7</v>
      </c>
      <c r="AC97" s="126">
        <f t="shared" si="5"/>
        <v>3.1472917983221058E-8</v>
      </c>
      <c r="AD97" s="126">
        <f t="shared" si="6"/>
        <v>3.3275714150925291E-8</v>
      </c>
      <c r="AE97" s="128"/>
    </row>
    <row r="98" spans="1:31" x14ac:dyDescent="0.35">
      <c r="A98" t="s">
        <v>344</v>
      </c>
      <c r="B98">
        <v>1</v>
      </c>
      <c r="C98">
        <v>1</v>
      </c>
      <c r="D98">
        <v>1</v>
      </c>
      <c r="E98">
        <v>1</v>
      </c>
      <c r="F98">
        <v>1</v>
      </c>
      <c r="G98">
        <v>1</v>
      </c>
      <c r="H98">
        <v>1</v>
      </c>
      <c r="K98">
        <v>100</v>
      </c>
      <c r="L98">
        <v>47</v>
      </c>
      <c r="M98">
        <f t="shared" si="17"/>
        <v>17</v>
      </c>
      <c r="N98">
        <f t="shared" ref="N98:N129" si="19">L98*K98</f>
        <v>4700</v>
      </c>
      <c r="O98">
        <f t="shared" ref="O98:O129" si="20">N98*(1-$M$32)</f>
        <v>4465</v>
      </c>
      <c r="P98">
        <f t="shared" ref="P98:P129" si="21">N98*(1+$M$32)</f>
        <v>4935</v>
      </c>
      <c r="Q98">
        <f t="shared" si="8"/>
        <v>0</v>
      </c>
      <c r="R98" s="126">
        <f t="shared" si="9"/>
        <v>5.0181595195280307E-7</v>
      </c>
      <c r="S98" s="126">
        <f t="shared" si="10"/>
        <v>7.2797402540414363E-7</v>
      </c>
      <c r="AA98" s="126">
        <f t="shared" si="14"/>
        <v>5.0181595195280307E-7</v>
      </c>
      <c r="AB98" s="126">
        <f t="shared" si="15"/>
        <v>7.2797402540414363E-7</v>
      </c>
      <c r="AC98" s="126">
        <f t="shared" ref="AC98:AC129" si="22">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3.1338852328995319E-8</v>
      </c>
      <c r="AD98" s="126">
        <f t="shared" ref="AD98:AD129" si="23">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3.312532552356137E-8</v>
      </c>
      <c r="AE98" s="128"/>
    </row>
    <row r="99" spans="1:31" x14ac:dyDescent="0.35">
      <c r="A99" t="s">
        <v>345</v>
      </c>
      <c r="B99">
        <v>1</v>
      </c>
      <c r="C99">
        <v>1</v>
      </c>
      <c r="D99">
        <v>1</v>
      </c>
      <c r="E99">
        <v>1</v>
      </c>
      <c r="F99">
        <v>1</v>
      </c>
      <c r="G99">
        <v>1</v>
      </c>
      <c r="H99">
        <v>1</v>
      </c>
      <c r="K99">
        <v>100</v>
      </c>
      <c r="L99">
        <v>51</v>
      </c>
      <c r="M99">
        <f t="shared" si="17"/>
        <v>17</v>
      </c>
      <c r="N99">
        <f t="shared" si="19"/>
        <v>5100</v>
      </c>
      <c r="O99">
        <f t="shared" si="20"/>
        <v>4845</v>
      </c>
      <c r="P99">
        <f t="shared" si="21"/>
        <v>5355</v>
      </c>
      <c r="Q99">
        <f t="shared" ref="Q99:Q129" si="24">IF($Q$2="N/A",IF(AND((O99&gt;=MAX($H$7:$I$7)),(P99&lt;=MIN($F$7:$G$7)),(P99&lt;=MIN($B$7:$C$7)),(O99&gt;=MAX($D$7:$E$7))),1,0),IF(AND((O99&gt;=MAX($I$7)),(P99&lt;=MIN($G$7)),(P99&lt;=MIN($C$7)),(O99&gt;=MAX($E$7))),1,0))</f>
        <v>0</v>
      </c>
      <c r="R99" s="126">
        <f t="shared" ref="R99:R129" si="25">_xlfn.LET(
_xlpm.PU, O99,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5.445236918548012E-7</v>
      </c>
      <c r="S99" s="126">
        <f t="shared" ref="S99:S129" si="26">_xlfn.LET(
_xlpm.PU,P99,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7.8965276988176502E-7</v>
      </c>
      <c r="AA99" s="126">
        <f t="shared" ref="AA99:AA129" si="27">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28">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7.8965276988176502E-7</v>
      </c>
      <c r="AC99" s="126">
        <f t="shared" si="22"/>
        <v>3.122733776357815E-8</v>
      </c>
      <c r="AD99" s="126">
        <f t="shared" si="23"/>
        <v>3.3000325944838067E-8</v>
      </c>
      <c r="AE99" s="128"/>
    </row>
    <row r="100" spans="1:31" x14ac:dyDescent="0.35">
      <c r="A100" t="s">
        <v>346</v>
      </c>
      <c r="B100">
        <v>1</v>
      </c>
      <c r="C100">
        <v>1</v>
      </c>
      <c r="D100">
        <v>1</v>
      </c>
      <c r="E100">
        <v>1</v>
      </c>
      <c r="F100">
        <v>1</v>
      </c>
      <c r="G100">
        <v>1</v>
      </c>
      <c r="H100">
        <v>1</v>
      </c>
      <c r="K100">
        <v>100</v>
      </c>
      <c r="L100">
        <v>56</v>
      </c>
      <c r="M100">
        <f t="shared" si="17"/>
        <v>17</v>
      </c>
      <c r="N100">
        <f t="shared" si="19"/>
        <v>5600</v>
      </c>
      <c r="O100">
        <f t="shared" si="20"/>
        <v>5320</v>
      </c>
      <c r="P100">
        <f t="shared" si="21"/>
        <v>5880</v>
      </c>
      <c r="Q100">
        <f t="shared" si="24"/>
        <v>0</v>
      </c>
      <c r="R100" s="126">
        <f t="shared" si="25"/>
        <v>5.9790836658015212E-7</v>
      </c>
      <c r="S100" s="126">
        <f t="shared" si="26"/>
        <v>8.6675120028008819E-7</v>
      </c>
      <c r="AA100" s="126">
        <f t="shared" si="27"/>
        <v>5.9790836658015212E-7</v>
      </c>
      <c r="AB100" s="126">
        <f t="shared" si="28"/>
        <v>8.6675120028008819E-7</v>
      </c>
      <c r="AC100" s="126">
        <f t="shared" si="22"/>
        <v>3.1111823095472737E-8</v>
      </c>
      <c r="AD100" s="126">
        <f t="shared" si="23"/>
        <v>3.287093187284462E-8</v>
      </c>
      <c r="AE100" s="128"/>
    </row>
    <row r="101" spans="1:31" x14ac:dyDescent="0.35">
      <c r="K101">
        <v>100</v>
      </c>
      <c r="L101">
        <v>62</v>
      </c>
      <c r="M101">
        <f t="shared" si="17"/>
        <v>17</v>
      </c>
      <c r="N101">
        <f t="shared" si="19"/>
        <v>6200</v>
      </c>
      <c r="O101">
        <f t="shared" si="20"/>
        <v>5890</v>
      </c>
      <c r="P101">
        <f t="shared" si="21"/>
        <v>6510</v>
      </c>
      <c r="Q101">
        <f t="shared" si="24"/>
        <v>0</v>
      </c>
      <c r="R101" s="126">
        <f t="shared" si="25"/>
        <v>6.6196997602742545E-7</v>
      </c>
      <c r="S101" s="126">
        <f t="shared" si="26"/>
        <v>9.5926931646664373E-7</v>
      </c>
      <c r="AA101" s="126">
        <f t="shared" si="27"/>
        <v>6.6196997602742545E-7</v>
      </c>
      <c r="AB101" s="126">
        <f t="shared" si="28"/>
        <v>9.5926931646664373E-7</v>
      </c>
      <c r="AC101" s="126">
        <f t="shared" si="22"/>
        <v>3.0999262693195329E-8</v>
      </c>
      <c r="AD101" s="126">
        <f t="shared" si="23"/>
        <v>3.2744935410353868E-8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0.99999904139634066</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0.166062163188578</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7.1698108453048595E-2</v>
      </c>
      <c r="E102" s="12">
        <f>IF(Summary!D50="absolute",(R2-N7)/(J3+J3*Summary!D18),R2-N7)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0.16606216329426896</v>
      </c>
      <c r="G102" s="12">
        <f t="shared" ref="G102:H102" si="29"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0.16084282380191181</v>
      </c>
      <c r="H102" s="12">
        <f t="shared" si="29"/>
        <v>7.1698108448608328E-2</v>
      </c>
      <c r="K102">
        <v>100</v>
      </c>
      <c r="L102">
        <v>68</v>
      </c>
      <c r="M102">
        <f t="shared" si="17"/>
        <v>17</v>
      </c>
      <c r="N102">
        <f t="shared" si="19"/>
        <v>6800</v>
      </c>
      <c r="O102">
        <f t="shared" si="20"/>
        <v>6460</v>
      </c>
      <c r="P102">
        <f t="shared" si="21"/>
        <v>7140</v>
      </c>
      <c r="Q102">
        <f t="shared" si="24"/>
        <v>0</v>
      </c>
      <c r="R102" s="126">
        <f t="shared" si="25"/>
        <v>7.2603158523126469E-7</v>
      </c>
      <c r="S102" s="126">
        <f t="shared" si="26"/>
        <v>1.0517874323352736E-6</v>
      </c>
      <c r="AA102" s="126">
        <f t="shared" si="27"/>
        <v>7.2603158523126469E-7</v>
      </c>
      <c r="AB102" s="126">
        <f t="shared" si="28"/>
        <v>1.0517874323352736E-6</v>
      </c>
      <c r="AC102" s="126">
        <f t="shared" si="22"/>
        <v>3.0907644949750482E-8</v>
      </c>
      <c r="AD102" s="126">
        <f t="shared" si="23"/>
        <v>3.2642446564280325E-8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0.99999904142092111</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0.166062163188578</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7.1698108436141619E-2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0.16606216329426896</v>
      </c>
      <c r="K103">
        <v>100</v>
      </c>
      <c r="L103">
        <v>75</v>
      </c>
      <c r="M103">
        <f t="shared" si="17"/>
        <v>17</v>
      </c>
      <c r="N103">
        <f t="shared" si="19"/>
        <v>7500</v>
      </c>
      <c r="O103">
        <f t="shared" si="20"/>
        <v>7125</v>
      </c>
      <c r="P103">
        <f t="shared" si="21"/>
        <v>7875</v>
      </c>
      <c r="Q103">
        <f t="shared" si="24"/>
        <v>0</v>
      </c>
      <c r="R103" s="126">
        <f t="shared" si="25"/>
        <v>8.0077012899473694E-7</v>
      </c>
      <c r="S103" s="126">
        <f t="shared" si="26"/>
        <v>1.1597252337801854E-6</v>
      </c>
      <c r="AA103" s="126">
        <f t="shared" si="27"/>
        <v>8.0077012899473694E-7</v>
      </c>
      <c r="AB103" s="126">
        <f t="shared" si="28"/>
        <v>1.1597252337801854E-6</v>
      </c>
      <c r="AC103" s="126">
        <f t="shared" si="22"/>
        <v>3.0820198034433846E-8</v>
      </c>
      <c r="AD103" s="126">
        <f t="shared" si="23"/>
        <v>3.2544678478448183E-8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0.99999904142092111</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0.14237961080937703</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7.1698108436141619E-2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0.85738742684037794</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0.14237961091806944</v>
      </c>
      <c r="K104">
        <v>100</v>
      </c>
      <c r="L104">
        <v>82</v>
      </c>
      <c r="M104">
        <f t="shared" si="17"/>
        <v>17</v>
      </c>
      <c r="N104">
        <f t="shared" si="19"/>
        <v>8200</v>
      </c>
      <c r="O104">
        <f t="shared" si="20"/>
        <v>7790</v>
      </c>
      <c r="P104">
        <f t="shared" si="21"/>
        <v>8610</v>
      </c>
      <c r="Q104">
        <f t="shared" si="24"/>
        <v>0</v>
      </c>
      <c r="R104" s="126">
        <f t="shared" si="25"/>
        <v>8.7550867242686811E-7</v>
      </c>
      <c r="S104" s="126">
        <f t="shared" si="26"/>
        <v>1.2676630347923645E-6</v>
      </c>
      <c r="AA104" s="126">
        <f t="shared" si="27"/>
        <v>8.7550867242686811E-7</v>
      </c>
      <c r="AB104" s="126">
        <f t="shared" si="28"/>
        <v>1.2676630347923645E-6</v>
      </c>
      <c r="AC104" s="126">
        <f t="shared" si="22"/>
        <v>3.0748354937279145E-8</v>
      </c>
      <c r="AD104" s="126">
        <f t="shared" si="23"/>
        <v>3.2464396482520497E-8</v>
      </c>
      <c r="AE104" s="128"/>
    </row>
    <row r="105" spans="1:31" x14ac:dyDescent="0.35">
      <c r="K105">
        <v>100</v>
      </c>
      <c r="L105">
        <v>91</v>
      </c>
      <c r="M105">
        <f t="shared" si="17"/>
        <v>17</v>
      </c>
      <c r="N105">
        <f t="shared" si="19"/>
        <v>9100</v>
      </c>
      <c r="O105">
        <f t="shared" si="20"/>
        <v>8645</v>
      </c>
      <c r="P105">
        <f t="shared" si="21"/>
        <v>9555</v>
      </c>
      <c r="Q105">
        <f t="shared" si="24"/>
        <v>0</v>
      </c>
      <c r="R105" s="126">
        <f t="shared" si="25"/>
        <v>9.7160108492416891E-7</v>
      </c>
      <c r="S105" s="126">
        <f t="shared" si="26"/>
        <v>1.4064402068864574E-6</v>
      </c>
      <c r="AA105" s="126">
        <f t="shared" si="27"/>
        <v>9.7160108492416891E-7</v>
      </c>
      <c r="AB105" s="126">
        <f t="shared" si="28"/>
        <v>1.4064402068864574E-6</v>
      </c>
      <c r="AC105" s="126">
        <f t="shared" si="22"/>
        <v>3.0672886973214661E-8</v>
      </c>
      <c r="AD105" s="126">
        <f t="shared" si="23"/>
        <v>3.2380103609609572E-8</v>
      </c>
      <c r="AE105" s="128"/>
    </row>
    <row r="106" spans="1:31" x14ac:dyDescent="0.35">
      <c r="K106">
        <v>1000</v>
      </c>
      <c r="L106">
        <v>10</v>
      </c>
      <c r="M106">
        <f t="shared" si="17"/>
        <v>17</v>
      </c>
      <c r="N106">
        <f t="shared" si="19"/>
        <v>10000</v>
      </c>
      <c r="O106">
        <f t="shared" si="20"/>
        <v>9500</v>
      </c>
      <c r="P106">
        <f t="shared" si="21"/>
        <v>10500</v>
      </c>
      <c r="Q106">
        <f t="shared" si="24"/>
        <v>0</v>
      </c>
      <c r="R106" s="126">
        <f t="shared" si="25"/>
        <v>1.0676934968737427E-6</v>
      </c>
      <c r="S106" s="126">
        <f t="shared" si="26"/>
        <v>1.5452173782652172E-6</v>
      </c>
      <c r="AA106" s="126">
        <f t="shared" si="27"/>
        <v>1.0676934968737427E-6</v>
      </c>
      <c r="AB106" s="126">
        <f t="shared" si="28"/>
        <v>1.5452173782652172E-6</v>
      </c>
      <c r="AC106" s="126">
        <f t="shared" si="22"/>
        <v>3.0611506753978726E-8</v>
      </c>
      <c r="AD106" s="126">
        <f t="shared" si="23"/>
        <v>3.2311576142292028E-8</v>
      </c>
      <c r="AE106" s="128"/>
    </row>
    <row r="107" spans="1:31" x14ac:dyDescent="0.35">
      <c r="K107">
        <v>1000</v>
      </c>
      <c r="L107">
        <v>11</v>
      </c>
      <c r="M107">
        <f t="shared" si="17"/>
        <v>17</v>
      </c>
      <c r="N107">
        <f t="shared" si="19"/>
        <v>11000</v>
      </c>
      <c r="O107">
        <f t="shared" si="20"/>
        <v>10450</v>
      </c>
      <c r="P107">
        <f t="shared" si="21"/>
        <v>11550</v>
      </c>
      <c r="Q107">
        <f t="shared" si="24"/>
        <v>0</v>
      </c>
      <c r="R107" s="126">
        <f t="shared" si="25"/>
        <v>1.1744628428419847E-6</v>
      </c>
      <c r="S107" s="126">
        <f t="shared" si="26"/>
        <v>1.6994142345137572E-6</v>
      </c>
      <c r="AA107" s="126">
        <f t="shared" si="27"/>
        <v>1.1744628428419847E-6</v>
      </c>
      <c r="AB107" s="126">
        <f t="shared" si="28"/>
        <v>1.6994142345137572E-6</v>
      </c>
      <c r="AC107" s="126">
        <f t="shared" si="22"/>
        <v>3.0555483875753694E-8</v>
      </c>
      <c r="AD107" s="126">
        <f t="shared" si="23"/>
        <v>3.224905374504979E-8</v>
      </c>
      <c r="AE107" s="128"/>
    </row>
    <row r="108" spans="1:31" x14ac:dyDescent="0.35">
      <c r="K108">
        <v>1000</v>
      </c>
      <c r="L108">
        <v>12</v>
      </c>
      <c r="M108">
        <f t="shared" si="17"/>
        <v>17</v>
      </c>
      <c r="N108">
        <f t="shared" si="19"/>
        <v>12000</v>
      </c>
      <c r="O108">
        <f t="shared" si="20"/>
        <v>11400</v>
      </c>
      <c r="P108">
        <f t="shared" si="21"/>
        <v>12600</v>
      </c>
      <c r="Q108">
        <f t="shared" si="24"/>
        <v>0</v>
      </c>
      <c r="R108" s="126">
        <f t="shared" si="25"/>
        <v>1.2812321881340211E-6</v>
      </c>
      <c r="S108" s="126">
        <f t="shared" si="26"/>
        <v>1.8536110898791696E-6</v>
      </c>
      <c r="AA108" s="126">
        <f t="shared" si="27"/>
        <v>1.2812321881340211E-6</v>
      </c>
      <c r="AB108" s="126">
        <f t="shared" si="28"/>
        <v>1.8536110898791696E-6</v>
      </c>
      <c r="AC108" s="126">
        <f t="shared" si="22"/>
        <v>3.050908709804271E-8</v>
      </c>
      <c r="AD108" s="126">
        <f t="shared" si="23"/>
        <v>3.219729161471645E-8</v>
      </c>
      <c r="AE108" s="128"/>
    </row>
    <row r="109" spans="1:31" x14ac:dyDescent="0.35">
      <c r="K109">
        <v>1000</v>
      </c>
      <c r="L109">
        <v>13</v>
      </c>
      <c r="M109">
        <f t="shared" si="17"/>
        <v>17</v>
      </c>
      <c r="N109">
        <f t="shared" si="19"/>
        <v>13000</v>
      </c>
      <c r="O109">
        <f t="shared" si="20"/>
        <v>12350</v>
      </c>
      <c r="P109">
        <f t="shared" si="21"/>
        <v>13650</v>
      </c>
      <c r="Q109">
        <f t="shared" si="24"/>
        <v>0</v>
      </c>
      <c r="R109" s="126">
        <f t="shared" si="25"/>
        <v>1.3880015327498513E-6</v>
      </c>
      <c r="S109" s="126">
        <f t="shared" si="26"/>
        <v>2.0078079443614545E-6</v>
      </c>
      <c r="AA109" s="126">
        <f t="shared" si="27"/>
        <v>1.3880015327498513E-6</v>
      </c>
      <c r="AB109" s="126">
        <f t="shared" si="28"/>
        <v>2.0078079443614545E-6</v>
      </c>
      <c r="AC109" s="126">
        <f t="shared" si="22"/>
        <v>3.0470032376009782E-8</v>
      </c>
      <c r="AD109" s="126">
        <f t="shared" si="23"/>
        <v>3.2153732865920305E-8</v>
      </c>
      <c r="AE109" s="128"/>
    </row>
    <row r="110" spans="1:31" x14ac:dyDescent="0.35">
      <c r="K110">
        <v>1000</v>
      </c>
      <c r="L110">
        <v>15</v>
      </c>
      <c r="M110">
        <f t="shared" si="17"/>
        <v>17</v>
      </c>
      <c r="N110">
        <f t="shared" si="19"/>
        <v>15000</v>
      </c>
      <c r="O110">
        <f t="shared" si="20"/>
        <v>14250</v>
      </c>
      <c r="P110">
        <f t="shared" si="21"/>
        <v>15750</v>
      </c>
      <c r="Q110">
        <f t="shared" si="24"/>
        <v>0</v>
      </c>
      <c r="R110" s="126">
        <f t="shared" si="25"/>
        <v>1.6015402199528948E-6</v>
      </c>
      <c r="S110" s="126">
        <f t="shared" si="26"/>
        <v>2.3162016506766423E-6</v>
      </c>
      <c r="AA110" s="126">
        <f t="shared" si="27"/>
        <v>1.6015402199528948E-6</v>
      </c>
      <c r="AB110" s="126">
        <f t="shared" si="28"/>
        <v>2.3162016506766423E-6</v>
      </c>
      <c r="AC110" s="126">
        <f t="shared" si="22"/>
        <v>3.0407931803473786E-8</v>
      </c>
      <c r="AD110" s="126">
        <f t="shared" si="23"/>
        <v>3.2084493752968562E-8</v>
      </c>
      <c r="AE110" s="128"/>
    </row>
    <row r="111" spans="1:31" x14ac:dyDescent="0.35">
      <c r="K111">
        <v>1000</v>
      </c>
      <c r="L111">
        <v>16</v>
      </c>
      <c r="M111">
        <f t="shared" si="17"/>
        <v>17</v>
      </c>
      <c r="N111">
        <f t="shared" si="19"/>
        <v>16000</v>
      </c>
      <c r="O111">
        <f t="shared" si="20"/>
        <v>15200</v>
      </c>
      <c r="P111">
        <f t="shared" si="21"/>
        <v>16800</v>
      </c>
      <c r="Q111">
        <f t="shared" si="24"/>
        <v>0</v>
      </c>
      <c r="R111" s="126">
        <f t="shared" si="25"/>
        <v>1.7083095625401078E-6</v>
      </c>
      <c r="S111" s="126">
        <f t="shared" si="26"/>
        <v>2.4703985025095445E-6</v>
      </c>
      <c r="AA111" s="126">
        <f t="shared" si="27"/>
        <v>1.7083095625401078E-6</v>
      </c>
      <c r="AB111" s="126">
        <f t="shared" si="28"/>
        <v>2.4703985025095445E-6</v>
      </c>
      <c r="AC111" s="126">
        <f t="shared" si="22"/>
        <v>3.0382838851412898E-8</v>
      </c>
      <c r="AD111" s="126">
        <f t="shared" si="23"/>
        <v>3.2056524484950246E-8</v>
      </c>
      <c r="AE111" s="128"/>
    </row>
    <row r="112" spans="1:31" x14ac:dyDescent="0.35">
      <c r="K112">
        <v>1000</v>
      </c>
      <c r="L112">
        <v>18</v>
      </c>
      <c r="M112">
        <f t="shared" si="17"/>
        <v>17</v>
      </c>
      <c r="N112">
        <f t="shared" si="19"/>
        <v>18000</v>
      </c>
      <c r="O112">
        <f t="shared" si="20"/>
        <v>17100</v>
      </c>
      <c r="P112">
        <f t="shared" si="21"/>
        <v>18900</v>
      </c>
      <c r="Q112">
        <f t="shared" si="24"/>
        <v>0</v>
      </c>
      <c r="R112" s="126">
        <f t="shared" si="25"/>
        <v>1.9218482456859162E-6</v>
      </c>
      <c r="S112" s="126">
        <f t="shared" si="26"/>
        <v>2.7787922035259678E-6</v>
      </c>
      <c r="AA112" s="126">
        <f t="shared" si="27"/>
        <v>1.9218482456859162E-6</v>
      </c>
      <c r="AB112" s="126">
        <f t="shared" si="28"/>
        <v>2.7787922035259678E-6</v>
      </c>
      <c r="AC112" s="126">
        <f t="shared" si="22"/>
        <v>3.0341190279546278E-8</v>
      </c>
      <c r="AD112" s="126">
        <f t="shared" si="23"/>
        <v>3.2010112300606285E-8</v>
      </c>
      <c r="AE112" s="128"/>
    </row>
    <row r="113" spans="11:31" x14ac:dyDescent="0.35">
      <c r="K113">
        <v>1000</v>
      </c>
      <c r="L113">
        <v>20</v>
      </c>
      <c r="M113">
        <f t="shared" si="17"/>
        <v>17</v>
      </c>
      <c r="N113">
        <f t="shared" si="19"/>
        <v>20000</v>
      </c>
      <c r="O113">
        <f t="shared" si="20"/>
        <v>19000</v>
      </c>
      <c r="P113">
        <f t="shared" si="21"/>
        <v>21000</v>
      </c>
      <c r="Q113">
        <f t="shared" si="24"/>
        <v>0</v>
      </c>
      <c r="R113" s="126">
        <f t="shared" si="25"/>
        <v>2.1353869261269018E-6</v>
      </c>
      <c r="S113" s="126">
        <f t="shared" si="26"/>
        <v>3.0871859010098822E-6</v>
      </c>
      <c r="AA113" s="126">
        <f t="shared" si="27"/>
        <v>2.1353869261269018E-6</v>
      </c>
      <c r="AB113" s="126">
        <f t="shared" si="28"/>
        <v>3.0871859010098822E-6</v>
      </c>
      <c r="AC113" s="126">
        <f t="shared" si="22"/>
        <v>3.0308026551615785E-8</v>
      </c>
      <c r="AD113" s="126">
        <f t="shared" si="23"/>
        <v>3.1973164764628133E-8</v>
      </c>
      <c r="AE113" s="128"/>
    </row>
    <row r="114" spans="11:31" x14ac:dyDescent="0.35">
      <c r="K114">
        <v>1000</v>
      </c>
      <c r="L114">
        <v>22</v>
      </c>
      <c r="M114">
        <f t="shared" si="17"/>
        <v>17</v>
      </c>
      <c r="N114">
        <f t="shared" si="19"/>
        <v>22000</v>
      </c>
      <c r="O114">
        <f t="shared" si="20"/>
        <v>20900</v>
      </c>
      <c r="P114">
        <f t="shared" si="21"/>
        <v>23100</v>
      </c>
      <c r="Q114">
        <f t="shared" si="24"/>
        <v>0</v>
      </c>
      <c r="R114" s="126">
        <f t="shared" si="25"/>
        <v>2.3489256038630638E-6</v>
      </c>
      <c r="S114" s="126">
        <f t="shared" si="26"/>
        <v>3.3955795949612871E-6</v>
      </c>
      <c r="AA114" s="126">
        <f t="shared" si="27"/>
        <v>2.3489256038630638E-6</v>
      </c>
      <c r="AB114" s="126">
        <f t="shared" si="28"/>
        <v>3.3955795949612871E-6</v>
      </c>
      <c r="AC114" s="126">
        <f t="shared" si="22"/>
        <v>3.0280994765359466E-8</v>
      </c>
      <c r="AD114" s="126">
        <f t="shared" si="23"/>
        <v>3.1943054946497195E-8</v>
      </c>
      <c r="AE114" s="128"/>
    </row>
    <row r="115" spans="11:31" x14ac:dyDescent="0.35">
      <c r="K115">
        <v>1000</v>
      </c>
      <c r="L115">
        <v>24</v>
      </c>
      <c r="M115">
        <f t="shared" si="17"/>
        <v>17</v>
      </c>
      <c r="N115">
        <f t="shared" si="19"/>
        <v>24000</v>
      </c>
      <c r="O115">
        <f t="shared" si="20"/>
        <v>22800</v>
      </c>
      <c r="P115">
        <f t="shared" si="21"/>
        <v>25200</v>
      </c>
      <c r="Q115">
        <f t="shared" si="24"/>
        <v>0</v>
      </c>
      <c r="R115" s="126">
        <f t="shared" si="25"/>
        <v>2.5624642788944031E-6</v>
      </c>
      <c r="S115" s="126">
        <f t="shared" si="26"/>
        <v>3.7039732853801823E-6</v>
      </c>
      <c r="AA115" s="126">
        <f t="shared" si="27"/>
        <v>2.5624642788944031E-6</v>
      </c>
      <c r="AB115" s="126">
        <f t="shared" si="28"/>
        <v>3.7039732853801823E-6</v>
      </c>
      <c r="AC115" s="126">
        <f t="shared" si="22"/>
        <v>3.0258538302606807E-8</v>
      </c>
      <c r="AD115" s="126">
        <f t="shared" si="23"/>
        <v>3.1918045649912081E-8</v>
      </c>
      <c r="AE115" s="128"/>
    </row>
    <row r="116" spans="11:31" x14ac:dyDescent="0.35">
      <c r="K116">
        <v>1000</v>
      </c>
      <c r="L116">
        <v>27</v>
      </c>
      <c r="M116">
        <f t="shared" si="17"/>
        <v>17</v>
      </c>
      <c r="N116">
        <f t="shared" si="19"/>
        <v>27000</v>
      </c>
      <c r="O116">
        <f t="shared" si="20"/>
        <v>25650</v>
      </c>
      <c r="P116">
        <f t="shared" si="21"/>
        <v>28350</v>
      </c>
      <c r="Q116">
        <f t="shared" si="24"/>
        <v>0</v>
      </c>
      <c r="R116" s="126">
        <f t="shared" si="25"/>
        <v>2.8827722863698686E-6</v>
      </c>
      <c r="S116" s="126">
        <f t="shared" si="26"/>
        <v>4.1665638143850708E-6</v>
      </c>
      <c r="AA116" s="126">
        <f t="shared" si="27"/>
        <v>2.8827722863698686E-6</v>
      </c>
      <c r="AB116" s="126">
        <f t="shared" si="28"/>
        <v>4.1665638143850708E-6</v>
      </c>
      <c r="AC116" s="126">
        <f t="shared" si="22"/>
        <v>3.0231177716593494E-8</v>
      </c>
      <c r="AD116" s="126">
        <f t="shared" si="23"/>
        <v>3.1887579926522313E-8</v>
      </c>
      <c r="AE116" s="128"/>
    </row>
    <row r="117" spans="11:31" x14ac:dyDescent="0.35">
      <c r="K117">
        <v>1000</v>
      </c>
      <c r="L117">
        <v>30</v>
      </c>
      <c r="M117">
        <f t="shared" si="17"/>
        <v>17</v>
      </c>
      <c r="N117">
        <f t="shared" si="19"/>
        <v>30000</v>
      </c>
      <c r="O117">
        <f t="shared" si="20"/>
        <v>28500</v>
      </c>
      <c r="P117">
        <f t="shared" si="21"/>
        <v>31500</v>
      </c>
      <c r="Q117">
        <f t="shared" si="24"/>
        <v>0</v>
      </c>
      <c r="R117" s="126">
        <f t="shared" si="25"/>
        <v>3.2030802877594832E-6</v>
      </c>
      <c r="S117" s="126">
        <f t="shared" si="26"/>
        <v>4.6291543354418129E-6</v>
      </c>
      <c r="AA117" s="126">
        <f t="shared" si="27"/>
        <v>3.2030802877594832E-6</v>
      </c>
      <c r="AB117" s="126">
        <f t="shared" si="28"/>
        <v>4.6291543354418129E-6</v>
      </c>
      <c r="AC117" s="126">
        <f t="shared" si="22"/>
        <v>3.0209357335617079E-8</v>
      </c>
      <c r="AD117" s="126">
        <f t="shared" si="23"/>
        <v>3.1863287265950307E-8</v>
      </c>
      <c r="AE117" s="128"/>
    </row>
    <row r="118" spans="11:31" x14ac:dyDescent="0.35">
      <c r="K118">
        <v>1000</v>
      </c>
      <c r="L118">
        <v>33</v>
      </c>
      <c r="M118">
        <f t="shared" si="17"/>
        <v>17</v>
      </c>
      <c r="N118">
        <f t="shared" si="19"/>
        <v>33000</v>
      </c>
      <c r="O118">
        <f t="shared" si="20"/>
        <v>31350</v>
      </c>
      <c r="P118">
        <f t="shared" si="21"/>
        <v>34650</v>
      </c>
      <c r="Q118">
        <f t="shared" si="24"/>
        <v>0</v>
      </c>
      <c r="R118" s="126">
        <f t="shared" si="25"/>
        <v>3.5233882830632454E-6</v>
      </c>
      <c r="S118" s="126">
        <f t="shared" si="26"/>
        <v>5.0917448485504104E-6</v>
      </c>
      <c r="AA118" s="126">
        <f t="shared" si="27"/>
        <v>3.5233882830632454E-6</v>
      </c>
      <c r="AB118" s="126">
        <f t="shared" si="28"/>
        <v>5.0917448485504104E-6</v>
      </c>
      <c r="AC118" s="126">
        <f t="shared" si="22"/>
        <v>3.0191549199909108E-8</v>
      </c>
      <c r="AD118" s="126">
        <f t="shared" si="23"/>
        <v>3.1843464150592179E-8</v>
      </c>
      <c r="AE118" s="128"/>
    </row>
    <row r="119" spans="11:31" x14ac:dyDescent="0.35">
      <c r="K119">
        <v>1000</v>
      </c>
      <c r="L119">
        <v>36</v>
      </c>
      <c r="M119">
        <f t="shared" si="17"/>
        <v>17</v>
      </c>
      <c r="N119">
        <f t="shared" si="19"/>
        <v>36000</v>
      </c>
      <c r="O119">
        <f t="shared" si="20"/>
        <v>34200</v>
      </c>
      <c r="P119">
        <f t="shared" si="21"/>
        <v>37800</v>
      </c>
      <c r="Q119">
        <f t="shared" si="24"/>
        <v>0</v>
      </c>
      <c r="R119" s="126">
        <f t="shared" si="25"/>
        <v>3.8436962722811567E-6</v>
      </c>
      <c r="S119" s="126">
        <f t="shared" si="26"/>
        <v>5.5543353537108607E-6</v>
      </c>
      <c r="AA119" s="126">
        <f t="shared" si="27"/>
        <v>3.8436962722811567E-6</v>
      </c>
      <c r="AB119" s="126">
        <f t="shared" si="28"/>
        <v>5.5543353537108607E-6</v>
      </c>
      <c r="AC119" s="126">
        <f t="shared" si="22"/>
        <v>3.0176739894539378E-8</v>
      </c>
      <c r="AD119" s="126">
        <f t="shared" si="23"/>
        <v>3.1826981039170392E-8</v>
      </c>
      <c r="AE119" s="128"/>
    </row>
    <row r="120" spans="11:31" x14ac:dyDescent="0.35">
      <c r="K120">
        <v>1000</v>
      </c>
      <c r="L120">
        <v>39</v>
      </c>
      <c r="M120">
        <f t="shared" si="17"/>
        <v>17</v>
      </c>
      <c r="N120">
        <f t="shared" si="19"/>
        <v>39000</v>
      </c>
      <c r="O120">
        <f t="shared" si="20"/>
        <v>37050</v>
      </c>
      <c r="P120">
        <f t="shared" si="21"/>
        <v>40950</v>
      </c>
      <c r="Q120">
        <f t="shared" si="24"/>
        <v>0</v>
      </c>
      <c r="R120" s="126">
        <f t="shared" si="25"/>
        <v>4.1640042554132176E-6</v>
      </c>
      <c r="S120" s="126">
        <f t="shared" si="26"/>
        <v>6.0169258509231688E-6</v>
      </c>
      <c r="AA120" s="126">
        <f t="shared" si="27"/>
        <v>4.1640042554132176E-6</v>
      </c>
      <c r="AB120" s="126">
        <f t="shared" si="28"/>
        <v>6.0169258509231688E-6</v>
      </c>
      <c r="AC120" s="126">
        <f t="shared" si="22"/>
        <v>3.0164230781956708E-8</v>
      </c>
      <c r="AD120" s="126">
        <f t="shared" si="23"/>
        <v>3.1813059414602548E-8</v>
      </c>
      <c r="AE120" s="128"/>
    </row>
    <row r="121" spans="11:31" x14ac:dyDescent="0.35">
      <c r="K121">
        <v>1000</v>
      </c>
      <c r="L121">
        <v>43</v>
      </c>
      <c r="M121">
        <f t="shared" si="17"/>
        <v>17</v>
      </c>
      <c r="N121">
        <f t="shared" si="19"/>
        <v>43000</v>
      </c>
      <c r="O121">
        <f t="shared" si="20"/>
        <v>40850</v>
      </c>
      <c r="P121">
        <f t="shared" si="21"/>
        <v>45150</v>
      </c>
      <c r="Q121">
        <f t="shared" si="24"/>
        <v>0</v>
      </c>
      <c r="R121" s="126">
        <f t="shared" si="25"/>
        <v>4.5910815567890853E-6</v>
      </c>
      <c r="S121" s="126">
        <f t="shared" si="26"/>
        <v>6.6337131681757958E-6</v>
      </c>
      <c r="AA121" s="126">
        <f t="shared" si="27"/>
        <v>4.5910815567890853E-6</v>
      </c>
      <c r="AB121" s="126">
        <f t="shared" si="28"/>
        <v>6.6337131681757958E-6</v>
      </c>
      <c r="AC121" s="126">
        <f t="shared" si="22"/>
        <v>3.0150290729793312E-8</v>
      </c>
      <c r="AD121" s="126">
        <f t="shared" si="23"/>
        <v>3.1797546694793398E-8</v>
      </c>
      <c r="AE121" s="128"/>
    </row>
    <row r="122" spans="11:31" x14ac:dyDescent="0.35">
      <c r="K122">
        <v>1000</v>
      </c>
      <c r="L122">
        <v>47</v>
      </c>
      <c r="M122">
        <f t="shared" si="17"/>
        <v>17</v>
      </c>
      <c r="N122">
        <f t="shared" si="19"/>
        <v>47000</v>
      </c>
      <c r="O122">
        <f t="shared" si="20"/>
        <v>44650</v>
      </c>
      <c r="P122">
        <f t="shared" si="21"/>
        <v>49350</v>
      </c>
      <c r="Q122">
        <f t="shared" si="24"/>
        <v>0</v>
      </c>
      <c r="R122" s="126">
        <f t="shared" si="25"/>
        <v>5.0181588473456631E-6</v>
      </c>
      <c r="S122" s="126">
        <f t="shared" si="26"/>
        <v>7.2505004712983902E-6</v>
      </c>
      <c r="AA122" s="126">
        <f t="shared" si="27"/>
        <v>5.0181588473456631E-6</v>
      </c>
      <c r="AB122" s="126">
        <f t="shared" si="28"/>
        <v>7.2505004712983902E-6</v>
      </c>
      <c r="AC122" s="126">
        <f t="shared" si="22"/>
        <v>3.0138742332859847E-8</v>
      </c>
      <c r="AD122" s="126">
        <f t="shared" si="23"/>
        <v>3.1784696587408725E-8</v>
      </c>
      <c r="AE122" s="128"/>
    </row>
    <row r="123" spans="11:31" x14ac:dyDescent="0.35">
      <c r="K123">
        <v>1000</v>
      </c>
      <c r="L123">
        <v>51</v>
      </c>
      <c r="M123">
        <f t="shared" si="17"/>
        <v>17</v>
      </c>
      <c r="N123">
        <f t="shared" si="19"/>
        <v>51000</v>
      </c>
      <c r="O123">
        <f t="shared" si="20"/>
        <v>48450</v>
      </c>
      <c r="P123">
        <f t="shared" si="21"/>
        <v>53550</v>
      </c>
      <c r="Q123">
        <f t="shared" si="24"/>
        <v>0</v>
      </c>
      <c r="R123" s="126">
        <f t="shared" si="25"/>
        <v>5.4452361270829519E-6</v>
      </c>
      <c r="S123" s="126">
        <f t="shared" si="26"/>
        <v>7.867287760290947E-6</v>
      </c>
      <c r="AA123" s="126">
        <f t="shared" si="27"/>
        <v>5.4452361270829519E-6</v>
      </c>
      <c r="AB123" s="126">
        <f t="shared" si="28"/>
        <v>7.867287760290947E-6</v>
      </c>
      <c r="AC123" s="126">
        <f t="shared" si="22"/>
        <v>3.0129018737064053E-8</v>
      </c>
      <c r="AD123" s="126">
        <f t="shared" si="23"/>
        <v>3.1773877770652632E-8</v>
      </c>
      <c r="AE123" s="128"/>
    </row>
    <row r="124" spans="11:31" x14ac:dyDescent="0.35">
      <c r="K124">
        <v>1000</v>
      </c>
      <c r="L124">
        <v>56</v>
      </c>
      <c r="M124">
        <f t="shared" si="17"/>
        <v>17</v>
      </c>
      <c r="N124">
        <f t="shared" si="19"/>
        <v>56000</v>
      </c>
      <c r="O124">
        <f t="shared" si="20"/>
        <v>53200</v>
      </c>
      <c r="P124">
        <f t="shared" si="21"/>
        <v>58800</v>
      </c>
      <c r="Q124">
        <f t="shared" si="24"/>
        <v>0</v>
      </c>
      <c r="R124" s="126">
        <f t="shared" si="25"/>
        <v>5.9790827115399383E-6</v>
      </c>
      <c r="S124" s="126">
        <f t="shared" si="26"/>
        <v>8.6382718516612867E-6</v>
      </c>
      <c r="AA124" s="126">
        <f t="shared" si="27"/>
        <v>5.9790827115399383E-6</v>
      </c>
      <c r="AB124" s="126">
        <f t="shared" si="28"/>
        <v>8.6382718516612867E-6</v>
      </c>
      <c r="AC124" s="126">
        <f t="shared" si="22"/>
        <v>3.0118830694914736E-8</v>
      </c>
      <c r="AD124" s="126">
        <f t="shared" si="23"/>
        <v>3.1762542982100997E-8</v>
      </c>
      <c r="AE124" s="128"/>
    </row>
    <row r="125" spans="11:31" x14ac:dyDescent="0.35">
      <c r="K125">
        <v>1000</v>
      </c>
      <c r="L125">
        <v>62</v>
      </c>
      <c r="M125">
        <f t="shared" si="17"/>
        <v>17</v>
      </c>
      <c r="N125">
        <f t="shared" si="19"/>
        <v>62000</v>
      </c>
      <c r="O125">
        <f t="shared" si="20"/>
        <v>58900</v>
      </c>
      <c r="P125">
        <f t="shared" si="21"/>
        <v>65100</v>
      </c>
      <c r="Q125">
        <f t="shared" si="24"/>
        <v>0</v>
      </c>
      <c r="R125" s="126">
        <f t="shared" si="25"/>
        <v>6.6196985905735367E-6</v>
      </c>
      <c r="S125" s="126">
        <f t="shared" si="26"/>
        <v>9.5634527321624991E-6</v>
      </c>
      <c r="AA125" s="126">
        <f t="shared" si="27"/>
        <v>6.6196985905735367E-6</v>
      </c>
      <c r="AB125" s="126">
        <f t="shared" si="28"/>
        <v>9.5634527321624991E-6</v>
      </c>
      <c r="AC125" s="126">
        <f t="shared" si="22"/>
        <v>3.010878720344532E-8</v>
      </c>
      <c r="AD125" s="126">
        <f t="shared" si="23"/>
        <v>3.1751369804722433E-8</v>
      </c>
      <c r="AE125" s="128"/>
    </row>
    <row r="126" spans="11:31" x14ac:dyDescent="0.35">
      <c r="K126">
        <v>1000</v>
      </c>
      <c r="L126">
        <v>68</v>
      </c>
      <c r="M126">
        <f t="shared" si="17"/>
        <v>17</v>
      </c>
      <c r="N126">
        <f t="shared" si="19"/>
        <v>68000</v>
      </c>
      <c r="O126">
        <f t="shared" si="20"/>
        <v>64600</v>
      </c>
      <c r="P126">
        <f t="shared" si="21"/>
        <v>71400</v>
      </c>
      <c r="Q126">
        <f t="shared" si="24"/>
        <v>0</v>
      </c>
      <c r="R126" s="126">
        <f t="shared" si="25"/>
        <v>7.2603144452637376E-6</v>
      </c>
      <c r="S126" s="126">
        <f t="shared" si="26"/>
        <v>1.0488633580871136E-5</v>
      </c>
      <c r="AA126" s="126">
        <f t="shared" si="27"/>
        <v>7.2603144452637376E-6</v>
      </c>
      <c r="AB126" s="126">
        <f t="shared" si="28"/>
        <v>1.0488633580871136E-5</v>
      </c>
      <c r="AC126" s="126">
        <f t="shared" si="22"/>
        <v>3.0100525848867829E-8</v>
      </c>
      <c r="AD126" s="126">
        <f t="shared" si="23"/>
        <v>3.1742179806824566E-8</v>
      </c>
      <c r="AE126" s="128"/>
    </row>
    <row r="127" spans="11:31" x14ac:dyDescent="0.35">
      <c r="K127">
        <v>1000</v>
      </c>
      <c r="L127">
        <v>75</v>
      </c>
      <c r="M127">
        <f t="shared" si="17"/>
        <v>17</v>
      </c>
      <c r="N127">
        <f t="shared" si="19"/>
        <v>75000</v>
      </c>
      <c r="O127">
        <f t="shared" si="20"/>
        <v>71250</v>
      </c>
      <c r="P127">
        <f t="shared" si="21"/>
        <v>78750</v>
      </c>
      <c r="Q127">
        <f t="shared" si="24"/>
        <v>0</v>
      </c>
      <c r="R127" s="126">
        <f t="shared" si="25"/>
        <v>8.0076995783016263E-6</v>
      </c>
      <c r="S127" s="126">
        <f t="shared" si="26"/>
        <v>1.1568011197515605E-5</v>
      </c>
      <c r="AA127" s="126">
        <f t="shared" si="27"/>
        <v>8.0076995783016263E-6</v>
      </c>
      <c r="AB127" s="126">
        <f t="shared" si="28"/>
        <v>1.1568011197515605E-5</v>
      </c>
      <c r="AC127" s="126">
        <f t="shared" si="22"/>
        <v>3.0092566570579622E-8</v>
      </c>
      <c r="AD127" s="126">
        <f t="shared" si="23"/>
        <v>3.1733326344480652E-8</v>
      </c>
      <c r="AE127" s="128"/>
    </row>
    <row r="128" spans="11:31" x14ac:dyDescent="0.35">
      <c r="K128">
        <v>1000</v>
      </c>
      <c r="L128">
        <v>82</v>
      </c>
      <c r="M128">
        <f t="shared" si="17"/>
        <v>17</v>
      </c>
      <c r="N128">
        <f t="shared" si="19"/>
        <v>82000</v>
      </c>
      <c r="O128">
        <f t="shared" si="20"/>
        <v>77900</v>
      </c>
      <c r="P128">
        <f t="shared" si="21"/>
        <v>86100</v>
      </c>
      <c r="Q128">
        <f t="shared" si="24"/>
        <v>0</v>
      </c>
      <c r="R128" s="126">
        <f t="shared" si="25"/>
        <v>8.7550846782054452E-6</v>
      </c>
      <c r="S128" s="126">
        <f t="shared" si="26"/>
        <v>1.2647388770886854E-5</v>
      </c>
      <c r="AA128" s="126">
        <f t="shared" si="27"/>
        <v>8.7550846782054452E-6</v>
      </c>
      <c r="AB128" s="126">
        <f t="shared" si="28"/>
        <v>1.2647388770886854E-5</v>
      </c>
      <c r="AC128" s="126">
        <f t="shared" si="22"/>
        <v>3.0085972398752347E-8</v>
      </c>
      <c r="AD128" s="126">
        <f t="shared" si="23"/>
        <v>3.1725991725960456E-8</v>
      </c>
      <c r="AE128" s="128"/>
    </row>
    <row r="129" spans="11:31" x14ac:dyDescent="0.35">
      <c r="K129">
        <v>1000</v>
      </c>
      <c r="L129">
        <v>91</v>
      </c>
      <c r="M129">
        <f t="shared" si="17"/>
        <v>17</v>
      </c>
      <c r="N129">
        <f t="shared" si="19"/>
        <v>91000</v>
      </c>
      <c r="O129">
        <f t="shared" si="20"/>
        <v>86450</v>
      </c>
      <c r="P129">
        <f t="shared" si="21"/>
        <v>95550</v>
      </c>
      <c r="Q129">
        <f t="shared" si="24"/>
        <v>0</v>
      </c>
      <c r="R129" s="126">
        <f t="shared" si="25"/>
        <v>9.7160083293949993E-6</v>
      </c>
      <c r="S129" s="126">
        <f t="shared" si="26"/>
        <v>1.4035159873064752E-5</v>
      </c>
      <c r="AA129" s="126">
        <f t="shared" si="27"/>
        <v>9.7160083293949993E-6</v>
      </c>
      <c r="AB129" s="126">
        <f t="shared" si="28"/>
        <v>1.4035159873064752E-5</v>
      </c>
      <c r="AC129" s="126">
        <f t="shared" si="22"/>
        <v>3.0078990988622403E-8</v>
      </c>
      <c r="AD129" s="126">
        <f t="shared" si="23"/>
        <v>3.171822675732235E-8</v>
      </c>
      <c r="AE129" s="128"/>
    </row>
    <row r="130" spans="11:31" x14ac:dyDescent="0.35">
      <c r="M130">
        <f t="shared" si="17"/>
        <v>17</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1221" priority="28" stopIfTrue="1">
      <formula>AND($B$11="need resistor",$C$11&gt;0)</formula>
    </cfRule>
    <cfRule type="containsText" dxfId="1220" priority="32" operator="containsText" text="need resistor">
      <formula>NOT(ISERROR(SEARCH("need resistor",B11)))</formula>
    </cfRule>
  </conditionalFormatting>
  <conditionalFormatting sqref="B11:B12">
    <cfRule type="containsText" dxfId="1219" priority="30" operator="containsText" text="no need">
      <formula>NOT(ISERROR(SEARCH("no need",B11)))</formula>
    </cfRule>
  </conditionalFormatting>
  <conditionalFormatting sqref="B12">
    <cfRule type="expression" dxfId="1218" priority="27" stopIfTrue="1">
      <formula>AND($B$12="need resistor",$C$12&gt;0)</formula>
    </cfRule>
    <cfRule type="containsText" dxfId="1217" priority="29" operator="containsText" text="need resistor">
      <formula>NOT(ISERROR(SEARCH("need resistor",B12)))</formula>
    </cfRule>
  </conditionalFormatting>
  <conditionalFormatting sqref="B42">
    <cfRule type="expression" dxfId="1216" priority="55">
      <formula>AND($B$42&gt;$S$2,$B$2=1)</formula>
    </cfRule>
    <cfRule type="expression" dxfId="1215" priority="54">
      <formula>AND($B$42&lt;$R$2,$B$2=0)</formula>
    </cfRule>
    <cfRule type="expression" dxfId="1214" priority="53" stopIfTrue="1">
      <formula>AND($B$42&lt;=$S$2,$B$2=1)</formula>
    </cfRule>
    <cfRule type="expression" dxfId="1213" priority="52" stopIfTrue="1">
      <formula>AND($B$42&gt;=$R$2,$B$2=0)</formula>
    </cfRule>
  </conditionalFormatting>
  <conditionalFormatting sqref="B62">
    <cfRule type="expression" dxfId="1212" priority="63">
      <formula>AND($B$62&gt;$S$2,$B$2=1)</formula>
    </cfRule>
    <cfRule type="expression" dxfId="1211" priority="62">
      <formula>AND($B$62&lt;$R$2,$B$2=0)</formula>
    </cfRule>
    <cfRule type="expression" dxfId="1210" priority="61" stopIfTrue="1">
      <formula>AND($B$62&lt;=$S$2,$B$2=1)</formula>
    </cfRule>
    <cfRule type="expression" dxfId="1209" priority="60" stopIfTrue="1">
      <formula>AND($B$62&gt;=$R$2,$B$2=0)</formula>
    </cfRule>
  </conditionalFormatting>
  <conditionalFormatting sqref="B84">
    <cfRule type="cellIs" dxfId="1208" priority="41" operator="greaterThan">
      <formula>$S$3</formula>
    </cfRule>
    <cfRule type="cellIs" dxfId="1207" priority="40" operator="lessThanOrEqual">
      <formula>$S$3</formula>
    </cfRule>
  </conditionalFormatting>
  <conditionalFormatting sqref="B102">
    <cfRule type="cellIs" dxfId="1206" priority="44" operator="lessThanOrEqual">
      <formula>$S$2</formula>
    </cfRule>
    <cfRule type="cellIs" dxfId="1205" priority="45" operator="greaterThan">
      <formula>$S$2</formula>
    </cfRule>
  </conditionalFormatting>
  <conditionalFormatting sqref="B18:C18">
    <cfRule type="expression" dxfId="1204" priority="49">
      <formula>OR(AND($B$2=0,$C$18&lt;$R$2),AND($B$2=1,$C$18&gt;$S$2))</formula>
    </cfRule>
    <cfRule type="expression" dxfId="1203" priority="48" stopIfTrue="1">
      <formula>OR(AND($B$2=0,$C$18&gt;=$R$2),AND($B$2=1,$C$18&lt;=$S$2))</formula>
    </cfRule>
  </conditionalFormatting>
  <conditionalFormatting sqref="B19:C19">
    <cfRule type="expression" dxfId="1202" priority="51">
      <formula>OR(AND($B$3=0,$C$19&lt;$R$3),AND($B$3=1,$C$19&gt;$S$3))</formula>
    </cfRule>
    <cfRule type="expression" dxfId="1201" priority="50" stopIfTrue="1">
      <formula>OR(AND($B$3=0,$C$19&gt;=$R$3),AND($B$3=1,$C$19&lt;=$S$3))</formula>
    </cfRule>
  </conditionalFormatting>
  <conditionalFormatting sqref="C14">
    <cfRule type="cellIs" dxfId="1200" priority="22" operator="equal">
      <formula>"no solution"</formula>
    </cfRule>
  </conditionalFormatting>
  <conditionalFormatting sqref="C44">
    <cfRule type="expression" dxfId="1199" priority="59">
      <formula>AND($B$44&gt;$S$3,$B$3=1)</formula>
    </cfRule>
    <cfRule type="expression" dxfId="1198" priority="58">
      <formula>AND($B$44&lt;$R$3,$B$3=0)</formula>
    </cfRule>
    <cfRule type="expression" dxfId="1197" priority="57" stopIfTrue="1">
      <formula>AND($C$44&lt;=$S$3,$B$3=1)</formula>
    </cfRule>
    <cfRule type="expression" dxfId="1196" priority="56" stopIfTrue="1">
      <formula>AND($C$44&gt;=$R$3,$B$3=0)</formula>
    </cfRule>
  </conditionalFormatting>
  <conditionalFormatting sqref="C64">
    <cfRule type="expression" dxfId="1195" priority="65" stopIfTrue="1">
      <formula>AND($C$64&lt;=$S$3,$B$3=1)</formula>
    </cfRule>
    <cfRule type="expression" dxfId="1194" priority="66">
      <formula>AND($B$64&lt;$R$3,$B$3=0)</formula>
    </cfRule>
    <cfRule type="expression" dxfId="1193" priority="67">
      <formula>AND($B$64&gt;$S$3,$B$3=1)</formula>
    </cfRule>
    <cfRule type="expression" dxfId="1192" priority="64" stopIfTrue="1">
      <formula>AND($C$64&gt;=$R$3,$B$3=0)</formula>
    </cfRule>
  </conditionalFormatting>
  <conditionalFormatting sqref="C102:D102">
    <cfRule type="cellIs" dxfId="1191" priority="24" operator="lessThan">
      <formula>$R$2</formula>
    </cfRule>
    <cfRule type="cellIs" dxfId="1190" priority="23" operator="greaterThanOrEqual">
      <formula>$R$2</formula>
    </cfRule>
  </conditionalFormatting>
  <conditionalFormatting sqref="C84:H84">
    <cfRule type="cellIs" dxfId="1189" priority="15" operator="lessThan">
      <formula>$R$3</formula>
    </cfRule>
    <cfRule type="cellIs" dxfId="1188" priority="14" operator="greaterThanOrEqual">
      <formula>$R$3</formula>
    </cfRule>
  </conditionalFormatting>
  <conditionalFormatting sqref="D11">
    <cfRule type="containsText" dxfId="1187" priority="35" stopIfTrue="1" operator="containsText" text="please remove resistor">
      <formula>NOT(ISERROR(SEARCH("please remove resistor",D11)))</formula>
    </cfRule>
    <cfRule type="cellIs" dxfId="1186" priority="37" operator="greaterThan">
      <formula>$S$2</formula>
    </cfRule>
    <cfRule type="cellIs" dxfId="1185" priority="36" operator="lessThan">
      <formula>$S$2</formula>
    </cfRule>
  </conditionalFormatting>
  <conditionalFormatting sqref="D11:D12">
    <cfRule type="cellIs" priority="20" stopIfTrue="1" operator="equal">
      <formula>""</formula>
    </cfRule>
  </conditionalFormatting>
  <conditionalFormatting sqref="D12 E18:E19">
    <cfRule type="cellIs" dxfId="1184" priority="34" operator="lessThan">
      <formula>$R$2-$N$7</formula>
    </cfRule>
    <cfRule type="cellIs" dxfId="1183" priority="33" operator="greaterThanOrEqual">
      <formula>$R$2-$N$7</formula>
    </cfRule>
  </conditionalFormatting>
  <conditionalFormatting sqref="D18:D19">
    <cfRule type="cellIs" dxfId="1182" priority="38" operator="lessThanOrEqual">
      <formula>$S$2+$N$7</formula>
    </cfRule>
    <cfRule type="cellIs" dxfId="1181" priority="39" operator="greaterThan">
      <formula>$S$2+$N$7</formula>
    </cfRule>
  </conditionalFormatting>
  <conditionalFormatting sqref="E102">
    <cfRule type="cellIs" dxfId="1180" priority="13" operator="lessThan">
      <formula>$R$3</formula>
    </cfRule>
    <cfRule type="cellIs" dxfId="1179" priority="12" operator="greaterThanOrEqual">
      <formula>$R$3</formula>
    </cfRule>
  </conditionalFormatting>
  <conditionalFormatting sqref="F21">
    <cfRule type="containsText" dxfId="1178" priority="11" operator="containsText" text="failed">
      <formula>NOT(ISERROR(SEARCH("failed",F21)))</formula>
    </cfRule>
  </conditionalFormatting>
  <conditionalFormatting sqref="F22">
    <cfRule type="containsText" dxfId="1177" priority="10" operator="containsText" text="fail">
      <formula>NOT(ISERROR(SEARCH("fail",F22)))</formula>
    </cfRule>
  </conditionalFormatting>
  <conditionalFormatting sqref="F23">
    <cfRule type="containsText" dxfId="1176" priority="9" operator="containsText" text="failed">
      <formula>NOT(ISERROR(SEARCH("failed",F23)))</formula>
    </cfRule>
  </conditionalFormatting>
  <conditionalFormatting sqref="F102:H102">
    <cfRule type="cellIs" dxfId="1175" priority="16" operator="greaterThanOrEqual">
      <formula>$R$2</formula>
    </cfRule>
    <cfRule type="cellIs" dxfId="1174" priority="17" operator="lessThan">
      <formula>$R$2</formula>
    </cfRule>
  </conditionalFormatting>
  <conditionalFormatting sqref="G18">
    <cfRule type="cellIs" dxfId="1173" priority="3" operator="greaterThan">
      <formula>$V$2</formula>
    </cfRule>
    <cfRule type="cellIs" dxfId="1172" priority="4" operator="lessThan">
      <formula>$V$2</formula>
    </cfRule>
  </conditionalFormatting>
  <conditionalFormatting sqref="G19">
    <cfRule type="cellIs" dxfId="1171" priority="6" operator="lessThan">
      <formula>$V$3</formula>
    </cfRule>
    <cfRule type="cellIs" dxfId="1170" priority="5" operator="greaterThan">
      <formula>$V$3</formula>
    </cfRule>
  </conditionalFormatting>
  <conditionalFormatting sqref="I18:I19">
    <cfRule type="cellIs" dxfId="1169" priority="2" operator="lessThan">
      <formula>$W$2</formula>
    </cfRule>
    <cfRule type="cellIs" dxfId="1168" priority="1" operator="greaterThan">
      <formula>$W$2</formula>
    </cfRule>
  </conditionalFormatting>
  <conditionalFormatting sqref="K12">
    <cfRule type="expression" dxfId="1167" priority="68">
      <formula>SEARCH("reduce",$F$23)</formula>
    </cfRule>
    <cfRule type="expression" dxfId="1166" priority="69">
      <formula>SEARCH("reduce",$F$21)</formula>
    </cfRule>
  </conditionalFormatting>
  <conditionalFormatting sqref="N2">
    <cfRule type="expression" dxfId="1165" priority="70">
      <formula>SEARCH("strength",$F$21)</formula>
    </cfRule>
    <cfRule type="expression" dxfId="1164" priority="71">
      <formula>SEARCH("strength",$F$23)</formula>
    </cfRule>
  </conditionalFormatting>
  <hyperlinks>
    <hyperlink ref="N25" location="Summary!A1" display="Link to summary" xr:uid="{777DDDF6-B6CC-4B58-8823-6E9AA5117F7A}"/>
  </hyperlink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B0EB7-2425-4540-A611-0889D4CFB65D}">
  <dimension ref="B3:AC74"/>
  <sheetViews>
    <sheetView workbookViewId="0">
      <selection activeCell="M7" sqref="M7:R12"/>
    </sheetView>
  </sheetViews>
  <sheetFormatPr defaultRowHeight="14.5" x14ac:dyDescent="0.35"/>
  <cols>
    <col min="20" max="20" width="13.54296875" bestFit="1" customWidth="1"/>
    <col min="23" max="23" width="19.453125" bestFit="1" customWidth="1"/>
    <col min="26" max="26" width="11.26953125" bestFit="1" customWidth="1"/>
    <col min="28" max="28" width="18.453125" bestFit="1" customWidth="1"/>
  </cols>
  <sheetData>
    <row r="3" spans="2:29" x14ac:dyDescent="0.35">
      <c r="B3" t="s">
        <v>197</v>
      </c>
      <c r="C3" t="s">
        <v>198</v>
      </c>
      <c r="D3" t="s">
        <v>199</v>
      </c>
      <c r="G3" t="s">
        <v>197</v>
      </c>
      <c r="H3" t="s">
        <v>198</v>
      </c>
      <c r="I3" t="s">
        <v>199</v>
      </c>
    </row>
    <row r="4" spans="2:29" x14ac:dyDescent="0.35">
      <c r="B4">
        <v>1</v>
      </c>
      <c r="C4" s="49">
        <f>B4/39.37*Summary!$C$9+Summary!$C$12+Summary!$C$81+Summary!$C$83+Summary!$C$86+Summary!$C$96*Summary!$C$15</f>
        <v>3.3473210566421133E-11</v>
      </c>
      <c r="D4">
        <f>B4/39.37*Summary!$C$8+Summary!$C$11+Summary!$C$85+Summary!$C$87</f>
        <v>9.9376962153924318</v>
      </c>
      <c r="G4">
        <v>1</v>
      </c>
      <c r="H4" s="49">
        <f>G4/39.37*Summary!$R$9+Summary!$R$12+Summary!$R$81+Summary!$R$83+Summary!$R$86+Summary!$R$96*Summary!$R$15</f>
        <v>3.3473210566421133E-11</v>
      </c>
      <c r="I4">
        <f>G4/39.37*Summary!$R$8+Summary!$R$11+Summary!$R$85+Summary!$R$87</f>
        <v>9.307696215392431</v>
      </c>
      <c r="O4" t="s">
        <v>200</v>
      </c>
      <c r="P4" t="s">
        <v>201</v>
      </c>
      <c r="Q4" t="s">
        <v>202</v>
      </c>
      <c r="R4" t="s">
        <v>202</v>
      </c>
      <c r="U4" t="s">
        <v>203</v>
      </c>
      <c r="V4" t="s">
        <v>203</v>
      </c>
      <c r="X4" t="s">
        <v>204</v>
      </c>
      <c r="Y4" t="s">
        <v>204</v>
      </c>
      <c r="AA4" t="s">
        <v>205</v>
      </c>
      <c r="AC4" t="s">
        <v>205</v>
      </c>
    </row>
    <row r="5" spans="2:29" x14ac:dyDescent="0.35">
      <c r="B5">
        <v>2</v>
      </c>
      <c r="C5" s="49">
        <f>B5/39.37*Summary!$C$9+Summary!$C$12+Summary!$C$81+Summary!$C$83+Summary!$C$86+Summary!$C$96*Summary!$C$15</f>
        <v>3.8756421132842265E-11</v>
      </c>
      <c r="D5">
        <f>B5/39.37*Summary!$C$8+Summary!$C$11+Summary!$C$85+Summary!$C$87</f>
        <v>10.445392430784862</v>
      </c>
      <c r="G5">
        <v>2</v>
      </c>
      <c r="H5" s="49">
        <f>G5/39.37*Summary!$R$9+Summary!$R$12+Summary!$R$81+Summary!$R$83+Summary!$R$86+Summary!$R$96*Summary!$R$15</f>
        <v>3.8756421132842265E-11</v>
      </c>
      <c r="I5">
        <f>G5/39.37*Summary!$R$8+Summary!$R$11+Summary!$R$85+Summary!$R$87</f>
        <v>9.8153924307848612</v>
      </c>
      <c r="N5" t="s">
        <v>206</v>
      </c>
      <c r="O5">
        <v>100</v>
      </c>
      <c r="P5">
        <v>100</v>
      </c>
      <c r="Q5">
        <v>100</v>
      </c>
      <c r="R5">
        <v>50</v>
      </c>
      <c r="U5">
        <v>100</v>
      </c>
      <c r="V5">
        <v>50</v>
      </c>
      <c r="X5">
        <v>100</v>
      </c>
      <c r="Y5">
        <v>50</v>
      </c>
      <c r="AA5">
        <v>100</v>
      </c>
      <c r="AC5">
        <v>100</v>
      </c>
    </row>
    <row r="6" spans="2:29" x14ac:dyDescent="0.35">
      <c r="B6">
        <v>3</v>
      </c>
      <c r="C6" s="49">
        <f>B6/39.37*Summary!$C$9+Summary!$C$12+Summary!$C$81+Summary!$C$83+Summary!$C$86+Summary!$C$96*Summary!$C$15</f>
        <v>4.4039631699263403E-11</v>
      </c>
      <c r="D6">
        <f>B6/39.37*Summary!$C$8+Summary!$C$11+Summary!$C$85+Summary!$C$87</f>
        <v>10.953088646177292</v>
      </c>
      <c r="G6">
        <v>3</v>
      </c>
      <c r="H6" s="49">
        <f>G6/39.37*Summary!$R$9+Summary!$R$12+Summary!$R$81+Summary!$R$83+Summary!$R$86+Summary!$R$96*Summary!$R$15</f>
        <v>4.4039631699263403E-11</v>
      </c>
      <c r="I6">
        <f>G6/39.37*Summary!$R$8+Summary!$R$11+Summary!$R$85+Summary!$R$87</f>
        <v>10.323088646177293</v>
      </c>
      <c r="N6" t="s">
        <v>197</v>
      </c>
    </row>
    <row r="7" spans="2:29" x14ac:dyDescent="0.35">
      <c r="B7">
        <v>4</v>
      </c>
      <c r="C7" s="146">
        <f>B7/39.37*Summary!$C$9+Summary!$C$12+Summary!$C$81+Summary!$C$83+Summary!$C$86+Summary!$C$96*Summary!$C$15</f>
        <v>4.9322842265684535E-11</v>
      </c>
      <c r="D7" s="147">
        <f>B7/39.37*Summary!$C$8+Summary!$C$11+Summary!$C$85+Summary!$C$87</f>
        <v>11.460784861569723</v>
      </c>
      <c r="G7">
        <v>4</v>
      </c>
      <c r="H7" s="49">
        <f>G7/39.37*Summary!$R$9+Summary!$R$12+Summary!$R$81+Summary!$R$83+Summary!$R$86+Summary!$R$96*Summary!$R$15</f>
        <v>4.9322842265684535E-11</v>
      </c>
      <c r="I7">
        <f>G7/39.37*Summary!$R$8+Summary!$R$11+Summary!$R$85+Summary!$R$87</f>
        <v>10.830784861569722</v>
      </c>
      <c r="M7" t="s">
        <v>207</v>
      </c>
      <c r="N7">
        <v>4</v>
      </c>
      <c r="O7" s="140" t="s">
        <v>208</v>
      </c>
      <c r="P7" s="140" t="s">
        <v>209</v>
      </c>
      <c r="Q7" s="141" t="s">
        <v>210</v>
      </c>
      <c r="R7" s="139"/>
      <c r="T7" s="142" t="s">
        <v>211</v>
      </c>
      <c r="U7" s="140" t="s">
        <v>212</v>
      </c>
      <c r="V7" s="139"/>
      <c r="W7" s="142" t="s">
        <v>211</v>
      </c>
      <c r="X7" s="140" t="s">
        <v>213</v>
      </c>
      <c r="Y7" s="139"/>
      <c r="Z7" s="142" t="s">
        <v>211</v>
      </c>
      <c r="AA7" s="140" t="s">
        <v>213</v>
      </c>
      <c r="AB7" s="143" t="s">
        <v>211</v>
      </c>
      <c r="AC7" s="140">
        <v>560</v>
      </c>
    </row>
    <row r="8" spans="2:29" x14ac:dyDescent="0.35">
      <c r="B8">
        <v>5</v>
      </c>
      <c r="C8" s="49">
        <f>B8/39.37*Summary!$C$9+Summary!$C$12+Summary!$C$81+Summary!$C$83+Summary!$C$86+Summary!$C$96*Summary!$C$15</f>
        <v>5.4606052832105667E-11</v>
      </c>
      <c r="D8">
        <f>B8/39.37*Summary!$C$8+Summary!$C$11+Summary!$C$85+Summary!$C$87</f>
        <v>11.968481076962153</v>
      </c>
      <c r="G8">
        <v>5</v>
      </c>
      <c r="H8" s="49">
        <f>G8/39.37*Summary!$R$9+Summary!$R$12+Summary!$R$81+Summary!$R$83+Summary!$R$86+Summary!$R$96*Summary!$R$15</f>
        <v>5.4606052832105667E-11</v>
      </c>
      <c r="I8">
        <f>G8/39.37*Summary!$R$8+Summary!$R$11+Summary!$R$85+Summary!$R$87</f>
        <v>11.338481076962154</v>
      </c>
      <c r="M8" t="s">
        <v>214</v>
      </c>
      <c r="N8">
        <v>14</v>
      </c>
      <c r="O8" s="140" t="s">
        <v>215</v>
      </c>
      <c r="P8" s="140" t="s">
        <v>216</v>
      </c>
      <c r="Q8" s="140">
        <v>680</v>
      </c>
      <c r="R8" s="139"/>
      <c r="T8" s="142" t="s">
        <v>217</v>
      </c>
      <c r="U8" s="140" t="s">
        <v>213</v>
      </c>
      <c r="V8" s="139"/>
      <c r="W8" s="142" t="s">
        <v>217</v>
      </c>
      <c r="X8" s="140">
        <v>560</v>
      </c>
      <c r="Y8" s="139"/>
      <c r="Z8" s="142" t="s">
        <v>217</v>
      </c>
      <c r="AA8" s="140">
        <v>560</v>
      </c>
      <c r="AB8" s="142" t="s">
        <v>218</v>
      </c>
      <c r="AC8" s="140">
        <v>560</v>
      </c>
    </row>
    <row r="9" spans="2:29" x14ac:dyDescent="0.35">
      <c r="B9">
        <v>6</v>
      </c>
      <c r="C9" s="146">
        <f>B9/39.37*Summary!$C$9+Summary!$C$12+Summary!$C$81+Summary!$C$83+Summary!$C$86+Summary!$C$96*Summary!$C$15</f>
        <v>5.9889263398526811E-11</v>
      </c>
      <c r="D9" s="147">
        <f>B9/39.37*Summary!$C$8+Summary!$C$11+Summary!$C$85+Summary!$C$87</f>
        <v>12.476177292354585</v>
      </c>
      <c r="G9">
        <v>6</v>
      </c>
      <c r="H9" s="49">
        <f>G9/39.37*Summary!$R$9+Summary!$R$12+Summary!$R$81+Summary!$R$83+Summary!$R$86+Summary!$R$96*Summary!$R$15</f>
        <v>5.9889263398526811E-11</v>
      </c>
      <c r="I9">
        <f>G9/39.37*Summary!$R$8+Summary!$R$11+Summary!$R$85+Summary!$R$87</f>
        <v>11.846177292354586</v>
      </c>
      <c r="M9" t="s">
        <v>219</v>
      </c>
      <c r="N9">
        <v>33</v>
      </c>
      <c r="O9" s="140" t="s">
        <v>220</v>
      </c>
      <c r="P9" s="140">
        <v>820</v>
      </c>
      <c r="Q9" s="139"/>
      <c r="R9" s="140">
        <v>390</v>
      </c>
      <c r="T9" s="142" t="s">
        <v>221</v>
      </c>
      <c r="U9" s="139"/>
      <c r="V9" s="144">
        <v>430</v>
      </c>
      <c r="W9" s="142" t="s">
        <v>222</v>
      </c>
      <c r="X9" s="139"/>
      <c r="Y9" s="144">
        <v>560</v>
      </c>
      <c r="AA9" s="139"/>
      <c r="AB9" s="142" t="s">
        <v>223</v>
      </c>
      <c r="AC9" s="141">
        <v>680</v>
      </c>
    </row>
    <row r="10" spans="2:29" x14ac:dyDescent="0.35">
      <c r="B10">
        <v>7</v>
      </c>
      <c r="C10" s="150">
        <f>B10/39.37*Summary!$C$9+Summary!$C$12+Summary!$C$81+Summary!$C$83+Summary!$C$86+Summary!$C$96*Summary!$C$15</f>
        <v>6.5172473964947937E-11</v>
      </c>
      <c r="D10" s="151">
        <f>B10/39.37*Summary!$C$8+Summary!$C$11+Summary!$C$85+Summary!$C$87</f>
        <v>12.983873507747015</v>
      </c>
      <c r="G10">
        <v>7</v>
      </c>
      <c r="H10" s="49">
        <f>G10/39.37*Summary!$R$9+Summary!$R$12+Summary!$R$81+Summary!$R$83+Summary!$R$86+Summary!$R$96*Summary!$R$15</f>
        <v>6.5172473964947937E-11</v>
      </c>
      <c r="I10">
        <f>G10/39.37*Summary!$R$8+Summary!$R$11+Summary!$R$85+Summary!$R$87</f>
        <v>12.353873507747014</v>
      </c>
      <c r="M10" t="s">
        <v>224</v>
      </c>
      <c r="N10">
        <v>52</v>
      </c>
      <c r="O10" s="140" t="s">
        <v>216</v>
      </c>
      <c r="P10" s="139"/>
      <c r="Q10" s="139"/>
      <c r="R10" s="139"/>
      <c r="U10" s="139"/>
      <c r="V10" s="139"/>
      <c r="W10" s="142" t="s">
        <v>225</v>
      </c>
      <c r="X10" s="139"/>
      <c r="Y10" s="141">
        <v>750</v>
      </c>
      <c r="AB10" s="142" t="s">
        <v>226</v>
      </c>
      <c r="AC10" s="141">
        <v>680</v>
      </c>
    </row>
    <row r="11" spans="2:29" x14ac:dyDescent="0.35">
      <c r="B11">
        <v>8</v>
      </c>
      <c r="C11" s="49">
        <f>B11/39.37*Summary!$C$9+Summary!$C$12+Summary!$C$81+Summary!$C$83+Summary!$C$86+Summary!$C$96*Summary!$C$15</f>
        <v>7.0455684531369075E-11</v>
      </c>
      <c r="D11">
        <f>B11/39.37*Summary!$C$8+Summary!$C$11+Summary!$C$85+Summary!$C$87</f>
        <v>13.491569723139445</v>
      </c>
      <c r="G11">
        <v>8</v>
      </c>
      <c r="H11" s="49">
        <f>G11/39.37*Summary!$R$9+Summary!$R$12+Summary!$R$81+Summary!$R$83+Summary!$R$86+Summary!$R$96*Summary!$R$15</f>
        <v>7.0455684531369075E-11</v>
      </c>
      <c r="I11">
        <f>G11/39.37*Summary!$R$8+Summary!$R$11+Summary!$R$85+Summary!$R$87</f>
        <v>12.861569723139446</v>
      </c>
      <c r="M11" t="s">
        <v>227</v>
      </c>
      <c r="N11">
        <v>54</v>
      </c>
      <c r="O11" s="139"/>
      <c r="P11" s="140">
        <v>680</v>
      </c>
      <c r="Q11" s="139"/>
      <c r="R11" s="139"/>
      <c r="U11" s="139"/>
      <c r="V11" s="139"/>
      <c r="W11" s="142" t="s">
        <v>228</v>
      </c>
      <c r="X11" s="139"/>
      <c r="Y11" s="141">
        <v>750</v>
      </c>
      <c r="AC11" s="139"/>
    </row>
    <row r="12" spans="2:29" x14ac:dyDescent="0.35">
      <c r="B12">
        <v>9</v>
      </c>
      <c r="C12" s="150">
        <f>B12/39.37*Summary!$C$9+Summary!$C$12+Summary!$C$81+Summary!$C$83+Summary!$C$86+Summary!$C$96*Summary!$C$15</f>
        <v>7.57388950977902E-11</v>
      </c>
      <c r="D12" s="151">
        <f>B12/39.37*Summary!$C$8+Summary!$C$11+Summary!$C$85+Summary!$C$87</f>
        <v>13.999265938531877</v>
      </c>
      <c r="G12">
        <v>9</v>
      </c>
      <c r="H12" s="49">
        <f>G12/39.37*Summary!$R$9+Summary!$R$12+Summary!$R$81+Summary!$R$83+Summary!$R$86+Summary!$R$96*Summary!$R$15</f>
        <v>7.57388950977902E-11</v>
      </c>
      <c r="I12">
        <f>G12/39.37*Summary!$R$8+Summary!$R$11+Summary!$R$85+Summary!$R$87</f>
        <v>13.369265938531878</v>
      </c>
      <c r="M12" t="s">
        <v>229</v>
      </c>
      <c r="N12">
        <v>71</v>
      </c>
      <c r="O12" s="140" t="s">
        <v>210</v>
      </c>
      <c r="P12" s="145">
        <v>680</v>
      </c>
      <c r="Q12" s="139"/>
      <c r="R12" s="139"/>
      <c r="U12" s="139"/>
      <c r="V12" s="139"/>
      <c r="W12" s="142" t="s">
        <v>230</v>
      </c>
      <c r="X12" s="139"/>
      <c r="Y12" s="141">
        <v>750</v>
      </c>
      <c r="AC12" s="139"/>
    </row>
    <row r="13" spans="2:29" x14ac:dyDescent="0.35">
      <c r="B13">
        <v>10</v>
      </c>
      <c r="C13" s="49">
        <f>B13/39.37*Summary!$C$9+Summary!$C$12+Summary!$C$81+Summary!$C$83+Summary!$C$86+Summary!$C$96*Summary!$C$15</f>
        <v>8.1022105664211338E-11</v>
      </c>
      <c r="D13">
        <f>B13/39.37*Summary!$C$8+Summary!$C$11+Summary!$C$85+Summary!$C$87</f>
        <v>14.506962153924308</v>
      </c>
      <c r="G13">
        <v>10</v>
      </c>
      <c r="H13" s="49">
        <f>G13/39.37*Summary!$R$9+Summary!$R$12+Summary!$R$81+Summary!$R$83+Summary!$R$86+Summary!$R$96*Summary!$R$15</f>
        <v>8.1022105664211338E-11</v>
      </c>
      <c r="I13">
        <f>G13/39.37*Summary!$R$8+Summary!$R$11+Summary!$R$85+Summary!$R$87</f>
        <v>13.876962153924307</v>
      </c>
    </row>
    <row r="14" spans="2:29" x14ac:dyDescent="0.35">
      <c r="B14">
        <v>11</v>
      </c>
      <c r="C14" s="148">
        <f>B14/39.37*Summary!$C$9+Summary!$C$12+Summary!$C$81+Summary!$C$83+Summary!$C$86+Summary!$C$96*Summary!$C$15</f>
        <v>8.6305316230632464E-11</v>
      </c>
      <c r="D14" s="149">
        <f>B14/39.37*Summary!$C$8+Summary!$C$11+Summary!$C$85+Summary!$C$87</f>
        <v>15.014658369316738</v>
      </c>
      <c r="G14">
        <v>11</v>
      </c>
      <c r="H14" s="49">
        <f>G14/39.37*Summary!$R$9+Summary!$R$12+Summary!$R$81+Summary!$R$83+Summary!$R$86+Summary!$R$96*Summary!$R$15</f>
        <v>8.6305316230632464E-11</v>
      </c>
      <c r="I14">
        <f>G14/39.37*Summary!$R$8+Summary!$R$11+Summary!$R$85+Summary!$R$87</f>
        <v>14.384658369316739</v>
      </c>
    </row>
    <row r="15" spans="2:29" x14ac:dyDescent="0.35">
      <c r="B15">
        <v>12</v>
      </c>
      <c r="C15" s="49">
        <f>B15/39.37*Summary!$C$9+Summary!$C$12+Summary!$C$81+Summary!$C$83+Summary!$C$86+Summary!$C$96*Summary!$C$15</f>
        <v>9.1588526797053602E-11</v>
      </c>
      <c r="D15">
        <f>B15/39.37*Summary!$C$8+Summary!$C$11+Summary!$C$85+Summary!$C$87</f>
        <v>15.52235458470917</v>
      </c>
      <c r="G15">
        <v>12</v>
      </c>
      <c r="H15" s="49">
        <f>G15/39.37*Summary!$R$9+Summary!$R$12+Summary!$R$81+Summary!$R$83+Summary!$R$86+Summary!$R$96*Summary!$R$15</f>
        <v>9.1588526797053602E-11</v>
      </c>
      <c r="I15">
        <f>G15/39.37*Summary!$R$8+Summary!$R$11+Summary!$R$85+Summary!$R$87</f>
        <v>14.892354584709171</v>
      </c>
    </row>
    <row r="16" spans="2:29" x14ac:dyDescent="0.35">
      <c r="B16">
        <v>13</v>
      </c>
      <c r="C16" s="49">
        <f>B16/39.37*Summary!$C$9+Summary!$C$12+Summary!$C$81+Summary!$C$83+Summary!$C$86+Summary!$C$96*Summary!$C$15</f>
        <v>9.6871737363474727E-11</v>
      </c>
      <c r="D16">
        <f>B16/39.37*Summary!$C$8+Summary!$C$11+Summary!$C$85+Summary!$C$87</f>
        <v>16.030050800101602</v>
      </c>
      <c r="G16">
        <v>13</v>
      </c>
      <c r="H16" s="49">
        <f>G16/39.37*Summary!$R$9+Summary!$R$12+Summary!$R$81+Summary!$R$83+Summary!$R$86+Summary!$R$96*Summary!$R$15</f>
        <v>9.6871737363474727E-11</v>
      </c>
      <c r="I16">
        <f>G16/39.37*Summary!$R$8+Summary!$R$11+Summary!$R$85+Summary!$R$87</f>
        <v>15.400050800101599</v>
      </c>
    </row>
    <row r="17" spans="2:23" x14ac:dyDescent="0.35">
      <c r="B17">
        <v>14</v>
      </c>
      <c r="C17" s="146">
        <f>B17/39.37*Summary!$C$9+Summary!$C$12+Summary!$C$81+Summary!$C$83+Summary!$C$86+Summary!$C$96*Summary!$C$15</f>
        <v>1.0215494792989587E-10</v>
      </c>
      <c r="D17" s="147">
        <f>B17/39.37*Summary!$C$8+Summary!$C$11+Summary!$C$85+Summary!$C$87</f>
        <v>16.53774701549403</v>
      </c>
      <c r="G17">
        <v>14</v>
      </c>
      <c r="H17" s="49">
        <f>G17/39.37*Summary!$R$9+Summary!$R$12+Summary!$R$81+Summary!$R$83+Summary!$R$86+Summary!$R$96*Summary!$R$15</f>
        <v>1.0215494792989587E-10</v>
      </c>
      <c r="I17">
        <f>G17/39.37*Summary!$R$8+Summary!$R$11+Summary!$R$85+Summary!$R$87</f>
        <v>15.907747015494031</v>
      </c>
    </row>
    <row r="18" spans="2:23" x14ac:dyDescent="0.35">
      <c r="B18">
        <v>15</v>
      </c>
      <c r="C18" s="49">
        <f>B18/39.37*Summary!$C$9+Summary!$C$12+Summary!$C$81+Summary!$C$83+Summary!$C$86+Summary!$C$96*Summary!$C$15</f>
        <v>1.07438158496317E-10</v>
      </c>
      <c r="D18">
        <f>B18/39.37*Summary!$C$8+Summary!$C$11+Summary!$C$85+Summary!$C$87</f>
        <v>17.045443230886463</v>
      </c>
      <c r="G18">
        <v>15</v>
      </c>
      <c r="H18" s="49">
        <f>G18/39.37*Summary!$R$9+Summary!$R$12+Summary!$R$81+Summary!$R$83+Summary!$R$86+Summary!$R$96*Summary!$R$15</f>
        <v>1.07438158496317E-10</v>
      </c>
      <c r="I18">
        <f>G18/39.37*Summary!$R$8+Summary!$R$11+Summary!$R$85+Summary!$R$87</f>
        <v>16.415443230886464</v>
      </c>
    </row>
    <row r="19" spans="2:23" x14ac:dyDescent="0.35">
      <c r="B19">
        <v>16</v>
      </c>
      <c r="C19" s="49">
        <f>B19/39.37*Summary!$C$9+Summary!$C$12+Summary!$C$81+Summary!$C$83+Summary!$C$86+Summary!$C$96*Summary!$C$15</f>
        <v>1.1272136906273813E-10</v>
      </c>
      <c r="D19">
        <f>B19/39.37*Summary!$C$8+Summary!$C$11+Summary!$C$85+Summary!$C$87</f>
        <v>17.553139446278895</v>
      </c>
      <c r="G19">
        <v>16</v>
      </c>
      <c r="H19" s="49">
        <f>G19/39.37*Summary!$R$9+Summary!$R$12+Summary!$R$81+Summary!$R$83+Summary!$R$86+Summary!$R$96*Summary!$R$15</f>
        <v>1.1272136906273813E-10</v>
      </c>
      <c r="I19">
        <f>G19/39.37*Summary!$R$8+Summary!$R$11+Summary!$R$85+Summary!$R$87</f>
        <v>16.923139446278892</v>
      </c>
      <c r="W19" t="s">
        <v>231</v>
      </c>
    </row>
    <row r="20" spans="2:23" x14ac:dyDescent="0.35">
      <c r="B20">
        <v>17</v>
      </c>
      <c r="C20" s="49">
        <f>B20/39.37*Summary!$C$9+Summary!$C$12+Summary!$C$81+Summary!$C$83+Summary!$C$86+Summary!$C$96*Summary!$C$15</f>
        <v>1.1800457962915925E-10</v>
      </c>
      <c r="D20">
        <f>B20/39.37*Summary!$C$8+Summary!$C$11+Summary!$C$85+Summary!$C$87</f>
        <v>18.060835661671327</v>
      </c>
      <c r="G20">
        <v>17</v>
      </c>
      <c r="H20" s="49">
        <f>G20/39.37*Summary!$R$9+Summary!$R$12+Summary!$R$81+Summary!$R$83+Summary!$R$86+Summary!$R$96*Summary!$R$15</f>
        <v>1.1800457962915925E-10</v>
      </c>
      <c r="I20">
        <f>G20/39.37*Summary!$R$8+Summary!$R$11+Summary!$R$85+Summary!$R$87</f>
        <v>17.430835661671324</v>
      </c>
    </row>
    <row r="21" spans="2:23" x14ac:dyDescent="0.35">
      <c r="B21">
        <v>18</v>
      </c>
      <c r="C21" s="148">
        <f>B21/39.37*Summary!$C$9+Summary!$C$12+Summary!$C$81+Summary!$C$83+Summary!$C$86+Summary!$C$96*Summary!$C$15</f>
        <v>1.2328779019558039E-10</v>
      </c>
      <c r="D21" s="149">
        <f>B21/39.37*Summary!$C$8+Summary!$C$11+Summary!$C$85+Summary!$C$87</f>
        <v>18.568531877063755</v>
      </c>
      <c r="G21">
        <v>18</v>
      </c>
      <c r="H21" s="49">
        <f>G21/39.37*Summary!$R$9+Summary!$R$12+Summary!$R$81+Summary!$R$83+Summary!$R$86+Summary!$R$96*Summary!$R$15</f>
        <v>1.2328779019558039E-10</v>
      </c>
      <c r="I21">
        <f>G21/39.37*Summary!$R$8+Summary!$R$11+Summary!$R$85+Summary!$R$87</f>
        <v>17.938531877063753</v>
      </c>
    </row>
    <row r="22" spans="2:23" x14ac:dyDescent="0.35">
      <c r="B22">
        <v>19</v>
      </c>
      <c r="C22" s="49">
        <f>B22/39.37*Summary!$C$9+Summary!$C$12+Summary!$C$81+Summary!$C$83+Summary!$C$86+Summary!$C$96*Summary!$C$15</f>
        <v>1.285710007620015E-10</v>
      </c>
      <c r="D22">
        <f>B22/39.37*Summary!$C$8+Summary!$C$11+Summary!$C$85+Summary!$C$87</f>
        <v>19.076228092456184</v>
      </c>
      <c r="G22">
        <v>19</v>
      </c>
      <c r="H22" s="49">
        <f>G22/39.37*Summary!$R$9+Summary!$R$12+Summary!$R$81+Summary!$R$83+Summary!$R$86+Summary!$R$96*Summary!$R$15</f>
        <v>1.285710007620015E-10</v>
      </c>
      <c r="I22">
        <f>G22/39.37*Summary!$R$8+Summary!$R$11+Summary!$R$85+Summary!$R$87</f>
        <v>18.446228092456185</v>
      </c>
    </row>
    <row r="23" spans="2:23" x14ac:dyDescent="0.35">
      <c r="B23">
        <v>20</v>
      </c>
      <c r="C23" s="49">
        <f>B23/39.37*Summary!$C$9+Summary!$C$12+Summary!$C$81+Summary!$C$83+Summary!$C$86+Summary!$C$96*Summary!$C$15</f>
        <v>1.3385421132842267E-10</v>
      </c>
      <c r="D23">
        <f>B23/39.37*Summary!$C$8+Summary!$C$11+Summary!$C$85+Summary!$C$87</f>
        <v>19.583924307848616</v>
      </c>
      <c r="G23">
        <v>20</v>
      </c>
      <c r="H23" s="49">
        <f>G23/39.37*Summary!$R$9+Summary!$R$12+Summary!$R$81+Summary!$R$83+Summary!$R$86+Summary!$R$96*Summary!$R$15</f>
        <v>1.3385421132842267E-10</v>
      </c>
      <c r="I23">
        <f>G23/39.37*Summary!$R$8+Summary!$R$11+Summary!$R$85+Summary!$R$87</f>
        <v>18.953924307848617</v>
      </c>
    </row>
    <row r="24" spans="2:23" x14ac:dyDescent="0.35">
      <c r="B24">
        <v>21</v>
      </c>
      <c r="C24" s="148">
        <f>B24/39.37*Summary!$C$9+Summary!$C$12+Summary!$C$81+Summary!$C$83+Summary!$C$86+Summary!$C$96*Summary!$C$15</f>
        <v>1.3913742189484381E-10</v>
      </c>
      <c r="D24" s="149">
        <f>B24/39.37*Summary!$C$8+Summary!$C$11+Summary!$C$85+Summary!$C$87</f>
        <v>20.091620523241048</v>
      </c>
      <c r="G24">
        <v>21</v>
      </c>
      <c r="H24" s="49">
        <f>G24/39.37*Summary!$R$9+Summary!$R$12+Summary!$R$81+Summary!$R$83+Summary!$R$86+Summary!$R$96*Summary!$R$15</f>
        <v>1.3913742189484381E-10</v>
      </c>
      <c r="I24">
        <f>G24/39.37*Summary!$R$8+Summary!$R$11+Summary!$R$85+Summary!$R$87</f>
        <v>19.461620523241049</v>
      </c>
    </row>
    <row r="25" spans="2:23" x14ac:dyDescent="0.35">
      <c r="B25">
        <v>22</v>
      </c>
      <c r="C25" s="49">
        <f>B25/39.37*Summary!$C$9+Summary!$C$12+Summary!$C$81+Summary!$C$83+Summary!$C$86+Summary!$C$96*Summary!$C$15</f>
        <v>1.4442063246126495E-10</v>
      </c>
      <c r="D25">
        <f>B25/39.37*Summary!$C$8+Summary!$C$11+Summary!$C$85+Summary!$C$87</f>
        <v>20.599316738633476</v>
      </c>
      <c r="G25">
        <v>22</v>
      </c>
      <c r="H25" s="49">
        <f>G25/39.37*Summary!$R$9+Summary!$R$12+Summary!$R$81+Summary!$R$83+Summary!$R$86+Summary!$R$96*Summary!$R$15</f>
        <v>1.4442063246126495E-10</v>
      </c>
      <c r="I25">
        <f>G25/39.37*Summary!$R$8+Summary!$R$11+Summary!$R$85+Summary!$R$87</f>
        <v>19.969316738633477</v>
      </c>
    </row>
    <row r="26" spans="2:23" x14ac:dyDescent="0.35">
      <c r="B26">
        <v>23</v>
      </c>
      <c r="C26" s="49">
        <f>B26/39.37*Summary!$C$9+Summary!$C$12+Summary!$C$81+Summary!$C$83+Summary!$C$86+Summary!$C$96*Summary!$C$15</f>
        <v>1.4970384302768608E-10</v>
      </c>
      <c r="D26">
        <f>B26/39.37*Summary!$C$8+Summary!$C$11+Summary!$C$85+Summary!$C$87</f>
        <v>21.107012954025908</v>
      </c>
      <c r="G26">
        <v>23</v>
      </c>
      <c r="H26" s="49">
        <f>G26/39.37*Summary!$R$9+Summary!$R$12+Summary!$R$81+Summary!$R$83+Summary!$R$86+Summary!$R$96*Summary!$R$15</f>
        <v>1.4970384302768608E-10</v>
      </c>
      <c r="I26">
        <f>G26/39.37*Summary!$R$8+Summary!$R$11+Summary!$R$85+Summary!$R$87</f>
        <v>20.477012954025909</v>
      </c>
    </row>
    <row r="27" spans="2:23" x14ac:dyDescent="0.35">
      <c r="B27">
        <v>24</v>
      </c>
      <c r="C27" s="49">
        <f>B27/39.37*Summary!$C$9+Summary!$C$12+Summary!$C$81+Summary!$C$83+Summary!$C$86+Summary!$C$96*Summary!$C$15</f>
        <v>1.5498705359410722E-10</v>
      </c>
      <c r="D27">
        <f>B27/39.37*Summary!$C$8+Summary!$C$11+Summary!$C$85+Summary!$C$87</f>
        <v>21.61470916941834</v>
      </c>
      <c r="G27">
        <v>24</v>
      </c>
      <c r="H27" s="49">
        <f>G27/39.37*Summary!$R$9+Summary!$R$12+Summary!$R$81+Summary!$R$83+Summary!$R$86+Summary!$R$96*Summary!$R$15</f>
        <v>1.5498705359410722E-10</v>
      </c>
      <c r="I27">
        <f>G27/39.37*Summary!$R$8+Summary!$R$11+Summary!$R$85+Summary!$R$87</f>
        <v>20.984709169418341</v>
      </c>
    </row>
    <row r="28" spans="2:23" x14ac:dyDescent="0.35">
      <c r="B28">
        <v>25</v>
      </c>
      <c r="C28" s="148">
        <f>B28/39.37*Summary!$C$9+Summary!$C$12+Summary!$C$81+Summary!$C$83+Summary!$C$86+Summary!$C$96*Summary!$C$15</f>
        <v>1.6027026416052833E-10</v>
      </c>
      <c r="D28" s="149">
        <f>B28/39.37*Summary!$C$8+Summary!$C$11+Summary!$C$85+Summary!$C$87</f>
        <v>22.122405384810769</v>
      </c>
      <c r="G28">
        <v>25</v>
      </c>
      <c r="H28" s="49">
        <f>G28/39.37*Summary!$R$9+Summary!$R$12+Summary!$R$81+Summary!$R$83+Summary!$R$86+Summary!$R$96*Summary!$R$15</f>
        <v>1.6027026416052833E-10</v>
      </c>
      <c r="I28">
        <f>G28/39.37*Summary!$R$8+Summary!$R$11+Summary!$R$85+Summary!$R$87</f>
        <v>21.49240538481077</v>
      </c>
    </row>
    <row r="29" spans="2:23" x14ac:dyDescent="0.35">
      <c r="B29">
        <v>26</v>
      </c>
      <c r="C29" s="49">
        <f>B29/39.37*Summary!$C$9+Summary!$C$12+Summary!$C$81+Summary!$C$83+Summary!$C$86+Summary!$C$96*Summary!$C$15</f>
        <v>1.6555347472694947E-10</v>
      </c>
      <c r="D29">
        <f>B29/39.37*Summary!$C$8+Summary!$C$11+Summary!$C$85+Summary!$C$87</f>
        <v>22.630101600203201</v>
      </c>
      <c r="G29">
        <v>26</v>
      </c>
      <c r="H29" s="49">
        <f>G29/39.37*Summary!$R$9+Summary!$R$12+Summary!$R$81+Summary!$R$83+Summary!$R$86+Summary!$R$96*Summary!$R$15</f>
        <v>1.6555347472694947E-10</v>
      </c>
      <c r="I29">
        <f>G29/39.37*Summary!$R$8+Summary!$R$11+Summary!$R$85+Summary!$R$87</f>
        <v>22.000101600203202</v>
      </c>
    </row>
    <row r="30" spans="2:23" x14ac:dyDescent="0.35">
      <c r="B30">
        <v>27</v>
      </c>
      <c r="C30" s="148">
        <f>B30/39.37*Summary!$C$9+Summary!$C$12+Summary!$C$81+Summary!$C$83+Summary!$C$86+Summary!$C$96*Summary!$C$15</f>
        <v>1.7083668529337061E-10</v>
      </c>
      <c r="D30" s="149">
        <f>B30/39.37*Summary!$C$8+Summary!$C$11+Summary!$C$85+Summary!$C$87</f>
        <v>23.137797815595633</v>
      </c>
      <c r="G30">
        <v>27</v>
      </c>
      <c r="H30" s="49">
        <f>G30/39.37*Summary!$R$9+Summary!$R$12+Summary!$R$81+Summary!$R$83+Summary!$R$86+Summary!$R$96*Summary!$R$15</f>
        <v>1.7083668529337061E-10</v>
      </c>
      <c r="I30">
        <f>G30/39.37*Summary!$R$8+Summary!$R$11+Summary!$R$85+Summary!$R$87</f>
        <v>22.507797815595634</v>
      </c>
    </row>
    <row r="31" spans="2:23" x14ac:dyDescent="0.35">
      <c r="B31">
        <v>28</v>
      </c>
      <c r="C31" s="49">
        <f>B31/39.37*Summary!$C$9+Summary!$C$12+Summary!$C$81+Summary!$C$83+Summary!$C$86+Summary!$C$96*Summary!$C$15</f>
        <v>1.7611989585979175E-10</v>
      </c>
      <c r="D31">
        <f>B31/39.37*Summary!$C$8+Summary!$C$11+Summary!$C$85+Summary!$C$87</f>
        <v>23.645494030988061</v>
      </c>
      <c r="G31">
        <v>28</v>
      </c>
      <c r="H31" s="49">
        <f>G31/39.37*Summary!$R$9+Summary!$R$12+Summary!$R$81+Summary!$R$83+Summary!$R$86+Summary!$R$96*Summary!$R$15</f>
        <v>1.7611989585979175E-10</v>
      </c>
      <c r="I31">
        <f>G31/39.37*Summary!$R$8+Summary!$R$11+Summary!$R$85+Summary!$R$87</f>
        <v>23.015494030988062</v>
      </c>
    </row>
    <row r="32" spans="2:23" x14ac:dyDescent="0.35">
      <c r="B32">
        <v>29</v>
      </c>
      <c r="C32" s="49">
        <f>B32/39.37*Summary!$C$9+Summary!$C$12+Summary!$C$81+Summary!$C$83+Summary!$C$86+Summary!$C$96*Summary!$C$15</f>
        <v>1.8140310642621286E-10</v>
      </c>
      <c r="D32">
        <f>B32/39.37*Summary!$C$8+Summary!$C$11+Summary!$C$85+Summary!$C$87</f>
        <v>24.153190246380493</v>
      </c>
      <c r="G32">
        <v>29</v>
      </c>
      <c r="H32" s="49">
        <f>G32/39.37*Summary!$R$9+Summary!$R$12+Summary!$R$81+Summary!$R$83+Summary!$R$86+Summary!$R$96*Summary!$R$15</f>
        <v>1.8140310642621286E-10</v>
      </c>
      <c r="I32">
        <f>G32/39.37*Summary!$R$8+Summary!$R$11+Summary!$R$85+Summary!$R$87</f>
        <v>23.523190246380494</v>
      </c>
    </row>
    <row r="33" spans="2:9" x14ac:dyDescent="0.35">
      <c r="B33">
        <v>30</v>
      </c>
      <c r="C33" s="148">
        <f>B33/39.37*Summary!$C$9+Summary!$C$12+Summary!$C$81+Summary!$C$83+Summary!$C$86+Summary!$C$96*Summary!$C$15</f>
        <v>1.8668631699263402E-10</v>
      </c>
      <c r="D33" s="149">
        <f>B33/39.37*Summary!$C$8+Summary!$C$11+Summary!$C$85+Summary!$C$87</f>
        <v>24.660886461772925</v>
      </c>
      <c r="G33">
        <v>30</v>
      </c>
      <c r="H33" s="49">
        <f>G33/39.37*Summary!$R$9+Summary!$R$12+Summary!$R$81+Summary!$R$83+Summary!$R$86+Summary!$R$96*Summary!$R$15</f>
        <v>1.8668631699263402E-10</v>
      </c>
      <c r="I33">
        <f>G33/39.37*Summary!$R$8+Summary!$R$11+Summary!$R$85+Summary!$R$87</f>
        <v>24.030886461772926</v>
      </c>
    </row>
    <row r="34" spans="2:9" x14ac:dyDescent="0.35">
      <c r="B34">
        <v>31</v>
      </c>
      <c r="C34" s="49">
        <f>B34/39.37*Summary!$C$9+Summary!$C$12+Summary!$C$81+Summary!$C$83+Summary!$C$86+Summary!$C$96*Summary!$C$15</f>
        <v>1.9196952755905514E-10</v>
      </c>
      <c r="D34">
        <f>B34/39.37*Summary!$C$8+Summary!$C$11+Summary!$C$85+Summary!$C$87</f>
        <v>25.168582677165354</v>
      </c>
      <c r="G34">
        <v>31</v>
      </c>
      <c r="H34" s="49">
        <f>G34/39.37*Summary!$R$9+Summary!$R$12+Summary!$R$81+Summary!$R$83+Summary!$R$86+Summary!$R$96*Summary!$R$15</f>
        <v>1.9196952755905514E-10</v>
      </c>
      <c r="I34">
        <f>G34/39.37*Summary!$R$8+Summary!$R$11+Summary!$R$85+Summary!$R$87</f>
        <v>24.538582677165355</v>
      </c>
    </row>
    <row r="35" spans="2:9" x14ac:dyDescent="0.35">
      <c r="B35">
        <v>32</v>
      </c>
      <c r="C35" s="49">
        <f>B35/39.37*Summary!$C$9+Summary!$C$12+Summary!$C$81+Summary!$C$83+Summary!$C$86+Summary!$C$96*Summary!$C$15</f>
        <v>1.9725273812547628E-10</v>
      </c>
      <c r="D35">
        <f>B35/39.37*Summary!$C$8+Summary!$C$11+Summary!$C$85+Summary!$C$87</f>
        <v>25.676278892557786</v>
      </c>
      <c r="G35">
        <v>32</v>
      </c>
      <c r="H35" s="49">
        <f>G35/39.37*Summary!$R$9+Summary!$R$12+Summary!$R$81+Summary!$R$83+Summary!$R$86+Summary!$R$96*Summary!$R$15</f>
        <v>1.9725273812547628E-10</v>
      </c>
      <c r="I35">
        <f>G35/39.37*Summary!$R$8+Summary!$R$11+Summary!$R$85+Summary!$R$87</f>
        <v>25.046278892557787</v>
      </c>
    </row>
    <row r="36" spans="2:9" x14ac:dyDescent="0.35">
      <c r="B36">
        <v>33</v>
      </c>
      <c r="C36" s="146">
        <f>B36/39.37*Summary!$C$9+Summary!$C$12+Summary!$C$81+Summary!$C$83+Summary!$C$86+Summary!$C$96*Summary!$C$15</f>
        <v>2.0253594869189741E-10</v>
      </c>
      <c r="D36" s="147">
        <f>B36/39.37*Summary!$C$8+Summary!$C$11+Summary!$C$85+Summary!$C$87</f>
        <v>26.183975107950218</v>
      </c>
      <c r="G36">
        <v>33</v>
      </c>
      <c r="H36" s="49">
        <f>G36/39.37*Summary!$R$9+Summary!$R$12+Summary!$R$81+Summary!$R$83+Summary!$R$86+Summary!$R$96*Summary!$R$15</f>
        <v>2.0253594869189741E-10</v>
      </c>
      <c r="I36">
        <f>G36/39.37*Summary!$R$8+Summary!$R$11+Summary!$R$85+Summary!$R$87</f>
        <v>25.553975107950219</v>
      </c>
    </row>
    <row r="37" spans="2:9" x14ac:dyDescent="0.35">
      <c r="B37">
        <v>34</v>
      </c>
      <c r="C37" s="49">
        <f>B37/39.37*Summary!$C$9+Summary!$C$12+Summary!$C$81+Summary!$C$83+Summary!$C$86+Summary!$C$96*Summary!$C$15</f>
        <v>2.0781915925831855E-10</v>
      </c>
      <c r="D37">
        <f>B37/39.37*Summary!$C$8+Summary!$C$11+Summary!$C$85+Summary!$C$87</f>
        <v>26.69167132334265</v>
      </c>
      <c r="G37">
        <v>34</v>
      </c>
      <c r="H37" s="49">
        <f>G37/39.37*Summary!$R$9+Summary!$R$12+Summary!$R$81+Summary!$R$83+Summary!$R$86+Summary!$R$96*Summary!$R$15</f>
        <v>2.0781915925831855E-10</v>
      </c>
      <c r="I37">
        <f>G37/39.37*Summary!$R$8+Summary!$R$11+Summary!$R$85+Summary!$R$87</f>
        <v>26.061671323342651</v>
      </c>
    </row>
    <row r="38" spans="2:9" x14ac:dyDescent="0.35">
      <c r="B38">
        <v>35</v>
      </c>
      <c r="C38" s="148">
        <f>B38/39.37*Summary!$C$9+Summary!$C$12+Summary!$C$81+Summary!$C$83+Summary!$C$86+Summary!$C$96*Summary!$C$15</f>
        <v>2.1310236982473966E-10</v>
      </c>
      <c r="D38" s="149">
        <f>B38/39.37*Summary!$C$8+Summary!$C$11+Summary!$C$85+Summary!$C$87</f>
        <v>27.199367538735078</v>
      </c>
      <c r="G38">
        <v>35</v>
      </c>
      <c r="H38" s="49">
        <f>G38/39.37*Summary!$R$9+Summary!$R$12+Summary!$R$81+Summary!$R$83+Summary!$R$86+Summary!$R$96*Summary!$R$15</f>
        <v>2.1310236982473966E-10</v>
      </c>
      <c r="I38">
        <f>G38/39.37*Summary!$R$8+Summary!$R$11+Summary!$R$85+Summary!$R$87</f>
        <v>26.569367538735079</v>
      </c>
    </row>
    <row r="39" spans="2:9" x14ac:dyDescent="0.35">
      <c r="B39">
        <v>36</v>
      </c>
      <c r="C39" s="49">
        <f>B39/39.37*Summary!$C$9+Summary!$C$12+Summary!$C$81+Summary!$C$83+Summary!$C$86+Summary!$C$96*Summary!$C$15</f>
        <v>2.183855803911608E-10</v>
      </c>
      <c r="D39">
        <f>B39/39.37*Summary!$C$8+Summary!$C$11+Summary!$C$85+Summary!$C$87</f>
        <v>27.707063754127507</v>
      </c>
      <c r="G39">
        <v>36</v>
      </c>
      <c r="H39" s="49">
        <f>G39/39.37*Summary!$R$9+Summary!$R$12+Summary!$R$81+Summary!$R$83+Summary!$R$86+Summary!$R$96*Summary!$R$15</f>
        <v>2.183855803911608E-10</v>
      </c>
      <c r="I39">
        <f>G39/39.37*Summary!$R$8+Summary!$R$11+Summary!$R$85+Summary!$R$87</f>
        <v>27.077063754127508</v>
      </c>
    </row>
    <row r="40" spans="2:9" x14ac:dyDescent="0.35">
      <c r="B40">
        <v>37</v>
      </c>
      <c r="C40" s="49">
        <f>B40/39.37*Summary!$C$9+Summary!$C$12+Summary!$C$81+Summary!$C$83+Summary!$C$86+Summary!$C$96*Summary!$C$15</f>
        <v>2.2366879095758194E-10</v>
      </c>
      <c r="D40">
        <f>B40/39.37*Summary!$C$8+Summary!$C$11+Summary!$C$85+Summary!$C$87</f>
        <v>28.214759969519939</v>
      </c>
      <c r="G40">
        <v>37</v>
      </c>
      <c r="H40" s="49">
        <f>G40/39.37*Summary!$R$9+Summary!$R$12+Summary!$R$81+Summary!$R$83+Summary!$R$86+Summary!$R$96*Summary!$R$15</f>
        <v>2.2366879095758194E-10</v>
      </c>
      <c r="I40">
        <f>G40/39.37*Summary!$R$8+Summary!$R$11+Summary!$R$85+Summary!$R$87</f>
        <v>27.58475996951994</v>
      </c>
    </row>
    <row r="41" spans="2:9" x14ac:dyDescent="0.35">
      <c r="B41">
        <v>38</v>
      </c>
      <c r="C41" s="49">
        <f>B41/39.37*Summary!$C$9+Summary!$C$12+Summary!$C$81+Summary!$C$83+Summary!$C$86+Summary!$C$96*Summary!$C$15</f>
        <v>2.2895200152400305E-10</v>
      </c>
      <c r="D41">
        <f>B41/39.37*Summary!$C$8+Summary!$C$11+Summary!$C$85+Summary!$C$87</f>
        <v>28.722456184912371</v>
      </c>
      <c r="G41">
        <v>38</v>
      </c>
      <c r="H41" s="49">
        <f>G41/39.37*Summary!$R$9+Summary!$R$12+Summary!$R$81+Summary!$R$83+Summary!$R$86+Summary!$R$96*Summary!$R$15</f>
        <v>2.2895200152400305E-10</v>
      </c>
      <c r="I41">
        <f>G41/39.37*Summary!$R$8+Summary!$R$11+Summary!$R$85+Summary!$R$87</f>
        <v>28.092456184912372</v>
      </c>
    </row>
    <row r="42" spans="2:9" x14ac:dyDescent="0.35">
      <c r="B42">
        <v>39</v>
      </c>
      <c r="C42" s="49">
        <f>B42/39.37*Summary!$C$9+Summary!$C$12+Summary!$C$81+Summary!$C$83+Summary!$C$86+Summary!$C$96*Summary!$C$15</f>
        <v>2.3423521209042424E-10</v>
      </c>
      <c r="D42">
        <f>B42/39.37*Summary!$C$8+Summary!$C$11+Summary!$C$85+Summary!$C$87</f>
        <v>29.230152400304803</v>
      </c>
      <c r="G42">
        <v>39</v>
      </c>
      <c r="H42" s="49">
        <f>G42/39.37*Summary!$R$9+Summary!$R$12+Summary!$R$81+Summary!$R$83+Summary!$R$86+Summary!$R$96*Summary!$R$15</f>
        <v>2.3423521209042424E-10</v>
      </c>
      <c r="I42">
        <f>G42/39.37*Summary!$R$8+Summary!$R$11+Summary!$R$85+Summary!$R$87</f>
        <v>28.600152400304804</v>
      </c>
    </row>
    <row r="43" spans="2:9" x14ac:dyDescent="0.35">
      <c r="B43">
        <v>40</v>
      </c>
      <c r="C43" s="146">
        <f>B43/39.37*Summary!$C$9+Summary!$C$12+Summary!$C$81+Summary!$C$83+Summary!$C$86+Summary!$C$96*Summary!$C$15</f>
        <v>2.3951842265684536E-10</v>
      </c>
      <c r="D43" s="147">
        <f>B43/39.37*Summary!$C$8+Summary!$C$11+Summary!$C$85+Summary!$C$87</f>
        <v>29.737848615697231</v>
      </c>
      <c r="G43">
        <v>40</v>
      </c>
      <c r="H43" s="49">
        <f>G43/39.37*Summary!$R$9+Summary!$R$12+Summary!$R$81+Summary!$R$83+Summary!$R$86+Summary!$R$96*Summary!$R$15</f>
        <v>2.3951842265684536E-10</v>
      </c>
      <c r="I43">
        <f>G43/39.37*Summary!$R$8+Summary!$R$11+Summary!$R$85+Summary!$R$87</f>
        <v>29.107848615697232</v>
      </c>
    </row>
    <row r="44" spans="2:9" x14ac:dyDescent="0.35">
      <c r="B44">
        <v>41</v>
      </c>
      <c r="C44" s="49">
        <f>B44/39.37*Summary!$C$9+Summary!$C$12+Summary!$C$81+Summary!$C$83+Summary!$C$86+Summary!$C$96*Summary!$C$15</f>
        <v>2.4480163322326647E-10</v>
      </c>
      <c r="D44">
        <f>B44/39.37*Summary!$C$8+Summary!$C$11+Summary!$C$85+Summary!$C$87</f>
        <v>30.245544831089664</v>
      </c>
      <c r="G44">
        <v>41</v>
      </c>
      <c r="H44" s="49">
        <f>G44/39.37*Summary!$R$9+Summary!$R$12+Summary!$R$81+Summary!$R$83+Summary!$R$86+Summary!$R$96*Summary!$R$15</f>
        <v>2.4480163322326647E-10</v>
      </c>
      <c r="I44">
        <f>G44/39.37*Summary!$R$8+Summary!$R$11+Summary!$R$85+Summary!$R$87</f>
        <v>29.615544831089665</v>
      </c>
    </row>
    <row r="45" spans="2:9" x14ac:dyDescent="0.35">
      <c r="B45">
        <v>42</v>
      </c>
      <c r="C45" s="49">
        <f>B45/39.37*Summary!$C$9+Summary!$C$12+Summary!$C$81+Summary!$C$83+Summary!$C$86+Summary!$C$96*Summary!$C$15</f>
        <v>2.5008484378968763E-10</v>
      </c>
      <c r="D45">
        <f>B45/39.37*Summary!$C$8+Summary!$C$11+Summary!$C$85+Summary!$C$87</f>
        <v>30.753241046482092</v>
      </c>
      <c r="G45">
        <v>42</v>
      </c>
      <c r="H45" s="49">
        <f>G45/39.37*Summary!$R$9+Summary!$R$12+Summary!$R$81+Summary!$R$83+Summary!$R$86+Summary!$R$96*Summary!$R$15</f>
        <v>2.5008484378968763E-10</v>
      </c>
      <c r="I45">
        <f>G45/39.37*Summary!$R$8+Summary!$R$11+Summary!$R$85+Summary!$R$87</f>
        <v>30.123241046482093</v>
      </c>
    </row>
    <row r="46" spans="2:9" x14ac:dyDescent="0.35">
      <c r="B46">
        <v>43</v>
      </c>
      <c r="C46" s="49">
        <f>B46/39.37*Summary!$C$9+Summary!$C$12+Summary!$C$81+Summary!$C$83+Summary!$C$86+Summary!$C$96*Summary!$C$15</f>
        <v>2.5536805435610874E-10</v>
      </c>
      <c r="D46">
        <f>B46/39.37*Summary!$C$8+Summary!$C$11+Summary!$C$85+Summary!$C$87</f>
        <v>31.260937261874524</v>
      </c>
      <c r="G46">
        <v>43</v>
      </c>
      <c r="H46" s="49">
        <f>G46/39.37*Summary!$R$9+Summary!$R$12+Summary!$R$81+Summary!$R$83+Summary!$R$86+Summary!$R$96*Summary!$R$15</f>
        <v>2.5536805435610874E-10</v>
      </c>
      <c r="I46">
        <f>G46/39.37*Summary!$R$8+Summary!$R$11+Summary!$R$85+Summary!$R$87</f>
        <v>30.630937261874525</v>
      </c>
    </row>
    <row r="47" spans="2:9" x14ac:dyDescent="0.35">
      <c r="B47">
        <v>44</v>
      </c>
      <c r="C47" s="49">
        <f>B47/39.37*Summary!$C$9+Summary!$C$12+Summary!$C$81+Summary!$C$83+Summary!$C$86+Summary!$C$96*Summary!$C$15</f>
        <v>2.6065126492252986E-10</v>
      </c>
      <c r="D47">
        <f>B47/39.37*Summary!$C$8+Summary!$C$11+Summary!$C$85+Summary!$C$87</f>
        <v>31.768633477266956</v>
      </c>
      <c r="G47">
        <v>44</v>
      </c>
      <c r="H47" s="49">
        <f>G47/39.37*Summary!$R$9+Summary!$R$12+Summary!$R$81+Summary!$R$83+Summary!$R$86+Summary!$R$96*Summary!$R$15</f>
        <v>2.6065126492252986E-10</v>
      </c>
      <c r="I47">
        <f>G47/39.37*Summary!$R$8+Summary!$R$11+Summary!$R$85+Summary!$R$87</f>
        <v>31.138633477266957</v>
      </c>
    </row>
    <row r="48" spans="2:9" x14ac:dyDescent="0.35">
      <c r="B48">
        <v>45</v>
      </c>
      <c r="C48" s="49">
        <f>B48/39.37*Summary!$C$9+Summary!$C$12+Summary!$C$81+Summary!$C$83+Summary!$C$86+Summary!$C$96*Summary!$C$15</f>
        <v>2.6593447548895097E-10</v>
      </c>
      <c r="D48">
        <f>B48/39.37*Summary!$C$8+Summary!$C$11+Summary!$C$85+Summary!$C$87</f>
        <v>32.276329692659388</v>
      </c>
      <c r="G48">
        <v>45</v>
      </c>
      <c r="H48" s="49">
        <f>G48/39.37*Summary!$R$9+Summary!$R$12+Summary!$R$81+Summary!$R$83+Summary!$R$86+Summary!$R$96*Summary!$R$15</f>
        <v>2.6593447548895097E-10</v>
      </c>
      <c r="I48">
        <f>G48/39.37*Summary!$R$8+Summary!$R$11+Summary!$R$85+Summary!$R$87</f>
        <v>31.646329692659386</v>
      </c>
    </row>
    <row r="49" spans="2:9" x14ac:dyDescent="0.35">
      <c r="B49">
        <v>46</v>
      </c>
      <c r="C49" s="49">
        <f>B49/39.37*Summary!$C$9+Summary!$C$12+Summary!$C$81+Summary!$C$83+Summary!$C$86+Summary!$C$96*Summary!$C$15</f>
        <v>2.7121768605537213E-10</v>
      </c>
      <c r="D49">
        <f>B49/39.37*Summary!$C$8+Summary!$C$11+Summary!$C$85+Summary!$C$87</f>
        <v>32.784025908051817</v>
      </c>
      <c r="G49">
        <v>46</v>
      </c>
      <c r="H49" s="49">
        <f>G49/39.37*Summary!$R$9+Summary!$R$12+Summary!$R$81+Summary!$R$83+Summary!$R$86+Summary!$R$96*Summary!$R$15</f>
        <v>2.7121768605537213E-10</v>
      </c>
      <c r="I49">
        <f>G49/39.37*Summary!$R$8+Summary!$R$11+Summary!$R$85+Summary!$R$87</f>
        <v>32.154025908051814</v>
      </c>
    </row>
    <row r="50" spans="2:9" x14ac:dyDescent="0.35">
      <c r="B50">
        <v>47</v>
      </c>
      <c r="C50" s="49">
        <f>B50/39.37*Summary!$C$9+Summary!$C$12+Summary!$C$81+Summary!$C$83+Summary!$C$86+Summary!$C$96*Summary!$C$15</f>
        <v>2.7650089662179325E-10</v>
      </c>
      <c r="D50">
        <f>B50/39.37*Summary!$C$8+Summary!$C$11+Summary!$C$85+Summary!$C$87</f>
        <v>33.291722123444245</v>
      </c>
      <c r="G50">
        <v>47</v>
      </c>
      <c r="H50" s="49">
        <f>G50/39.37*Summary!$R$9+Summary!$R$12+Summary!$R$81+Summary!$R$83+Summary!$R$86+Summary!$R$96*Summary!$R$15</f>
        <v>2.7650089662179325E-10</v>
      </c>
      <c r="I50">
        <f>G50/39.37*Summary!$R$8+Summary!$R$11+Summary!$R$85+Summary!$R$87</f>
        <v>32.661722123444243</v>
      </c>
    </row>
    <row r="51" spans="2:9" x14ac:dyDescent="0.35">
      <c r="B51">
        <v>48</v>
      </c>
      <c r="C51" s="49">
        <f>B51/39.37*Summary!$C$9+Summary!$C$12+Summary!$C$81+Summary!$C$83+Summary!$C$86+Summary!$C$96*Summary!$C$15</f>
        <v>2.8178410718821441E-10</v>
      </c>
      <c r="D51">
        <f>B51/39.37*Summary!$C$8+Summary!$C$11+Summary!$C$85+Summary!$C$87</f>
        <v>33.799418338836681</v>
      </c>
      <c r="G51">
        <v>48</v>
      </c>
      <c r="H51" s="49">
        <f>G51/39.37*Summary!$R$9+Summary!$R$12+Summary!$R$81+Summary!$R$83+Summary!$R$86+Summary!$R$96*Summary!$R$15</f>
        <v>2.8178410718821441E-10</v>
      </c>
      <c r="I51">
        <f>G51/39.37*Summary!$R$8+Summary!$R$11+Summary!$R$85+Summary!$R$87</f>
        <v>33.169418338836678</v>
      </c>
    </row>
    <row r="52" spans="2:9" x14ac:dyDescent="0.35">
      <c r="B52">
        <v>49</v>
      </c>
      <c r="C52" s="49">
        <f>B52/39.37*Summary!$C$9+Summary!$C$12+Summary!$C$81+Summary!$C$83+Summary!$C$86+Summary!$C$96*Summary!$C$15</f>
        <v>2.8706731775463552E-10</v>
      </c>
      <c r="D52">
        <f>B52/39.37*Summary!$C$8+Summary!$C$11+Summary!$C$85+Summary!$C$87</f>
        <v>34.307114554229109</v>
      </c>
      <c r="G52">
        <v>49</v>
      </c>
      <c r="H52" s="49">
        <f>G52/39.37*Summary!$R$9+Summary!$R$12+Summary!$R$81+Summary!$R$83+Summary!$R$86+Summary!$R$96*Summary!$R$15</f>
        <v>2.8706731775463552E-10</v>
      </c>
      <c r="I52">
        <f>G52/39.37*Summary!$R$8+Summary!$R$11+Summary!$R$85+Summary!$R$87</f>
        <v>33.677114554229107</v>
      </c>
    </row>
    <row r="53" spans="2:9" x14ac:dyDescent="0.35">
      <c r="B53">
        <v>50</v>
      </c>
      <c r="C53" s="49">
        <f>B53/39.37*Summary!$C$9+Summary!$C$12+Summary!$C$81+Summary!$C$83+Summary!$C$86+Summary!$C$96*Summary!$C$15</f>
        <v>2.9235052832105663E-10</v>
      </c>
      <c r="D53">
        <f>B53/39.37*Summary!$C$8+Summary!$C$11+Summary!$C$85+Summary!$C$87</f>
        <v>34.814810769621538</v>
      </c>
      <c r="G53">
        <v>50</v>
      </c>
      <c r="H53" s="49">
        <f>G53/39.37*Summary!$R$9+Summary!$R$12+Summary!$R$81+Summary!$R$83+Summary!$R$86+Summary!$R$96*Summary!$R$15</f>
        <v>2.9235052832105663E-10</v>
      </c>
      <c r="I53">
        <f>G53/39.37*Summary!$R$8+Summary!$R$11+Summary!$R$85+Summary!$R$87</f>
        <v>34.184810769621535</v>
      </c>
    </row>
    <row r="54" spans="2:9" x14ac:dyDescent="0.35">
      <c r="B54">
        <v>51</v>
      </c>
      <c r="C54" s="49">
        <f>B54/39.37*Summary!$C$9+Summary!$C$12+Summary!$C$81+Summary!$C$83+Summary!$C$86+Summary!$C$96*Summary!$C$15</f>
        <v>2.9763373888747775E-10</v>
      </c>
      <c r="D54">
        <f>B54/39.37*Summary!$C$8+Summary!$C$11+Summary!$C$85+Summary!$C$87</f>
        <v>35.322506985013966</v>
      </c>
      <c r="G54">
        <v>51</v>
      </c>
      <c r="H54" s="49">
        <f>G54/39.37*Summary!$R$9+Summary!$R$12+Summary!$R$81+Summary!$R$83+Summary!$R$86+Summary!$R$96*Summary!$R$15</f>
        <v>2.9763373888747775E-10</v>
      </c>
      <c r="I54">
        <f>G54/39.37*Summary!$R$8+Summary!$R$11+Summary!$R$85+Summary!$R$87</f>
        <v>34.692506985013964</v>
      </c>
    </row>
    <row r="55" spans="2:9" x14ac:dyDescent="0.35">
      <c r="B55">
        <v>52</v>
      </c>
      <c r="C55" s="146">
        <f>B55/39.37*Summary!$C$9+Summary!$C$12+Summary!$C$81+Summary!$C$83+Summary!$C$86+Summary!$C$96*Summary!$C$15</f>
        <v>3.0291694945389891E-10</v>
      </c>
      <c r="D55" s="147">
        <f>B55/39.37*Summary!$C$8+Summary!$C$11+Summary!$C$85+Summary!$C$87</f>
        <v>35.830203200406402</v>
      </c>
      <c r="G55">
        <v>52</v>
      </c>
      <c r="H55" s="49">
        <f>G55/39.37*Summary!$R$9+Summary!$R$12+Summary!$R$81+Summary!$R$83+Summary!$R$86+Summary!$R$96*Summary!$R$15</f>
        <v>3.0291694945389891E-10</v>
      </c>
      <c r="I55">
        <f>G55/39.37*Summary!$R$8+Summary!$R$11+Summary!$R$85+Summary!$R$87</f>
        <v>35.200203200406399</v>
      </c>
    </row>
    <row r="56" spans="2:9" x14ac:dyDescent="0.35">
      <c r="B56">
        <v>53</v>
      </c>
      <c r="C56" s="49">
        <f>B56/39.37*Summary!$C$9+Summary!$C$12+Summary!$C$81+Summary!$C$83+Summary!$C$86+Summary!$C$96*Summary!$C$15</f>
        <v>3.0820016002032007E-10</v>
      </c>
      <c r="D56">
        <f>B56/39.37*Summary!$C$8+Summary!$C$11+Summary!$C$85+Summary!$C$87</f>
        <v>36.337899415798837</v>
      </c>
      <c r="G56">
        <v>53</v>
      </c>
      <c r="H56" s="49">
        <f>G56/39.37*Summary!$R$9+Summary!$R$12+Summary!$R$81+Summary!$R$83+Summary!$R$86+Summary!$R$96*Summary!$R$15</f>
        <v>3.0820016002032007E-10</v>
      </c>
      <c r="I56">
        <f>G56/39.37*Summary!$R$8+Summary!$R$11+Summary!$R$85+Summary!$R$87</f>
        <v>35.707899415798835</v>
      </c>
    </row>
    <row r="57" spans="2:9" x14ac:dyDescent="0.35">
      <c r="B57">
        <v>54</v>
      </c>
      <c r="C57" s="49">
        <f>B57/39.37*Summary!$C$9+Summary!$C$12+Summary!$C$81+Summary!$C$83+Summary!$C$86+Summary!$C$96*Summary!$C$15</f>
        <v>3.1348337058674119E-10</v>
      </c>
      <c r="D57">
        <f>B57/39.37*Summary!$C$8+Summary!$C$11+Summary!$C$85+Summary!$C$87</f>
        <v>36.845595631191266</v>
      </c>
      <c r="G57">
        <v>54</v>
      </c>
      <c r="H57" s="49">
        <f>G57/39.37*Summary!$R$9+Summary!$R$12+Summary!$R$81+Summary!$R$83+Summary!$R$86+Summary!$R$96*Summary!$R$15</f>
        <v>3.1348337058674119E-10</v>
      </c>
      <c r="I57">
        <f>G57/39.37*Summary!$R$8+Summary!$R$11+Summary!$R$85+Summary!$R$87</f>
        <v>36.215595631191263</v>
      </c>
    </row>
    <row r="58" spans="2:9" x14ac:dyDescent="0.35">
      <c r="B58">
        <v>55</v>
      </c>
      <c r="C58" s="49">
        <f>B58/39.37*Summary!$C$9+Summary!$C$12+Summary!$C$81+Summary!$C$83+Summary!$C$86+Summary!$C$96*Summary!$C$15</f>
        <v>3.187665811531623E-10</v>
      </c>
      <c r="D58">
        <f>B58/39.37*Summary!$C$8+Summary!$C$11+Summary!$C$85+Summary!$C$87</f>
        <v>37.353291846583694</v>
      </c>
      <c r="G58">
        <v>55</v>
      </c>
      <c r="H58" s="49">
        <f>G58/39.37*Summary!$R$9+Summary!$R$12+Summary!$R$81+Summary!$R$83+Summary!$R$86+Summary!$R$96*Summary!$R$15</f>
        <v>3.187665811531623E-10</v>
      </c>
      <c r="I58">
        <f>G58/39.37*Summary!$R$8+Summary!$R$11+Summary!$R$85+Summary!$R$87</f>
        <v>36.723291846583692</v>
      </c>
    </row>
    <row r="59" spans="2:9" x14ac:dyDescent="0.35">
      <c r="B59">
        <v>56</v>
      </c>
      <c r="C59" s="49">
        <f>B59/39.37*Summary!$C$9+Summary!$C$12+Summary!$C$81+Summary!$C$83+Summary!$C$86+Summary!$C$96*Summary!$C$15</f>
        <v>3.2404979171958346E-10</v>
      </c>
      <c r="D59">
        <f>B59/39.37*Summary!$C$8+Summary!$C$11+Summary!$C$85+Summary!$C$87</f>
        <v>37.860988061976123</v>
      </c>
      <c r="G59">
        <v>56</v>
      </c>
      <c r="H59" s="49">
        <f>G59/39.37*Summary!$R$9+Summary!$R$12+Summary!$R$81+Summary!$R$83+Summary!$R$86+Summary!$R$96*Summary!$R$15</f>
        <v>3.2404979171958346E-10</v>
      </c>
      <c r="I59">
        <f>G59/39.37*Summary!$R$8+Summary!$R$11+Summary!$R$85+Summary!$R$87</f>
        <v>37.23098806197612</v>
      </c>
    </row>
    <row r="60" spans="2:9" x14ac:dyDescent="0.35">
      <c r="B60">
        <v>57</v>
      </c>
      <c r="C60" s="49">
        <f>B60/39.37*Summary!$C$9+Summary!$C$12+Summary!$C$81+Summary!$C$83+Summary!$C$86+Summary!$C$96*Summary!$C$15</f>
        <v>3.2933300228600458E-10</v>
      </c>
      <c r="D60">
        <f>B60/39.37*Summary!$C$8+Summary!$C$11+Summary!$C$85+Summary!$C$87</f>
        <v>38.368684277368551</v>
      </c>
      <c r="G60">
        <v>57</v>
      </c>
      <c r="H60" s="49">
        <f>G60/39.37*Summary!$R$9+Summary!$R$12+Summary!$R$81+Summary!$R$83+Summary!$R$86+Summary!$R$96*Summary!$R$15</f>
        <v>3.2933300228600458E-10</v>
      </c>
      <c r="I60">
        <f>G60/39.37*Summary!$R$8+Summary!$R$11+Summary!$R$85+Summary!$R$87</f>
        <v>37.738684277368549</v>
      </c>
    </row>
    <row r="61" spans="2:9" x14ac:dyDescent="0.35">
      <c r="B61">
        <v>58</v>
      </c>
      <c r="C61" s="49">
        <f>B61/39.37*Summary!$C$9+Summary!$C$12+Summary!$C$81+Summary!$C$83+Summary!$C$86+Summary!$C$96*Summary!$C$15</f>
        <v>3.3461621285242569E-10</v>
      </c>
      <c r="D61">
        <f>B61/39.37*Summary!$C$8+Summary!$C$11+Summary!$C$85+Summary!$C$87</f>
        <v>38.876380492760987</v>
      </c>
      <c r="G61">
        <v>58</v>
      </c>
      <c r="H61" s="49">
        <f>G61/39.37*Summary!$R$9+Summary!$R$12+Summary!$R$81+Summary!$R$83+Summary!$R$86+Summary!$R$96*Summary!$R$15</f>
        <v>3.3461621285242569E-10</v>
      </c>
      <c r="I61">
        <f>G61/39.37*Summary!$R$8+Summary!$R$11+Summary!$R$85+Summary!$R$87</f>
        <v>38.246380492760984</v>
      </c>
    </row>
    <row r="62" spans="2:9" x14ac:dyDescent="0.35">
      <c r="B62">
        <v>59</v>
      </c>
      <c r="C62" s="49">
        <f>B62/39.37*Summary!$C$9+Summary!$C$12+Summary!$C$81+Summary!$C$83+Summary!$C$86+Summary!$C$96*Summary!$C$15</f>
        <v>3.3989942341884685E-10</v>
      </c>
      <c r="D62">
        <f>B62/39.37*Summary!$C$8+Summary!$C$11+Summary!$C$85+Summary!$C$87</f>
        <v>39.384076708153415</v>
      </c>
      <c r="G62">
        <v>59</v>
      </c>
      <c r="H62" s="49">
        <f>G62/39.37*Summary!$R$9+Summary!$R$12+Summary!$R$81+Summary!$R$83+Summary!$R$86+Summary!$R$96*Summary!$R$15</f>
        <v>3.3989942341884685E-10</v>
      </c>
      <c r="I62">
        <f>G62/39.37*Summary!$R$8+Summary!$R$11+Summary!$R$85+Summary!$R$87</f>
        <v>38.754076708153413</v>
      </c>
    </row>
    <row r="63" spans="2:9" x14ac:dyDescent="0.35">
      <c r="B63">
        <v>60</v>
      </c>
      <c r="C63" s="49">
        <f>B63/39.37*Summary!$C$9+Summary!$C$12+Summary!$C$81+Summary!$C$83+Summary!$C$86+Summary!$C$96*Summary!$C$15</f>
        <v>3.4518263398526802E-10</v>
      </c>
      <c r="D63">
        <f>B63/39.37*Summary!$C$8+Summary!$C$11+Summary!$C$85+Summary!$C$87</f>
        <v>39.891772923545851</v>
      </c>
      <c r="G63">
        <v>60</v>
      </c>
      <c r="H63" s="49">
        <f>G63/39.37*Summary!$R$9+Summary!$R$12+Summary!$R$81+Summary!$R$83+Summary!$R$86+Summary!$R$96*Summary!$R$15</f>
        <v>3.4518263398526802E-10</v>
      </c>
      <c r="I63">
        <f>G63/39.37*Summary!$R$8+Summary!$R$11+Summary!$R$85+Summary!$R$87</f>
        <v>39.261772923545848</v>
      </c>
    </row>
    <row r="64" spans="2:9" x14ac:dyDescent="0.35">
      <c r="B64">
        <v>61</v>
      </c>
      <c r="C64" s="49">
        <f>B64/39.37*Summary!$C$9+Summary!$C$12+Summary!$C$81+Summary!$C$83+Summary!$C$86+Summary!$C$96*Summary!$C$15</f>
        <v>3.5046584455168913E-10</v>
      </c>
      <c r="D64">
        <f>B64/39.37*Summary!$C$8+Summary!$C$11+Summary!$C$85+Summary!$C$87</f>
        <v>40.399469138938279</v>
      </c>
      <c r="G64">
        <v>61</v>
      </c>
      <c r="H64" s="49">
        <f>G64/39.37*Summary!$R$9+Summary!$R$12+Summary!$R$81+Summary!$R$83+Summary!$R$86+Summary!$R$96*Summary!$R$15</f>
        <v>3.5046584455168913E-10</v>
      </c>
      <c r="I64">
        <f>G64/39.37*Summary!$R$8+Summary!$R$11+Summary!$R$85+Summary!$R$87</f>
        <v>39.769469138938277</v>
      </c>
    </row>
    <row r="65" spans="2:9" x14ac:dyDescent="0.35">
      <c r="B65">
        <v>62</v>
      </c>
      <c r="C65" s="49">
        <f>B65/39.37*Summary!$C$9+Summary!$C$12+Summary!$C$81+Summary!$C$83+Summary!$C$86+Summary!$C$96*Summary!$C$15</f>
        <v>3.5574905511811024E-10</v>
      </c>
      <c r="D65">
        <f>B65/39.37*Summary!$C$8+Summary!$C$11+Summary!$C$85+Summary!$C$87</f>
        <v>40.907165354330708</v>
      </c>
      <c r="G65">
        <v>62</v>
      </c>
      <c r="H65" s="49">
        <f>G65/39.37*Summary!$R$9+Summary!$R$12+Summary!$R$81+Summary!$R$83+Summary!$R$86+Summary!$R$96*Summary!$R$15</f>
        <v>3.5574905511811024E-10</v>
      </c>
      <c r="I65">
        <f>G65/39.37*Summary!$R$8+Summary!$R$11+Summary!$R$85+Summary!$R$87</f>
        <v>40.277165354330705</v>
      </c>
    </row>
    <row r="66" spans="2:9" x14ac:dyDescent="0.35">
      <c r="B66">
        <v>63</v>
      </c>
      <c r="C66" s="49">
        <f>B66/39.37*Summary!$C$9+Summary!$C$12+Summary!$C$81+Summary!$C$83+Summary!$C$86+Summary!$C$96*Summary!$C$15</f>
        <v>3.6103226568453135E-10</v>
      </c>
      <c r="D66">
        <f>B66/39.37*Summary!$C$8+Summary!$C$11+Summary!$C$85+Summary!$C$87</f>
        <v>41.414861569723136</v>
      </c>
      <c r="G66">
        <v>63</v>
      </c>
      <c r="H66" s="49">
        <f>G66/39.37*Summary!$R$9+Summary!$R$12+Summary!$R$81+Summary!$R$83+Summary!$R$86+Summary!$R$96*Summary!$R$15</f>
        <v>3.6103226568453135E-10</v>
      </c>
      <c r="I66">
        <f>G66/39.37*Summary!$R$8+Summary!$R$11+Summary!$R$85+Summary!$R$87</f>
        <v>40.784861569723134</v>
      </c>
    </row>
    <row r="67" spans="2:9" x14ac:dyDescent="0.35">
      <c r="B67">
        <v>64</v>
      </c>
      <c r="C67" s="49">
        <f>B67/39.37*Summary!$C$9+Summary!$C$12+Summary!$C$81+Summary!$C$83+Summary!$C$86+Summary!$C$96*Summary!$C$15</f>
        <v>3.6631547625095252E-10</v>
      </c>
      <c r="D67">
        <f>B67/39.37*Summary!$C$8+Summary!$C$11+Summary!$C$85+Summary!$C$87</f>
        <v>41.922557785115572</v>
      </c>
      <c r="G67">
        <v>64</v>
      </c>
      <c r="H67" s="49">
        <f>G67/39.37*Summary!$R$9+Summary!$R$12+Summary!$R$81+Summary!$R$83+Summary!$R$86+Summary!$R$96*Summary!$R$15</f>
        <v>3.6631547625095252E-10</v>
      </c>
      <c r="I67">
        <f>G67/39.37*Summary!$R$8+Summary!$R$11+Summary!$R$85+Summary!$R$87</f>
        <v>41.292557785115569</v>
      </c>
    </row>
    <row r="68" spans="2:9" x14ac:dyDescent="0.35">
      <c r="B68">
        <v>65</v>
      </c>
      <c r="C68" s="49">
        <f>B68/39.37*Summary!$C$9+Summary!$C$12+Summary!$C$81+Summary!$C$83+Summary!$C$86+Summary!$C$96*Summary!$C$15</f>
        <v>3.7159868681737368E-10</v>
      </c>
      <c r="D68">
        <f>B68/39.37*Summary!$C$8+Summary!$C$11+Summary!$C$85+Summary!$C$87</f>
        <v>42.430254000508</v>
      </c>
      <c r="G68">
        <v>65</v>
      </c>
      <c r="H68" s="49">
        <f>G68/39.37*Summary!$R$9+Summary!$R$12+Summary!$R$81+Summary!$R$83+Summary!$R$86+Summary!$R$96*Summary!$R$15</f>
        <v>3.7159868681737368E-10</v>
      </c>
      <c r="I68">
        <f>G68/39.37*Summary!$R$8+Summary!$R$11+Summary!$R$85+Summary!$R$87</f>
        <v>41.800254000507998</v>
      </c>
    </row>
    <row r="69" spans="2:9" x14ac:dyDescent="0.35">
      <c r="B69">
        <v>66</v>
      </c>
      <c r="C69" s="49">
        <f>B69/39.37*Summary!$C$9+Summary!$C$12+Summary!$C$81+Summary!$C$83+Summary!$C$86+Summary!$C$96*Summary!$C$15</f>
        <v>3.7688189738379479E-10</v>
      </c>
      <c r="D69">
        <f>B69/39.37*Summary!$C$8+Summary!$C$11+Summary!$C$85+Summary!$C$87</f>
        <v>42.937950215900436</v>
      </c>
      <c r="G69">
        <v>66</v>
      </c>
      <c r="H69" s="49">
        <f>G69/39.37*Summary!$R$9+Summary!$R$12+Summary!$R$81+Summary!$R$83+Summary!$R$86+Summary!$R$96*Summary!$R$15</f>
        <v>3.7688189738379479E-10</v>
      </c>
      <c r="I69">
        <f>G69/39.37*Summary!$R$8+Summary!$R$11+Summary!$R$85+Summary!$R$87</f>
        <v>42.307950215900433</v>
      </c>
    </row>
    <row r="70" spans="2:9" x14ac:dyDescent="0.35">
      <c r="B70">
        <v>67</v>
      </c>
      <c r="C70" s="49">
        <f>B70/39.37*Summary!$C$9+Summary!$C$12+Summary!$C$81+Summary!$C$83+Summary!$C$86+Summary!$C$96*Summary!$C$15</f>
        <v>3.8216510795021591E-10</v>
      </c>
      <c r="D70">
        <f>B70/39.37*Summary!$C$8+Summary!$C$11+Summary!$C$85+Summary!$C$87</f>
        <v>43.445646431292865</v>
      </c>
      <c r="G70">
        <v>67</v>
      </c>
      <c r="H70" s="49">
        <f>G70/39.37*Summary!$R$9+Summary!$R$12+Summary!$R$81+Summary!$R$83+Summary!$R$86+Summary!$R$96*Summary!$R$15</f>
        <v>3.8216510795021591E-10</v>
      </c>
      <c r="I70">
        <f>G70/39.37*Summary!$R$8+Summary!$R$11+Summary!$R$85+Summary!$R$87</f>
        <v>42.815646431292862</v>
      </c>
    </row>
    <row r="71" spans="2:9" x14ac:dyDescent="0.35">
      <c r="B71">
        <v>68</v>
      </c>
      <c r="C71" s="49">
        <f>B71/39.37*Summary!$C$9+Summary!$C$12+Summary!$C$81+Summary!$C$83+Summary!$C$86+Summary!$C$96*Summary!$C$15</f>
        <v>3.8744831851663707E-10</v>
      </c>
      <c r="D71">
        <f>B71/39.37*Summary!$C$8+Summary!$C$11+Summary!$C$85+Summary!$C$87</f>
        <v>43.9533426466853</v>
      </c>
      <c r="G71">
        <v>68</v>
      </c>
      <c r="H71" s="49">
        <f>G71/39.37*Summary!$R$9+Summary!$R$12+Summary!$R$81+Summary!$R$83+Summary!$R$86+Summary!$R$96*Summary!$R$15</f>
        <v>3.8744831851663707E-10</v>
      </c>
      <c r="I71">
        <f>G71/39.37*Summary!$R$8+Summary!$R$11+Summary!$R$85+Summary!$R$87</f>
        <v>43.323342646685298</v>
      </c>
    </row>
    <row r="72" spans="2:9" x14ac:dyDescent="0.35">
      <c r="B72">
        <v>69</v>
      </c>
      <c r="C72" s="49">
        <f>B72/39.37*Summary!$C$9+Summary!$C$12+Summary!$C$81+Summary!$C$83+Summary!$C$86+Summary!$C$96*Summary!$C$15</f>
        <v>3.9273152908305818E-10</v>
      </c>
      <c r="D72">
        <f>B72/39.37*Summary!$C$8+Summary!$C$11+Summary!$C$85+Summary!$C$87</f>
        <v>44.461038862077729</v>
      </c>
      <c r="G72">
        <v>69</v>
      </c>
      <c r="H72" s="49">
        <f>G72/39.37*Summary!$R$9+Summary!$R$12+Summary!$R$81+Summary!$R$83+Summary!$R$86+Summary!$R$96*Summary!$R$15</f>
        <v>3.9273152908305818E-10</v>
      </c>
      <c r="I72">
        <f>G72/39.37*Summary!$R$8+Summary!$R$11+Summary!$R$85+Summary!$R$87</f>
        <v>43.831038862077726</v>
      </c>
    </row>
    <row r="73" spans="2:9" x14ac:dyDescent="0.35">
      <c r="B73">
        <v>70</v>
      </c>
      <c r="C73" s="49">
        <f>B73/39.37*Summary!$C$9+Summary!$C$12+Summary!$C$81+Summary!$C$83+Summary!$C$86+Summary!$C$96*Summary!$C$15</f>
        <v>3.9801473964947929E-10</v>
      </c>
      <c r="D73">
        <f>B73/39.37*Summary!$C$8+Summary!$C$11+Summary!$C$85+Summary!$C$87</f>
        <v>44.968735077470157</v>
      </c>
      <c r="G73">
        <v>70</v>
      </c>
      <c r="H73" s="49">
        <f>G73/39.37*Summary!$R$9+Summary!$R$12+Summary!$R$81+Summary!$R$83+Summary!$R$86+Summary!$R$96*Summary!$R$15</f>
        <v>3.9801473964947929E-10</v>
      </c>
      <c r="I73">
        <f>G73/39.37*Summary!$R$8+Summary!$R$11+Summary!$R$85+Summary!$R$87</f>
        <v>44.338735077470155</v>
      </c>
    </row>
    <row r="74" spans="2:9" x14ac:dyDescent="0.35">
      <c r="B74">
        <v>71</v>
      </c>
      <c r="C74" s="146">
        <f>B74/39.37*Summary!$C$9+Summary!$C$12+Summary!$C$81+Summary!$C$83+Summary!$C$86+Summary!$C$96*Summary!$C$15</f>
        <v>4.0329795021590046E-10</v>
      </c>
      <c r="D74" s="147">
        <f>B74/39.37*Summary!$C$8+Summary!$C$11+Summary!$C$85+Summary!$C$87</f>
        <v>45.476431292862586</v>
      </c>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CD32B-136C-4925-9B9D-FCCADA8AB3C7}">
  <dimension ref="A1:AK130"/>
  <sheetViews>
    <sheetView topLeftCell="E1"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Summary!E16</f>
        <v>1.8</v>
      </c>
      <c r="K2" s="10">
        <v>1000000000000</v>
      </c>
      <c r="L2" s="15">
        <v>0.1</v>
      </c>
      <c r="M2" s="15">
        <v>0.1</v>
      </c>
      <c r="N2" s="17">
        <f>Summary!E26</f>
        <v>50</v>
      </c>
      <c r="O2" s="15">
        <f>Summary!E88</f>
        <v>0.25</v>
      </c>
      <c r="P2" s="15">
        <f>Summary!E89</f>
        <v>0.25</v>
      </c>
      <c r="Q2" s="5" t="str">
        <f>Summary!E27</f>
        <v>N/A</v>
      </c>
      <c r="R2" s="5">
        <f>Summary!E51</f>
        <v>0.3</v>
      </c>
      <c r="S2" s="5">
        <f>Summary!E52</f>
        <v>0.7</v>
      </c>
      <c r="T2" s="5">
        <f>Summary!E53</f>
        <v>0.3</v>
      </c>
      <c r="U2" s="5">
        <f>Summary!E54</f>
        <v>0.7</v>
      </c>
      <c r="V2" s="130">
        <f>Summary!E55</f>
        <v>1.1999999999999999E-7</v>
      </c>
      <c r="W2" s="130">
        <f>Summary!E56</f>
        <v>1.1999999999999999E-7</v>
      </c>
      <c r="X2" s="131">
        <f>V2</f>
        <v>1.1999999999999999E-7</v>
      </c>
      <c r="Y2" s="132" t="str">
        <f>IF(Summary!E57="","",Summary!E57)</f>
        <v/>
      </c>
      <c r="Z2" s="132">
        <f>IF(Summary!E58="","",Summary!E58)</f>
        <v>6.5454545454545451E-9</v>
      </c>
      <c r="AA2" s="4">
        <f>Summary!E59</f>
        <v>1E-10</v>
      </c>
      <c r="AB2" s="41">
        <f>Summary!E81</f>
        <v>4.9999999999999997E-12</v>
      </c>
      <c r="AC2" s="41">
        <f>Summary!E83</f>
        <v>8.1900000000000013E-12</v>
      </c>
      <c r="AD2" s="3">
        <f>Summary!E84</f>
        <v>0.69</v>
      </c>
      <c r="AE2" s="41">
        <f>Summary!E86</f>
        <v>4.9999999999999997E-12</v>
      </c>
      <c r="AF2" s="5">
        <f>Summary!E87</f>
        <v>2.93</v>
      </c>
      <c r="AG2" s="127" t="str">
        <f>Summary!E50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Summary!E16</f>
        <v>1.8</v>
      </c>
      <c r="K3" s="10">
        <v>1000000000000</v>
      </c>
      <c r="L3" s="15">
        <v>0.1</v>
      </c>
      <c r="M3" s="15">
        <v>0.1</v>
      </c>
      <c r="N3">
        <f>Summary!E97</f>
        <v>20</v>
      </c>
      <c r="O3" s="15">
        <f>Summary!E98</f>
        <v>0.5</v>
      </c>
      <c r="P3" s="15">
        <f>Summary!E99</f>
        <v>0</v>
      </c>
      <c r="Q3"/>
      <c r="R3" s="5">
        <f>Summary!E38</f>
        <v>0.3</v>
      </c>
      <c r="S3" s="5">
        <f>Summary!E39</f>
        <v>0.7</v>
      </c>
      <c r="T3" s="5">
        <f>Summary!E42</f>
        <v>0.3</v>
      </c>
      <c r="U3" s="5">
        <f>Summary!E43</f>
        <v>0.7</v>
      </c>
      <c r="V3" s="130">
        <f>Summary!E44</f>
        <v>1.1999999999999999E-7</v>
      </c>
      <c r="W3" s="130">
        <f>Summary!E45</f>
        <v>1.1999999999999999E-7</v>
      </c>
      <c r="X3" s="131">
        <f>V3</f>
        <v>1.1999999999999999E-7</v>
      </c>
      <c r="Y3" s="132" t="str">
        <f>IF(Summary!E46="","",Summary!E46)</f>
        <v/>
      </c>
      <c r="Z3" s="132">
        <f>IF(Summary!E47="","",Summary!E47)</f>
        <v>6.5454545454545451E-9</v>
      </c>
      <c r="AA3" s="4">
        <f>Summary!E59</f>
        <v>1E-10</v>
      </c>
      <c r="AB3" s="41">
        <f>Summary!E96</f>
        <v>9.9999999999999994E-12</v>
      </c>
      <c r="AG3" s="127" t="str">
        <f>Summary!E37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427329345.73217905</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427329345.73217905</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108.31475257149835</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217.60045431917541</v>
      </c>
      <c r="F7" s="123">
        <f>_xlfn.IFNA(_xlfn.XLOOKUP($X$2,AB34:AB129,P34:P129,,-1), "Out of support PU range")</f>
        <v>787.5</v>
      </c>
      <c r="G7" s="124">
        <f>_xlfn.IFNA(_xlfn.XLOOKUP($X$3,S34:S129,P34:P129,,-1), "Out of support PU range")</f>
        <v>787.5</v>
      </c>
      <c r="H7" s="124">
        <f>_xlfn.IFNA(MAX(_xlfn.XLOOKUP(MAX($Y$2:$AA$2),AA34:AA129,O34:O129,,1), _xlfn.XLOOKUP($W$2,AD34:AD129,O34:O129,,-1)), "Fail AC VIL")</f>
        <v>114</v>
      </c>
      <c r="I7" s="129">
        <f>_xlfn.IFNA(MAX(_xlfn.XLOOKUP(MAX($Y$3:$AA$3),R34:R129,O34:O129,,1), _xlfn.XLOOKUP($W$3,AC34:AC129,O34:O129,,-1)), "Fail AC VIL")</f>
        <v>228</v>
      </c>
      <c r="J7" s="21">
        <v>20000</v>
      </c>
      <c r="K7" s="2">
        <f>MIN(
MIN(FLOOR(B7,10^(LEN(ROUND(B7,0))-1))/10,
FLOOR(C7,10^(LEN(ROUND(C7,0))-1))/10,
IF(F7*10&gt;=J7,FLOOR(F7,10^(LEN(ROUND(F7,0))-1))/10,FLOOR(F7,10^(LEN(ROUND(F7,0))-1))),
FLOOR(G7,10^(LEN(ROUND(G7,0))-1))/10),
MAX(I7,J7)
)</f>
        <v>70</v>
      </c>
      <c r="L7" s="1"/>
      <c r="N7" s="71">
        <f>Summary!E62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122.14285708612664</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122.14285708612664</v>
      </c>
      <c r="E8">
        <f>X2/(1.204*K18)</f>
        <v>621.87315038396935</v>
      </c>
      <c r="F8">
        <f>X3/(1.204*K18)</f>
        <v>621.87315038396935</v>
      </c>
      <c r="H8">
        <f>AA2/(1.204*K18)</f>
        <v>0.51822762531997457</v>
      </c>
      <c r="I8" s="2">
        <f>AA3/(1.204*K18)</f>
        <v>0.51822762531997457</v>
      </c>
      <c r="J8" s="8">
        <v>20000</v>
      </c>
      <c r="K8">
        <f>MIN(MIN(FLOOR(B8,10^(LEN(ROUND(B8,0))-1))/10,FLOOR(C8,10^(LEN(ROUND(C8,0))-1))/10,FLOOR(E8,10^(LEN(ROUND(E8,0))-1))/10,FLOOR(F8,10^(LEN(ROUND(F8,0))-1))/10),MAX(I8,J8))</f>
        <v>10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Summary!E24</f>
        <v>300</v>
      </c>
      <c r="D11" s="1">
        <f>IF(AND(B11="no need", C11=""), "",IF(AND(B11="no need", C11&gt;0), "please remove resistor",   IF(AND(B11="need resistor", ISBLANK(C11)), "please enter resistor",  (1/(1/F2+1/F3))/(1/(1/(1/(1/C2+1/C3))+1/C11)+(1/(1/F2+1/F3))) ) ))</f>
        <v>0.99999999939999995</v>
      </c>
      <c r="F11" s="7">
        <f>IF(B11="no need", 1000000000, C11)</f>
        <v>300</v>
      </c>
      <c r="G11" s="7" t="s">
        <v>281</v>
      </c>
      <c r="H11" s="62">
        <f>Summary!E25</f>
        <v>0.05</v>
      </c>
      <c r="K11" s="6" t="s">
        <v>282</v>
      </c>
      <c r="N11" s="19" t="s">
        <v>283</v>
      </c>
      <c r="P11" s="19" t="s">
        <v>284</v>
      </c>
      <c r="R11" s="127" t="s">
        <v>285</v>
      </c>
      <c r="S11" s="127">
        <f>($J$2+$J$2*Summary!$E$17)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Summary!E10</f>
        <v>25</v>
      </c>
      <c r="L12" t="s">
        <v>287</v>
      </c>
      <c r="N12" s="4">
        <f>SUM(AB2:AC3,AE2:AE3)</f>
        <v>2.8189999999999998E-11</v>
      </c>
      <c r="O12" t="s">
        <v>288</v>
      </c>
      <c r="P12" s="61">
        <f>Summary!E84+Summary!E87</f>
        <v>3.62</v>
      </c>
      <c r="Q12" t="s">
        <v>289</v>
      </c>
      <c r="R12" s="127" t="s">
        <v>290</v>
      </c>
      <c r="S12" s="127">
        <f>($J$2-$J$2*Summary!$E$17)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($J$3+$J$3*Summary!$E$18)</f>
        <v>1.8900000000000001</v>
      </c>
    </row>
    <row r="14" spans="1:37" x14ac:dyDescent="0.35">
      <c r="K14" s="6" t="s">
        <v>293</v>
      </c>
      <c r="N14" s="6" t="s">
        <v>294</v>
      </c>
      <c r="R14" s="127" t="s">
        <v>295</v>
      </c>
      <c r="S14" s="127">
        <f>($J$3-$J$3*Summary!$E$18)</f>
        <v>1.71</v>
      </c>
    </row>
    <row r="15" spans="1:37" x14ac:dyDescent="0.35">
      <c r="B15" s="2"/>
      <c r="C15" s="2"/>
      <c r="K15" s="3">
        <f>Summary!E8</f>
        <v>19.988</v>
      </c>
      <c r="L15" t="s">
        <v>296</v>
      </c>
      <c r="N15" s="41">
        <f>Summary!E9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0.99999964927554263</v>
      </c>
      <c r="C18">
        <f>B42</f>
        <v>0.99999974037086548</v>
      </c>
      <c r="D18">
        <f>B102</f>
        <v>0.99999964927554297</v>
      </c>
      <c r="E18">
        <f>C102</f>
        <v>0.12876649016385158</v>
      </c>
      <c r="F18" s="126">
        <f>_xlfn.LET(
_xlpm.Rbus, (1/(1/((1/(1/($G$91+$G$93)+1/$G$90))+$G$92)+1/($G$89))),
_xlpm.VCC, IF($AG$2="absolute",$S$13,1),
_xlpm.Vspec_abs, $U$2-$N$7,
(LN(1-$T$2/_xlpm.VCC)-LN(1-_xlpm.Vspec_abs/_xlpm.VCC))*$K$19*_xlpm.Rbus
)</f>
        <v>3.2030805890091832E-8</v>
      </c>
      <c r="G18" s="128">
        <f>_xlfn.LET(
_xlpm.Rbus, (1/(1/((1/(1/($D$91+$D$93)+1/$D$90))+$D$92)+1/($D$89))),
_xlpm.VCC, IF($AG$2="absolute",$S$14,1),
_xlpm.Vspec_abs, $U$2+$N$7,
(LN(1-$T$2/_xlpm.VCC)-LN(1-_xlpm.Vspec_abs/_xlpm.VCC))*$K$18*_xlpm.Rbus
)</f>
        <v>4.9507826824481939E-8</v>
      </c>
      <c r="H18" s="126">
        <f>_xlfn.LET(
_xlpm.Rbus, (1/(1/((1/(1/($H$96+$H$93)+1/$H$95))+$H$92)+1/($H$94))),
_xlpm.VCC, IF($AG$2="absolute",$S$14,1),
_xlpm.Vspec_abs, $T$2+$N$7,
_xlpm.Vspec_rel, _xlpm.Vspec_abs/_xlpm.VCC,
IFERROR((LN($U$2)-LN(_xlpm.Vspec_rel))*$K$19*_xlpm.Rbus, "Vlow exceeds VIL spec")
)</f>
        <v>2.9572194617395459E-9</v>
      </c>
      <c r="I18" s="128">
        <f>_xlfn.LET(
_xlpm.Rbus, (1/(1/((1/(1/($F$96+$F$93)+1/$F$95))+$F$92)+1/($F$94))),
_xlpm.VCC, IF($AG$2="absolute",$S$13,1),
_xlpm.Vspec_abs, $T$2-$N$7,
_xlpm.Vspec_rel, _xlpm.Vspec_abs/_xlpm.VCC,
IFERROR((LN($U$2)-LN(_xlpm.Vspec_rel))*$K$18*_xlpm.Rbus,"Vlow exceeds VIL spec")
)</f>
        <v>6.1858501236152233E-9</v>
      </c>
      <c r="J18" s="139" t="s">
        <v>307</v>
      </c>
      <c r="K18" s="4">
        <f>Summary!E102</f>
        <v>1.6027026416052833E-10</v>
      </c>
      <c r="L18" s="22" t="s">
        <v>288</v>
      </c>
      <c r="M18" s="10">
        <f>K18*1000000000000</f>
        <v>160.27026416052834</v>
      </c>
      <c r="N18" t="s">
        <v>308</v>
      </c>
      <c r="O18" s="49">
        <f>N12+K12/39.37*N15</f>
        <v>1.6027026416052833E-10</v>
      </c>
    </row>
    <row r="19" spans="1:26" x14ac:dyDescent="0.35">
      <c r="A19" t="s">
        <v>309</v>
      </c>
      <c r="B19">
        <f>C64</f>
        <v>0.99999964927554263</v>
      </c>
      <c r="C19">
        <f>C44</f>
        <v>0.99999974037086548</v>
      </c>
      <c r="D19">
        <f>B84</f>
        <v>0.99999964927554275</v>
      </c>
      <c r="E19">
        <f>C84</f>
        <v>0.22894283236567545</v>
      </c>
      <c r="F19" s="126">
        <f>_xlfn.LET(
_xlpm.Rbus,(1/(1/((1/(1/($G$77+$G$72)+1/$G$70))+$G$73)+1/($G$71))),
_xlpm.VCC,IF($AG$3="absolute",$S$11,1),
_xlpm.Vspec_abs,$U$3-$N$7,
(LN(1-($T$3/_xlpm.VCC))-LN(1-_xlpm.Vspec_abs/_xlpm.VCC))*$K$19*_xlpm.Rbus
)</f>
        <v>3.2030805890091832E-8</v>
      </c>
      <c r="G19" s="128">
        <f>_xlfn.LET(
_xlpm.Rbus, (1/(1/((1/(1/($D$77+$D$72)+1/$D$70))+$D$73)+1/($D$71))),
_xlpm.VCC, IF($AG$3="absolute",$S$12,1),
_xlpm.Vspec_abs, $U$3+$N$7,
(LN(1-$T$3/_xlpm.VCC)-LN(1-_xlpm.Vspec_abs/_xlpm.VCC))*$K$18*_xlpm.Rbus
)</f>
        <v>4.9507826824481939E-8</v>
      </c>
      <c r="H19" s="126">
        <f>_xlfn.LET(
_xlpm.Rbus, (1/(1/((1/(1/($H$74+$H$72)+1/$H$75))+$H$73)+1/($H$76))),
_xlpm.VCC, IF($AG$3="absolute",$S$12,1),
_xlpm.Vspec_abs, $T$3+$N$7,
_xlpm.Vspec_rel, _xlpm.Vspec_abs/_xlpm.VCC,
IFERROR((LN($U$3)-LN(_xlpm.Vspec_rel))*$K$19*_xlpm.Rbus, "Vlow exceeds VIL spec")
)</f>
        <v>6.0479110975299597E-9</v>
      </c>
      <c r="I19" s="128">
        <f>_xlfn.LET(
_xlpm.Rbus, (1/(1/((1/(1/($F$74+$F$72)+1/$F$75))+$F$73)+1/($F$76))),
_xlpm.VCC, IF($AG$3="absolute",$S$11,1),
_xlpm.Vspec_abs, $T$3-$N$7,
_xlpm.Vspec_rel, _xlpm.Vspec_abs/_xlpm.VCC,
IFERROR((LN($U$3)-LN(_xlpm.Vspec_rel))*$K$18*_xlpm.Rbus,"Vlow exceeds VIL spec")
)</f>
        <v>1.2427151103215194E-8</v>
      </c>
      <c r="J19" s="139" t="s">
        <v>310</v>
      </c>
      <c r="K19" s="122">
        <f>Summary!E101</f>
        <v>1.4358026416052834E-10</v>
      </c>
      <c r="L19" t="s">
        <v>288</v>
      </c>
    </row>
    <row r="20" spans="1:26" x14ac:dyDescent="0.35">
      <c r="J20" s="139"/>
      <c r="K20" s="6" t="s">
        <v>311</v>
      </c>
    </row>
    <row r="21" spans="1:26" x14ac:dyDescent="0.35">
      <c r="E21" s="120" t="s">
        <v>137</v>
      </c>
      <c r="F21" t="str">
        <f>IF(OR(AND(E18&gt;(R2-N7), Summary!E50="relative"), AND(E18&gt;(R2-N7)/(J3+J3*Summary!E18), Summary!E50="absolute")),IF(U29="no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IF(OR(Summary!E24&gt;Summary!E22,Summary!E24&lt;Summary!E21), "- ensure board PU is within recommended range" &amp; CHAR(10),) &amp; "- reduce MB trace length",""))</f>
        <v/>
      </c>
      <c r="H21">
        <f>_xlfn.LET(
_xlpm.Rbus, (1/(1/((1/(1/($H$96+$H$93)+1/$H$95))+$H$92)+1/($H$94))),
_xlpm.VCC, IF($AG$2="absolute",$S$14,1),
_xlpm.Vspec_abs, $T$2+$N$7,
_xlpm.Vspec_rel, _xlpm.Vspec_abs/_xlpm.VCC,
IFERROR(_xlpm.Rbus, "Vlow exceeds VIL spec")
)</f>
        <v>26.31240527281928</v>
      </c>
      <c r="J21" s="139" t="s">
        <v>307</v>
      </c>
      <c r="K21" s="5">
        <f>Summary!E104</f>
        <v>22.122405384810769</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Summary!E103</f>
        <v>16.31240538481077</v>
      </c>
      <c r="L22" t="s">
        <v>289</v>
      </c>
    </row>
    <row r="23" spans="1:26" x14ac:dyDescent="0.35">
      <c r="B23" s="171" t="s">
        <v>313</v>
      </c>
      <c r="C23" s="171"/>
      <c r="D23" t="s">
        <v>314</v>
      </c>
      <c r="E23" s="175"/>
      <c r="F23" t="str">
        <f>IF(F22="",IF(OR(AND(E19&lt;=(R3-N7), Summary!E37="relative"),AND(E19&lt;=(R3-N7)/(J2+J2*Summary!E17), Summary!E37="absolute")),IF(OR(G19&gt;V3,I19&gt;W3), IF(N2=MIN(AH2:AH5), "failed max rise/fall time spec, recommendations:" &amp; CHAR(10) &amp; "-reduce MB trace length" &amp; CHAR(10) &amp; "-increase trace width (reduce MB trace resistance per length)", "failed max rise/fall time spec, recommendations:" &amp; CHAR(10) &amp; IF(OR(Summary!E24&gt;Summary!E22,Summary!E24&lt;Summary!E21),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Summary!E13</f>
        <v>0</v>
      </c>
      <c r="L24" t="s">
        <v>305</v>
      </c>
    </row>
    <row r="25" spans="1:26" x14ac:dyDescent="0.35">
      <c r="A25" t="s">
        <v>318</v>
      </c>
      <c r="B25" s="11">
        <f>C2*(1-D2)</f>
        <v>900000000000</v>
      </c>
      <c r="C25" s="11">
        <f>C2*(1-D2)</f>
        <v>900000000000</v>
      </c>
      <c r="K25" s="18">
        <f>Summary!E14</f>
        <v>1</v>
      </c>
      <c r="L25" t="s">
        <v>274</v>
      </c>
      <c r="N25" s="72" t="s">
        <v>319</v>
      </c>
    </row>
    <row r="26" spans="1:26" x14ac:dyDescent="0.35">
      <c r="A26" t="s">
        <v>320</v>
      </c>
      <c r="B26" s="11">
        <f>F11*(1-H11)</f>
        <v>285</v>
      </c>
      <c r="C26" s="11">
        <f>F11*(1-H11)</f>
        <v>285</v>
      </c>
      <c r="Q26" t="s">
        <v>321</v>
      </c>
    </row>
    <row r="27" spans="1:26" x14ac:dyDescent="0.35">
      <c r="A27" t="s">
        <v>322</v>
      </c>
      <c r="B27" s="11">
        <f>C3*(1-D3)</f>
        <v>900000000000</v>
      </c>
      <c r="C27" s="11">
        <f>C3*(1-D3)</f>
        <v>900000000000</v>
      </c>
      <c r="Q27" t="s">
        <v>323</v>
      </c>
    </row>
    <row r="28" spans="1:26" x14ac:dyDescent="0.35">
      <c r="A28" t="s">
        <v>324</v>
      </c>
      <c r="B28" s="1">
        <f>K21</f>
        <v>22.122405384810769</v>
      </c>
      <c r="C28">
        <v>0</v>
      </c>
      <c r="Q28" t="s">
        <v>325</v>
      </c>
      <c r="V28" t="s">
        <v>305</v>
      </c>
      <c r="W28" t="s">
        <v>274</v>
      </c>
      <c r="X28" t="s">
        <v>326</v>
      </c>
    </row>
    <row r="29" spans="1:26" x14ac:dyDescent="0.35">
      <c r="A29" t="s">
        <v>327</v>
      </c>
      <c r="B29">
        <v>0</v>
      </c>
      <c r="C29" s="1">
        <f>K21</f>
        <v>22.122405384810769</v>
      </c>
      <c r="F29" s="11"/>
      <c r="T29" t="s">
        <v>328</v>
      </c>
      <c r="U29">
        <f>IF(IF(ISBLANK(Summary!E25),IF(U30=W82,L30,U30),IF(Summary!E25=5%,L30,U30))=N130,"no solution",IF(ISBLANK(Summary!E25),IF(U30=W82,L30,U30),IF(Summary!E25=5%,L30,U30)))</f>
        <v>430</v>
      </c>
      <c r="V29">
        <f>IFERROR(IF(X29=5%,VLOOKUP(1,M34:N129,2,FALSE),VLOOKUP(1,V34:W81,2,FALSE)),"no solution")</f>
        <v>240</v>
      </c>
      <c r="W29">
        <f>IF(U29="no solution","no solution",IF(X29=5%,VLOOKUP(MAX(M34:M129)-1,M34:N129,2,FALSE),VLOOKUP(MAX(V34:V81)-1,V34:W81,2,FALSE)))</f>
        <v>750</v>
      </c>
      <c r="X29" s="64">
        <f>Summary!E25</f>
        <v>0.05</v>
      </c>
    </row>
    <row r="30" spans="1:26" x14ac:dyDescent="0.35">
      <c r="A30" t="s">
        <v>329</v>
      </c>
      <c r="B30" s="11">
        <f>F2*(1+H2)</f>
        <v>1100000000000</v>
      </c>
      <c r="C30" s="11">
        <f>F2*(1+H2)</f>
        <v>1100000000000</v>
      </c>
      <c r="K30" t="s">
        <v>330</v>
      </c>
      <c r="L30">
        <f>VLOOKUP(Q31,M34:Q154,2)</f>
        <v>430</v>
      </c>
      <c r="T30" t="s">
        <v>331</v>
      </c>
      <c r="U30">
        <f>VLOOKUP(Z31,V34:W82,2)</f>
        <v>470</v>
      </c>
    </row>
    <row r="31" spans="1:26" x14ac:dyDescent="0.35">
      <c r="A31" t="s">
        <v>332</v>
      </c>
      <c r="B31" s="11">
        <f>F12*(1+H12)</f>
        <v>1100000000</v>
      </c>
      <c r="C31" s="11">
        <f>F12*(1+H12)</f>
        <v>1100000000</v>
      </c>
      <c r="Q31" cm="1">
        <f t="array" ref="Q31">MAX(M34:M129+1)/2</f>
        <v>7.5</v>
      </c>
      <c r="Z31" cm="1">
        <f t="array" ref="Z31">MAX(V34:V81+1)/2</f>
        <v>4</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4.7907358629788475E-9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4.7907358629788475E-9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1.1744628837115299E-9</v>
      </c>
      <c r="S35" s="126">
        <f t="shared" si="4"/>
        <v>4.9449327284909522E-9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4.9449327284909522E-9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1.281232236772157E-9</v>
      </c>
      <c r="S36" s="126">
        <f t="shared" si="4"/>
        <v>5.0991295940021736E-9</v>
      </c>
      <c r="T36">
        <v>1</v>
      </c>
      <c r="U36">
        <v>15</v>
      </c>
      <c r="V36">
        <f t="shared" si="11"/>
        <v>0</v>
      </c>
      <c r="W36">
        <f t="shared" si="12"/>
        <v>15</v>
      </c>
      <c r="X36">
        <f t="shared" si="5"/>
        <v>13.5</v>
      </c>
      <c r="Y36">
        <f t="shared" si="6"/>
        <v>16.5</v>
      </c>
      <c r="Z36">
        <f t="shared" si="13"/>
        <v>0</v>
      </c>
      <c r="AA36" s="126">
        <f t="shared" si="14"/>
        <v>1.281232236772157E-9</v>
      </c>
      <c r="AB36" s="126">
        <f t="shared" si="15"/>
        <v>5.0991295940021736E-9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1.3880015898321084E-9</v>
      </c>
      <c r="S37" s="126">
        <f t="shared" si="4"/>
        <v>5.2533264595125131E-9</v>
      </c>
      <c r="T37">
        <v>1</v>
      </c>
      <c r="U37">
        <v>18</v>
      </c>
      <c r="V37">
        <f t="shared" si="11"/>
        <v>0</v>
      </c>
      <c r="W37">
        <f t="shared" si="12"/>
        <v>18</v>
      </c>
      <c r="X37">
        <f t="shared" si="5"/>
        <v>16.2</v>
      </c>
      <c r="Y37">
        <f t="shared" si="6"/>
        <v>19.8</v>
      </c>
      <c r="Z37">
        <f t="shared" si="13"/>
        <v>0</v>
      </c>
      <c r="AA37" s="126">
        <f t="shared" si="14"/>
        <v>1.3880015898321084E-9</v>
      </c>
      <c r="AB37" s="126">
        <f t="shared" si="15"/>
        <v>5.2533264595125131E-9</v>
      </c>
      <c r="AC37" s="126" t="str">
        <f t="shared" si="7"/>
        <v>Vlow exceeds VIL spec</v>
      </c>
      <c r="AD37" s="126" t="str">
        <f t="shared" si="8"/>
        <v>Vlow exceeds VIL spec</v>
      </c>
    </row>
    <row r="38" spans="1:30" x14ac:dyDescent="0.35">
      <c r="A38" t="s">
        <v>347</v>
      </c>
      <c r="B38" s="125">
        <f>IF(Summary!E50="absolute",(S2+N7)/(J3-J3*Summary!E18),S2+N7)</f>
        <v>0.72</v>
      </c>
      <c r="K38">
        <v>1</v>
      </c>
      <c r="L38">
        <v>15</v>
      </c>
      <c r="M38">
        <f t="shared" si="9"/>
        <v>0</v>
      </c>
      <c r="N38">
        <f t="shared" si="0"/>
        <v>15</v>
      </c>
      <c r="O38">
        <f t="shared" si="1"/>
        <v>14.25</v>
      </c>
      <c r="P38">
        <f t="shared" si="2"/>
        <v>15.75</v>
      </c>
      <c r="Q38">
        <f t="shared" si="10"/>
        <v>0</v>
      </c>
      <c r="R38" s="126">
        <f t="shared" si="3"/>
        <v>1.601540295949982E-9</v>
      </c>
      <c r="S38" s="126">
        <f t="shared" si="4"/>
        <v>5.5617201905305428E-9</v>
      </c>
      <c r="T38">
        <v>1</v>
      </c>
      <c r="U38">
        <v>22</v>
      </c>
      <c r="V38">
        <f t="shared" si="11"/>
        <v>0</v>
      </c>
      <c r="W38">
        <f t="shared" si="12"/>
        <v>22</v>
      </c>
      <c r="X38">
        <f t="shared" si="5"/>
        <v>19.8</v>
      </c>
      <c r="Y38">
        <f t="shared" si="6"/>
        <v>24.200000000000003</v>
      </c>
      <c r="Z38">
        <f t="shared" si="13"/>
        <v>0</v>
      </c>
      <c r="AA38" s="126">
        <f t="shared" si="14"/>
        <v>1.601540295949982E-9</v>
      </c>
      <c r="AB38" s="126">
        <f t="shared" si="15"/>
        <v>5.5617201905305428E-9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1.7083096490079043E-9</v>
      </c>
      <c r="S39" s="126">
        <f t="shared" si="4"/>
        <v>5.7159170560382321E-9</v>
      </c>
      <c r="T39">
        <v>1</v>
      </c>
      <c r="U39">
        <v>27</v>
      </c>
      <c r="V39">
        <f t="shared" si="11"/>
        <v>0</v>
      </c>
      <c r="W39">
        <f t="shared" si="12"/>
        <v>27</v>
      </c>
      <c r="X39">
        <f t="shared" si="5"/>
        <v>24.3</v>
      </c>
      <c r="Y39">
        <f t="shared" si="6"/>
        <v>29.700000000000003</v>
      </c>
      <c r="Z39">
        <f t="shared" si="13"/>
        <v>0</v>
      </c>
      <c r="AA39" s="126">
        <f t="shared" si="14"/>
        <v>1.7083096490079043E-9</v>
      </c>
      <c r="AB39" s="126">
        <f t="shared" si="15"/>
        <v>5.7159170560382321E-9</v>
      </c>
      <c r="AC39" s="126" t="str">
        <f t="shared" si="7"/>
        <v>Vlow exceeds VIL spec</v>
      </c>
      <c r="AD39" s="126" t="str">
        <f t="shared" si="8"/>
        <v>Vlow exceeds VIL spec</v>
      </c>
    </row>
    <row r="40" spans="1:30" x14ac:dyDescent="0.35">
      <c r="A40" t="s">
        <v>349</v>
      </c>
      <c r="C40" s="125">
        <f>IF(Summary!E37="absolute",(S3+N7)/(J2-J2*Summary!E17),S3+N7)</f>
        <v>0.72</v>
      </c>
      <c r="K40">
        <v>1</v>
      </c>
      <c r="L40">
        <v>18</v>
      </c>
      <c r="M40">
        <f t="shared" si="9"/>
        <v>0</v>
      </c>
      <c r="N40">
        <f t="shared" si="0"/>
        <v>18</v>
      </c>
      <c r="O40">
        <f t="shared" si="1"/>
        <v>17.099999999999998</v>
      </c>
      <c r="P40">
        <f t="shared" si="2"/>
        <v>18.900000000000002</v>
      </c>
      <c r="Q40">
        <f t="shared" si="10"/>
        <v>0</v>
      </c>
      <c r="R40" s="126">
        <f t="shared" si="3"/>
        <v>1.9218483551217202E-9</v>
      </c>
      <c r="S40" s="126">
        <f t="shared" si="4"/>
        <v>6.0243107870509612E-9</v>
      </c>
      <c r="T40">
        <v>1</v>
      </c>
      <c r="U40">
        <v>33</v>
      </c>
      <c r="V40">
        <f t="shared" si="11"/>
        <v>0</v>
      </c>
      <c r="W40">
        <f t="shared" si="12"/>
        <v>33</v>
      </c>
      <c r="X40">
        <f t="shared" si="5"/>
        <v>29.7</v>
      </c>
      <c r="Y40">
        <f t="shared" si="6"/>
        <v>36.300000000000004</v>
      </c>
      <c r="Z40">
        <f t="shared" si="13"/>
        <v>0</v>
      </c>
      <c r="AA40" s="126">
        <f t="shared" si="14"/>
        <v>1.9218483551217202E-9</v>
      </c>
      <c r="AB40" s="126">
        <f t="shared" si="15"/>
        <v>6.0243107870509612E-9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2.1353870612328322E-9</v>
      </c>
      <c r="S41" s="126">
        <f t="shared" si="4"/>
        <v>6.332704518060159E-9</v>
      </c>
      <c r="T41">
        <v>1</v>
      </c>
      <c r="U41">
        <v>39</v>
      </c>
      <c r="V41">
        <f t="shared" si="11"/>
        <v>0</v>
      </c>
      <c r="W41">
        <f t="shared" si="12"/>
        <v>39</v>
      </c>
      <c r="X41">
        <f t="shared" si="5"/>
        <v>35.1</v>
      </c>
      <c r="Y41">
        <f t="shared" si="6"/>
        <v>42.900000000000006</v>
      </c>
      <c r="Z41">
        <f t="shared" si="13"/>
        <v>0</v>
      </c>
      <c r="AA41" s="126">
        <f t="shared" si="14"/>
        <v>2.1353870612328322E-9</v>
      </c>
      <c r="AB41" s="126">
        <f t="shared" si="15"/>
        <v>6.332704518060159E-9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0.99999974037086548</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0.99999974039097661</v>
      </c>
      <c r="K42">
        <v>1</v>
      </c>
      <c r="L42">
        <v>22</v>
      </c>
      <c r="M42">
        <f t="shared" si="9"/>
        <v>0</v>
      </c>
      <c r="N42">
        <f t="shared" si="0"/>
        <v>22</v>
      </c>
      <c r="O42">
        <f t="shared" si="1"/>
        <v>20.9</v>
      </c>
      <c r="P42">
        <f t="shared" si="2"/>
        <v>23.1</v>
      </c>
      <c r="Q42">
        <f t="shared" si="10"/>
        <v>0</v>
      </c>
      <c r="R42" s="126">
        <f t="shared" si="3"/>
        <v>2.3489257673412385E-9</v>
      </c>
      <c r="S42" s="126">
        <f t="shared" si="4"/>
        <v>6.6410982490658232E-9</v>
      </c>
      <c r="T42">
        <v>1</v>
      </c>
      <c r="U42">
        <v>47</v>
      </c>
      <c r="V42">
        <f t="shared" si="11"/>
        <v>0</v>
      </c>
      <c r="W42">
        <f t="shared" si="12"/>
        <v>47</v>
      </c>
      <c r="X42">
        <f t="shared" si="5"/>
        <v>42.300000000000004</v>
      </c>
      <c r="Y42">
        <f t="shared" si="6"/>
        <v>51.7</v>
      </c>
      <c r="Z42">
        <f t="shared" si="13"/>
        <v>0</v>
      </c>
      <c r="AA42" s="126">
        <f t="shared" si="14"/>
        <v>2.3489257673412385E-9</v>
      </c>
      <c r="AB42" s="126">
        <f t="shared" si="15"/>
        <v>6.6410982490658232E-9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0.99999974039097661</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0.99999974039097661</v>
      </c>
      <c r="K43">
        <v>1</v>
      </c>
      <c r="L43">
        <v>24</v>
      </c>
      <c r="M43">
        <f t="shared" si="9"/>
        <v>0</v>
      </c>
      <c r="N43">
        <f t="shared" si="0"/>
        <v>24</v>
      </c>
      <c r="O43">
        <f t="shared" si="1"/>
        <v>22.799999999999997</v>
      </c>
      <c r="P43">
        <f t="shared" si="2"/>
        <v>25.200000000000003</v>
      </c>
      <c r="Q43">
        <f t="shared" si="10"/>
        <v>0</v>
      </c>
      <c r="R43" s="126">
        <f t="shared" si="3"/>
        <v>2.5624644734469403E-9</v>
      </c>
      <c r="S43" s="126">
        <f t="shared" si="4"/>
        <v>6.9494919800679569E-9</v>
      </c>
      <c r="T43">
        <v>1</v>
      </c>
      <c r="U43">
        <v>56</v>
      </c>
      <c r="V43">
        <f t="shared" si="11"/>
        <v>0</v>
      </c>
      <c r="W43">
        <f t="shared" si="12"/>
        <v>56</v>
      </c>
      <c r="X43">
        <f t="shared" si="5"/>
        <v>50.4</v>
      </c>
      <c r="Y43">
        <f t="shared" si="6"/>
        <v>61.600000000000009</v>
      </c>
      <c r="Z43">
        <f t="shared" si="13"/>
        <v>0</v>
      </c>
      <c r="AA43" s="126">
        <f t="shared" si="14"/>
        <v>2.5624644734469403E-9</v>
      </c>
      <c r="AB43" s="126">
        <f t="shared" si="15"/>
        <v>6.9494919800679569E-9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0.99999974039097661</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0.99999974037086548</v>
      </c>
      <c r="K44">
        <v>1</v>
      </c>
      <c r="L44">
        <v>27</v>
      </c>
      <c r="M44">
        <f t="shared" si="9"/>
        <v>0</v>
      </c>
      <c r="N44">
        <f t="shared" si="0"/>
        <v>27</v>
      </c>
      <c r="O44">
        <f t="shared" si="1"/>
        <v>25.65</v>
      </c>
      <c r="P44">
        <f t="shared" si="2"/>
        <v>28.35</v>
      </c>
      <c r="Q44">
        <f t="shared" si="10"/>
        <v>0</v>
      </c>
      <c r="R44" s="126">
        <f t="shared" si="3"/>
        <v>2.8827725326004216E-9</v>
      </c>
      <c r="S44" s="126">
        <f t="shared" si="4"/>
        <v>7.412082576564531E-9</v>
      </c>
      <c r="T44">
        <v>1</v>
      </c>
      <c r="U44">
        <v>68</v>
      </c>
      <c r="V44">
        <f t="shared" si="11"/>
        <v>0</v>
      </c>
      <c r="W44">
        <f t="shared" si="12"/>
        <v>68</v>
      </c>
      <c r="X44">
        <f t="shared" si="5"/>
        <v>61.2</v>
      </c>
      <c r="Y44">
        <f t="shared" si="6"/>
        <v>74.800000000000011</v>
      </c>
      <c r="Z44">
        <f t="shared" si="13"/>
        <v>0</v>
      </c>
      <c r="AA44" s="126">
        <f t="shared" si="14"/>
        <v>2.8827725326004216E-9</v>
      </c>
      <c r="AB44" s="126">
        <f t="shared" si="15"/>
        <v>7.412082576564531E-9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3.2030805917478173E-9</v>
      </c>
      <c r="S45" s="126">
        <f t="shared" si="4"/>
        <v>7.8746731730531583E-9</v>
      </c>
      <c r="T45">
        <v>1</v>
      </c>
      <c r="U45">
        <v>82</v>
      </c>
      <c r="V45">
        <f t="shared" si="11"/>
        <v>0</v>
      </c>
      <c r="W45">
        <f t="shared" si="12"/>
        <v>82</v>
      </c>
      <c r="X45">
        <f t="shared" si="5"/>
        <v>73.8</v>
      </c>
      <c r="Y45">
        <f t="shared" si="6"/>
        <v>90.2</v>
      </c>
      <c r="Z45">
        <f t="shared" si="13"/>
        <v>0</v>
      </c>
      <c r="AA45" s="126">
        <f t="shared" si="14"/>
        <v>3.2030805917478173E-9</v>
      </c>
      <c r="AB45" s="126">
        <f t="shared" si="15"/>
        <v>7.8746731730531583E-9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3.5233886508891263E-9</v>
      </c>
      <c r="S46" s="126">
        <f t="shared" si="4"/>
        <v>8.3372637695338381E-9</v>
      </c>
      <c r="T46">
        <v>10</v>
      </c>
      <c r="U46">
        <v>10</v>
      </c>
      <c r="V46">
        <f t="shared" si="11"/>
        <v>0</v>
      </c>
      <c r="W46">
        <f t="shared" si="12"/>
        <v>100</v>
      </c>
      <c r="X46">
        <f t="shared" si="5"/>
        <v>90</v>
      </c>
      <c r="Y46">
        <f t="shared" si="6"/>
        <v>110.00000000000001</v>
      </c>
      <c r="Z46">
        <f t="shared" si="13"/>
        <v>0</v>
      </c>
      <c r="AA46" s="126">
        <f t="shared" si="14"/>
        <v>3.5233886508891263E-9</v>
      </c>
      <c r="AB46" s="126">
        <f t="shared" si="15"/>
        <v>8.3372637695338381E-9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3.8436967100243492E-9</v>
      </c>
      <c r="S47" s="126">
        <f t="shared" si="4"/>
        <v>8.7998543660065687E-9</v>
      </c>
      <c r="T47">
        <v>10</v>
      </c>
      <c r="U47">
        <v>12</v>
      </c>
      <c r="V47">
        <f t="shared" si="11"/>
        <v>0</v>
      </c>
      <c r="W47">
        <f>U47*T47</f>
        <v>120</v>
      </c>
      <c r="X47">
        <f t="shared" si="5"/>
        <v>108</v>
      </c>
      <c r="Y47">
        <f t="shared" si="6"/>
        <v>132</v>
      </c>
      <c r="Z47">
        <f t="shared" si="13"/>
        <v>0</v>
      </c>
      <c r="AA47" s="126">
        <f t="shared" si="14"/>
        <v>3.8436967100243492E-9</v>
      </c>
      <c r="AB47" s="126">
        <f t="shared" si="15"/>
        <v>8.7998543660065687E-9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4.164004769153487E-9</v>
      </c>
      <c r="S48" s="126">
        <f t="shared" si="4"/>
        <v>9.2624449624713517E-9</v>
      </c>
      <c r="T48">
        <v>10</v>
      </c>
      <c r="U48">
        <v>15</v>
      </c>
      <c r="V48">
        <f t="shared" si="11"/>
        <v>0</v>
      </c>
      <c r="W48">
        <f t="shared" si="12"/>
        <v>150</v>
      </c>
      <c r="X48">
        <f t="shared" si="5"/>
        <v>135</v>
      </c>
      <c r="Y48">
        <f t="shared" si="6"/>
        <v>165</v>
      </c>
      <c r="Z48">
        <f t="shared" si="13"/>
        <v>0</v>
      </c>
      <c r="AA48" s="126">
        <f t="shared" si="14"/>
        <v>4.164004769153487E-9</v>
      </c>
      <c r="AB48" s="126">
        <f t="shared" si="15"/>
        <v>9.2624449624713517E-9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4.5910821813162061E-9</v>
      </c>
      <c r="S49" s="126">
        <f t="shared" si="4"/>
        <v>9.8792324244120321E-9</v>
      </c>
      <c r="T49">
        <v>10</v>
      </c>
      <c r="U49">
        <v>18</v>
      </c>
      <c r="V49">
        <f t="shared" si="11"/>
        <v>0</v>
      </c>
      <c r="W49">
        <f t="shared" si="12"/>
        <v>180</v>
      </c>
      <c r="X49">
        <f t="shared" si="5"/>
        <v>162</v>
      </c>
      <c r="Y49">
        <f t="shared" si="6"/>
        <v>198.00000000000003</v>
      </c>
      <c r="Z49">
        <f t="shared" si="13"/>
        <v>0</v>
      </c>
      <c r="AA49" s="126">
        <f t="shared" si="14"/>
        <v>4.5910821813162061E-9</v>
      </c>
      <c r="AB49" s="126">
        <f t="shared" si="15"/>
        <v>9.8792324244120321E-9</v>
      </c>
      <c r="AC49" s="126" t="str">
        <f t="shared" si="7"/>
        <v>Vlow exceeds VIL spec</v>
      </c>
      <c r="AD49" s="126" t="str">
        <f t="shared" si="8"/>
        <v>Vlow exceeds VIL spec</v>
      </c>
    </row>
    <row r="50" spans="1:30" x14ac:dyDescent="0.35">
      <c r="A50" t="s">
        <v>320</v>
      </c>
      <c r="B50" s="11">
        <f>F11*(1+H11)</f>
        <v>315</v>
      </c>
      <c r="C50" s="11">
        <f>F11*(1+H11)</f>
        <v>315</v>
      </c>
      <c r="K50">
        <v>1</v>
      </c>
      <c r="L50">
        <v>47</v>
      </c>
      <c r="M50">
        <f t="shared" si="9"/>
        <v>0</v>
      </c>
      <c r="N50">
        <f t="shared" si="0"/>
        <v>47</v>
      </c>
      <c r="O50">
        <f t="shared" si="1"/>
        <v>44.65</v>
      </c>
      <c r="P50">
        <f t="shared" si="2"/>
        <v>49.35</v>
      </c>
      <c r="Q50">
        <f t="shared" si="10"/>
        <v>0</v>
      </c>
      <c r="R50" s="126">
        <f t="shared" si="3"/>
        <v>5.0181595934681032E-9</v>
      </c>
      <c r="S50" s="126">
        <f t="shared" si="4"/>
        <v>1.0496019886338583E-8</v>
      </c>
      <c r="T50">
        <v>10</v>
      </c>
      <c r="U50">
        <v>22</v>
      </c>
      <c r="V50">
        <f t="shared" si="11"/>
        <v>0</v>
      </c>
      <c r="W50">
        <f t="shared" si="12"/>
        <v>220</v>
      </c>
      <c r="X50">
        <f t="shared" si="5"/>
        <v>198</v>
      </c>
      <c r="Y50">
        <f t="shared" si="6"/>
        <v>242.00000000000003</v>
      </c>
      <c r="Z50">
        <f t="shared" si="13"/>
        <v>0</v>
      </c>
      <c r="AA50" s="126">
        <f t="shared" si="14"/>
        <v>5.0181595934681032E-9</v>
      </c>
      <c r="AB50" s="126">
        <f t="shared" si="15"/>
        <v>1.0496019886338583E-8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5.44523700560918E-9</v>
      </c>
      <c r="S51" s="126">
        <f t="shared" si="4"/>
        <v>1.1112807348251003E-8</v>
      </c>
      <c r="T51">
        <v>10</v>
      </c>
      <c r="U51">
        <v>27</v>
      </c>
      <c r="V51">
        <f t="shared" si="11"/>
        <v>1</v>
      </c>
      <c r="W51">
        <f t="shared" si="12"/>
        <v>270</v>
      </c>
      <c r="X51">
        <f t="shared" si="5"/>
        <v>243</v>
      </c>
      <c r="Y51">
        <f t="shared" si="6"/>
        <v>297</v>
      </c>
      <c r="Z51">
        <f t="shared" si="13"/>
        <v>1</v>
      </c>
      <c r="AA51" s="126">
        <f t="shared" si="14"/>
        <v>5.44523700560918E-9</v>
      </c>
      <c r="AB51" s="126">
        <f t="shared" si="15"/>
        <v>1.1112807348251003E-8</v>
      </c>
      <c r="AC51" s="126" t="str">
        <f t="shared" si="7"/>
        <v>Vlow exceeds VIL spec</v>
      </c>
      <c r="AD51" s="126" t="str">
        <f t="shared" si="8"/>
        <v>Vlow exceeds VIL spec</v>
      </c>
    </row>
    <row r="52" spans="1:30" x14ac:dyDescent="0.35">
      <c r="A52" t="s">
        <v>324</v>
      </c>
      <c r="B52" s="1">
        <f>K21</f>
        <v>22.122405384810769</v>
      </c>
      <c r="C52">
        <v>0</v>
      </c>
      <c r="K52">
        <v>1</v>
      </c>
      <c r="L52">
        <v>56</v>
      </c>
      <c r="M52">
        <f t="shared" si="9"/>
        <v>0</v>
      </c>
      <c r="N52">
        <f t="shared" si="0"/>
        <v>56</v>
      </c>
      <c r="O52">
        <f t="shared" si="1"/>
        <v>53.199999999999996</v>
      </c>
      <c r="P52">
        <f t="shared" si="2"/>
        <v>58.800000000000004</v>
      </c>
      <c r="Q52">
        <f t="shared" si="10"/>
        <v>0</v>
      </c>
      <c r="R52" s="126">
        <f t="shared" si="3"/>
        <v>5.9790837707703136E-9</v>
      </c>
      <c r="S52" s="126">
        <f t="shared" si="4"/>
        <v>1.1883791675621658E-8</v>
      </c>
      <c r="T52">
        <v>10</v>
      </c>
      <c r="U52">
        <v>33</v>
      </c>
      <c r="V52">
        <f t="shared" si="11"/>
        <v>2</v>
      </c>
      <c r="W52">
        <f t="shared" si="12"/>
        <v>330</v>
      </c>
      <c r="X52">
        <f t="shared" si="5"/>
        <v>297</v>
      </c>
      <c r="Y52">
        <f t="shared" si="6"/>
        <v>363.00000000000006</v>
      </c>
      <c r="Z52">
        <f t="shared" si="13"/>
        <v>1</v>
      </c>
      <c r="AA52" s="126">
        <f t="shared" si="14"/>
        <v>5.9790837707703136E-9</v>
      </c>
      <c r="AB52" s="126">
        <f t="shared" si="15"/>
        <v>1.1883791675621658E-8</v>
      </c>
      <c r="AC52" s="126" t="str">
        <f t="shared" si="7"/>
        <v>Vlow exceeds VIL spec</v>
      </c>
      <c r="AD52" s="126" t="str">
        <f t="shared" si="8"/>
        <v>Vlow exceeds VIL spec</v>
      </c>
    </row>
    <row r="53" spans="1:30" x14ac:dyDescent="0.35">
      <c r="A53" t="s">
        <v>327</v>
      </c>
      <c r="B53">
        <v>0</v>
      </c>
      <c r="C53" s="1">
        <f>K21</f>
        <v>22.122405384810769</v>
      </c>
      <c r="K53">
        <v>1</v>
      </c>
      <c r="L53">
        <v>62</v>
      </c>
      <c r="M53">
        <f t="shared" si="9"/>
        <v>0</v>
      </c>
      <c r="N53">
        <f t="shared" si="0"/>
        <v>62</v>
      </c>
      <c r="O53">
        <f t="shared" si="1"/>
        <v>58.9</v>
      </c>
      <c r="P53">
        <f t="shared" si="2"/>
        <v>65.100000000000009</v>
      </c>
      <c r="Q53">
        <f t="shared" si="10"/>
        <v>0</v>
      </c>
      <c r="R53" s="126">
        <f t="shared" si="3"/>
        <v>6.6196998889413597E-9</v>
      </c>
      <c r="S53" s="126">
        <f t="shared" si="4"/>
        <v>1.2808972868437298E-8</v>
      </c>
      <c r="T53">
        <v>10</v>
      </c>
      <c r="U53">
        <v>39</v>
      </c>
      <c r="V53">
        <f t="shared" si="11"/>
        <v>3</v>
      </c>
      <c r="W53">
        <f t="shared" si="12"/>
        <v>390</v>
      </c>
      <c r="X53">
        <f t="shared" si="5"/>
        <v>351</v>
      </c>
      <c r="Y53">
        <f t="shared" si="6"/>
        <v>429.00000000000006</v>
      </c>
      <c r="Z53">
        <f t="shared" si="13"/>
        <v>1</v>
      </c>
      <c r="AA53" s="126">
        <f t="shared" si="14"/>
        <v>6.6196998889413597E-9</v>
      </c>
      <c r="AB53" s="126">
        <f t="shared" si="15"/>
        <v>1.2808972868437298E-8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7.2603160070880602E-9</v>
      </c>
      <c r="S54" s="126">
        <f t="shared" si="4"/>
        <v>1.3734154061221149E-8</v>
      </c>
      <c r="T54">
        <v>10</v>
      </c>
      <c r="U54">
        <v>47</v>
      </c>
      <c r="V54">
        <f t="shared" si="11"/>
        <v>4</v>
      </c>
      <c r="W54">
        <f t="shared" si="12"/>
        <v>470</v>
      </c>
      <c r="X54">
        <f t="shared" si="5"/>
        <v>423</v>
      </c>
      <c r="Y54">
        <f t="shared" si="6"/>
        <v>517</v>
      </c>
      <c r="Z54">
        <f t="shared" si="13"/>
        <v>1</v>
      </c>
      <c r="AA54" s="126">
        <f t="shared" si="14"/>
        <v>7.2603160070880602E-9</v>
      </c>
      <c r="AB54" s="126">
        <f t="shared" si="15"/>
        <v>1.3734154061221149E-8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8.0077014782284446E-9</v>
      </c>
      <c r="S55" s="126">
        <f t="shared" si="4"/>
        <v>1.4813532119428789E-8</v>
      </c>
      <c r="T55">
        <v>10</v>
      </c>
      <c r="U55">
        <v>56</v>
      </c>
      <c r="V55">
        <f t="shared" si="11"/>
        <v>5</v>
      </c>
      <c r="W55">
        <f t="shared" si="12"/>
        <v>560</v>
      </c>
      <c r="X55">
        <f t="shared" si="5"/>
        <v>504</v>
      </c>
      <c r="Y55">
        <f t="shared" si="6"/>
        <v>616</v>
      </c>
      <c r="Z55">
        <f t="shared" si="13"/>
        <v>1</v>
      </c>
      <c r="AA55" s="126">
        <f t="shared" si="14"/>
        <v>8.0077014782284446E-9</v>
      </c>
      <c r="AB55" s="126">
        <f t="shared" si="15"/>
        <v>1.4813532119428789E-8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8.7550869493356963E-9</v>
      </c>
      <c r="S56" s="126">
        <f t="shared" si="4"/>
        <v>1.5892910177593163E-8</v>
      </c>
      <c r="T56">
        <v>10</v>
      </c>
      <c r="U56">
        <v>68</v>
      </c>
      <c r="V56">
        <f t="shared" si="11"/>
        <v>6</v>
      </c>
      <c r="W56">
        <f t="shared" si="12"/>
        <v>680</v>
      </c>
      <c r="X56">
        <f t="shared" si="5"/>
        <v>612</v>
      </c>
      <c r="Y56">
        <f t="shared" si="6"/>
        <v>748.00000000000011</v>
      </c>
      <c r="Z56">
        <f t="shared" si="13"/>
        <v>1</v>
      </c>
      <c r="AA56" s="126">
        <f t="shared" si="14"/>
        <v>8.7550869493356963E-9</v>
      </c>
      <c r="AB56" s="126">
        <f t="shared" si="15"/>
        <v>1.5892910177593163E-8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9.7160111264249028E-9</v>
      </c>
      <c r="S57" s="126">
        <f t="shared" si="4"/>
        <v>1.7280681966598049E-8</v>
      </c>
      <c r="T57">
        <v>10</v>
      </c>
      <c r="U57">
        <v>82</v>
      </c>
      <c r="V57">
        <f t="shared" si="11"/>
        <v>7</v>
      </c>
      <c r="W57">
        <f t="shared" si="12"/>
        <v>820</v>
      </c>
      <c r="X57">
        <f t="shared" si="5"/>
        <v>738</v>
      </c>
      <c r="Y57">
        <f t="shared" si="6"/>
        <v>902.00000000000011</v>
      </c>
      <c r="Z57">
        <f t="shared" si="13"/>
        <v>0</v>
      </c>
      <c r="AA57" s="126">
        <f t="shared" si="14"/>
        <v>9.7160111264249028E-9</v>
      </c>
      <c r="AB57" s="126">
        <f t="shared" si="15"/>
        <v>1.7280681966598049E-8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1.0676935303459338E-8</v>
      </c>
      <c r="S58" s="126">
        <f t="shared" si="4"/>
        <v>1.8668453755531403E-8</v>
      </c>
      <c r="T58">
        <v>100</v>
      </c>
      <c r="U58">
        <v>10</v>
      </c>
      <c r="V58">
        <f t="shared" si="11"/>
        <v>7</v>
      </c>
      <c r="W58">
        <f t="shared" si="12"/>
        <v>1000</v>
      </c>
      <c r="X58">
        <f t="shared" si="5"/>
        <v>900</v>
      </c>
      <c r="Y58">
        <f t="shared" si="6"/>
        <v>1100</v>
      </c>
      <c r="Z58">
        <f t="shared" si="13"/>
        <v>0</v>
      </c>
      <c r="AA58" s="126">
        <f t="shared" si="14"/>
        <v>1.0676935303459338E-8</v>
      </c>
      <c r="AB58" s="126">
        <f t="shared" si="15"/>
        <v>1.8668453755531403E-8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1.1744628833433358E-8</v>
      </c>
      <c r="S59" s="126">
        <f t="shared" si="4"/>
        <v>2.0210422409817902E-8</v>
      </c>
      <c r="T59">
        <v>100</v>
      </c>
      <c r="U59">
        <v>12</v>
      </c>
      <c r="V59">
        <f t="shared" si="11"/>
        <v>7</v>
      </c>
      <c r="W59">
        <f t="shared" si="12"/>
        <v>1200</v>
      </c>
      <c r="X59">
        <f t="shared" si="5"/>
        <v>1080</v>
      </c>
      <c r="Y59">
        <f t="shared" si="6"/>
        <v>1320</v>
      </c>
      <c r="Z59">
        <f t="shared" si="13"/>
        <v>0</v>
      </c>
      <c r="AA59" s="126">
        <f t="shared" si="14"/>
        <v>1.1744628833433358E-8</v>
      </c>
      <c r="AB59" s="126">
        <f t="shared" si="15"/>
        <v>2.0210422409817902E-8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1.2812322363339758E-8</v>
      </c>
      <c r="S60" s="126">
        <f t="shared" si="4"/>
        <v>2.1752391064016091E-8</v>
      </c>
      <c r="T60">
        <v>100</v>
      </c>
      <c r="U60">
        <v>15</v>
      </c>
      <c r="V60">
        <f t="shared" si="11"/>
        <v>7</v>
      </c>
      <c r="W60">
        <f t="shared" si="12"/>
        <v>1500</v>
      </c>
      <c r="X60">
        <f t="shared" si="5"/>
        <v>1350</v>
      </c>
      <c r="Y60">
        <f t="shared" si="6"/>
        <v>1650.0000000000002</v>
      </c>
      <c r="Z60">
        <f t="shared" si="13"/>
        <v>0</v>
      </c>
      <c r="AA60" s="126">
        <f t="shared" si="14"/>
        <v>1.2812322363339758E-8</v>
      </c>
      <c r="AB60" s="126">
        <f t="shared" si="15"/>
        <v>2.1752391064016091E-8</v>
      </c>
      <c r="AC60" s="126" t="str">
        <f t="shared" si="7"/>
        <v>Vlow exceeds VIL spec</v>
      </c>
      <c r="AD60" s="126">
        <f t="shared" si="8"/>
        <v>2.6712551272416058E-8</v>
      </c>
    </row>
    <row r="61" spans="1:30" x14ac:dyDescent="0.35">
      <c r="K61">
        <v>10</v>
      </c>
      <c r="L61">
        <v>13</v>
      </c>
      <c r="M61">
        <f t="shared" si="9"/>
        <v>0</v>
      </c>
      <c r="N61">
        <f t="shared" si="0"/>
        <v>130</v>
      </c>
      <c r="O61">
        <f t="shared" si="1"/>
        <v>123.5</v>
      </c>
      <c r="P61">
        <f t="shared" si="2"/>
        <v>136.5</v>
      </c>
      <c r="Q61">
        <f t="shared" si="10"/>
        <v>0</v>
      </c>
      <c r="R61" s="126">
        <f t="shared" si="3"/>
        <v>1.3880015893178537E-8</v>
      </c>
      <c r="S61" s="126">
        <f t="shared" si="4"/>
        <v>2.329435971812596E-8</v>
      </c>
      <c r="T61">
        <v>100</v>
      </c>
      <c r="U61">
        <v>18</v>
      </c>
      <c r="V61">
        <f t="shared" si="11"/>
        <v>7</v>
      </c>
      <c r="W61">
        <f t="shared" si="12"/>
        <v>1800</v>
      </c>
      <c r="X61">
        <f t="shared" si="5"/>
        <v>1620</v>
      </c>
      <c r="Y61">
        <f t="shared" si="6"/>
        <v>1980.0000000000002</v>
      </c>
      <c r="Z61">
        <f t="shared" si="13"/>
        <v>0</v>
      </c>
      <c r="AA61" s="126">
        <f t="shared" si="14"/>
        <v>1.3880015893178537E-8</v>
      </c>
      <c r="AB61" s="126">
        <f t="shared" si="15"/>
        <v>2.329435971812596E-8</v>
      </c>
      <c r="AC61" s="126" t="str">
        <f t="shared" si="7"/>
        <v>Vlow exceeds VIL spec</v>
      </c>
      <c r="AD61" s="126">
        <f t="shared" si="8"/>
        <v>2.0762014475349125E-8</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0.99999964927554263</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0.99999964930012319</v>
      </c>
      <c r="K62">
        <v>10</v>
      </c>
      <c r="L62">
        <v>15</v>
      </c>
      <c r="M62">
        <f t="shared" si="9"/>
        <v>0</v>
      </c>
      <c r="N62">
        <f t="shared" si="0"/>
        <v>150</v>
      </c>
      <c r="O62">
        <f t="shared" si="1"/>
        <v>142.5</v>
      </c>
      <c r="P62">
        <f t="shared" si="2"/>
        <v>157.5</v>
      </c>
      <c r="Q62">
        <f t="shared" si="10"/>
        <v>0</v>
      </c>
      <c r="R62" s="126">
        <f t="shared" si="3"/>
        <v>1.6015402952653235E-8</v>
      </c>
      <c r="S62" s="126">
        <f t="shared" si="4"/>
        <v>2.6378297026080768E-8</v>
      </c>
      <c r="T62">
        <v>100</v>
      </c>
      <c r="U62">
        <v>22</v>
      </c>
      <c r="V62">
        <f t="shared" si="11"/>
        <v>7</v>
      </c>
      <c r="W62">
        <f t="shared" si="12"/>
        <v>2200</v>
      </c>
      <c r="X62">
        <f t="shared" si="5"/>
        <v>1980</v>
      </c>
      <c r="Y62">
        <f t="shared" si="6"/>
        <v>2420</v>
      </c>
      <c r="Z62">
        <f t="shared" si="13"/>
        <v>0</v>
      </c>
      <c r="AA62" s="126">
        <f t="shared" si="14"/>
        <v>1.6015402952653235E-8</v>
      </c>
      <c r="AB62" s="126">
        <f t="shared" si="15"/>
        <v>2.6378297026080768E-8</v>
      </c>
      <c r="AC62" s="126" t="str">
        <f t="shared" si="7"/>
        <v>Vlow exceeds VIL spec</v>
      </c>
      <c r="AD62" s="126">
        <f t="shared" si="8"/>
        <v>1.6482776200879929E-8</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0.99999964930012319</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0.99999964930012319</v>
      </c>
      <c r="K63">
        <v>10</v>
      </c>
      <c r="L63">
        <v>16</v>
      </c>
      <c r="M63">
        <f t="shared" si="9"/>
        <v>0</v>
      </c>
      <c r="N63">
        <f t="shared" si="0"/>
        <v>160</v>
      </c>
      <c r="O63">
        <f t="shared" si="1"/>
        <v>152</v>
      </c>
      <c r="P63">
        <f t="shared" si="2"/>
        <v>168</v>
      </c>
      <c r="Q63">
        <f t="shared" si="10"/>
        <v>0</v>
      </c>
      <c r="R63" s="126">
        <f t="shared" si="3"/>
        <v>1.7083096482289151E-8</v>
      </c>
      <c r="S63" s="126">
        <f t="shared" si="4"/>
        <v>2.7920265679925704E-8</v>
      </c>
      <c r="T63">
        <v>100</v>
      </c>
      <c r="U63">
        <v>27</v>
      </c>
      <c r="V63">
        <f t="shared" si="11"/>
        <v>7</v>
      </c>
      <c r="W63">
        <f t="shared" si="12"/>
        <v>2700</v>
      </c>
      <c r="X63">
        <f t="shared" si="5"/>
        <v>2430</v>
      </c>
      <c r="Y63">
        <f t="shared" si="6"/>
        <v>2970.0000000000005</v>
      </c>
      <c r="Z63">
        <f t="shared" si="13"/>
        <v>0</v>
      </c>
      <c r="AA63" s="126">
        <f t="shared" si="14"/>
        <v>1.7083096482289151E-8</v>
      </c>
      <c r="AB63" s="126">
        <f t="shared" si="15"/>
        <v>2.7920265679925704E-8</v>
      </c>
      <c r="AC63" s="126" t="str">
        <f t="shared" si="7"/>
        <v>Vlow exceeds VIL spec</v>
      </c>
      <c r="AD63" s="126">
        <f t="shared" si="8"/>
        <v>1.5359985800676216E-8</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0.99999964930012319</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0.99999964927554263</v>
      </c>
      <c r="K64">
        <v>10</v>
      </c>
      <c r="L64">
        <v>18</v>
      </c>
      <c r="M64">
        <f t="shared" si="9"/>
        <v>0</v>
      </c>
      <c r="N64">
        <f t="shared" si="0"/>
        <v>180</v>
      </c>
      <c r="O64">
        <f t="shared" si="1"/>
        <v>171</v>
      </c>
      <c r="P64">
        <f t="shared" si="2"/>
        <v>189</v>
      </c>
      <c r="Q64">
        <f t="shared" si="10"/>
        <v>0</v>
      </c>
      <c r="R64" s="126">
        <f t="shared" si="3"/>
        <v>1.9218483541358125E-8</v>
      </c>
      <c r="S64" s="126">
        <f t="shared" si="4"/>
        <v>3.1004202987350634E-8</v>
      </c>
      <c r="T64">
        <v>100</v>
      </c>
      <c r="U64">
        <v>33</v>
      </c>
      <c r="V64">
        <f t="shared" si="11"/>
        <v>7</v>
      </c>
      <c r="W64">
        <f t="shared" si="12"/>
        <v>3300</v>
      </c>
      <c r="X64">
        <f t="shared" si="5"/>
        <v>2970</v>
      </c>
      <c r="Y64">
        <f t="shared" si="6"/>
        <v>3630.0000000000005</v>
      </c>
      <c r="Z64">
        <f t="shared" si="13"/>
        <v>0</v>
      </c>
      <c r="AA64" s="126">
        <f t="shared" si="14"/>
        <v>1.9218483541358125E-8</v>
      </c>
      <c r="AB64" s="126">
        <f t="shared" si="15"/>
        <v>3.1004202987350634E-8</v>
      </c>
      <c r="AC64" s="126" t="str">
        <f t="shared" si="7"/>
        <v>Vlow exceeds VIL spec</v>
      </c>
      <c r="AD64" s="126">
        <f t="shared" si="8"/>
        <v>1.3882014089906778E-8</v>
      </c>
    </row>
    <row r="65" spans="1:31" x14ac:dyDescent="0.35">
      <c r="K65">
        <v>10</v>
      </c>
      <c r="L65">
        <v>20</v>
      </c>
      <c r="M65">
        <f t="shared" si="9"/>
        <v>0</v>
      </c>
      <c r="N65">
        <f t="shared" si="0"/>
        <v>200</v>
      </c>
      <c r="O65">
        <f t="shared" si="1"/>
        <v>190</v>
      </c>
      <c r="P65">
        <f t="shared" si="2"/>
        <v>210</v>
      </c>
      <c r="Q65">
        <f t="shared" si="10"/>
        <v>0</v>
      </c>
      <c r="R65" s="126">
        <f t="shared" si="3"/>
        <v>2.1353870600156614E-8</v>
      </c>
      <c r="S65" s="126">
        <f t="shared" si="4"/>
        <v>3.4088140294422305E-8</v>
      </c>
      <c r="T65">
        <v>100</v>
      </c>
      <c r="U65">
        <v>39</v>
      </c>
      <c r="V65">
        <f t="shared" si="11"/>
        <v>7</v>
      </c>
      <c r="W65">
        <f t="shared" si="12"/>
        <v>3900</v>
      </c>
      <c r="X65">
        <f t="shared" si="5"/>
        <v>3510</v>
      </c>
      <c r="Y65">
        <f t="shared" si="6"/>
        <v>4290</v>
      </c>
      <c r="Z65">
        <f t="shared" si="13"/>
        <v>0</v>
      </c>
      <c r="AA65" s="126">
        <f t="shared" si="14"/>
        <v>2.1353870600156614E-8</v>
      </c>
      <c r="AB65" s="126">
        <f t="shared" si="15"/>
        <v>3.4088140294422305E-8</v>
      </c>
      <c r="AC65" s="126" t="str">
        <f t="shared" si="7"/>
        <v>Vlow exceeds VIL spec</v>
      </c>
      <c r="AD65" s="126">
        <f t="shared" si="8"/>
        <v>1.2940764233224155E-8</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2.3489257658684622E-8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3.7172077601140743E-8</v>
      </c>
      <c r="T66">
        <v>100</v>
      </c>
      <c r="U66">
        <v>47</v>
      </c>
      <c r="V66">
        <f t="shared" si="11"/>
        <v>7</v>
      </c>
      <c r="W66">
        <f t="shared" si="12"/>
        <v>4700</v>
      </c>
      <c r="X66">
        <f t="shared" si="5"/>
        <v>4230</v>
      </c>
      <c r="Y66">
        <f t="shared" si="6"/>
        <v>5170</v>
      </c>
      <c r="Z66">
        <f t="shared" si="13"/>
        <v>0</v>
      </c>
      <c r="AA66" s="126">
        <f t="shared" si="14"/>
        <v>2.3489257658684622E-8</v>
      </c>
      <c r="AB66" s="126">
        <f t="shared" si="15"/>
        <v>3.7172077601140743E-8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1.2284697281220294E-8</v>
      </c>
    </row>
    <row r="67" spans="1:31" x14ac:dyDescent="0.35">
      <c r="B67" s="171" t="s">
        <v>354</v>
      </c>
      <c r="C67" s="171"/>
      <c r="I67" s="128"/>
      <c r="K67">
        <v>10</v>
      </c>
      <c r="L67">
        <v>24</v>
      </c>
      <c r="M67">
        <f t="shared" si="9"/>
        <v>1</v>
      </c>
      <c r="N67">
        <f t="shared" si="0"/>
        <v>240</v>
      </c>
      <c r="O67">
        <f t="shared" si="1"/>
        <v>228</v>
      </c>
      <c r="P67">
        <f t="shared" si="2"/>
        <v>252</v>
      </c>
      <c r="Q67">
        <f t="shared" si="10"/>
        <v>1</v>
      </c>
      <c r="R67" s="126">
        <f t="shared" si="16"/>
        <v>2.5624644716942152E-8</v>
      </c>
      <c r="S67" s="126">
        <f t="shared" si="17"/>
        <v>4.0256014907505916E-8</v>
      </c>
      <c r="T67">
        <v>100</v>
      </c>
      <c r="U67">
        <v>56</v>
      </c>
      <c r="V67">
        <f t="shared" si="11"/>
        <v>7</v>
      </c>
      <c r="W67">
        <f t="shared" si="12"/>
        <v>5600</v>
      </c>
      <c r="X67">
        <f t="shared" si="5"/>
        <v>5040</v>
      </c>
      <c r="Y67">
        <f t="shared" si="6"/>
        <v>6160.0000000000009</v>
      </c>
      <c r="Z67">
        <f t="shared" si="13"/>
        <v>0</v>
      </c>
      <c r="AA67" s="126">
        <f t="shared" si="14"/>
        <v>2.5624644716942152E-8</v>
      </c>
      <c r="AB67" s="126">
        <f t="shared" si="15"/>
        <v>4.0256014907505916E-8</v>
      </c>
      <c r="AC67" s="126">
        <f t="shared" si="18"/>
        <v>5.485874758204097E-8</v>
      </c>
      <c r="AD67" s="126">
        <f t="shared" si="19"/>
        <v>1.1800126048400171E-8</v>
      </c>
    </row>
    <row r="68" spans="1:31" ht="28.4" customHeight="1" x14ac:dyDescent="0.35">
      <c r="B68" s="32" t="s">
        <v>355</v>
      </c>
      <c r="C68" s="32" t="s">
        <v>356</v>
      </c>
      <c r="D68" s="32" t="s">
        <v>357</v>
      </c>
      <c r="E68" s="32" t="str">
        <f>IF(Summary!E37="absolute","find min R2, so that max (Vz) = " &amp; TRUNC(R3/J2,3),"find min R2, so that max (Vz) = " &amp; R3)</f>
        <v>find min R2, so that max (Vz) = 0.3</v>
      </c>
      <c r="F68" s="32" t="s">
        <v>358</v>
      </c>
      <c r="G68" s="32" t="s">
        <v>359</v>
      </c>
      <c r="H68" s="32" t="s">
        <v>360</v>
      </c>
      <c r="I68" s="49"/>
      <c r="J68" s="49"/>
      <c r="K68">
        <v>10</v>
      </c>
      <c r="L68">
        <v>27</v>
      </c>
      <c r="M68">
        <f t="shared" si="9"/>
        <v>2</v>
      </c>
      <c r="N68">
        <f t="shared" si="0"/>
        <v>270</v>
      </c>
      <c r="O68">
        <f t="shared" si="1"/>
        <v>256.5</v>
      </c>
      <c r="P68">
        <f t="shared" si="2"/>
        <v>283.5</v>
      </c>
      <c r="Q68">
        <f t="shared" si="10"/>
        <v>1</v>
      </c>
      <c r="R68" s="126">
        <f t="shared" si="16"/>
        <v>2.8827725303821282E-8</v>
      </c>
      <c r="S68" s="126">
        <f t="shared" si="17"/>
        <v>4.4881920866391328E-8</v>
      </c>
      <c r="T68">
        <v>100</v>
      </c>
      <c r="U68">
        <v>68</v>
      </c>
      <c r="V68">
        <f t="shared" si="11"/>
        <v>7</v>
      </c>
      <c r="W68">
        <f t="shared" si="12"/>
        <v>6800</v>
      </c>
      <c r="X68">
        <f t="shared" si="5"/>
        <v>6120</v>
      </c>
      <c r="Y68">
        <f t="shared" si="6"/>
        <v>7480.0000000000009</v>
      </c>
      <c r="Z68">
        <f t="shared" si="13"/>
        <v>0</v>
      </c>
      <c r="AA68" s="126">
        <f t="shared" si="14"/>
        <v>2.8827725303821282E-8</v>
      </c>
      <c r="AB68" s="126">
        <f t="shared" si="15"/>
        <v>4.4881920866391328E-8</v>
      </c>
      <c r="AC68" s="126">
        <f t="shared" si="18"/>
        <v>3.8978474642600055E-8</v>
      </c>
      <c r="AD68" s="126">
        <f t="shared" si="19"/>
        <v>1.1271279230003471E-8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3</v>
      </c>
      <c r="N69">
        <f t="shared" si="0"/>
        <v>300</v>
      </c>
      <c r="O69">
        <f t="shared" si="1"/>
        <v>285</v>
      </c>
      <c r="P69">
        <f t="shared" si="2"/>
        <v>315</v>
      </c>
      <c r="Q69">
        <f t="shared" si="10"/>
        <v>1</v>
      </c>
      <c r="R69" s="126">
        <f t="shared" si="16"/>
        <v>3.2030805890091832E-8</v>
      </c>
      <c r="S69" s="126">
        <f t="shared" si="17"/>
        <v>4.9507826824481939E-8</v>
      </c>
      <c r="T69">
        <v>100</v>
      </c>
      <c r="U69">
        <v>82</v>
      </c>
      <c r="V69">
        <f t="shared" si="11"/>
        <v>7</v>
      </c>
      <c r="W69">
        <f t="shared" si="12"/>
        <v>8200</v>
      </c>
      <c r="X69">
        <f t="shared" si="5"/>
        <v>7380</v>
      </c>
      <c r="Y69">
        <f t="shared" si="6"/>
        <v>9020</v>
      </c>
      <c r="Z69">
        <f t="shared" si="13"/>
        <v>0</v>
      </c>
      <c r="AA69" s="126">
        <f t="shared" si="14"/>
        <v>3.2030805890091832E-8</v>
      </c>
      <c r="AB69" s="126">
        <f t="shared" si="15"/>
        <v>4.9507826824481939E-8</v>
      </c>
      <c r="AC69" s="126">
        <f t="shared" si="18"/>
        <v>3.3293429497203536E-8</v>
      </c>
      <c r="AD69" s="126">
        <f t="shared" si="19"/>
        <v>1.0890928304421211E-8</v>
      </c>
    </row>
    <row r="70" spans="1:31" x14ac:dyDescent="0.35">
      <c r="A70" t="s">
        <v>320</v>
      </c>
      <c r="B70" s="11">
        <f>F11*(1+H11)</f>
        <v>315</v>
      </c>
      <c r="C70" s="11">
        <f>F11*(1-H11)</f>
        <v>285</v>
      </c>
      <c r="D70" s="11">
        <f>F11*(1+H11)</f>
        <v>315</v>
      </c>
      <c r="E70" s="11"/>
      <c r="F70" s="11">
        <f>F11*(1-H11)</f>
        <v>285</v>
      </c>
      <c r="G70" s="11">
        <f>F11*(1-H11)</f>
        <v>285</v>
      </c>
      <c r="H70" s="11">
        <f>F11*(1+H11)</f>
        <v>315</v>
      </c>
      <c r="K70">
        <v>10</v>
      </c>
      <c r="L70">
        <v>33</v>
      </c>
      <c r="M70">
        <f t="shared" si="9"/>
        <v>4</v>
      </c>
      <c r="N70">
        <f t="shared" si="0"/>
        <v>330</v>
      </c>
      <c r="O70">
        <f t="shared" si="1"/>
        <v>313.5</v>
      </c>
      <c r="P70">
        <f t="shared" si="2"/>
        <v>346.5</v>
      </c>
      <c r="Q70">
        <f t="shared" si="10"/>
        <v>1</v>
      </c>
      <c r="R70" s="126">
        <f t="shared" si="16"/>
        <v>3.5233886475753796E-8</v>
      </c>
      <c r="S70" s="126">
        <f t="shared" si="17"/>
        <v>5.4133732781777735E-8</v>
      </c>
      <c r="T70">
        <v>1000</v>
      </c>
      <c r="U70">
        <v>10</v>
      </c>
      <c r="V70">
        <f t="shared" si="11"/>
        <v>7</v>
      </c>
      <c r="W70">
        <f t="shared" si="12"/>
        <v>10000</v>
      </c>
      <c r="X70">
        <f t="shared" si="5"/>
        <v>9000</v>
      </c>
      <c r="Y70">
        <f t="shared" si="6"/>
        <v>11000</v>
      </c>
      <c r="Z70">
        <f t="shared" si="13"/>
        <v>0</v>
      </c>
      <c r="AA70" s="126">
        <f t="shared" si="14"/>
        <v>3.5233886475753796E-8</v>
      </c>
      <c r="AB70" s="126">
        <f t="shared" si="15"/>
        <v>5.4133732781777735E-8</v>
      </c>
      <c r="AC70" s="126">
        <f t="shared" si="18"/>
        <v>3.0088348278396823E-8</v>
      </c>
      <c r="AD70" s="126">
        <f t="shared" si="19"/>
        <v>1.0604295358916545E-8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5</v>
      </c>
      <c r="N71">
        <f t="shared" si="0"/>
        <v>360</v>
      </c>
      <c r="O71">
        <f t="shared" si="1"/>
        <v>342</v>
      </c>
      <c r="P71">
        <f t="shared" si="2"/>
        <v>378</v>
      </c>
      <c r="Q71">
        <f t="shared" si="10"/>
        <v>1</v>
      </c>
      <c r="R71" s="126">
        <f t="shared" si="16"/>
        <v>3.8436967060807173E-8</v>
      </c>
      <c r="S71" s="126">
        <f t="shared" si="17"/>
        <v>5.8759638738278703E-8</v>
      </c>
      <c r="T71">
        <v>1000</v>
      </c>
      <c r="U71">
        <v>12</v>
      </c>
      <c r="V71">
        <f t="shared" si="11"/>
        <v>7</v>
      </c>
      <c r="W71">
        <f t="shared" si="12"/>
        <v>12000</v>
      </c>
      <c r="X71">
        <f t="shared" si="5"/>
        <v>10800</v>
      </c>
      <c r="Y71">
        <f t="shared" si="6"/>
        <v>13200.000000000002</v>
      </c>
      <c r="Z71">
        <f t="shared" si="13"/>
        <v>0</v>
      </c>
      <c r="AA71" s="126">
        <f t="shared" si="14"/>
        <v>3.8436967060807173E-8</v>
      </c>
      <c r="AB71" s="126">
        <f t="shared" si="15"/>
        <v>5.8759638738278703E-8</v>
      </c>
      <c r="AC71" s="126">
        <f t="shared" si="18"/>
        <v>2.7981904661117779E-8</v>
      </c>
      <c r="AD71" s="126">
        <f t="shared" si="19"/>
        <v>1.03806297165291E-8</v>
      </c>
    </row>
    <row r="72" spans="1:31" x14ac:dyDescent="0.35">
      <c r="A72" t="s">
        <v>324</v>
      </c>
      <c r="B72" s="1">
        <f>K21*MIN(K25,K24)</f>
        <v>0</v>
      </c>
      <c r="C72" s="1">
        <f>K21*MAX(K25,K24)</f>
        <v>22.122405384810769</v>
      </c>
      <c r="D72" s="1">
        <f>K21*MIN(K25,K24)</f>
        <v>0</v>
      </c>
      <c r="E72" s="1">
        <f>K21*MAX(K25,K24)</f>
        <v>22.122405384810769</v>
      </c>
      <c r="F72" s="125">
        <f>K21*MAX(K25,K24)</f>
        <v>22.122405384810769</v>
      </c>
      <c r="G72" s="125">
        <f>K22*MAX(K25,K24)</f>
        <v>16.31240538481077</v>
      </c>
      <c r="H72" s="1">
        <f>K22*MIN(K25,K24)</f>
        <v>0</v>
      </c>
      <c r="K72">
        <v>10</v>
      </c>
      <c r="L72">
        <v>39</v>
      </c>
      <c r="M72">
        <f t="shared" si="9"/>
        <v>6</v>
      </c>
      <c r="N72">
        <f t="shared" si="0"/>
        <v>390</v>
      </c>
      <c r="O72">
        <f t="shared" si="1"/>
        <v>370.5</v>
      </c>
      <c r="P72">
        <f t="shared" si="2"/>
        <v>409.5</v>
      </c>
      <c r="Q72">
        <f t="shared" si="10"/>
        <v>1</v>
      </c>
      <c r="R72" s="126">
        <f t="shared" si="16"/>
        <v>4.164004764525197E-8</v>
      </c>
      <c r="S72" s="126">
        <f t="shared" si="17"/>
        <v>6.338554469398485E-8</v>
      </c>
      <c r="T72">
        <v>1000</v>
      </c>
      <c r="U72">
        <v>15</v>
      </c>
      <c r="V72">
        <f t="shared" si="11"/>
        <v>7</v>
      </c>
      <c r="W72">
        <f t="shared" si="12"/>
        <v>15000</v>
      </c>
      <c r="X72">
        <f t="shared" si="5"/>
        <v>13500</v>
      </c>
      <c r="Y72">
        <f t="shared" si="6"/>
        <v>16500</v>
      </c>
      <c r="Z72">
        <f t="shared" si="13"/>
        <v>0</v>
      </c>
      <c r="AA72" s="126">
        <f t="shared" si="14"/>
        <v>4.164004764525197E-8</v>
      </c>
      <c r="AB72" s="126">
        <f t="shared" si="15"/>
        <v>6.338554469398485E-8</v>
      </c>
      <c r="AC72" s="126">
        <f t="shared" si="18"/>
        <v>2.6478313041010398E-8</v>
      </c>
      <c r="AD72" s="126">
        <f t="shared" si="19"/>
        <v>1.0201307718489029E-8</v>
      </c>
    </row>
    <row r="73" spans="1:31" x14ac:dyDescent="0.35">
      <c r="A73" t="s">
        <v>327</v>
      </c>
      <c r="B73" s="1">
        <f>K21-B72</f>
        <v>22.122405384810769</v>
      </c>
      <c r="C73" s="1">
        <f>K21-C72</f>
        <v>0</v>
      </c>
      <c r="D73" s="1">
        <f>K21-D72</f>
        <v>22.122405384810769</v>
      </c>
      <c r="E73" s="1">
        <f>K21-E72</f>
        <v>0</v>
      </c>
      <c r="F73" s="1">
        <f>K21-F72</f>
        <v>0</v>
      </c>
      <c r="G73" s="1">
        <f>K22-G72</f>
        <v>0</v>
      </c>
      <c r="H73" s="1">
        <f>K22-H72</f>
        <v>16.31240538481077</v>
      </c>
      <c r="K73">
        <v>10</v>
      </c>
      <c r="L73">
        <v>43</v>
      </c>
      <c r="M73">
        <f t="shared" si="9"/>
        <v>7</v>
      </c>
      <c r="N73">
        <f t="shared" si="0"/>
        <v>430</v>
      </c>
      <c r="O73">
        <f t="shared" si="1"/>
        <v>408.5</v>
      </c>
      <c r="P73">
        <f t="shared" si="2"/>
        <v>451.5</v>
      </c>
      <c r="Q73">
        <f t="shared" si="10"/>
        <v>1</v>
      </c>
      <c r="R73" s="126">
        <f t="shared" si="16"/>
        <v>4.5910821756898344E-8</v>
      </c>
      <c r="S73" s="126">
        <f t="shared" si="17"/>
        <v>6.9553419300356691E-8</v>
      </c>
      <c r="T73">
        <v>1000</v>
      </c>
      <c r="U73">
        <v>18</v>
      </c>
      <c r="V73">
        <f t="shared" si="11"/>
        <v>7</v>
      </c>
      <c r="W73">
        <f t="shared" si="12"/>
        <v>18000</v>
      </c>
      <c r="X73">
        <f t="shared" si="5"/>
        <v>16200</v>
      </c>
      <c r="Y73">
        <f t="shared" si="6"/>
        <v>19800</v>
      </c>
      <c r="Z73">
        <f t="shared" si="13"/>
        <v>0</v>
      </c>
      <c r="AA73" s="126">
        <f t="shared" si="14"/>
        <v>4.5910821756898344E-8</v>
      </c>
      <c r="AB73" s="126">
        <f t="shared" si="15"/>
        <v>6.9553419300356691E-8</v>
      </c>
      <c r="AC73" s="126">
        <f t="shared" si="18"/>
        <v>2.5028754024415165E-8</v>
      </c>
      <c r="AD73" s="126">
        <f t="shared" si="19"/>
        <v>1.0011143891782456E-8</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8</v>
      </c>
      <c r="N74">
        <f t="shared" si="0"/>
        <v>470</v>
      </c>
      <c r="O74">
        <f t="shared" si="1"/>
        <v>446.5</v>
      </c>
      <c r="P74">
        <f t="shared" si="2"/>
        <v>493.5</v>
      </c>
      <c r="Q74">
        <f t="shared" si="10"/>
        <v>1</v>
      </c>
      <c r="R74" s="126">
        <f t="shared" si="16"/>
        <v>5.0181595867462772E-8</v>
      </c>
      <c r="S74" s="126">
        <f t="shared" si="17"/>
        <v>7.5721293905315535E-8</v>
      </c>
      <c r="T74">
        <v>1000</v>
      </c>
      <c r="U74">
        <v>22</v>
      </c>
      <c r="V74">
        <f t="shared" si="11"/>
        <v>7</v>
      </c>
      <c r="W74">
        <f t="shared" si="12"/>
        <v>22000</v>
      </c>
      <c r="X74">
        <f t="shared" si="5"/>
        <v>19800</v>
      </c>
      <c r="Y74">
        <f t="shared" si="6"/>
        <v>24200.000000000004</v>
      </c>
      <c r="Z74">
        <f t="shared" si="13"/>
        <v>0</v>
      </c>
      <c r="AA74" s="126">
        <f t="shared" si="14"/>
        <v>5.0181595867462772E-8</v>
      </c>
      <c r="AB74" s="126">
        <f t="shared" si="15"/>
        <v>7.5721293905315535E-8</v>
      </c>
      <c r="AC74" s="126">
        <f t="shared" si="18"/>
        <v>2.3972564375291482E-8</v>
      </c>
      <c r="AD74" s="126">
        <f t="shared" si="19"/>
        <v>9.8608718622169327E-9</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9</v>
      </c>
      <c r="N75">
        <f t="shared" si="0"/>
        <v>510</v>
      </c>
      <c r="O75">
        <f t="shared" si="1"/>
        <v>484.5</v>
      </c>
      <c r="P75">
        <f t="shared" si="2"/>
        <v>535.5</v>
      </c>
      <c r="Q75">
        <f t="shared" si="10"/>
        <v>1</v>
      </c>
      <c r="R75" s="126">
        <f t="shared" si="16"/>
        <v>5.4452369976945294E-8</v>
      </c>
      <c r="S75" s="126">
        <f t="shared" si="17"/>
        <v>8.1889168508861356E-8</v>
      </c>
      <c r="T75">
        <v>1000</v>
      </c>
      <c r="U75">
        <v>27</v>
      </c>
      <c r="V75">
        <f t="shared" si="11"/>
        <v>7</v>
      </c>
      <c r="W75">
        <f t="shared" si="12"/>
        <v>27000</v>
      </c>
      <c r="X75">
        <f t="shared" si="5"/>
        <v>24300</v>
      </c>
      <c r="Y75">
        <f t="shared" si="6"/>
        <v>29700.000000000004</v>
      </c>
      <c r="Z75">
        <f t="shared" si="13"/>
        <v>0</v>
      </c>
      <c r="AA75" s="126">
        <f t="shared" si="14"/>
        <v>5.4452369976945294E-8</v>
      </c>
      <c r="AB75" s="126">
        <f t="shared" si="15"/>
        <v>8.1889168508861356E-8</v>
      </c>
      <c r="AC75" s="126">
        <f t="shared" si="18"/>
        <v>2.3167821682437566E-8</v>
      </c>
      <c r="AD75" s="126">
        <f t="shared" si="19"/>
        <v>9.7391815879375828E-9</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10</v>
      </c>
      <c r="N76">
        <f t="shared" si="0"/>
        <v>560</v>
      </c>
      <c r="O76">
        <f t="shared" si="1"/>
        <v>532</v>
      </c>
      <c r="P76">
        <f t="shared" si="2"/>
        <v>588</v>
      </c>
      <c r="Q76">
        <f t="shared" si="10"/>
        <v>1</v>
      </c>
      <c r="R76" s="126">
        <f t="shared" si="16"/>
        <v>5.9790837612276972E-8</v>
      </c>
      <c r="S76" s="126">
        <f t="shared" si="17"/>
        <v>8.9599011761306616E-8</v>
      </c>
      <c r="T76">
        <v>1000</v>
      </c>
      <c r="U76">
        <v>33</v>
      </c>
      <c r="V76">
        <f t="shared" si="11"/>
        <v>7</v>
      </c>
      <c r="W76">
        <f t="shared" si="12"/>
        <v>33000</v>
      </c>
      <c r="X76">
        <f t="shared" si="5"/>
        <v>29700</v>
      </c>
      <c r="Y76">
        <f t="shared" si="6"/>
        <v>36300</v>
      </c>
      <c r="Z76">
        <f t="shared" si="13"/>
        <v>0</v>
      </c>
      <c r="AA76" s="126">
        <f t="shared" si="14"/>
        <v>5.9790837612276972E-8</v>
      </c>
      <c r="AB76" s="126">
        <f t="shared" si="15"/>
        <v>8.9599011761306616E-8</v>
      </c>
      <c r="AC76" s="126">
        <f t="shared" si="18"/>
        <v>2.239609826568033E-8</v>
      </c>
      <c r="AD76" s="126">
        <f t="shared" si="19"/>
        <v>9.6162069622147384E-9</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11</v>
      </c>
      <c r="N77">
        <f t="shared" si="0"/>
        <v>620</v>
      </c>
      <c r="O77">
        <f t="shared" si="1"/>
        <v>589</v>
      </c>
      <c r="P77">
        <f t="shared" si="2"/>
        <v>651</v>
      </c>
      <c r="Q77">
        <f t="shared" si="10"/>
        <v>1</v>
      </c>
      <c r="R77" s="126">
        <f t="shared" si="16"/>
        <v>6.6196998772443504E-8</v>
      </c>
      <c r="S77" s="126">
        <f t="shared" si="17"/>
        <v>9.8850823661326581E-8</v>
      </c>
      <c r="T77">
        <v>1000</v>
      </c>
      <c r="U77">
        <v>39</v>
      </c>
      <c r="V77">
        <f t="shared" si="11"/>
        <v>7</v>
      </c>
      <c r="W77">
        <f t="shared" si="12"/>
        <v>39000</v>
      </c>
      <c r="X77">
        <f t="shared" si="5"/>
        <v>35100</v>
      </c>
      <c r="Y77">
        <f t="shared" si="6"/>
        <v>42900</v>
      </c>
      <c r="Z77">
        <f t="shared" si="13"/>
        <v>0</v>
      </c>
      <c r="AA77" s="126">
        <f t="shared" si="14"/>
        <v>6.6196998772443504E-8</v>
      </c>
      <c r="AB77" s="126">
        <f t="shared" si="15"/>
        <v>9.8850823661326581E-8</v>
      </c>
      <c r="AC77" s="126">
        <f t="shared" si="18"/>
        <v>2.1698156878849341E-8</v>
      </c>
      <c r="AD77" s="126">
        <f t="shared" si="19"/>
        <v>9.4993229725489757E-9</v>
      </c>
    </row>
    <row r="78" spans="1:31" x14ac:dyDescent="0.35">
      <c r="A78" t="s">
        <v>344</v>
      </c>
      <c r="B78">
        <v>1</v>
      </c>
      <c r="C78">
        <v>1</v>
      </c>
      <c r="D78">
        <v>1</v>
      </c>
      <c r="E78">
        <v>1</v>
      </c>
      <c r="F78">
        <v>1</v>
      </c>
      <c r="G78">
        <v>1</v>
      </c>
      <c r="H78">
        <v>1</v>
      </c>
      <c r="K78">
        <v>10</v>
      </c>
      <c r="L78">
        <v>68</v>
      </c>
      <c r="M78">
        <f t="shared" si="9"/>
        <v>12</v>
      </c>
      <c r="N78">
        <f t="shared" si="0"/>
        <v>680</v>
      </c>
      <c r="O78">
        <f t="shared" si="1"/>
        <v>646</v>
      </c>
      <c r="P78">
        <f t="shared" si="2"/>
        <v>714</v>
      </c>
      <c r="Q78">
        <f t="shared" si="10"/>
        <v>1</v>
      </c>
      <c r="R78" s="126">
        <f t="shared" si="16"/>
        <v>7.2603159930175676E-8</v>
      </c>
      <c r="S78" s="126">
        <f t="shared" si="17"/>
        <v>1.081026355581673E-7</v>
      </c>
      <c r="T78">
        <v>1000</v>
      </c>
      <c r="U78">
        <v>47</v>
      </c>
      <c r="V78">
        <f t="shared" si="11"/>
        <v>7</v>
      </c>
      <c r="W78">
        <f t="shared" si="12"/>
        <v>47000</v>
      </c>
      <c r="X78">
        <f t="shared" si="5"/>
        <v>42300</v>
      </c>
      <c r="Y78">
        <f t="shared" si="6"/>
        <v>51700.000000000007</v>
      </c>
      <c r="Z78">
        <f t="shared" si="13"/>
        <v>0</v>
      </c>
      <c r="AA78" s="126">
        <f t="shared" si="14"/>
        <v>7.2603159930175676E-8</v>
      </c>
      <c r="AB78" s="126">
        <f t="shared" si="15"/>
        <v>1.081026355581673E-7</v>
      </c>
      <c r="AC78" s="126">
        <f t="shared" si="18"/>
        <v>2.1165718457770359E-8</v>
      </c>
      <c r="AD78" s="126">
        <f t="shared" si="19"/>
        <v>9.4062883651746847E-9</v>
      </c>
    </row>
    <row r="79" spans="1:31" x14ac:dyDescent="0.35">
      <c r="A79" t="s">
        <v>345</v>
      </c>
      <c r="B79">
        <v>1</v>
      </c>
      <c r="C79">
        <v>1</v>
      </c>
      <c r="D79">
        <v>1</v>
      </c>
      <c r="E79">
        <v>1</v>
      </c>
      <c r="F79">
        <v>1</v>
      </c>
      <c r="G79">
        <v>1</v>
      </c>
      <c r="H79">
        <v>1</v>
      </c>
      <c r="K79">
        <v>10</v>
      </c>
      <c r="L79">
        <v>75</v>
      </c>
      <c r="M79">
        <f t="shared" si="9"/>
        <v>13</v>
      </c>
      <c r="N79">
        <f t="shared" si="0"/>
        <v>750</v>
      </c>
      <c r="O79">
        <f t="shared" si="1"/>
        <v>712.5</v>
      </c>
      <c r="P79">
        <f t="shared" si="2"/>
        <v>787.5</v>
      </c>
      <c r="Q79">
        <f t="shared" si="10"/>
        <v>1</v>
      </c>
      <c r="R79" s="126">
        <f t="shared" si="16"/>
        <v>8.0077014611119853E-8</v>
      </c>
      <c r="S79" s="126">
        <f t="shared" si="17"/>
        <v>1.1889641610046324E-7</v>
      </c>
      <c r="T79">
        <v>1000</v>
      </c>
      <c r="U79">
        <v>56</v>
      </c>
      <c r="V79">
        <f t="shared" si="11"/>
        <v>7</v>
      </c>
      <c r="W79">
        <f t="shared" si="12"/>
        <v>56000</v>
      </c>
      <c r="X79">
        <f t="shared" si="5"/>
        <v>50400</v>
      </c>
      <c r="Y79">
        <f t="shared" si="6"/>
        <v>61600.000000000007</v>
      </c>
      <c r="Z79">
        <f t="shared" si="13"/>
        <v>0</v>
      </c>
      <c r="AA79" s="126">
        <f t="shared" si="14"/>
        <v>8.0077014611119853E-8</v>
      </c>
      <c r="AB79" s="126">
        <f t="shared" si="15"/>
        <v>1.1889641610046324E-7</v>
      </c>
      <c r="AC79" s="126">
        <f t="shared" si="18"/>
        <v>2.068494065410153E-8</v>
      </c>
      <c r="AD79" s="126">
        <f t="shared" si="19"/>
        <v>9.3192180949280137E-9</v>
      </c>
      <c r="AE79" s="128"/>
    </row>
    <row r="80" spans="1:31" x14ac:dyDescent="0.35">
      <c r="A80" t="s">
        <v>346</v>
      </c>
      <c r="B80">
        <v>1</v>
      </c>
      <c r="C80">
        <v>1</v>
      </c>
      <c r="D80">
        <v>1</v>
      </c>
      <c r="E80">
        <v>1</v>
      </c>
      <c r="F80">
        <v>1</v>
      </c>
      <c r="G80">
        <v>1</v>
      </c>
      <c r="H80">
        <v>1</v>
      </c>
      <c r="K80">
        <v>10</v>
      </c>
      <c r="L80">
        <v>82</v>
      </c>
      <c r="M80">
        <f t="shared" si="9"/>
        <v>14</v>
      </c>
      <c r="N80">
        <f t="shared" si="0"/>
        <v>820</v>
      </c>
      <c r="O80">
        <f t="shared" si="1"/>
        <v>779</v>
      </c>
      <c r="P80">
        <f t="shared" si="2"/>
        <v>861</v>
      </c>
      <c r="Q80">
        <f t="shared" si="10"/>
        <v>0</v>
      </c>
      <c r="R80" s="126">
        <f t="shared" si="16"/>
        <v>8.7550869288750583E-8</v>
      </c>
      <c r="S80" s="126">
        <f t="shared" si="17"/>
        <v>1.2969019663843186E-7</v>
      </c>
      <c r="T80">
        <v>1000</v>
      </c>
      <c r="U80">
        <v>68</v>
      </c>
      <c r="V80">
        <f t="shared" si="11"/>
        <v>7</v>
      </c>
      <c r="W80">
        <f>U80*T80</f>
        <v>68000</v>
      </c>
      <c r="X80">
        <f t="shared" si="5"/>
        <v>61200</v>
      </c>
      <c r="Y80">
        <f t="shared" si="6"/>
        <v>74800</v>
      </c>
      <c r="Z80">
        <f t="shared" si="13"/>
        <v>0</v>
      </c>
      <c r="AA80" s="126">
        <f t="shared" si="14"/>
        <v>8.7550869288750583E-8</v>
      </c>
      <c r="AB80" s="126">
        <f t="shared" si="15"/>
        <v>1.2969019663843186E-7</v>
      </c>
      <c r="AC80" s="126">
        <f t="shared" si="18"/>
        <v>2.0308675138327034E-8</v>
      </c>
      <c r="AD80" s="126">
        <f t="shared" si="19"/>
        <v>9.248930257717983E-9</v>
      </c>
      <c r="AE80" s="128"/>
    </row>
    <row r="81" spans="1:31" x14ac:dyDescent="0.35">
      <c r="K81">
        <v>10</v>
      </c>
      <c r="L81">
        <v>91</v>
      </c>
      <c r="M81">
        <f t="shared" si="9"/>
        <v>14</v>
      </c>
      <c r="N81">
        <f t="shared" si="0"/>
        <v>910</v>
      </c>
      <c r="O81">
        <f t="shared" si="1"/>
        <v>864.5</v>
      </c>
      <c r="P81">
        <f t="shared" si="2"/>
        <v>955.5</v>
      </c>
      <c r="Q81">
        <f t="shared" si="10"/>
        <v>0</v>
      </c>
      <c r="R81" s="126">
        <f t="shared" si="16"/>
        <v>9.716011101226428E-8</v>
      </c>
      <c r="S81" s="126">
        <f t="shared" si="17"/>
        <v>1.4356791446660439E-7</v>
      </c>
      <c r="T81">
        <v>1000</v>
      </c>
      <c r="U81">
        <v>82</v>
      </c>
      <c r="V81">
        <f t="shared" si="11"/>
        <v>7</v>
      </c>
      <c r="W81">
        <f t="shared" ref="W81" si="20">U81*T81</f>
        <v>82000</v>
      </c>
      <c r="X81">
        <f t="shared" si="5"/>
        <v>73800</v>
      </c>
      <c r="Y81">
        <f t="shared" si="6"/>
        <v>90200.000000000015</v>
      </c>
      <c r="Z81">
        <f t="shared" si="13"/>
        <v>0</v>
      </c>
      <c r="AA81" s="126">
        <f t="shared" si="14"/>
        <v>9.716011101226428E-8</v>
      </c>
      <c r="AB81" s="126">
        <f t="shared" si="15"/>
        <v>1.4356791446660439E-7</v>
      </c>
      <c r="AC81" s="126">
        <f t="shared" si="18"/>
        <v>1.9930556954505516E-8</v>
      </c>
      <c r="AD81" s="126">
        <f t="shared" si="19"/>
        <v>9.1762913483578264E-9</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0.99999964930012331</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0.16909147121085086</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0.10638297483608393</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0.73857508203958067</v>
      </c>
      <c r="F82" s="13"/>
      <c r="K82">
        <v>100</v>
      </c>
      <c r="L82">
        <v>10</v>
      </c>
      <c r="M82">
        <f>IF(AND(Q81=1,Q82=0),Q82+M81+1, Q82+M81)</f>
        <v>14</v>
      </c>
      <c r="N82">
        <f t="shared" si="0"/>
        <v>1000</v>
      </c>
      <c r="O82">
        <f t="shared" si="1"/>
        <v>950</v>
      </c>
      <c r="P82">
        <f t="shared" si="2"/>
        <v>1050</v>
      </c>
      <c r="Q82">
        <f t="shared" si="10"/>
        <v>0</v>
      </c>
      <c r="R82" s="126">
        <f t="shared" si="16"/>
        <v>1.0676935273030072E-7</v>
      </c>
      <c r="S82" s="126">
        <f t="shared" si="17"/>
        <v>1.5744563228762362E-7</v>
      </c>
      <c r="V82">
        <f t="shared" si="11"/>
        <v>7</v>
      </c>
      <c r="W82">
        <v>9999999</v>
      </c>
      <c r="AA82" s="126">
        <f t="shared" si="14"/>
        <v>1.0676935273030072E-7</v>
      </c>
      <c r="AB82" s="126">
        <f t="shared" si="15"/>
        <v>1.5744563228762362E-7</v>
      </c>
      <c r="AC82" s="126">
        <f t="shared" si="18"/>
        <v>1.9635331487275012E-8</v>
      </c>
      <c r="AD82" s="126">
        <f t="shared" si="19"/>
        <v>9.1181059194849441E-9</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0.99999964930012331</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0.22894283236567545</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0.10638297483608393</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14</v>
      </c>
      <c r="N83">
        <f t="shared" si="0"/>
        <v>1100</v>
      </c>
      <c r="O83">
        <f t="shared" si="1"/>
        <v>1045</v>
      </c>
      <c r="P83">
        <f t="shared" si="2"/>
        <v>1155</v>
      </c>
      <c r="Q83">
        <f t="shared" si="10"/>
        <v>0</v>
      </c>
      <c r="R83" s="126">
        <f t="shared" si="16"/>
        <v>1.1744628796613945E-7</v>
      </c>
      <c r="S83" s="126">
        <f t="shared" si="17"/>
        <v>1.7286531874703305E-7</v>
      </c>
      <c r="AA83" s="126">
        <f t="shared" si="14"/>
        <v>1.1744628796613945E-7</v>
      </c>
      <c r="AB83" s="126">
        <f t="shared" si="15"/>
        <v>1.7286531874703305E-7</v>
      </c>
      <c r="AC83" s="126">
        <f t="shared" si="18"/>
        <v>1.9375094594120907E-8</v>
      </c>
      <c r="AD83" s="126">
        <f t="shared" si="19"/>
        <v>9.0656926280491267E-9</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0.99999964927554275</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0.22894283236567545</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0.10638297485144077</v>
      </c>
      <c r="E84" s="12">
        <f>IF(Summary!E37="absolute",(R3-N7)/(J2+J2*Summary!E17),R3-N7)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0.228942832410167</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0.21662922934994699</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0.10638297484740762</v>
      </c>
      <c r="K84">
        <v>100</v>
      </c>
      <c r="L84">
        <v>12</v>
      </c>
      <c r="M84">
        <f t="shared" si="21"/>
        <v>14</v>
      </c>
      <c r="N84">
        <f t="shared" si="0"/>
        <v>1200</v>
      </c>
      <c r="O84">
        <f t="shared" si="1"/>
        <v>1140</v>
      </c>
      <c r="P84">
        <f t="shared" si="2"/>
        <v>1260</v>
      </c>
      <c r="Q84">
        <f t="shared" si="10"/>
        <v>0</v>
      </c>
      <c r="R84" s="126">
        <f t="shared" si="16"/>
        <v>1.2812322319521616E-7</v>
      </c>
      <c r="S84" s="126">
        <f t="shared" si="17"/>
        <v>1.8828500519761124E-7</v>
      </c>
      <c r="AA84" s="126">
        <f t="shared" si="14"/>
        <v>1.2812322319521616E-7</v>
      </c>
      <c r="AB84" s="126">
        <f t="shared" si="15"/>
        <v>1.8828500519761124E-7</v>
      </c>
      <c r="AC84" s="126">
        <f t="shared" si="18"/>
        <v>1.9166000213742072E-8</v>
      </c>
      <c r="AD84" s="126">
        <f t="shared" si="19"/>
        <v>9.0227827796203205E-9</v>
      </c>
      <c r="AE84" s="128"/>
    </row>
    <row r="85" spans="1:31" x14ac:dyDescent="0.35">
      <c r="E85" s="73"/>
      <c r="K85">
        <v>100</v>
      </c>
      <c r="L85">
        <v>13</v>
      </c>
      <c r="M85">
        <f t="shared" si="21"/>
        <v>14</v>
      </c>
      <c r="N85">
        <f t="shared" si="0"/>
        <v>1300</v>
      </c>
      <c r="O85">
        <f t="shared" si="1"/>
        <v>1235</v>
      </c>
      <c r="P85">
        <f t="shared" si="2"/>
        <v>1365</v>
      </c>
      <c r="Q85">
        <f t="shared" si="10"/>
        <v>0</v>
      </c>
      <c r="R85" s="126">
        <f t="shared" si="16"/>
        <v>1.388001584175308E-7</v>
      </c>
      <c r="S85" s="126">
        <f t="shared" si="17"/>
        <v>2.037046916393581E-7</v>
      </c>
      <c r="AA85" s="126">
        <f t="shared" si="14"/>
        <v>1.388001584175308E-7</v>
      </c>
      <c r="AB85" s="126">
        <f t="shared" si="15"/>
        <v>2.037046916393581E-7</v>
      </c>
      <c r="AC85" s="126">
        <f t="shared" si="18"/>
        <v>1.8994375823512631E-8</v>
      </c>
      <c r="AD85" s="126">
        <f t="shared" si="19"/>
        <v>8.987010588578768E-9</v>
      </c>
      <c r="AE85" s="128"/>
    </row>
    <row r="86" spans="1:31" x14ac:dyDescent="0.35">
      <c r="K86">
        <v>100</v>
      </c>
      <c r="L86">
        <v>15</v>
      </c>
      <c r="M86">
        <f t="shared" si="21"/>
        <v>14</v>
      </c>
      <c r="N86">
        <f t="shared" si="0"/>
        <v>1500</v>
      </c>
      <c r="O86">
        <f t="shared" si="1"/>
        <v>1425</v>
      </c>
      <c r="P86">
        <f t="shared" si="2"/>
        <v>1575</v>
      </c>
      <c r="Q86">
        <f t="shared" si="10"/>
        <v>0</v>
      </c>
      <c r="R86" s="126">
        <f t="shared" si="16"/>
        <v>1.601540288418739E-7</v>
      </c>
      <c r="S86" s="126">
        <f t="shared" si="17"/>
        <v>2.3454406449635806E-7</v>
      </c>
      <c r="AA86" s="126">
        <f t="shared" si="14"/>
        <v>1.601540288418739E-7</v>
      </c>
      <c r="AB86" s="126">
        <f t="shared" si="15"/>
        <v>2.3454406449635806E-7</v>
      </c>
      <c r="AC86" s="126">
        <f t="shared" si="18"/>
        <v>1.8729484381812771E-8</v>
      </c>
      <c r="AD86" s="126">
        <f t="shared" si="19"/>
        <v>8.9307796800150301E-9</v>
      </c>
      <c r="AE86" s="128"/>
    </row>
    <row r="87" spans="1:31" x14ac:dyDescent="0.35">
      <c r="B87" s="171" t="s">
        <v>362</v>
      </c>
      <c r="C87" s="171"/>
      <c r="K87">
        <v>100</v>
      </c>
      <c r="L87">
        <v>16</v>
      </c>
      <c r="M87">
        <f t="shared" si="21"/>
        <v>14</v>
      </c>
      <c r="N87">
        <f t="shared" si="0"/>
        <v>1600</v>
      </c>
      <c r="O87">
        <f t="shared" si="1"/>
        <v>1520</v>
      </c>
      <c r="P87">
        <f t="shared" si="2"/>
        <v>1680</v>
      </c>
      <c r="Q87">
        <f t="shared" si="10"/>
        <v>0</v>
      </c>
      <c r="R87" s="126">
        <f t="shared" si="16"/>
        <v>1.7083096404390233E-7</v>
      </c>
      <c r="S87" s="126">
        <f t="shared" si="17"/>
        <v>2.4996375091161105E-7</v>
      </c>
      <c r="AA87" s="126">
        <f t="shared" si="14"/>
        <v>1.7083096404390233E-7</v>
      </c>
      <c r="AB87" s="126">
        <f t="shared" si="15"/>
        <v>2.4996375091161105E-7</v>
      </c>
      <c r="AC87" s="126">
        <f t="shared" si="18"/>
        <v>1.8625171157882158E-8</v>
      </c>
      <c r="AD87" s="126">
        <f t="shared" si="19"/>
        <v>8.9082838682589397E-9</v>
      </c>
      <c r="AE87" s="128"/>
    </row>
    <row r="88" spans="1:31" ht="29" x14ac:dyDescent="0.35">
      <c r="B88" t="s">
        <v>355</v>
      </c>
      <c r="C88" t="s">
        <v>363</v>
      </c>
      <c r="D88" t="s">
        <v>364</v>
      </c>
      <c r="E88" s="32" t="str">
        <f>IF(Summary!E37="absolute","find min R2, so that max (Vx) = " &amp; TRUNC(R2/J3,3),"find min R2, so that max (Vx) = " &amp; R2)</f>
        <v>find min R2, so that max (Vx) = 0.3</v>
      </c>
      <c r="F88" s="32" t="s">
        <v>365</v>
      </c>
      <c r="G88" s="32" t="s">
        <v>366</v>
      </c>
      <c r="H88" s="32" t="s">
        <v>367</v>
      </c>
      <c r="K88">
        <v>100</v>
      </c>
      <c r="L88">
        <v>18</v>
      </c>
      <c r="M88">
        <f t="shared" si="21"/>
        <v>14</v>
      </c>
      <c r="N88">
        <f t="shared" si="0"/>
        <v>1800</v>
      </c>
      <c r="O88">
        <f t="shared" si="1"/>
        <v>1710</v>
      </c>
      <c r="P88">
        <f t="shared" si="2"/>
        <v>1890</v>
      </c>
      <c r="Q88">
        <f t="shared" si="10"/>
        <v>0</v>
      </c>
      <c r="R88" s="126">
        <f t="shared" si="16"/>
        <v>1.9218483442767305E-7</v>
      </c>
      <c r="S88" s="126">
        <f t="shared" si="17"/>
        <v>2.8080312371562333E-7</v>
      </c>
      <c r="AA88" s="126">
        <f t="shared" si="14"/>
        <v>1.9218483442767305E-7</v>
      </c>
      <c r="AB88" s="126">
        <f t="shared" si="15"/>
        <v>2.8080312371562333E-7</v>
      </c>
      <c r="AC88" s="126">
        <f t="shared" si="18"/>
        <v>1.8455410044599627E-8</v>
      </c>
      <c r="AD88" s="126">
        <f t="shared" si="19"/>
        <v>8.8712310144045907E-9</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14</v>
      </c>
      <c r="N89">
        <f t="shared" si="0"/>
        <v>2000</v>
      </c>
      <c r="O89">
        <f t="shared" si="1"/>
        <v>1900</v>
      </c>
      <c r="P89">
        <f t="shared" si="2"/>
        <v>2100</v>
      </c>
      <c r="Q89">
        <f t="shared" si="10"/>
        <v>0</v>
      </c>
      <c r="R89" s="126">
        <f t="shared" si="16"/>
        <v>2.1353870478439558E-7</v>
      </c>
      <c r="S89" s="126">
        <f t="shared" si="17"/>
        <v>3.1164249648431063E-7</v>
      </c>
      <c r="AA89" s="126">
        <f t="shared" si="14"/>
        <v>2.1353870478439558E-7</v>
      </c>
      <c r="AB89" s="126">
        <f t="shared" si="15"/>
        <v>3.1164249648431063E-7</v>
      </c>
      <c r="AC89" s="126">
        <f t="shared" si="18"/>
        <v>1.8323192172762577E-8</v>
      </c>
      <c r="AD89" s="126">
        <f t="shared" si="19"/>
        <v>8.841980338679974E-9</v>
      </c>
      <c r="AE89" s="128"/>
    </row>
    <row r="90" spans="1:31" x14ac:dyDescent="0.35">
      <c r="A90" t="s">
        <v>320</v>
      </c>
      <c r="B90" s="11">
        <f>F11*(1+H11)</f>
        <v>315</v>
      </c>
      <c r="C90" s="11">
        <f>F11*(1-H11)</f>
        <v>285</v>
      </c>
      <c r="D90" s="11">
        <f>F11*(1+H11)</f>
        <v>315</v>
      </c>
      <c r="E90" s="11"/>
      <c r="F90" s="11">
        <f>F11*(1-H11)</f>
        <v>285</v>
      </c>
      <c r="G90">
        <f>F11*(1-H11)</f>
        <v>285</v>
      </c>
      <c r="H90">
        <f>F11*(1+H11)</f>
        <v>315</v>
      </c>
      <c r="K90">
        <v>100</v>
      </c>
      <c r="L90">
        <v>22</v>
      </c>
      <c r="M90">
        <f t="shared" si="21"/>
        <v>14</v>
      </c>
      <c r="N90">
        <f t="shared" si="0"/>
        <v>2200</v>
      </c>
      <c r="O90">
        <f t="shared" si="1"/>
        <v>2090</v>
      </c>
      <c r="P90">
        <f t="shared" si="2"/>
        <v>2310</v>
      </c>
      <c r="Q90">
        <f t="shared" si="10"/>
        <v>0</v>
      </c>
      <c r="R90" s="126">
        <f t="shared" si="16"/>
        <v>2.3489257511406977E-7</v>
      </c>
      <c r="S90" s="126">
        <f t="shared" si="17"/>
        <v>3.4248186921767268E-7</v>
      </c>
      <c r="AA90" s="126">
        <f t="shared" si="14"/>
        <v>2.3489257511406977E-7</v>
      </c>
      <c r="AB90" s="126">
        <f t="shared" si="15"/>
        <v>3.4248186921767268E-7</v>
      </c>
      <c r="AC90" s="126">
        <f t="shared" si="18"/>
        <v>1.8217327420137271E-8</v>
      </c>
      <c r="AD90" s="126">
        <f t="shared" si="19"/>
        <v>8.8183038731438072E-9</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14</v>
      </c>
      <c r="N91">
        <f t="shared" si="0"/>
        <v>2400</v>
      </c>
      <c r="O91">
        <f t="shared" si="1"/>
        <v>2280</v>
      </c>
      <c r="P91">
        <f t="shared" si="2"/>
        <v>2520</v>
      </c>
      <c r="Q91">
        <f t="shared" si="10"/>
        <v>0</v>
      </c>
      <c r="R91" s="126">
        <f t="shared" si="16"/>
        <v>2.562464454166958E-7</v>
      </c>
      <c r="S91" s="126">
        <f t="shared" si="17"/>
        <v>3.733212419157097E-7</v>
      </c>
      <c r="AA91" s="126">
        <f t="shared" si="14"/>
        <v>2.562464454166958E-7</v>
      </c>
      <c r="AB91" s="126">
        <f t="shared" si="15"/>
        <v>3.733212419157097E-7</v>
      </c>
      <c r="AC91" s="126">
        <f t="shared" si="18"/>
        <v>1.8130664732109281E-8</v>
      </c>
      <c r="AD91" s="126">
        <f t="shared" si="19"/>
        <v>8.798747768607909E-9</v>
      </c>
      <c r="AE91" s="128"/>
    </row>
    <row r="92" spans="1:31" x14ac:dyDescent="0.35">
      <c r="A92" t="s">
        <v>324</v>
      </c>
      <c r="B92" s="1">
        <f>K21-B93</f>
        <v>22.122405384810769</v>
      </c>
      <c r="C92" s="1">
        <f>K21-C93</f>
        <v>0</v>
      </c>
      <c r="D92" s="1">
        <f>K21-D93</f>
        <v>22.122405384810769</v>
      </c>
      <c r="E92" s="1">
        <f>K21-E93</f>
        <v>0</v>
      </c>
      <c r="F92" s="1">
        <f>K21-F93</f>
        <v>0</v>
      </c>
      <c r="G92" s="1">
        <f>K22-G93</f>
        <v>0</v>
      </c>
      <c r="H92" s="1">
        <f>K22-H93</f>
        <v>16.31240538481077</v>
      </c>
      <c r="K92">
        <v>100</v>
      </c>
      <c r="L92">
        <v>27</v>
      </c>
      <c r="M92">
        <f t="shared" si="21"/>
        <v>14</v>
      </c>
      <c r="N92">
        <f t="shared" si="0"/>
        <v>2700</v>
      </c>
      <c r="O92">
        <f t="shared" si="1"/>
        <v>2565</v>
      </c>
      <c r="P92">
        <f t="shared" si="2"/>
        <v>2835</v>
      </c>
      <c r="Q92">
        <f t="shared" si="10"/>
        <v>0</v>
      </c>
      <c r="R92" s="126">
        <f t="shared" si="16"/>
        <v>2.8827725081991944E-7</v>
      </c>
      <c r="S92" s="126">
        <f t="shared" si="17"/>
        <v>4.1958030089653062E-7</v>
      </c>
      <c r="AA92" s="126">
        <f t="shared" si="14"/>
        <v>2.8827725081991944E-7</v>
      </c>
      <c r="AB92" s="126">
        <f t="shared" si="15"/>
        <v>4.1958030089653062E-7</v>
      </c>
      <c r="AC92" s="126">
        <f t="shared" si="18"/>
        <v>1.8026630870872476E-8</v>
      </c>
      <c r="AD92" s="126">
        <f t="shared" si="19"/>
        <v>8.775059158312471E-9</v>
      </c>
      <c r="AE92" s="128"/>
    </row>
    <row r="93" spans="1:31" x14ac:dyDescent="0.35">
      <c r="A93" t="s">
        <v>327</v>
      </c>
      <c r="B93" s="1">
        <f>K21*(1-MAX(K25,K24))</f>
        <v>0</v>
      </c>
      <c r="C93" s="1">
        <f>K21*(1-MIN(K25,K24))</f>
        <v>22.122405384810769</v>
      </c>
      <c r="D93" s="1">
        <f>K21*(1-MAX(K25,K24))</f>
        <v>0</v>
      </c>
      <c r="E93" s="1">
        <f>K21*(1-MIN(K25,K24))</f>
        <v>22.122405384810769</v>
      </c>
      <c r="F93" s="125">
        <f>K21*(1-MIN(K25,K24))</f>
        <v>22.122405384810769</v>
      </c>
      <c r="G93" s="125">
        <f>K22*(1-MIN(K25,K24))</f>
        <v>16.31240538481077</v>
      </c>
      <c r="H93" s="1">
        <f>K22*(1-MAX(K25,K24))</f>
        <v>0</v>
      </c>
      <c r="K93">
        <v>100</v>
      </c>
      <c r="L93">
        <v>30</v>
      </c>
      <c r="M93">
        <f t="shared" si="21"/>
        <v>14</v>
      </c>
      <c r="N93">
        <f t="shared" si="0"/>
        <v>3000</v>
      </c>
      <c r="O93">
        <f t="shared" si="1"/>
        <v>2850</v>
      </c>
      <c r="P93">
        <f t="shared" si="2"/>
        <v>3150</v>
      </c>
      <c r="Q93">
        <f t="shared" si="10"/>
        <v>0</v>
      </c>
      <c r="R93" s="126">
        <f t="shared" si="16"/>
        <v>3.2030805616228445E-7</v>
      </c>
      <c r="S93" s="126">
        <f t="shared" si="17"/>
        <v>4.6583935979787004E-7</v>
      </c>
      <c r="AA93" s="126">
        <f t="shared" si="14"/>
        <v>3.2030805616228445E-7</v>
      </c>
      <c r="AB93" s="126">
        <f t="shared" si="15"/>
        <v>4.6583935979787004E-7</v>
      </c>
      <c r="AC93" s="126">
        <f t="shared" si="18"/>
        <v>1.7944872531647795E-8</v>
      </c>
      <c r="AD93" s="126">
        <f t="shared" si="19"/>
        <v>8.7562758374148922E-9</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14</v>
      </c>
      <c r="N94">
        <f t="shared" si="0"/>
        <v>3300</v>
      </c>
      <c r="O94">
        <f t="shared" si="1"/>
        <v>3135</v>
      </c>
      <c r="P94">
        <f t="shared" si="2"/>
        <v>3465</v>
      </c>
      <c r="Q94">
        <f t="shared" si="10"/>
        <v>0</v>
      </c>
      <c r="R94" s="126">
        <f t="shared" si="16"/>
        <v>3.5233886144379104E-7</v>
      </c>
      <c r="S94" s="126">
        <f t="shared" si="17"/>
        <v>5.1209841861972807E-7</v>
      </c>
      <c r="AA94" s="126">
        <f t="shared" si="14"/>
        <v>3.5233886144379104E-7</v>
      </c>
      <c r="AB94" s="126">
        <f t="shared" si="15"/>
        <v>5.1209841861972807E-7</v>
      </c>
      <c r="AC94" s="126">
        <f t="shared" si="18"/>
        <v>1.7878934833393787E-8</v>
      </c>
      <c r="AD94" s="126">
        <f t="shared" si="19"/>
        <v>8.7410176217242702E-9</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14</v>
      </c>
      <c r="N95">
        <f t="shared" si="0"/>
        <v>3600</v>
      </c>
      <c r="O95">
        <f t="shared" si="1"/>
        <v>3420</v>
      </c>
      <c r="P95">
        <f t="shared" si="2"/>
        <v>3780</v>
      </c>
      <c r="Q95">
        <f t="shared" si="10"/>
        <v>0</v>
      </c>
      <c r="R95" s="126">
        <f t="shared" si="16"/>
        <v>3.8436966666443901E-7</v>
      </c>
      <c r="S95" s="126">
        <f t="shared" si="17"/>
        <v>5.5835747736210461E-7</v>
      </c>
      <c r="AA95" s="126">
        <f t="shared" si="14"/>
        <v>3.8436966666443901E-7</v>
      </c>
      <c r="AB95" s="126">
        <f t="shared" si="15"/>
        <v>5.5835747736210461E-7</v>
      </c>
      <c r="AC95" s="126">
        <f t="shared" si="18"/>
        <v>1.7824635155240488E-8</v>
      </c>
      <c r="AD95" s="126">
        <f t="shared" si="19"/>
        <v>8.7283775765572863E-9</v>
      </c>
      <c r="AE95" s="128"/>
    </row>
    <row r="96" spans="1:31" x14ac:dyDescent="0.35">
      <c r="A96" t="s">
        <v>333</v>
      </c>
      <c r="B96" s="11">
        <f>F3*(1-G3)</f>
        <v>900000000000</v>
      </c>
      <c r="C96" s="11">
        <f>1/(1/(F3*(1+H3))+1/(N3*(1+P3)))</f>
        <v>19.999999999636362</v>
      </c>
      <c r="D96" s="11">
        <f>1/(1/(F3*(1-G3))+1/(N3*(1-O3)))</f>
        <v>9.9999999998888889</v>
      </c>
      <c r="E96" s="11">
        <f>1/(1/(F3*(1+H3))+1/(N3*(1+P3)))</f>
        <v>19.999999999636362</v>
      </c>
      <c r="F96" s="11">
        <f>1/(1/(F3*(1+H3))+1/(N3*(1+P3)))</f>
        <v>19.999999999636362</v>
      </c>
      <c r="G96">
        <f>1/(1/(F3*(1+H3))+1/(N3*(1+P3)))</f>
        <v>19.999999999636362</v>
      </c>
      <c r="H96">
        <f>1/(1/(F3*(1-G3))+1/(N3*(1-O3)))</f>
        <v>9.9999999998888889</v>
      </c>
      <c r="K96">
        <v>100</v>
      </c>
      <c r="L96">
        <v>39</v>
      </c>
      <c r="M96">
        <f t="shared" si="21"/>
        <v>14</v>
      </c>
      <c r="N96">
        <f t="shared" si="0"/>
        <v>3900</v>
      </c>
      <c r="O96">
        <f t="shared" si="1"/>
        <v>3705</v>
      </c>
      <c r="P96">
        <f t="shared" si="2"/>
        <v>4095</v>
      </c>
      <c r="Q96">
        <f t="shared" si="10"/>
        <v>0</v>
      </c>
      <c r="R96" s="126">
        <f t="shared" si="16"/>
        <v>4.164004718242285E-7</v>
      </c>
      <c r="S96" s="126">
        <f t="shared" si="17"/>
        <v>6.0461653602499949E-7</v>
      </c>
      <c r="AA96" s="126">
        <f t="shared" si="14"/>
        <v>4.164004718242285E-7</v>
      </c>
      <c r="AB96" s="126">
        <f t="shared" si="15"/>
        <v>6.0461653602499949E-7</v>
      </c>
      <c r="AC96" s="126">
        <f t="shared" si="18"/>
        <v>1.777914477876722E-8</v>
      </c>
      <c r="AD96" s="126">
        <f t="shared" si="19"/>
        <v>8.717735235209812E-9</v>
      </c>
      <c r="AE96" s="128"/>
    </row>
    <row r="97" spans="1:31" x14ac:dyDescent="0.35">
      <c r="K97">
        <v>100</v>
      </c>
      <c r="L97">
        <v>43</v>
      </c>
      <c r="M97">
        <f t="shared" si="21"/>
        <v>14</v>
      </c>
      <c r="N97">
        <f t="shared" si="0"/>
        <v>4300</v>
      </c>
      <c r="O97">
        <f t="shared" si="1"/>
        <v>4085</v>
      </c>
      <c r="P97">
        <f t="shared" si="2"/>
        <v>4515</v>
      </c>
      <c r="Q97">
        <f t="shared" si="10"/>
        <v>0</v>
      </c>
      <c r="R97" s="126">
        <f t="shared" si="16"/>
        <v>4.5910821194261226E-7</v>
      </c>
      <c r="S97" s="126">
        <f t="shared" si="17"/>
        <v>6.6629528078522168E-7</v>
      </c>
      <c r="AA97" s="126">
        <f t="shared" si="14"/>
        <v>4.5910821194261226E-7</v>
      </c>
      <c r="AB97" s="126">
        <f t="shared" si="15"/>
        <v>6.6629528078522168E-7</v>
      </c>
      <c r="AC97" s="126">
        <f t="shared" si="18"/>
        <v>1.7728853254785111E-8</v>
      </c>
      <c r="AD97" s="126">
        <f t="shared" si="19"/>
        <v>8.7059126223432408E-9</v>
      </c>
      <c r="AE97" s="128"/>
    </row>
    <row r="98" spans="1:31" x14ac:dyDescent="0.35">
      <c r="A98" t="s">
        <v>344</v>
      </c>
      <c r="B98">
        <v>1</v>
      </c>
      <c r="C98">
        <v>1</v>
      </c>
      <c r="D98">
        <v>1</v>
      </c>
      <c r="E98">
        <v>1</v>
      </c>
      <c r="F98">
        <v>1</v>
      </c>
      <c r="G98">
        <v>1</v>
      </c>
      <c r="H98">
        <v>1</v>
      </c>
      <c r="K98">
        <v>100</v>
      </c>
      <c r="L98">
        <v>47</v>
      </c>
      <c r="M98">
        <f t="shared" si="21"/>
        <v>14</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5.0181595195280307E-7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7.2797402540414363E-7</v>
      </c>
      <c r="AA98" s="126">
        <f t="shared" si="14"/>
        <v>5.0181595195280307E-7</v>
      </c>
      <c r="AB98" s="126">
        <f t="shared" si="15"/>
        <v>7.2797402540414363E-7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1.7687509704912487E-8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8.6961479942073979E-9</v>
      </c>
      <c r="AE98" s="128"/>
    </row>
    <row r="99" spans="1:31" x14ac:dyDescent="0.35">
      <c r="A99" t="s">
        <v>345</v>
      </c>
      <c r="B99">
        <v>1</v>
      </c>
      <c r="C99">
        <v>1</v>
      </c>
      <c r="D99">
        <v>1</v>
      </c>
      <c r="E99">
        <v>1</v>
      </c>
      <c r="F99">
        <v>1</v>
      </c>
      <c r="G99">
        <v>1</v>
      </c>
      <c r="H99">
        <v>1</v>
      </c>
      <c r="K99">
        <v>100</v>
      </c>
      <c r="L99">
        <v>51</v>
      </c>
      <c r="M99">
        <f t="shared" si="21"/>
        <v>14</v>
      </c>
      <c r="N99">
        <f t="shared" si="23"/>
        <v>5100</v>
      </c>
      <c r="O99">
        <f t="shared" si="24"/>
        <v>4845</v>
      </c>
      <c r="P99">
        <f t="shared" si="25"/>
        <v>5355</v>
      </c>
      <c r="Q99">
        <f t="shared" ref="Q99:Q129" si="30">IF($Q$2="N/A",IF(AND((O99&gt;=MAX($H$7:$I$7)),(P99&lt;=MIN($F$7:$G$7)),(P99&lt;=MIN($B$7:$C$7)),(O99&gt;=MAX($D$7:$E$7))),1,0),IF(AND((O99&gt;=MAX($I$7)),(P99&lt;=MIN($G$7)),(P99&lt;=MIN($C$7)),(O99&gt;=MAX($E$7))),1,0))</f>
        <v>0</v>
      </c>
      <c r="R99" s="126">
        <f t="shared" si="26"/>
        <v>5.445236918548012E-7</v>
      </c>
      <c r="S99" s="126">
        <f t="shared" si="27"/>
        <v>7.8965276988176502E-7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7.8965276988176502E-7</v>
      </c>
      <c r="AC99" s="126">
        <f t="shared" si="28"/>
        <v>1.76529224243838E-8</v>
      </c>
      <c r="AD99" s="126">
        <f t="shared" si="29"/>
        <v>8.6879471003582563E-9</v>
      </c>
      <c r="AE99" s="128"/>
    </row>
    <row r="100" spans="1:31" x14ac:dyDescent="0.35">
      <c r="A100" t="s">
        <v>346</v>
      </c>
      <c r="B100">
        <v>1</v>
      </c>
      <c r="C100">
        <v>1</v>
      </c>
      <c r="D100">
        <v>1</v>
      </c>
      <c r="E100">
        <v>1</v>
      </c>
      <c r="F100">
        <v>1</v>
      </c>
      <c r="G100">
        <v>1</v>
      </c>
      <c r="H100">
        <v>1</v>
      </c>
      <c r="K100">
        <v>100</v>
      </c>
      <c r="L100">
        <v>56</v>
      </c>
      <c r="M100">
        <f t="shared" si="21"/>
        <v>14</v>
      </c>
      <c r="N100">
        <f t="shared" si="23"/>
        <v>5600</v>
      </c>
      <c r="O100">
        <f t="shared" si="24"/>
        <v>5320</v>
      </c>
      <c r="P100">
        <f t="shared" si="25"/>
        <v>5880</v>
      </c>
      <c r="Q100">
        <f t="shared" si="30"/>
        <v>0</v>
      </c>
      <c r="R100" s="126">
        <f t="shared" si="26"/>
        <v>5.9790836658015212E-7</v>
      </c>
      <c r="S100" s="126">
        <f t="shared" si="27"/>
        <v>8.6675120028008819E-7</v>
      </c>
      <c r="AA100" s="126">
        <f t="shared" si="31"/>
        <v>5.9790836658015212E-7</v>
      </c>
      <c r="AB100" s="126">
        <f t="shared" si="32"/>
        <v>8.6675120028008819E-7</v>
      </c>
      <c r="AC100" s="126">
        <f t="shared" si="28"/>
        <v>1.7616901235532043E-8</v>
      </c>
      <c r="AD100" s="126">
        <f t="shared" si="29"/>
        <v>8.6793748703732375E-9</v>
      </c>
      <c r="AE100" s="128"/>
    </row>
    <row r="101" spans="1:31" x14ac:dyDescent="0.35">
      <c r="K101">
        <v>100</v>
      </c>
      <c r="L101">
        <v>62</v>
      </c>
      <c r="M101">
        <f t="shared" si="21"/>
        <v>14</v>
      </c>
      <c r="N101">
        <f t="shared" si="23"/>
        <v>6200</v>
      </c>
      <c r="O101">
        <f t="shared" si="24"/>
        <v>5890</v>
      </c>
      <c r="P101">
        <f t="shared" si="25"/>
        <v>6510</v>
      </c>
      <c r="Q101">
        <f t="shared" si="30"/>
        <v>0</v>
      </c>
      <c r="R101" s="126">
        <f t="shared" si="26"/>
        <v>6.6196997602742545E-7</v>
      </c>
      <c r="S101" s="126">
        <f t="shared" si="27"/>
        <v>9.5926931646664373E-7</v>
      </c>
      <c r="AA101" s="126">
        <f t="shared" si="31"/>
        <v>6.6196997602742545E-7</v>
      </c>
      <c r="AB101" s="126">
        <f t="shared" si="32"/>
        <v>9.5926931646664373E-7</v>
      </c>
      <c r="AC101" s="126">
        <f t="shared" si="28"/>
        <v>1.7581608706623342E-8</v>
      </c>
      <c r="AD101" s="126">
        <f t="shared" si="29"/>
        <v>8.6709446647609405E-9</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0.99999964927554297</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0.12876649016385158</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3.0769230481563482E-2</v>
      </c>
      <c r="E102" s="12">
        <f>IF(Summary!E50="absolute",(R2-N7)/(J3+J3*Summary!E18),R2-N7)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0.12876649018202865</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0.11301276805284181</v>
      </c>
      <c r="H102" s="12">
        <f t="shared" si="33"/>
        <v>3.0769230476642817E-2</v>
      </c>
      <c r="K102">
        <v>100</v>
      </c>
      <c r="L102">
        <v>68</v>
      </c>
      <c r="M102">
        <f t="shared" si="21"/>
        <v>14</v>
      </c>
      <c r="N102">
        <f t="shared" si="23"/>
        <v>6800</v>
      </c>
      <c r="O102">
        <f t="shared" si="24"/>
        <v>6460</v>
      </c>
      <c r="P102">
        <f t="shared" si="25"/>
        <v>7140</v>
      </c>
      <c r="Q102">
        <f t="shared" si="30"/>
        <v>0</v>
      </c>
      <c r="R102" s="126">
        <f t="shared" si="26"/>
        <v>7.2603158523126469E-7</v>
      </c>
      <c r="S102" s="126">
        <f t="shared" si="27"/>
        <v>1.0517874323352736E-6</v>
      </c>
      <c r="AA102" s="126">
        <f t="shared" si="31"/>
        <v>7.2603158523126469E-7</v>
      </c>
      <c r="AB102" s="126">
        <f t="shared" si="32"/>
        <v>1.0517874323352736E-6</v>
      </c>
      <c r="AC102" s="126">
        <f t="shared" si="28"/>
        <v>1.755273983645496E-8</v>
      </c>
      <c r="AD102" s="126">
        <f t="shared" si="29"/>
        <v>8.6640255041488903E-9</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0.99999964930012331</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0.12876649016385158</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3.0769230462827337E-2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0.12876649018202865</v>
      </c>
      <c r="K103">
        <v>100</v>
      </c>
      <c r="L103">
        <v>75</v>
      </c>
      <c r="M103">
        <f t="shared" si="21"/>
        <v>14</v>
      </c>
      <c r="N103">
        <f t="shared" si="23"/>
        <v>7500</v>
      </c>
      <c r="O103">
        <f t="shared" si="24"/>
        <v>7125</v>
      </c>
      <c r="P103">
        <f t="shared" si="25"/>
        <v>7875</v>
      </c>
      <c r="Q103">
        <f t="shared" si="30"/>
        <v>0</v>
      </c>
      <c r="R103" s="126">
        <f t="shared" si="26"/>
        <v>8.0077012899473694E-7</v>
      </c>
      <c r="S103" s="126">
        <f t="shared" si="27"/>
        <v>1.1597252337801854E-6</v>
      </c>
      <c r="AA103" s="126">
        <f t="shared" si="31"/>
        <v>8.0077012899473694E-7</v>
      </c>
      <c r="AB103" s="126">
        <f t="shared" si="32"/>
        <v>1.1597252337801854E-6</v>
      </c>
      <c r="AC103" s="126">
        <f t="shared" si="28"/>
        <v>1.7525063747649255E-8</v>
      </c>
      <c r="AD103" s="126">
        <f t="shared" si="29"/>
        <v>8.6573722892023124E-9</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0.99999964930012331</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6.1139191368274753E-2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3.0769230462827337E-2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0.47480669295488903</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6.1139191387862737E-2</v>
      </c>
      <c r="K104">
        <v>100</v>
      </c>
      <c r="L104">
        <v>82</v>
      </c>
      <c r="M104">
        <f t="shared" si="21"/>
        <v>14</v>
      </c>
      <c r="N104">
        <f t="shared" si="23"/>
        <v>8200</v>
      </c>
      <c r="O104">
        <f t="shared" si="24"/>
        <v>7790</v>
      </c>
      <c r="P104">
        <f t="shared" si="25"/>
        <v>8610</v>
      </c>
      <c r="Q104">
        <f t="shared" si="30"/>
        <v>0</v>
      </c>
      <c r="R104" s="126">
        <f t="shared" si="26"/>
        <v>8.7550867242686811E-7</v>
      </c>
      <c r="S104" s="126">
        <f t="shared" si="27"/>
        <v>1.2676630347923645E-6</v>
      </c>
      <c r="AA104" s="126">
        <f t="shared" si="31"/>
        <v>8.7550867242686811E-7</v>
      </c>
      <c r="AB104" s="126">
        <f t="shared" si="32"/>
        <v>1.2676630347923645E-6</v>
      </c>
      <c r="AC104" s="126">
        <f t="shared" si="28"/>
        <v>1.7502236081459006E-8</v>
      </c>
      <c r="AD104" s="126">
        <f t="shared" si="29"/>
        <v>8.6518697954452757E-9</v>
      </c>
      <c r="AE104" s="128"/>
    </row>
    <row r="105" spans="1:31" x14ac:dyDescent="0.35">
      <c r="K105">
        <v>100</v>
      </c>
      <c r="L105">
        <v>91</v>
      </c>
      <c r="M105">
        <f t="shared" si="21"/>
        <v>14</v>
      </c>
      <c r="N105">
        <f t="shared" si="23"/>
        <v>9100</v>
      </c>
      <c r="O105">
        <f t="shared" si="24"/>
        <v>8645</v>
      </c>
      <c r="P105">
        <f t="shared" si="25"/>
        <v>9555</v>
      </c>
      <c r="Q105">
        <f t="shared" si="30"/>
        <v>0</v>
      </c>
      <c r="R105" s="126">
        <f t="shared" si="26"/>
        <v>9.7160108492416891E-7</v>
      </c>
      <c r="S105" s="126">
        <f t="shared" si="27"/>
        <v>1.4064402068864574E-6</v>
      </c>
      <c r="AA105" s="126">
        <f t="shared" si="31"/>
        <v>9.7160108492416891E-7</v>
      </c>
      <c r="AB105" s="126">
        <f t="shared" si="32"/>
        <v>1.4064402068864574E-6</v>
      </c>
      <c r="AC105" s="126">
        <f t="shared" si="28"/>
        <v>1.7478167979082511E-8</v>
      </c>
      <c r="AD105" s="126">
        <f t="shared" si="29"/>
        <v>8.6460536674917944E-9</v>
      </c>
      <c r="AE105" s="128"/>
    </row>
    <row r="106" spans="1:31" x14ac:dyDescent="0.35">
      <c r="K106">
        <v>1000</v>
      </c>
      <c r="L106">
        <v>10</v>
      </c>
      <c r="M106">
        <f t="shared" si="21"/>
        <v>14</v>
      </c>
      <c r="N106">
        <f t="shared" si="23"/>
        <v>10000</v>
      </c>
      <c r="O106">
        <f t="shared" si="24"/>
        <v>9500</v>
      </c>
      <c r="P106">
        <f t="shared" si="25"/>
        <v>10500</v>
      </c>
      <c r="Q106">
        <f t="shared" si="30"/>
        <v>0</v>
      </c>
      <c r="R106" s="126">
        <f t="shared" si="26"/>
        <v>1.0676934968737427E-6</v>
      </c>
      <c r="S106" s="126">
        <f t="shared" si="27"/>
        <v>1.5452173782652172E-6</v>
      </c>
      <c r="AA106" s="126">
        <f t="shared" si="31"/>
        <v>1.0676934968737427E-6</v>
      </c>
      <c r="AB106" s="126">
        <f t="shared" si="32"/>
        <v>1.5452173782652172E-6</v>
      </c>
      <c r="AC106" s="126">
        <f t="shared" si="28"/>
        <v>1.7458524897453472E-8</v>
      </c>
      <c r="AD106" s="126">
        <f t="shared" si="29"/>
        <v>8.6412956404543806E-9</v>
      </c>
      <c r="AE106" s="128"/>
    </row>
    <row r="107" spans="1:31" x14ac:dyDescent="0.35">
      <c r="K107">
        <v>1000</v>
      </c>
      <c r="L107">
        <v>11</v>
      </c>
      <c r="M107">
        <f t="shared" si="21"/>
        <v>14</v>
      </c>
      <c r="N107">
        <f t="shared" si="23"/>
        <v>11000</v>
      </c>
      <c r="O107">
        <f t="shared" si="24"/>
        <v>10450</v>
      </c>
      <c r="P107">
        <f t="shared" si="25"/>
        <v>11550</v>
      </c>
      <c r="Q107">
        <f t="shared" si="30"/>
        <v>0</v>
      </c>
      <c r="R107" s="126">
        <f t="shared" si="26"/>
        <v>1.1744628428419847E-6</v>
      </c>
      <c r="S107" s="126">
        <f t="shared" si="27"/>
        <v>1.6994142345137572E-6</v>
      </c>
      <c r="AA107" s="126">
        <f t="shared" si="31"/>
        <v>1.1744628428419847E-6</v>
      </c>
      <c r="AB107" s="126">
        <f t="shared" si="32"/>
        <v>1.6994142345137572E-6</v>
      </c>
      <c r="AC107" s="126">
        <f t="shared" si="28"/>
        <v>1.7440542568037662E-8</v>
      </c>
      <c r="AD107" s="126">
        <f t="shared" si="29"/>
        <v>8.6369309832264259E-9</v>
      </c>
      <c r="AE107" s="128"/>
    </row>
    <row r="108" spans="1:31" x14ac:dyDescent="0.35">
      <c r="K108">
        <v>1000</v>
      </c>
      <c r="L108">
        <v>12</v>
      </c>
      <c r="M108">
        <f t="shared" si="21"/>
        <v>14</v>
      </c>
      <c r="N108">
        <f t="shared" si="23"/>
        <v>12000</v>
      </c>
      <c r="O108">
        <f t="shared" si="24"/>
        <v>11400</v>
      </c>
      <c r="P108">
        <f t="shared" si="25"/>
        <v>12600</v>
      </c>
      <c r="Q108">
        <f t="shared" si="30"/>
        <v>0</v>
      </c>
      <c r="R108" s="126">
        <f t="shared" si="26"/>
        <v>1.2812321881340211E-6</v>
      </c>
      <c r="S108" s="126">
        <f t="shared" si="27"/>
        <v>1.8536110898791696E-6</v>
      </c>
      <c r="AA108" s="126">
        <f t="shared" si="31"/>
        <v>1.2812321881340211E-6</v>
      </c>
      <c r="AB108" s="126">
        <f t="shared" si="32"/>
        <v>1.8536110898791696E-6</v>
      </c>
      <c r="AC108" s="126">
        <f t="shared" si="28"/>
        <v>1.7425610841623376E-8</v>
      </c>
      <c r="AD108" s="126">
        <f t="shared" si="29"/>
        <v>8.6333002577105699E-9</v>
      </c>
      <c r="AE108" s="128"/>
    </row>
    <row r="109" spans="1:31" x14ac:dyDescent="0.35">
      <c r="K109">
        <v>1000</v>
      </c>
      <c r="L109">
        <v>13</v>
      </c>
      <c r="M109">
        <f t="shared" si="21"/>
        <v>14</v>
      </c>
      <c r="N109">
        <f t="shared" si="23"/>
        <v>13000</v>
      </c>
      <c r="O109">
        <f t="shared" si="24"/>
        <v>12350</v>
      </c>
      <c r="P109">
        <f t="shared" si="25"/>
        <v>13650</v>
      </c>
      <c r="Q109">
        <f t="shared" si="30"/>
        <v>0</v>
      </c>
      <c r="R109" s="126">
        <f t="shared" si="26"/>
        <v>1.3880015327498513E-6</v>
      </c>
      <c r="S109" s="126">
        <f t="shared" si="27"/>
        <v>2.0078079443614545E-6</v>
      </c>
      <c r="AA109" s="126">
        <f t="shared" si="31"/>
        <v>1.3880015327498513E-6</v>
      </c>
      <c r="AB109" s="126">
        <f t="shared" si="32"/>
        <v>2.0078079443614545E-6</v>
      </c>
      <c r="AC109" s="126">
        <f t="shared" si="28"/>
        <v>1.7413014213199751E-8</v>
      </c>
      <c r="AD109" s="126">
        <f t="shared" si="29"/>
        <v>8.6302327061010492E-9</v>
      </c>
      <c r="AE109" s="128"/>
    </row>
    <row r="110" spans="1:31" x14ac:dyDescent="0.35">
      <c r="K110">
        <v>1000</v>
      </c>
      <c r="L110">
        <v>15</v>
      </c>
      <c r="M110">
        <f t="shared" si="21"/>
        <v>14</v>
      </c>
      <c r="N110">
        <f t="shared" si="23"/>
        <v>15000</v>
      </c>
      <c r="O110">
        <f t="shared" si="24"/>
        <v>14250</v>
      </c>
      <c r="P110">
        <f t="shared" si="25"/>
        <v>15750</v>
      </c>
      <c r="Q110">
        <f t="shared" si="30"/>
        <v>0</v>
      </c>
      <c r="R110" s="126">
        <f t="shared" si="26"/>
        <v>1.6015402199528948E-6</v>
      </c>
      <c r="S110" s="126">
        <f t="shared" si="27"/>
        <v>2.3162016506766423E-6</v>
      </c>
      <c r="AA110" s="126">
        <f t="shared" si="31"/>
        <v>1.6015402199528948E-6</v>
      </c>
      <c r="AB110" s="126">
        <f t="shared" si="32"/>
        <v>2.3162016506766423E-6</v>
      </c>
      <c r="AC110" s="126">
        <f t="shared" si="28"/>
        <v>1.7392931663214883E-8</v>
      </c>
      <c r="AD110" s="126">
        <f t="shared" si="29"/>
        <v>8.6253333822228016E-9</v>
      </c>
      <c r="AE110" s="128"/>
    </row>
    <row r="111" spans="1:31" x14ac:dyDescent="0.35">
      <c r="K111">
        <v>1000</v>
      </c>
      <c r="L111">
        <v>16</v>
      </c>
      <c r="M111">
        <f t="shared" si="21"/>
        <v>14</v>
      </c>
      <c r="N111">
        <f t="shared" si="23"/>
        <v>16000</v>
      </c>
      <c r="O111">
        <f t="shared" si="24"/>
        <v>15200</v>
      </c>
      <c r="P111">
        <f t="shared" si="25"/>
        <v>16800</v>
      </c>
      <c r="Q111">
        <f t="shared" si="30"/>
        <v>0</v>
      </c>
      <c r="R111" s="126">
        <f t="shared" si="26"/>
        <v>1.7083095625401078E-6</v>
      </c>
      <c r="S111" s="126">
        <f t="shared" si="27"/>
        <v>2.4703985025095445E-6</v>
      </c>
      <c r="AA111" s="126">
        <f t="shared" si="31"/>
        <v>1.7083095625401078E-6</v>
      </c>
      <c r="AB111" s="126">
        <f t="shared" si="32"/>
        <v>2.4703985025095445E-6</v>
      </c>
      <c r="AC111" s="126">
        <f t="shared" si="28"/>
        <v>1.7384798391700217E-8</v>
      </c>
      <c r="AD111" s="126">
        <f t="shared" si="29"/>
        <v>8.623346107089014E-9</v>
      </c>
      <c r="AE111" s="128"/>
    </row>
    <row r="112" spans="1:31" x14ac:dyDescent="0.35">
      <c r="K112">
        <v>1000</v>
      </c>
      <c r="L112">
        <v>18</v>
      </c>
      <c r="M112">
        <f t="shared" si="21"/>
        <v>14</v>
      </c>
      <c r="N112">
        <f t="shared" si="23"/>
        <v>18000</v>
      </c>
      <c r="O112">
        <f t="shared" si="24"/>
        <v>17100</v>
      </c>
      <c r="P112">
        <f t="shared" si="25"/>
        <v>18900</v>
      </c>
      <c r="Q112">
        <f t="shared" si="30"/>
        <v>0</v>
      </c>
      <c r="R112" s="126">
        <f t="shared" si="26"/>
        <v>1.9218482456859162E-6</v>
      </c>
      <c r="S112" s="126">
        <f t="shared" si="27"/>
        <v>2.7787922035259678E-6</v>
      </c>
      <c r="AA112" s="126">
        <f t="shared" si="31"/>
        <v>1.9218482456859162E-6</v>
      </c>
      <c r="AB112" s="126">
        <f t="shared" si="32"/>
        <v>2.7787922035259678E-6</v>
      </c>
      <c r="AC112" s="126">
        <f t="shared" si="28"/>
        <v>1.7371275288893516E-8</v>
      </c>
      <c r="AD112" s="126">
        <f t="shared" si="29"/>
        <v>8.6200379249570707E-9</v>
      </c>
      <c r="AE112" s="128"/>
    </row>
    <row r="113" spans="11:31" x14ac:dyDescent="0.35">
      <c r="K113">
        <v>1000</v>
      </c>
      <c r="L113">
        <v>20</v>
      </c>
      <c r="M113">
        <f t="shared" si="21"/>
        <v>14</v>
      </c>
      <c r="N113">
        <f t="shared" si="23"/>
        <v>20000</v>
      </c>
      <c r="O113">
        <f t="shared" si="24"/>
        <v>19000</v>
      </c>
      <c r="P113">
        <f t="shared" si="25"/>
        <v>21000</v>
      </c>
      <c r="Q113">
        <f t="shared" si="30"/>
        <v>0</v>
      </c>
      <c r="R113" s="126">
        <f t="shared" si="26"/>
        <v>2.1353869261269018E-6</v>
      </c>
      <c r="S113" s="126">
        <f t="shared" si="27"/>
        <v>3.0871859010098822E-6</v>
      </c>
      <c r="AA113" s="126">
        <f t="shared" si="31"/>
        <v>2.1353869261269018E-6</v>
      </c>
      <c r="AB113" s="126">
        <f t="shared" si="32"/>
        <v>3.0871859010098822E-6</v>
      </c>
      <c r="AC113" s="126">
        <f t="shared" si="28"/>
        <v>1.7360485859549626E-8</v>
      </c>
      <c r="AD113" s="126">
        <f t="shared" si="29"/>
        <v>8.6173949243198732E-9</v>
      </c>
      <c r="AE113" s="128"/>
    </row>
    <row r="114" spans="11:31" x14ac:dyDescent="0.35">
      <c r="K114">
        <v>1000</v>
      </c>
      <c r="L114">
        <v>22</v>
      </c>
      <c r="M114">
        <f t="shared" si="21"/>
        <v>14</v>
      </c>
      <c r="N114">
        <f t="shared" si="23"/>
        <v>22000</v>
      </c>
      <c r="O114">
        <f t="shared" si="24"/>
        <v>20900</v>
      </c>
      <c r="P114">
        <f t="shared" si="25"/>
        <v>23100</v>
      </c>
      <c r="Q114">
        <f t="shared" si="30"/>
        <v>0</v>
      </c>
      <c r="R114" s="126">
        <f t="shared" si="26"/>
        <v>2.3489256038630638E-6</v>
      </c>
      <c r="S114" s="126">
        <f t="shared" si="27"/>
        <v>3.3955795949612871E-6</v>
      </c>
      <c r="AA114" s="126">
        <f t="shared" si="31"/>
        <v>2.3489256038630638E-6</v>
      </c>
      <c r="AB114" s="126">
        <f t="shared" si="32"/>
        <v>3.3955795949612871E-6</v>
      </c>
      <c r="AC114" s="126">
        <f t="shared" si="28"/>
        <v>1.7351677311510202E-8</v>
      </c>
      <c r="AD114" s="126">
        <f t="shared" si="29"/>
        <v>8.6152348105938313E-9</v>
      </c>
      <c r="AE114" s="128"/>
    </row>
    <row r="115" spans="11:31" x14ac:dyDescent="0.35">
      <c r="K115">
        <v>1000</v>
      </c>
      <c r="L115">
        <v>24</v>
      </c>
      <c r="M115">
        <f t="shared" si="21"/>
        <v>14</v>
      </c>
      <c r="N115">
        <f t="shared" si="23"/>
        <v>24000</v>
      </c>
      <c r="O115">
        <f t="shared" si="24"/>
        <v>22800</v>
      </c>
      <c r="P115">
        <f t="shared" si="25"/>
        <v>25200</v>
      </c>
      <c r="Q115">
        <f t="shared" si="30"/>
        <v>0</v>
      </c>
      <c r="R115" s="126">
        <f t="shared" si="26"/>
        <v>2.5624642788944031E-6</v>
      </c>
      <c r="S115" s="126">
        <f t="shared" si="27"/>
        <v>3.7039732853801823E-6</v>
      </c>
      <c r="AA115" s="126">
        <f t="shared" si="31"/>
        <v>2.5624642788944031E-6</v>
      </c>
      <c r="AB115" s="126">
        <f t="shared" si="32"/>
        <v>3.7039732853801823E-6</v>
      </c>
      <c r="AC115" s="126">
        <f t="shared" si="28"/>
        <v>1.7344350008798176E-8</v>
      </c>
      <c r="AD115" s="126">
        <f t="shared" si="29"/>
        <v>8.6134363240927479E-9</v>
      </c>
      <c r="AE115" s="128"/>
    </row>
    <row r="116" spans="11:31" x14ac:dyDescent="0.35">
      <c r="K116">
        <v>1000</v>
      </c>
      <c r="L116">
        <v>27</v>
      </c>
      <c r="M116">
        <f t="shared" si="21"/>
        <v>14</v>
      </c>
      <c r="N116">
        <f t="shared" si="23"/>
        <v>27000</v>
      </c>
      <c r="O116">
        <f t="shared" si="24"/>
        <v>25650</v>
      </c>
      <c r="P116">
        <f t="shared" si="25"/>
        <v>28350</v>
      </c>
      <c r="Q116">
        <f t="shared" si="30"/>
        <v>0</v>
      </c>
      <c r="R116" s="126">
        <f t="shared" si="26"/>
        <v>2.8827722863698686E-6</v>
      </c>
      <c r="S116" s="126">
        <f t="shared" si="27"/>
        <v>4.1665638143850708E-6</v>
      </c>
      <c r="AA116" s="126">
        <f t="shared" si="31"/>
        <v>2.8827722863698686E-6</v>
      </c>
      <c r="AB116" s="126">
        <f t="shared" si="32"/>
        <v>4.1665638143850708E-6</v>
      </c>
      <c r="AC116" s="126">
        <f t="shared" si="28"/>
        <v>1.7335410629398235E-8</v>
      </c>
      <c r="AD116" s="126">
        <f t="shared" si="29"/>
        <v>8.6112401578323281E-9</v>
      </c>
      <c r="AE116" s="128"/>
    </row>
    <row r="117" spans="11:31" x14ac:dyDescent="0.35">
      <c r="K117">
        <v>1000</v>
      </c>
      <c r="L117">
        <v>30</v>
      </c>
      <c r="M117">
        <f t="shared" si="21"/>
        <v>14</v>
      </c>
      <c r="N117">
        <f t="shared" si="23"/>
        <v>30000</v>
      </c>
      <c r="O117">
        <f t="shared" si="24"/>
        <v>28500</v>
      </c>
      <c r="P117">
        <f t="shared" si="25"/>
        <v>31500</v>
      </c>
      <c r="Q117">
        <f t="shared" si="30"/>
        <v>0</v>
      </c>
      <c r="R117" s="126">
        <f t="shared" si="26"/>
        <v>3.2030802877594832E-6</v>
      </c>
      <c r="S117" s="126">
        <f t="shared" si="27"/>
        <v>4.6291543354418129E-6</v>
      </c>
      <c r="AA117" s="126">
        <f t="shared" si="31"/>
        <v>3.2030802877594832E-6</v>
      </c>
      <c r="AB117" s="126">
        <f t="shared" si="32"/>
        <v>4.6291543354418129E-6</v>
      </c>
      <c r="AC117" s="126">
        <f t="shared" si="28"/>
        <v>1.7328271946716839E-8</v>
      </c>
      <c r="AD117" s="126">
        <f t="shared" si="29"/>
        <v>8.6094847948870579E-9</v>
      </c>
      <c r="AE117" s="128"/>
    </row>
    <row r="118" spans="11:31" x14ac:dyDescent="0.35">
      <c r="K118">
        <v>1000</v>
      </c>
      <c r="L118">
        <v>33</v>
      </c>
      <c r="M118">
        <f t="shared" si="21"/>
        <v>14</v>
      </c>
      <c r="N118">
        <f t="shared" si="23"/>
        <v>33000</v>
      </c>
      <c r="O118">
        <f t="shared" si="24"/>
        <v>31350</v>
      </c>
      <c r="P118">
        <f t="shared" si="25"/>
        <v>34650</v>
      </c>
      <c r="Q118">
        <f t="shared" si="30"/>
        <v>0</v>
      </c>
      <c r="R118" s="126">
        <f t="shared" si="26"/>
        <v>3.5233882830632454E-6</v>
      </c>
      <c r="S118" s="126">
        <f t="shared" si="27"/>
        <v>5.0917448485504104E-6</v>
      </c>
      <c r="AA118" s="126">
        <f t="shared" si="31"/>
        <v>3.5233882830632454E-6</v>
      </c>
      <c r="AB118" s="126">
        <f t="shared" si="32"/>
        <v>5.0917448485504104E-6</v>
      </c>
      <c r="AC118" s="126">
        <f t="shared" si="28"/>
        <v>1.7322439670751367E-8</v>
      </c>
      <c r="AD118" s="126">
        <f t="shared" si="29"/>
        <v>8.6080496261615152E-9</v>
      </c>
      <c r="AE118" s="128"/>
    </row>
    <row r="119" spans="11:31" x14ac:dyDescent="0.35">
      <c r="K119">
        <v>1000</v>
      </c>
      <c r="L119">
        <v>36</v>
      </c>
      <c r="M119">
        <f t="shared" si="21"/>
        <v>14</v>
      </c>
      <c r="N119">
        <f t="shared" si="23"/>
        <v>36000</v>
      </c>
      <c r="O119">
        <f t="shared" si="24"/>
        <v>34200</v>
      </c>
      <c r="P119">
        <f t="shared" si="25"/>
        <v>37800</v>
      </c>
      <c r="Q119">
        <f t="shared" si="30"/>
        <v>0</v>
      </c>
      <c r="R119" s="126">
        <f t="shared" si="26"/>
        <v>3.8436962722811567E-6</v>
      </c>
      <c r="S119" s="126">
        <f t="shared" si="27"/>
        <v>5.5543353537108607E-6</v>
      </c>
      <c r="AA119" s="126">
        <f t="shared" si="31"/>
        <v>3.8436962722811567E-6</v>
      </c>
      <c r="AB119" s="126">
        <f t="shared" si="32"/>
        <v>5.5543353537108607E-6</v>
      </c>
      <c r="AC119" s="126">
        <f t="shared" si="28"/>
        <v>1.7317585253258408E-8</v>
      </c>
      <c r="AD119" s="126">
        <f t="shared" si="29"/>
        <v>8.6068543649687874E-9</v>
      </c>
      <c r="AE119" s="128"/>
    </row>
    <row r="120" spans="11:31" x14ac:dyDescent="0.35">
      <c r="K120">
        <v>1000</v>
      </c>
      <c r="L120">
        <v>39</v>
      </c>
      <c r="M120">
        <f t="shared" si="21"/>
        <v>14</v>
      </c>
      <c r="N120">
        <f t="shared" si="23"/>
        <v>39000</v>
      </c>
      <c r="O120">
        <f t="shared" si="24"/>
        <v>37050</v>
      </c>
      <c r="P120">
        <f t="shared" si="25"/>
        <v>40950</v>
      </c>
      <c r="Q120">
        <f t="shared" si="30"/>
        <v>0</v>
      </c>
      <c r="R120" s="126">
        <f t="shared" si="26"/>
        <v>4.1640042554132176E-6</v>
      </c>
      <c r="S120" s="126">
        <f t="shared" si="27"/>
        <v>6.0169258509231688E-6</v>
      </c>
      <c r="AA120" s="126">
        <f t="shared" si="31"/>
        <v>4.1640042554132176E-6</v>
      </c>
      <c r="AB120" s="126">
        <f t="shared" si="32"/>
        <v>6.0169258509231688E-6</v>
      </c>
      <c r="AC120" s="126">
        <f t="shared" si="28"/>
        <v>1.7313481792424461E-8</v>
      </c>
      <c r="AD120" s="126">
        <f t="shared" si="29"/>
        <v>8.6058434959615132E-9</v>
      </c>
      <c r="AE120" s="128"/>
    </row>
    <row r="121" spans="11:31" x14ac:dyDescent="0.35">
      <c r="K121">
        <v>1000</v>
      </c>
      <c r="L121">
        <v>43</v>
      </c>
      <c r="M121">
        <f t="shared" si="21"/>
        <v>14</v>
      </c>
      <c r="N121">
        <f t="shared" si="23"/>
        <v>43000</v>
      </c>
      <c r="O121">
        <f t="shared" si="24"/>
        <v>40850</v>
      </c>
      <c r="P121">
        <f t="shared" si="25"/>
        <v>45150</v>
      </c>
      <c r="Q121">
        <f t="shared" si="30"/>
        <v>0</v>
      </c>
      <c r="R121" s="126">
        <f t="shared" si="26"/>
        <v>4.5910815567890853E-6</v>
      </c>
      <c r="S121" s="126">
        <f t="shared" si="27"/>
        <v>6.6337131681757958E-6</v>
      </c>
      <c r="AA121" s="126">
        <f t="shared" si="31"/>
        <v>4.5910815567890853E-6</v>
      </c>
      <c r="AB121" s="126">
        <f t="shared" si="32"/>
        <v>6.6337131681757958E-6</v>
      </c>
      <c r="AC121" s="126">
        <f t="shared" si="28"/>
        <v>1.730890564539938E-8</v>
      </c>
      <c r="AD121" s="126">
        <f t="shared" si="29"/>
        <v>8.6047156315111579E-9</v>
      </c>
      <c r="AE121" s="128"/>
    </row>
    <row r="122" spans="11:31" x14ac:dyDescent="0.35">
      <c r="K122">
        <v>1000</v>
      </c>
      <c r="L122">
        <v>47</v>
      </c>
      <c r="M122">
        <f t="shared" si="21"/>
        <v>14</v>
      </c>
      <c r="N122">
        <f t="shared" si="23"/>
        <v>47000</v>
      </c>
      <c r="O122">
        <f t="shared" si="24"/>
        <v>44650</v>
      </c>
      <c r="P122">
        <f t="shared" si="25"/>
        <v>49350</v>
      </c>
      <c r="Q122">
        <f t="shared" si="30"/>
        <v>0</v>
      </c>
      <c r="R122" s="126">
        <f t="shared" si="26"/>
        <v>5.0181588473456631E-6</v>
      </c>
      <c r="S122" s="126">
        <f t="shared" si="27"/>
        <v>7.2505004712983902E-6</v>
      </c>
      <c r="AA122" s="126">
        <f t="shared" si="31"/>
        <v>5.0181588473456631E-6</v>
      </c>
      <c r="AB122" s="126">
        <f t="shared" si="32"/>
        <v>7.2505004712983902E-6</v>
      </c>
      <c r="AC122" s="126">
        <f t="shared" si="28"/>
        <v>1.7305111986349221E-8</v>
      </c>
      <c r="AD122" s="126">
        <f t="shared" si="29"/>
        <v>8.6037801822639191E-9</v>
      </c>
      <c r="AE122" s="128"/>
    </row>
    <row r="123" spans="11:31" x14ac:dyDescent="0.35">
      <c r="K123">
        <v>1000</v>
      </c>
      <c r="L123">
        <v>51</v>
      </c>
      <c r="M123">
        <f t="shared" si="21"/>
        <v>14</v>
      </c>
      <c r="N123">
        <f t="shared" si="23"/>
        <v>51000</v>
      </c>
      <c r="O123">
        <f t="shared" si="24"/>
        <v>48450</v>
      </c>
      <c r="P123">
        <f t="shared" si="25"/>
        <v>53550</v>
      </c>
      <c r="Q123">
        <f t="shared" si="30"/>
        <v>0</v>
      </c>
      <c r="R123" s="126">
        <f t="shared" si="26"/>
        <v>5.4452361270829519E-6</v>
      </c>
      <c r="S123" s="126">
        <f t="shared" si="27"/>
        <v>7.867287760290947E-6</v>
      </c>
      <c r="AA123" s="126">
        <f t="shared" si="31"/>
        <v>5.4452361270829519E-6</v>
      </c>
      <c r="AB123" s="126">
        <f t="shared" si="32"/>
        <v>7.867287760290947E-6</v>
      </c>
      <c r="AC123" s="126">
        <f t="shared" si="28"/>
        <v>1.7301915924573713E-8</v>
      </c>
      <c r="AD123" s="126">
        <f t="shared" si="29"/>
        <v>8.6029917789026047E-9</v>
      </c>
      <c r="AE123" s="128"/>
    </row>
    <row r="124" spans="11:31" x14ac:dyDescent="0.35">
      <c r="K124">
        <v>1000</v>
      </c>
      <c r="L124">
        <v>56</v>
      </c>
      <c r="M124">
        <f t="shared" si="21"/>
        <v>14</v>
      </c>
      <c r="N124">
        <f t="shared" si="23"/>
        <v>56000</v>
      </c>
      <c r="O124">
        <f t="shared" si="24"/>
        <v>53200</v>
      </c>
      <c r="P124">
        <f t="shared" si="25"/>
        <v>58800</v>
      </c>
      <c r="Q124">
        <f t="shared" si="30"/>
        <v>0</v>
      </c>
      <c r="R124" s="126">
        <f t="shared" si="26"/>
        <v>5.9790827115399383E-6</v>
      </c>
      <c r="S124" s="126">
        <f t="shared" si="27"/>
        <v>8.6382718516612867E-6</v>
      </c>
      <c r="AA124" s="126">
        <f t="shared" si="31"/>
        <v>5.9790827115399383E-6</v>
      </c>
      <c r="AB124" s="126">
        <f t="shared" si="32"/>
        <v>8.6382718516612867E-6</v>
      </c>
      <c r="AC124" s="126">
        <f t="shared" si="28"/>
        <v>1.7298565383406881E-8</v>
      </c>
      <c r="AD124" s="126">
        <f t="shared" si="29"/>
        <v>8.6021649628228764E-9</v>
      </c>
      <c r="AE124" s="128"/>
    </row>
    <row r="125" spans="11:31" x14ac:dyDescent="0.35">
      <c r="K125">
        <v>1000</v>
      </c>
      <c r="L125">
        <v>62</v>
      </c>
      <c r="M125">
        <f t="shared" si="21"/>
        <v>14</v>
      </c>
      <c r="N125">
        <f t="shared" si="23"/>
        <v>62000</v>
      </c>
      <c r="O125">
        <f t="shared" si="24"/>
        <v>58900</v>
      </c>
      <c r="P125">
        <f t="shared" si="25"/>
        <v>65100</v>
      </c>
      <c r="Q125">
        <f t="shared" si="30"/>
        <v>0</v>
      </c>
      <c r="R125" s="126">
        <f t="shared" si="26"/>
        <v>6.6196985905735367E-6</v>
      </c>
      <c r="S125" s="126">
        <f t="shared" si="27"/>
        <v>9.5634527321624991E-6</v>
      </c>
      <c r="AA125" s="126">
        <f t="shared" si="31"/>
        <v>6.6196985905735367E-6</v>
      </c>
      <c r="AB125" s="126">
        <f t="shared" si="32"/>
        <v>9.5634527321624991E-6</v>
      </c>
      <c r="AC125" s="126">
        <f t="shared" si="28"/>
        <v>1.7295260553948123E-8</v>
      </c>
      <c r="AD125" s="126">
        <f t="shared" si="29"/>
        <v>8.601349120042377E-9</v>
      </c>
      <c r="AE125" s="128"/>
    </row>
    <row r="126" spans="11:31" x14ac:dyDescent="0.35">
      <c r="K126">
        <v>1000</v>
      </c>
      <c r="L126">
        <v>68</v>
      </c>
      <c r="M126">
        <f t="shared" si="21"/>
        <v>14</v>
      </c>
      <c r="N126">
        <f t="shared" si="23"/>
        <v>68000</v>
      </c>
      <c r="O126">
        <f t="shared" si="24"/>
        <v>64600</v>
      </c>
      <c r="P126">
        <f t="shared" si="25"/>
        <v>71400</v>
      </c>
      <c r="Q126">
        <f t="shared" si="30"/>
        <v>0</v>
      </c>
      <c r="R126" s="126">
        <f t="shared" si="26"/>
        <v>7.2603144452637376E-6</v>
      </c>
      <c r="S126" s="126">
        <f t="shared" si="27"/>
        <v>1.0488633580871136E-5</v>
      </c>
      <c r="AA126" s="126">
        <f t="shared" si="31"/>
        <v>7.2603144452637376E-6</v>
      </c>
      <c r="AB126" s="126">
        <f t="shared" si="32"/>
        <v>1.0488633580871136E-5</v>
      </c>
      <c r="AC126" s="126">
        <f t="shared" si="28"/>
        <v>1.7292540777796349E-8</v>
      </c>
      <c r="AD126" s="126">
        <f t="shared" si="29"/>
        <v>8.6006774767542215E-9</v>
      </c>
      <c r="AE126" s="128"/>
    </row>
    <row r="127" spans="11:31" x14ac:dyDescent="0.35">
      <c r="K127">
        <v>1000</v>
      </c>
      <c r="L127">
        <v>75</v>
      </c>
      <c r="M127">
        <f t="shared" si="21"/>
        <v>14</v>
      </c>
      <c r="N127">
        <f t="shared" si="23"/>
        <v>75000</v>
      </c>
      <c r="O127">
        <f t="shared" si="24"/>
        <v>71250</v>
      </c>
      <c r="P127">
        <f t="shared" si="25"/>
        <v>78750</v>
      </c>
      <c r="Q127">
        <f t="shared" si="30"/>
        <v>0</v>
      </c>
      <c r="R127" s="126">
        <f t="shared" si="26"/>
        <v>8.0076995783016263E-6</v>
      </c>
      <c r="S127" s="126">
        <f t="shared" si="27"/>
        <v>1.1568011197515605E-5</v>
      </c>
      <c r="AA127" s="126">
        <f t="shared" si="31"/>
        <v>8.0076995783016263E-6</v>
      </c>
      <c r="AB127" s="126">
        <f t="shared" si="32"/>
        <v>1.1568011197515605E-5</v>
      </c>
      <c r="AC127" s="126">
        <f t="shared" si="28"/>
        <v>1.7289919285185828E-8</v>
      </c>
      <c r="AD127" s="126">
        <f t="shared" si="29"/>
        <v>8.6000299084910558E-9</v>
      </c>
      <c r="AE127" s="128"/>
    </row>
    <row r="128" spans="11:31" x14ac:dyDescent="0.35">
      <c r="K128">
        <v>1000</v>
      </c>
      <c r="L128">
        <v>82</v>
      </c>
      <c r="M128">
        <f t="shared" si="21"/>
        <v>14</v>
      </c>
      <c r="N128">
        <f t="shared" si="23"/>
        <v>82000</v>
      </c>
      <c r="O128">
        <f t="shared" si="24"/>
        <v>77900</v>
      </c>
      <c r="P128">
        <f t="shared" si="25"/>
        <v>86100</v>
      </c>
      <c r="Q128">
        <f t="shared" si="30"/>
        <v>0</v>
      </c>
      <c r="R128" s="126">
        <f t="shared" si="26"/>
        <v>8.7550846782054452E-6</v>
      </c>
      <c r="S128" s="126">
        <f t="shared" si="27"/>
        <v>1.2647388770886854E-5</v>
      </c>
      <c r="AA128" s="126">
        <f t="shared" si="31"/>
        <v>8.7550846782054452E-6</v>
      </c>
      <c r="AB128" s="126">
        <f t="shared" si="32"/>
        <v>1.2647388770886854E-5</v>
      </c>
      <c r="AC128" s="126">
        <f t="shared" si="28"/>
        <v>1.7287746540896762E-8</v>
      </c>
      <c r="AD128" s="126">
        <f t="shared" si="29"/>
        <v>8.5994930453879873E-9</v>
      </c>
      <c r="AE128" s="128"/>
    </row>
    <row r="129" spans="11:31" x14ac:dyDescent="0.35">
      <c r="K129">
        <v>1000</v>
      </c>
      <c r="L129">
        <v>91</v>
      </c>
      <c r="M129">
        <f t="shared" si="21"/>
        <v>14</v>
      </c>
      <c r="N129">
        <f t="shared" si="23"/>
        <v>91000</v>
      </c>
      <c r="O129">
        <f t="shared" si="24"/>
        <v>86450</v>
      </c>
      <c r="P129">
        <f t="shared" si="25"/>
        <v>95550</v>
      </c>
      <c r="Q129">
        <f t="shared" si="30"/>
        <v>0</v>
      </c>
      <c r="R129" s="126">
        <f t="shared" si="26"/>
        <v>9.7160083293949993E-6</v>
      </c>
      <c r="S129" s="126">
        <f t="shared" si="27"/>
        <v>1.4035159873064752E-5</v>
      </c>
      <c r="AA129" s="126">
        <f t="shared" si="31"/>
        <v>9.7160083293949993E-6</v>
      </c>
      <c r="AB129" s="126">
        <f t="shared" si="32"/>
        <v>1.4035159873064752E-5</v>
      </c>
      <c r="AC129" s="126">
        <f t="shared" si="28"/>
        <v>1.7285445345760555E-8</v>
      </c>
      <c r="AD129" s="126">
        <f t="shared" si="29"/>
        <v>8.5989242990737385E-9</v>
      </c>
      <c r="AE129" s="128"/>
    </row>
    <row r="130" spans="11:31" x14ac:dyDescent="0.35">
      <c r="M130">
        <f t="shared" si="21"/>
        <v>14</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1163" priority="34" stopIfTrue="1">
      <formula>AND($B$11="need resistor",$C$11&gt;0)</formula>
    </cfRule>
    <cfRule type="containsText" dxfId="1162" priority="38" operator="containsText" text="need resistor">
      <formula>NOT(ISERROR(SEARCH("need resistor",B11)))</formula>
    </cfRule>
  </conditionalFormatting>
  <conditionalFormatting sqref="B11:B12">
    <cfRule type="containsText" dxfId="1161" priority="36" operator="containsText" text="no need">
      <formula>NOT(ISERROR(SEARCH("no need",B11)))</formula>
    </cfRule>
  </conditionalFormatting>
  <conditionalFormatting sqref="B12">
    <cfRule type="expression" dxfId="1160" priority="33" stopIfTrue="1">
      <formula>AND($B$12="need resistor",$C$12&gt;0)</formula>
    </cfRule>
    <cfRule type="containsText" dxfId="1159" priority="35" operator="containsText" text="need resistor">
      <formula>NOT(ISERROR(SEARCH("need resistor",B12)))</formula>
    </cfRule>
  </conditionalFormatting>
  <conditionalFormatting sqref="B42">
    <cfRule type="expression" dxfId="1158" priority="61">
      <formula>AND($B$42&gt;$S$2,$B$2=1)</formula>
    </cfRule>
    <cfRule type="expression" dxfId="1157" priority="60">
      <formula>AND($B$42&lt;$R$2,$B$2=0)</formula>
    </cfRule>
    <cfRule type="expression" dxfId="1156" priority="59" stopIfTrue="1">
      <formula>AND($B$42&lt;=$S$2,$B$2=1)</formula>
    </cfRule>
    <cfRule type="expression" dxfId="1155" priority="58" stopIfTrue="1">
      <formula>AND($B$42&gt;=$R$2,$B$2=0)</formula>
    </cfRule>
  </conditionalFormatting>
  <conditionalFormatting sqref="B62">
    <cfRule type="expression" dxfId="1154" priority="69">
      <formula>AND($B$62&gt;$S$2,$B$2=1)</formula>
    </cfRule>
    <cfRule type="expression" dxfId="1153" priority="68">
      <formula>AND($B$62&lt;$R$2,$B$2=0)</formula>
    </cfRule>
    <cfRule type="expression" dxfId="1152" priority="67" stopIfTrue="1">
      <formula>AND($B$62&lt;=$S$2,$B$2=1)</formula>
    </cfRule>
    <cfRule type="expression" dxfId="1151" priority="66" stopIfTrue="1">
      <formula>AND($B$62&gt;=$R$2,$B$2=0)</formula>
    </cfRule>
  </conditionalFormatting>
  <conditionalFormatting sqref="B84">
    <cfRule type="cellIs" dxfId="1150" priority="47" operator="greaterThan">
      <formula>$S$3</formula>
    </cfRule>
    <cfRule type="cellIs" dxfId="1149" priority="46" operator="lessThanOrEqual">
      <formula>$S$3</formula>
    </cfRule>
  </conditionalFormatting>
  <conditionalFormatting sqref="B102">
    <cfRule type="cellIs" dxfId="1148" priority="50" operator="lessThanOrEqual">
      <formula>$S$2</formula>
    </cfRule>
    <cfRule type="cellIs" dxfId="1147" priority="51" operator="greaterThan">
      <formula>$S$2</formula>
    </cfRule>
  </conditionalFormatting>
  <conditionalFormatting sqref="B18:C18">
    <cfRule type="expression" dxfId="1146" priority="55">
      <formula>OR(AND($B$2=0,$C$18&lt;$R$2),AND($B$2=1,$C$18&gt;$S$2))</formula>
    </cfRule>
    <cfRule type="expression" dxfId="1145" priority="54" stopIfTrue="1">
      <formula>OR(AND($B$2=0,$C$18&gt;=$R$2),AND($B$2=1,$C$18&lt;=$S$2))</formula>
    </cfRule>
  </conditionalFormatting>
  <conditionalFormatting sqref="B19:C19">
    <cfRule type="expression" dxfId="1144" priority="57">
      <formula>OR(AND($B$3=0,$C$19&lt;$R$3),AND($B$3=1,$C$19&gt;$S$3))</formula>
    </cfRule>
    <cfRule type="expression" dxfId="1143" priority="56" stopIfTrue="1">
      <formula>OR(AND($B$3=0,$C$19&gt;=$R$3),AND($B$3=1,$C$19&lt;=$S$3))</formula>
    </cfRule>
  </conditionalFormatting>
  <conditionalFormatting sqref="C14">
    <cfRule type="cellIs" dxfId="1142" priority="28" operator="equal">
      <formula>"no solution"</formula>
    </cfRule>
  </conditionalFormatting>
  <conditionalFormatting sqref="C44">
    <cfRule type="expression" dxfId="1141" priority="65">
      <formula>AND($B$44&gt;$S$3,$B$3=1)</formula>
    </cfRule>
    <cfRule type="expression" dxfId="1140" priority="64">
      <formula>AND($B$44&lt;$R$3,$B$3=0)</formula>
    </cfRule>
    <cfRule type="expression" dxfId="1139" priority="63" stopIfTrue="1">
      <formula>AND($C$44&lt;=$S$3,$B$3=1)</formula>
    </cfRule>
    <cfRule type="expression" dxfId="1138" priority="62" stopIfTrue="1">
      <formula>AND($C$44&gt;=$R$3,$B$3=0)</formula>
    </cfRule>
  </conditionalFormatting>
  <conditionalFormatting sqref="C64">
    <cfRule type="expression" dxfId="1137" priority="71" stopIfTrue="1">
      <formula>AND($C$64&lt;=$S$3,$B$3=1)</formula>
    </cfRule>
    <cfRule type="expression" dxfId="1136" priority="72">
      <formula>AND($B$64&lt;$R$3,$B$3=0)</formula>
    </cfRule>
    <cfRule type="expression" dxfId="1135" priority="73">
      <formula>AND($B$64&gt;$S$3,$B$3=1)</formula>
    </cfRule>
    <cfRule type="expression" dxfId="1134" priority="70" stopIfTrue="1">
      <formula>AND($C$64&gt;=$R$3,$B$3=0)</formula>
    </cfRule>
  </conditionalFormatting>
  <conditionalFormatting sqref="C102:D102">
    <cfRule type="cellIs" dxfId="1133" priority="30" operator="lessThan">
      <formula>$R$2</formula>
    </cfRule>
    <cfRule type="cellIs" dxfId="1132" priority="29" operator="greaterThanOrEqual">
      <formula>$R$2</formula>
    </cfRule>
  </conditionalFormatting>
  <conditionalFormatting sqref="C84:H84">
    <cfRule type="cellIs" dxfId="1131" priority="15" operator="lessThan">
      <formula>$R$3</formula>
    </cfRule>
    <cfRule type="cellIs" dxfId="1130" priority="14" operator="greaterThanOrEqual">
      <formula>$R$3</formula>
    </cfRule>
  </conditionalFormatting>
  <conditionalFormatting sqref="D11">
    <cfRule type="containsText" dxfId="1129" priority="41" stopIfTrue="1" operator="containsText" text="please remove resistor">
      <formula>NOT(ISERROR(SEARCH("please remove resistor",D11)))</formula>
    </cfRule>
    <cfRule type="cellIs" dxfId="1128" priority="43" operator="greaterThan">
      <formula>$S$2</formula>
    </cfRule>
    <cfRule type="cellIs" dxfId="1127" priority="42" operator="lessThan">
      <formula>$S$2</formula>
    </cfRule>
  </conditionalFormatting>
  <conditionalFormatting sqref="D11:D12">
    <cfRule type="cellIs" priority="26" stopIfTrue="1" operator="equal">
      <formula>""</formula>
    </cfRule>
  </conditionalFormatting>
  <conditionalFormatting sqref="D12 E18:E19">
    <cfRule type="cellIs" dxfId="1126" priority="40" operator="lessThan">
      <formula>$R$2-$N$7</formula>
    </cfRule>
    <cfRule type="cellIs" dxfId="1125" priority="39" operator="greaterThanOrEqual">
      <formula>$R$2-$N$7</formula>
    </cfRule>
  </conditionalFormatting>
  <conditionalFormatting sqref="D18:D19">
    <cfRule type="cellIs" dxfId="1124" priority="44" operator="lessThanOrEqual">
      <formula>$S$2+$N$7</formula>
    </cfRule>
    <cfRule type="cellIs" dxfId="1123" priority="45" operator="greaterThan">
      <formula>$S$2+$N$7</formula>
    </cfRule>
  </conditionalFormatting>
  <conditionalFormatting sqref="E102">
    <cfRule type="cellIs" dxfId="1122" priority="13" operator="lessThan">
      <formula>$R$3</formula>
    </cfRule>
    <cfRule type="cellIs" dxfId="1121" priority="12" operator="greaterThanOrEqual">
      <formula>$R$3</formula>
    </cfRule>
  </conditionalFormatting>
  <conditionalFormatting sqref="F21">
    <cfRule type="containsText" dxfId="1120" priority="11" operator="containsText" text="failed">
      <formula>NOT(ISERROR(SEARCH("failed",F21)))</formula>
    </cfRule>
  </conditionalFormatting>
  <conditionalFormatting sqref="F22">
    <cfRule type="containsText" dxfId="1119" priority="10" operator="containsText" text="fail">
      <formula>NOT(ISERROR(SEARCH("fail",F22)))</formula>
    </cfRule>
  </conditionalFormatting>
  <conditionalFormatting sqref="F23">
    <cfRule type="containsText" dxfId="1118" priority="9" operator="containsText" text="failed">
      <formula>NOT(ISERROR(SEARCH("failed",F23)))</formula>
    </cfRule>
  </conditionalFormatting>
  <conditionalFormatting sqref="F102:H102">
    <cfRule type="cellIs" dxfId="1117" priority="22" operator="greaterThanOrEqual">
      <formula>$R$2</formula>
    </cfRule>
    <cfRule type="cellIs" dxfId="1116" priority="23" operator="lessThan">
      <formula>$R$2</formula>
    </cfRule>
  </conditionalFormatting>
  <conditionalFormatting sqref="G18">
    <cfRule type="cellIs" dxfId="1115" priority="3" operator="greaterThan">
      <formula>$V$2</formula>
    </cfRule>
    <cfRule type="cellIs" dxfId="1114" priority="4" operator="lessThan">
      <formula>$V$2</formula>
    </cfRule>
  </conditionalFormatting>
  <conditionalFormatting sqref="G19">
    <cfRule type="cellIs" dxfId="1113" priority="6" operator="lessThan">
      <formula>$V$3</formula>
    </cfRule>
    <cfRule type="cellIs" dxfId="1112" priority="5" operator="greaterThan">
      <formula>$V$3</formula>
    </cfRule>
  </conditionalFormatting>
  <conditionalFormatting sqref="I18:I19">
    <cfRule type="cellIs" dxfId="1111" priority="2" operator="lessThan">
      <formula>$W$2</formula>
    </cfRule>
    <cfRule type="cellIs" dxfId="1110" priority="1" operator="greaterThan">
      <formula>$W$2</formula>
    </cfRule>
  </conditionalFormatting>
  <conditionalFormatting sqref="K12">
    <cfRule type="expression" dxfId="1109" priority="74">
      <formula>SEARCH("reduce",$F$23)</formula>
    </cfRule>
    <cfRule type="expression" dxfId="1108" priority="75">
      <formula>SEARCH("reduce",$F$21)</formula>
    </cfRule>
  </conditionalFormatting>
  <conditionalFormatting sqref="N2">
    <cfRule type="expression" dxfId="1107" priority="76">
      <formula>SEARCH("strength",$F$21)</formula>
    </cfRule>
    <cfRule type="expression" dxfId="1106" priority="77">
      <formula>SEARCH("strength",$F$23)</formula>
    </cfRule>
  </conditionalFormatting>
  <hyperlinks>
    <hyperlink ref="N25" location="Summary!A1" display="Link to summary" xr:uid="{C374D8D4-20FA-41B9-BFB7-7439EA1442E7}"/>
  </hyperlink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7CF1B-7FC6-4068-AA2E-D8F4240EF832}">
  <dimension ref="A1:AK130"/>
  <sheetViews>
    <sheetView topLeftCell="H1"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Summary!F16</f>
        <v>1.8</v>
      </c>
      <c r="K2" s="10">
        <v>1000000000000</v>
      </c>
      <c r="L2" s="15">
        <v>0.1</v>
      </c>
      <c r="M2" s="15">
        <v>0.1</v>
      </c>
      <c r="N2" s="66">
        <f>Summary!F26</f>
        <v>100</v>
      </c>
      <c r="O2" s="15">
        <f>Summary!F88</f>
        <v>0.25</v>
      </c>
      <c r="P2" s="15">
        <f>Summary!F89</f>
        <v>0.25</v>
      </c>
      <c r="Q2" s="5" t="str">
        <f>Summary!F27</f>
        <v>N/A</v>
      </c>
      <c r="R2" s="5">
        <f>Summary!F51</f>
        <v>0.3</v>
      </c>
      <c r="S2" s="5">
        <f>Summary!F52</f>
        <v>0.7</v>
      </c>
      <c r="T2" s="5">
        <f>Summary!F53</f>
        <v>0.3</v>
      </c>
      <c r="U2" s="5">
        <f>Summary!F54</f>
        <v>0.7</v>
      </c>
      <c r="V2" s="130">
        <f>Summary!F55</f>
        <v>9.9999999999999995E-7</v>
      </c>
      <c r="W2" s="130">
        <f>Summary!F56</f>
        <v>2.9999999999999999E-7</v>
      </c>
      <c r="X2" s="131">
        <f>V2</f>
        <v>9.9999999999999995E-7</v>
      </c>
      <c r="Y2" s="132" t="str">
        <f>IF(Summary!F57="","",Summary!F57)</f>
        <v/>
      </c>
      <c r="Z2" s="132" t="str">
        <f>IF(Summary!F58="","",Summary!F58)</f>
        <v/>
      </c>
      <c r="AA2" s="4">
        <f>Summary!F59</f>
        <v>1E-10</v>
      </c>
      <c r="AB2" s="41">
        <f>Summary!F81</f>
        <v>4.9999999999999997E-12</v>
      </c>
      <c r="AC2" s="41">
        <f>Summary!F83</f>
        <v>8.1900000000000013E-12</v>
      </c>
      <c r="AD2" s="3">
        <f>Summary!F84</f>
        <v>0.69</v>
      </c>
      <c r="AE2" s="41">
        <f>Summary!F86</f>
        <v>4.9999999999999997E-12</v>
      </c>
      <c r="AF2" s="5">
        <f>Summary!F87</f>
        <v>2.93</v>
      </c>
      <c r="AG2" s="127" t="str">
        <f>Summary!F50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Summary!F16</f>
        <v>1.8</v>
      </c>
      <c r="K3" s="10">
        <v>1000000000000</v>
      </c>
      <c r="L3" s="15">
        <v>0.1</v>
      </c>
      <c r="M3" s="15">
        <v>0.1</v>
      </c>
      <c r="N3">
        <f>Summary!F97</f>
        <v>50</v>
      </c>
      <c r="O3" s="15">
        <f>Summary!F98</f>
        <v>0.5</v>
      </c>
      <c r="P3" s="15">
        <f>Summary!F99</f>
        <v>0</v>
      </c>
      <c r="Q3"/>
      <c r="R3" s="5">
        <f>Summary!F38</f>
        <v>0.3</v>
      </c>
      <c r="S3" s="5">
        <f>Summary!F39</f>
        <v>0.7</v>
      </c>
      <c r="T3" s="5">
        <f>Summary!F42</f>
        <v>0.3</v>
      </c>
      <c r="U3" s="5">
        <f>Summary!F43</f>
        <v>0.7</v>
      </c>
      <c r="V3" s="130">
        <f>Summary!F44</f>
        <v>9.9999999999999995E-7</v>
      </c>
      <c r="W3" s="130">
        <f>Summary!F45</f>
        <v>2.9999999999999999E-7</v>
      </c>
      <c r="X3" s="131">
        <f>V3</f>
        <v>9.9999999999999995E-7</v>
      </c>
      <c r="Y3" s="132" t="str">
        <f>IF(Summary!F46="","",Summary!F46)</f>
        <v/>
      </c>
      <c r="Z3" s="132" t="str">
        <f>IF(Summary!F47="","",Summary!F47)</f>
        <v/>
      </c>
      <c r="AA3" s="4">
        <f>Summary!F59</f>
        <v>1E-10</v>
      </c>
      <c r="AB3" s="41">
        <f>Summary!F96</f>
        <v>9.9999999999999994E-12</v>
      </c>
      <c r="AG3" s="127" t="str">
        <f>Summary!F37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427329345.73217905</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427329345.73217905</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185.45760173684255</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378.31470632001259</v>
      </c>
      <c r="F7" s="123">
        <f>_xlfn.IFNA(_xlfn.XLOOKUP($X$2,AB34:AB129,P34:P129,,-1), "Out of support PU range")</f>
        <v>6510</v>
      </c>
      <c r="G7" s="124">
        <f>_xlfn.IFNA(_xlfn.XLOOKUP($X$3,S34:S129,P34:P129,,-1), "Out of support PU range")</f>
        <v>6510</v>
      </c>
      <c r="H7" s="124">
        <f>_xlfn.IFNA(MAX(_xlfn.XLOOKUP(MAX($Y$2:$AA$2),AA34:AA129,O34:O129,,1), _xlfn.XLOOKUP($W$2,AD34:AD129,O34:O129,,-1)), "Fail AC VIL")</f>
        <v>190</v>
      </c>
      <c r="I7" s="129">
        <f>_xlfn.IFNA(MAX(_xlfn.XLOOKUP(MAX($Y$3:$AA$3),R34:R129,O34:O129,,1), _xlfn.XLOOKUP($W$3,AC34:AC129,O34:O129,,-1)), "Fail AC VIL")</f>
        <v>408.5</v>
      </c>
      <c r="J7" s="21">
        <v>20000</v>
      </c>
      <c r="K7" s="2">
        <f>MIN(
MIN(FLOOR(B7,10^(LEN(ROUND(B7,0))-1))/10,
FLOOR(C7,10^(LEN(ROUND(C7,0))-1))/10,
IF(F7*10&gt;=J7,FLOOR(F7,10^(LEN(ROUND(F7,0))-1))/10,FLOOR(F7,10^(LEN(ROUND(F7,0))-1))),
FLOOR(G7,10^(LEN(ROUND(G7,0))-1))/10),
MAX(I7,J7)
)</f>
        <v>600</v>
      </c>
      <c r="L7" s="1"/>
      <c r="N7" s="71">
        <f>Summary!F62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370.49999951809826</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370.49999951809826</v>
      </c>
      <c r="E8">
        <f>X2/(1.204*K18)</f>
        <v>5182.276253199745</v>
      </c>
      <c r="F8">
        <f>X3/(1.204*K18)</f>
        <v>5182.276253199745</v>
      </c>
      <c r="H8">
        <f>AA2/(1.204*K18)</f>
        <v>0.51822762531997457</v>
      </c>
      <c r="I8" s="2">
        <f>AA3/(1.204*K18)</f>
        <v>0.51822762531997457</v>
      </c>
      <c r="J8" s="8">
        <v>20000</v>
      </c>
      <c r="K8">
        <f>MIN(MIN(FLOOR(B8,10^(LEN(ROUND(B8,0))-1))/10,FLOOR(C8,10^(LEN(ROUND(C8,0))-1))/10,FLOOR(E8,10^(LEN(ROUND(E8,0))-1))/10,FLOOR(F8,10^(LEN(ROUND(F8,0))-1))/10),MAX(I8,J8))</f>
        <v>30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Summary!F24</f>
        <v>910</v>
      </c>
      <c r="D11" s="1">
        <f>IF(AND(B11="no need", C11=""), "",IF(AND(B11="no need", C11&gt;0), "please remove resistor",   IF(AND(B11="need resistor", ISBLANK(C11)), "please enter resistor",  (1/(1/F2+1/F3))/(1/(1/(1/(1/C2+1/C3))+1/C11)+(1/(1/F2+1/F3))) ) ))</f>
        <v>0.99999999817999996</v>
      </c>
      <c r="F11" s="7">
        <f>IF(B11="no need", 1000000000, C11)</f>
        <v>910</v>
      </c>
      <c r="G11" s="7" t="s">
        <v>281</v>
      </c>
      <c r="H11" s="62">
        <f>Summary!F25</f>
        <v>0.05</v>
      </c>
      <c r="K11" s="6" t="s">
        <v>282</v>
      </c>
      <c r="N11" s="19" t="s">
        <v>283</v>
      </c>
      <c r="P11" s="19" t="s">
        <v>284</v>
      </c>
      <c r="R11" s="127" t="s">
        <v>285</v>
      </c>
      <c r="S11" s="127">
        <f>($J$2+$J$2*Summary!$F$17)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Summary!F10</f>
        <v>25</v>
      </c>
      <c r="L12" t="s">
        <v>287</v>
      </c>
      <c r="N12" s="4">
        <f>SUM(AB2:AC3,AE2:AE3)</f>
        <v>2.8189999999999998E-11</v>
      </c>
      <c r="O12" t="s">
        <v>288</v>
      </c>
      <c r="P12" s="61">
        <f>Summary!F84+Summary!F87</f>
        <v>3.62</v>
      </c>
      <c r="Q12" t="s">
        <v>289</v>
      </c>
      <c r="R12" s="127" t="s">
        <v>290</v>
      </c>
      <c r="S12" s="127">
        <f>($J$2-$J$2*Summary!$F$17)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($J$3+$J$3*Summary!$F$18)</f>
        <v>1.8900000000000001</v>
      </c>
    </row>
    <row r="14" spans="1:37" x14ac:dyDescent="0.35">
      <c r="K14" s="6" t="s">
        <v>293</v>
      </c>
      <c r="N14" s="6" t="s">
        <v>294</v>
      </c>
      <c r="R14" s="127" t="s">
        <v>295</v>
      </c>
      <c r="S14" s="127">
        <f>($J$3-$J$3*Summary!$F$18)</f>
        <v>1.71</v>
      </c>
    </row>
    <row r="15" spans="1:37" x14ac:dyDescent="0.35">
      <c r="B15" s="2"/>
      <c r="C15" s="2"/>
      <c r="K15" s="3">
        <f>Summary!F8</f>
        <v>19.988</v>
      </c>
      <c r="L15" t="s">
        <v>296</v>
      </c>
      <c r="N15" s="41">
        <f>Summary!F9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0.99999893618655311</v>
      </c>
      <c r="C18">
        <f>B42</f>
        <v>0.99999921249960133</v>
      </c>
      <c r="D18">
        <f>B102</f>
        <v>0.999998936186554</v>
      </c>
      <c r="E18">
        <f>C102</f>
        <v>7.7002643443583499E-2</v>
      </c>
      <c r="F18" s="126">
        <f>_xlfn.LET(
_xlpm.Rbus, (1/(1/((1/(1/($G$91+$G$93)+1/$G$90))+$G$92)+1/($G$89))),
_xlpm.VCC, IF($AG$2="absolute",$S$13,1),
_xlpm.Vspec_abs, $U$2-$N$7,
(LN(1-$T$2/_xlpm.VCC)-LN(1-_xlpm.Vspec_abs/_xlpm.VCC))*$K$19*_xlpm.Rbus
)</f>
        <v>9.716011101226428E-8</v>
      </c>
      <c r="G18" s="128">
        <f>_xlfn.LET(
_xlpm.Rbus, (1/(1/((1/(1/($D$91+$D$93)+1/$D$90))+$D$92)+1/($D$89))),
_xlpm.VCC, IF($AG$2="absolute",$S$14,1),
_xlpm.Vspec_abs, $U$2+$N$7,
(LN(1-$T$2/_xlpm.VCC)-LN(1-_xlpm.Vspec_abs/_xlpm.VCC))*$K$18*_xlpm.Rbus
)</f>
        <v>1.4356791446660439E-7</v>
      </c>
      <c r="H18" s="126">
        <f>_xlfn.LET(
_xlpm.Rbus, (1/(1/((1/(1/($H$96+$H$93)+1/$H$95))+$H$92)+1/($H$94))),
_xlpm.VCC, IF($AG$2="absolute",$S$14,1),
_xlpm.Vspec_abs, $T$2+$N$7,
_xlpm.Vspec_rel, _xlpm.Vspec_abs/_xlpm.VCC,
IFERROR((LN($U$2)-LN(_xlpm.Vspec_rel))*$K$19*_xlpm.Rbus, "Vlow exceeds VIL spec")
)</f>
        <v>4.6430512865409298E-9</v>
      </c>
      <c r="I18" s="128">
        <f>_xlfn.LET(
_xlpm.Rbus, (1/(1/((1/(1/($F$96+$F$93)+1/$F$95))+$F$92)+1/($F$94))),
_xlpm.VCC, IF($AG$2="absolute",$S$13,1),
_xlpm.Vspec_abs, $T$2-$N$7,
_xlpm.Vspec_rel, _xlpm.Vspec_abs/_xlpm.VCC,
IFERROR((LN($U$2)-LN(_xlpm.Vspec_rel))*$K$18*_xlpm.Rbus,"Vlow exceeds VIL spec")
)</f>
        <v>1.0591474394673357E-8</v>
      </c>
      <c r="J18" s="139" t="s">
        <v>307</v>
      </c>
      <c r="K18" s="4">
        <f>Summary!F102</f>
        <v>1.6027026416052833E-10</v>
      </c>
      <c r="L18" s="22" t="s">
        <v>288</v>
      </c>
      <c r="M18" s="10">
        <f>K18*1000000000000</f>
        <v>160.27026416052834</v>
      </c>
      <c r="N18" t="s">
        <v>308</v>
      </c>
      <c r="O18" s="49">
        <f>N12+K12/39.37*N15</f>
        <v>1.6027026416052833E-10</v>
      </c>
    </row>
    <row r="19" spans="1:26" x14ac:dyDescent="0.35">
      <c r="A19" t="s">
        <v>309</v>
      </c>
      <c r="B19">
        <f>C64</f>
        <v>0.99999893618655311</v>
      </c>
      <c r="C19">
        <f>C44</f>
        <v>0.99999921249960133</v>
      </c>
      <c r="D19">
        <f>B84</f>
        <v>0.999998936186554</v>
      </c>
      <c r="E19">
        <f>C84</f>
        <v>0.14543211773796963</v>
      </c>
      <c r="F19" s="126">
        <f>_xlfn.LET(
_xlpm.Rbus,(1/(1/((1/(1/($G$77+$G$72)+1/$G$70))+$G$73)+1/($G$71))),
_xlpm.VCC,IF($AG$3="absolute",$S$11,1),
_xlpm.Vspec_abs,$U$3-$N$7,
(LN(1-($T$3/_xlpm.VCC))-LN(1-_xlpm.Vspec_abs/_xlpm.VCC))*$K$19*_xlpm.Rbus
)</f>
        <v>9.716011101226428E-8</v>
      </c>
      <c r="G19" s="128">
        <f>_xlfn.LET(
_xlpm.Rbus, (1/(1/((1/(1/($D$77+$D$72)+1/$D$70))+$D$73)+1/($D$71))),
_xlpm.VCC, IF($AG$3="absolute",$S$12,1),
_xlpm.Vspec_abs, $U$3+$N$7,
(LN(1-$T$3/_xlpm.VCC)-LN(1-_xlpm.Vspec_abs/_xlpm.VCC))*$K$18*_xlpm.Rbus
)</f>
        <v>1.4356791446660439E-7</v>
      </c>
      <c r="H19" s="126">
        <f>_xlfn.LET(
_xlpm.Rbus, (1/(1/((1/(1/($H$74+$H$72)+1/$H$75))+$H$73)+1/($H$76))),
_xlpm.VCC, IF($AG$3="absolute",$S$12,1),
_xlpm.Vspec_abs, $T$3+$N$7,
_xlpm.Vspec_rel, _xlpm.Vspec_abs/_xlpm.VCC,
IFERROR((LN($U$3)-LN(_xlpm.Vspec_rel))*$K$19*_xlpm.Rbus, "Vlow exceeds VIL spec")
)</f>
        <v>1.0262490295885478E-8</v>
      </c>
      <c r="I19" s="128">
        <f>_xlfn.LET(
_xlpm.Rbus, (1/(1/((1/(1/($F$74+$F$72)+1/$F$75))+$F$73)+1/($F$76))),
_xlpm.VCC, IF($AG$3="absolute",$S$11,1),
_xlpm.Vspec_abs, $T$3-$N$7,
_xlpm.Vspec_rel, _xlpm.Vspec_abs/_xlpm.VCC,
IFERROR((LN($U$3)-LN(_xlpm.Vspec_rel))*$K$18*_xlpm.Rbus,"Vlow exceeds VIL spec")
)</f>
        <v>2.1605534018873997E-8</v>
      </c>
      <c r="J19" s="139" t="s">
        <v>310</v>
      </c>
      <c r="K19" s="122">
        <f>Summary!F101</f>
        <v>1.4358026416052834E-10</v>
      </c>
      <c r="L19" t="s">
        <v>288</v>
      </c>
    </row>
    <row r="20" spans="1:26" x14ac:dyDescent="0.35">
      <c r="J20" s="139"/>
      <c r="K20" s="6" t="s">
        <v>311</v>
      </c>
    </row>
    <row r="21" spans="1:26" x14ac:dyDescent="0.35">
      <c r="E21" s="120" t="s">
        <v>137</v>
      </c>
      <c r="F21" t="str">
        <f>IF(OR(AND(E18&gt;(R2-N7), Summary!F50="relative"), AND(E18&gt;(R2-N7)/(J3+J3*Summary!F18), Summary!F50="absolute")),IF(U29="no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IF(OR(Summary!F24&gt;Summary!F22,Summary!F24&lt;Summary!F21), "- ensure board PU is within recommended range" &amp; CHAR(10),) &amp; "- reduce MB trace length",""))</f>
        <v/>
      </c>
      <c r="J21" s="139" t="s">
        <v>307</v>
      </c>
      <c r="K21" s="5">
        <f>Summary!F104</f>
        <v>22.122405384810769</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Summary!F103</f>
        <v>16.31240538481077</v>
      </c>
      <c r="L22" t="s">
        <v>289</v>
      </c>
    </row>
    <row r="23" spans="1:26" x14ac:dyDescent="0.35">
      <c r="B23" s="171" t="s">
        <v>313</v>
      </c>
      <c r="C23" s="171"/>
      <c r="D23" t="s">
        <v>314</v>
      </c>
      <c r="E23" s="175"/>
      <c r="F23" t="str">
        <f>IF(F22="",IF(OR(AND(E19&lt;=(R3-N7), Summary!F37="relative"),AND(E19&lt;=(R3-N7)/(J2+J2*Summary!F17), Summary!F37="absolute")),IF(OR(G19&gt;V3,I19&gt;W3), IF(N2=MIN(AH2:AH5), "failed max rise/fall time spec, recommendations:" &amp; CHAR(10) &amp; "-reduce MB trace length" &amp; CHAR(10) &amp; "-increase trace width (reduce MB trace resistance per length)", "failed max rise/fall time spec, recommendations:" &amp; CHAR(10) &amp; IF(OR(Summary!F24&gt;Summary!F22,Summary!F24&lt;Summary!F21),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Summary!F13</f>
        <v>0</v>
      </c>
      <c r="L24" t="s">
        <v>305</v>
      </c>
    </row>
    <row r="25" spans="1:26" x14ac:dyDescent="0.35">
      <c r="A25" t="s">
        <v>318</v>
      </c>
      <c r="B25" s="11">
        <f>C2*(1-D2)</f>
        <v>900000000000</v>
      </c>
      <c r="C25" s="11">
        <f>C2*(1-D2)</f>
        <v>900000000000</v>
      </c>
      <c r="K25" s="18">
        <f>Summary!F14</f>
        <v>1</v>
      </c>
      <c r="L25" t="s">
        <v>274</v>
      </c>
      <c r="N25" s="72" t="s">
        <v>319</v>
      </c>
    </row>
    <row r="26" spans="1:26" x14ac:dyDescent="0.35">
      <c r="A26" t="s">
        <v>320</v>
      </c>
      <c r="B26" s="11">
        <f>F11*(1-H11)</f>
        <v>864.5</v>
      </c>
      <c r="C26" s="11">
        <f>F11*(1-H11)</f>
        <v>864.5</v>
      </c>
      <c r="Q26" t="s">
        <v>321</v>
      </c>
    </row>
    <row r="27" spans="1:26" x14ac:dyDescent="0.35">
      <c r="A27" t="s">
        <v>322</v>
      </c>
      <c r="B27" s="11">
        <f>C3*(1-D3)</f>
        <v>900000000000</v>
      </c>
      <c r="C27" s="11">
        <f>C3*(1-D3)</f>
        <v>900000000000</v>
      </c>
      <c r="Q27" t="s">
        <v>323</v>
      </c>
    </row>
    <row r="28" spans="1:26" x14ac:dyDescent="0.35">
      <c r="A28" t="s">
        <v>324</v>
      </c>
      <c r="B28" s="1">
        <f>K21</f>
        <v>22.122405384810769</v>
      </c>
      <c r="C28">
        <v>0</v>
      </c>
      <c r="Q28" t="s">
        <v>325</v>
      </c>
      <c r="V28" t="s">
        <v>305</v>
      </c>
      <c r="W28" t="s">
        <v>274</v>
      </c>
      <c r="X28" t="s">
        <v>326</v>
      </c>
    </row>
    <row r="29" spans="1:26" x14ac:dyDescent="0.35">
      <c r="A29" t="s">
        <v>327</v>
      </c>
      <c r="B29">
        <v>0</v>
      </c>
      <c r="C29" s="1">
        <f>K21</f>
        <v>22.122405384810769</v>
      </c>
      <c r="F29" s="11"/>
      <c r="T29" t="s">
        <v>328</v>
      </c>
      <c r="U29">
        <f>IF(IF(ISBLANK(Summary!F25),IF(U30=W82,L30,U30),IF(Summary!F25=5%,L30,U30))=N130,"no solution",IF(ISBLANK(Summary!F25),IF(U30=W82,L30,U30),IF(Summary!F25=5%,L30,U30)))</f>
        <v>1600</v>
      </c>
      <c r="V29">
        <f>IFERROR(IF(X29=5%,VLOOKUP(1,M34:N129,2,FALSE),VLOOKUP(1,V34:W81,2,FALSE)),"no solution")</f>
        <v>430</v>
      </c>
      <c r="W29">
        <f>IF(U29="no solution","no solution",IF(X29=5%,VLOOKUP(MAX(M34:M129)-1,M34:N129,2,FALSE),VLOOKUP(MAX(V34:V81)-1,V34:W81,2,FALSE)))</f>
        <v>6200</v>
      </c>
      <c r="X29" s="64">
        <f>Summary!F25</f>
        <v>0.05</v>
      </c>
    </row>
    <row r="30" spans="1:26" x14ac:dyDescent="0.35">
      <c r="A30" t="s">
        <v>329</v>
      </c>
      <c r="B30" s="11">
        <f>F2*(1+H2)</f>
        <v>1100000000000</v>
      </c>
      <c r="C30" s="11">
        <f>F2*(1+H2)</f>
        <v>1100000000000</v>
      </c>
      <c r="K30" t="s">
        <v>330</v>
      </c>
      <c r="L30">
        <f>VLOOKUP(Q31,M34:Q154,2)</f>
        <v>1600</v>
      </c>
      <c r="T30" t="s">
        <v>331</v>
      </c>
      <c r="U30">
        <f>VLOOKUP(Z31,V34:W82,2)</f>
        <v>1800</v>
      </c>
    </row>
    <row r="31" spans="1:26" x14ac:dyDescent="0.35">
      <c r="A31" t="s">
        <v>332</v>
      </c>
      <c r="B31" s="11">
        <f>F12*(1+H12)</f>
        <v>1100000000</v>
      </c>
      <c r="C31" s="11">
        <f>F12*(1+H12)</f>
        <v>1100000000</v>
      </c>
      <c r="Q31" cm="1">
        <f t="array" ref="Q31">MAX(M34:M129+1)/2</f>
        <v>15.5</v>
      </c>
      <c r="Z31" cm="1">
        <f t="array" ref="Z31">MAX(V34:V81+1)/2</f>
        <v>8</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4.7907358629788475E-9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 t="shared" ref="AA34:AA65" si="7">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(LN(1-$T$3/_xlpm.VCC)-LN(1-_xlpm.Vspec_abs/_xlpm.VCC))*$K$19*_xlpm.Rbus
)</f>
        <v>1.2498320205986047E-9</v>
      </c>
      <c r="AB34" s="126">
        <f t="shared" ref="AB34:AB65" si="8">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(LN(1-$T$3/_xlpm.VCC)-LN(1-_xlpm.Vspec_abs/_xlpm.VCC))*$K$18*_xlpm.Rbus
)</f>
        <v>4.7907358629788475E-9</v>
      </c>
      <c r="AC34" s="126" t="str">
        <f t="shared" ref="AC34:AC65" si="9">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10">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11">IF(AND(Q34=1,Q35=0),Q35+M34+1, Q35+M34)</f>
        <v>0</v>
      </c>
      <c r="N35">
        <f t="shared" si="0"/>
        <v>11</v>
      </c>
      <c r="O35">
        <f t="shared" si="1"/>
        <v>10.45</v>
      </c>
      <c r="P35">
        <f t="shared" si="2"/>
        <v>11.55</v>
      </c>
      <c r="Q35">
        <f t="shared" ref="Q35:Q98" si="12">IF($Q$2="N/A",IF(AND((O35&gt;=MAX($H$7:$I$7)),(P35&lt;=MIN($F$7:$G$7)),(P35&lt;=MIN($B$7:$C$7)),(O35&gt;=MAX($D$7:$E$7))),1,0),IF(AND((O35&gt;=MAX($I$7)),(P35&lt;=MIN($G$7)),(P35&lt;=MIN($C$7)),(O35&gt;=MAX($E$7))),1,0))</f>
        <v>0</v>
      </c>
      <c r="R35" s="126">
        <f t="shared" si="3"/>
        <v>1.1744628837115299E-9</v>
      </c>
      <c r="S35" s="126">
        <f t="shared" si="4"/>
        <v>4.9449327284909522E-9</v>
      </c>
      <c r="T35">
        <v>1</v>
      </c>
      <c r="U35">
        <v>12</v>
      </c>
      <c r="V35">
        <f t="shared" ref="V35:V82" si="13">IF(AND(Z34=1,Z35=0),Z35+V34+1, Z35+V34)</f>
        <v>0</v>
      </c>
      <c r="W35">
        <f t="shared" ref="W35:W79" si="14">U35*T35</f>
        <v>12</v>
      </c>
      <c r="X35">
        <f t="shared" si="5"/>
        <v>10.8</v>
      </c>
      <c r="Y35">
        <f t="shared" si="6"/>
        <v>13.200000000000001</v>
      </c>
      <c r="Z35">
        <f t="shared" ref="Z35:Z81" si="15">IF($Q$2="N/A",IF(AND((X35&gt;=MAX($H$7:$I$7)),(Y35&lt;=MIN($F$7:$G$7)),(Y35&lt;=MIN($B$7:$C$7)),(X35&gt;=MAX($D$7:$E$7))),1,0),IF(AND((X35&gt;=MAX($I$7)),(Y35&lt;=MIN($G$7)),(Y35&lt;=MIN($C$7)),(X35&gt;=MAX($E$7))),1,0))</f>
        <v>0</v>
      </c>
      <c r="AA35" s="126">
        <f t="shared" si="7"/>
        <v>1.3748152226541114E-9</v>
      </c>
      <c r="AB35" s="126">
        <f t="shared" si="8"/>
        <v>4.9449327284909522E-9</v>
      </c>
      <c r="AC35" s="126" t="str">
        <f t="shared" si="9"/>
        <v>Vlow exceeds VIL spec</v>
      </c>
      <c r="AD35" s="126" t="str">
        <f t="shared" si="10"/>
        <v>Vlow exceeds VIL spec</v>
      </c>
    </row>
    <row r="36" spans="1:30" x14ac:dyDescent="0.35">
      <c r="A36" t="s">
        <v>346</v>
      </c>
      <c r="B36">
        <v>1</v>
      </c>
      <c r="C36">
        <v>1</v>
      </c>
      <c r="K36">
        <v>1</v>
      </c>
      <c r="L36">
        <v>12</v>
      </c>
      <c r="M36">
        <f t="shared" si="11"/>
        <v>0</v>
      </c>
      <c r="N36">
        <f t="shared" si="0"/>
        <v>12</v>
      </c>
      <c r="O36">
        <f t="shared" si="1"/>
        <v>11.399999999999999</v>
      </c>
      <c r="P36">
        <f t="shared" si="2"/>
        <v>12.600000000000001</v>
      </c>
      <c r="Q36">
        <f t="shared" si="12"/>
        <v>0</v>
      </c>
      <c r="R36" s="126">
        <f t="shared" si="3"/>
        <v>1.281232236772157E-9</v>
      </c>
      <c r="S36" s="126">
        <f t="shared" si="4"/>
        <v>5.0991295940021736E-9</v>
      </c>
      <c r="T36">
        <v>1</v>
      </c>
      <c r="U36">
        <v>15</v>
      </c>
      <c r="V36">
        <f t="shared" si="13"/>
        <v>0</v>
      </c>
      <c r="W36">
        <f t="shared" si="14"/>
        <v>15</v>
      </c>
      <c r="X36">
        <f t="shared" si="5"/>
        <v>13.5</v>
      </c>
      <c r="Y36">
        <f t="shared" si="6"/>
        <v>16.5</v>
      </c>
      <c r="Z36">
        <f t="shared" si="15"/>
        <v>0</v>
      </c>
      <c r="AA36" s="126">
        <f t="shared" si="7"/>
        <v>1.4997984247088265E-9</v>
      </c>
      <c r="AB36" s="126">
        <f t="shared" si="8"/>
        <v>5.0991295940021736E-9</v>
      </c>
      <c r="AC36" s="126" t="str">
        <f t="shared" si="9"/>
        <v>Vlow exceeds VIL spec</v>
      </c>
      <c r="AD36" s="126" t="str">
        <f t="shared" si="10"/>
        <v>Vlow exceeds VIL spec</v>
      </c>
    </row>
    <row r="37" spans="1:30" x14ac:dyDescent="0.35">
      <c r="K37">
        <v>1</v>
      </c>
      <c r="L37">
        <v>13</v>
      </c>
      <c r="M37">
        <f t="shared" si="11"/>
        <v>0</v>
      </c>
      <c r="N37">
        <f t="shared" si="0"/>
        <v>13</v>
      </c>
      <c r="O37">
        <f t="shared" si="1"/>
        <v>12.35</v>
      </c>
      <c r="P37">
        <f t="shared" si="2"/>
        <v>13.65</v>
      </c>
      <c r="Q37">
        <f t="shared" si="12"/>
        <v>0</v>
      </c>
      <c r="R37" s="126">
        <f t="shared" si="3"/>
        <v>1.3880015898321084E-9</v>
      </c>
      <c r="S37" s="126">
        <f t="shared" si="4"/>
        <v>5.2533264595125131E-9</v>
      </c>
      <c r="T37">
        <v>1</v>
      </c>
      <c r="U37">
        <v>18</v>
      </c>
      <c r="V37">
        <f t="shared" si="13"/>
        <v>0</v>
      </c>
      <c r="W37">
        <f t="shared" si="14"/>
        <v>18</v>
      </c>
      <c r="X37">
        <f t="shared" si="5"/>
        <v>16.2</v>
      </c>
      <c r="Y37">
        <f t="shared" si="6"/>
        <v>19.8</v>
      </c>
      <c r="Z37">
        <f t="shared" si="15"/>
        <v>0</v>
      </c>
      <c r="AA37" s="126">
        <f t="shared" si="7"/>
        <v>1.6247816267627504E-9</v>
      </c>
      <c r="AB37" s="126">
        <f t="shared" si="8"/>
        <v>5.2533264595125131E-9</v>
      </c>
      <c r="AC37" s="126" t="str">
        <f t="shared" si="9"/>
        <v>Vlow exceeds VIL spec</v>
      </c>
      <c r="AD37" s="126" t="str">
        <f t="shared" si="10"/>
        <v>Vlow exceeds VIL spec</v>
      </c>
    </row>
    <row r="38" spans="1:30" x14ac:dyDescent="0.35">
      <c r="A38" t="s">
        <v>347</v>
      </c>
      <c r="B38" s="125">
        <f>IF(Summary!F50="absolute",(S2+N7)/(J3-J3*Summary!F18),S2+N7)</f>
        <v>0.72</v>
      </c>
      <c r="K38">
        <v>1</v>
      </c>
      <c r="L38">
        <v>15</v>
      </c>
      <c r="M38">
        <f t="shared" si="11"/>
        <v>0</v>
      </c>
      <c r="N38">
        <f t="shared" si="0"/>
        <v>15</v>
      </c>
      <c r="O38">
        <f t="shared" si="1"/>
        <v>14.25</v>
      </c>
      <c r="P38">
        <f t="shared" si="2"/>
        <v>15.75</v>
      </c>
      <c r="Q38">
        <f t="shared" si="12"/>
        <v>0</v>
      </c>
      <c r="R38" s="126">
        <f t="shared" si="3"/>
        <v>1.601540295949982E-9</v>
      </c>
      <c r="S38" s="126">
        <f t="shared" si="4"/>
        <v>5.5617201905305428E-9</v>
      </c>
      <c r="T38">
        <v>1</v>
      </c>
      <c r="U38">
        <v>22</v>
      </c>
      <c r="V38">
        <f t="shared" si="13"/>
        <v>0</v>
      </c>
      <c r="W38">
        <f t="shared" si="14"/>
        <v>22</v>
      </c>
      <c r="X38">
        <f t="shared" si="5"/>
        <v>19.8</v>
      </c>
      <c r="Y38">
        <f t="shared" si="6"/>
        <v>24.200000000000003</v>
      </c>
      <c r="Z38">
        <f t="shared" si="15"/>
        <v>0</v>
      </c>
      <c r="AA38" s="126">
        <f t="shared" si="7"/>
        <v>1.8747480308682233E-9</v>
      </c>
      <c r="AB38" s="126">
        <f t="shared" si="8"/>
        <v>5.5617201905305428E-9</v>
      </c>
      <c r="AC38" s="126" t="str">
        <f t="shared" si="9"/>
        <v>Vlow exceeds VIL spec</v>
      </c>
      <c r="AD38" s="126" t="str">
        <f t="shared" si="10"/>
        <v>Vlow exceeds VIL spec</v>
      </c>
    </row>
    <row r="39" spans="1:30" x14ac:dyDescent="0.35">
      <c r="A39" t="s">
        <v>348</v>
      </c>
      <c r="K39">
        <v>1</v>
      </c>
      <c r="L39">
        <v>16</v>
      </c>
      <c r="M39">
        <f t="shared" si="11"/>
        <v>0</v>
      </c>
      <c r="N39">
        <f t="shared" si="0"/>
        <v>16</v>
      </c>
      <c r="O39">
        <f t="shared" si="1"/>
        <v>15.2</v>
      </c>
      <c r="P39">
        <f t="shared" si="2"/>
        <v>16.8</v>
      </c>
      <c r="Q39">
        <f t="shared" si="12"/>
        <v>0</v>
      </c>
      <c r="R39" s="126">
        <f t="shared" si="3"/>
        <v>1.7083096490079043E-9</v>
      </c>
      <c r="S39" s="126">
        <f t="shared" si="4"/>
        <v>5.7159170560382321E-9</v>
      </c>
      <c r="T39">
        <v>1</v>
      </c>
      <c r="U39">
        <v>27</v>
      </c>
      <c r="V39">
        <f t="shared" si="13"/>
        <v>0</v>
      </c>
      <c r="W39">
        <f t="shared" si="14"/>
        <v>27</v>
      </c>
      <c r="X39">
        <f t="shared" si="5"/>
        <v>24.3</v>
      </c>
      <c r="Y39">
        <f t="shared" si="6"/>
        <v>29.700000000000003</v>
      </c>
      <c r="Z39">
        <f t="shared" si="15"/>
        <v>0</v>
      </c>
      <c r="AA39" s="126">
        <f t="shared" si="7"/>
        <v>1.9997312329197722E-9</v>
      </c>
      <c r="AB39" s="126">
        <f t="shared" si="8"/>
        <v>5.7159170560382321E-9</v>
      </c>
      <c r="AC39" s="126" t="str">
        <f t="shared" si="9"/>
        <v>Vlow exceeds VIL spec</v>
      </c>
      <c r="AD39" s="126" t="str">
        <f t="shared" si="10"/>
        <v>Vlow exceeds VIL spec</v>
      </c>
    </row>
    <row r="40" spans="1:30" x14ac:dyDescent="0.35">
      <c r="A40" t="s">
        <v>349</v>
      </c>
      <c r="C40" s="125">
        <f>IF(Summary!F37="absolute",(S3+N7)/(J2-J2*Summary!F17),S3+N7)</f>
        <v>0.72</v>
      </c>
      <c r="K40">
        <v>1</v>
      </c>
      <c r="L40">
        <v>18</v>
      </c>
      <c r="M40">
        <f t="shared" si="11"/>
        <v>0</v>
      </c>
      <c r="N40">
        <f t="shared" si="0"/>
        <v>18</v>
      </c>
      <c r="O40">
        <f t="shared" si="1"/>
        <v>17.099999999999998</v>
      </c>
      <c r="P40">
        <f t="shared" si="2"/>
        <v>18.900000000000002</v>
      </c>
      <c r="Q40">
        <f t="shared" si="12"/>
        <v>0</v>
      </c>
      <c r="R40" s="126">
        <f t="shared" si="3"/>
        <v>1.9218483551217202E-9</v>
      </c>
      <c r="S40" s="126">
        <f t="shared" si="4"/>
        <v>6.0243107870509612E-9</v>
      </c>
      <c r="T40">
        <v>1</v>
      </c>
      <c r="U40">
        <v>33</v>
      </c>
      <c r="V40">
        <f t="shared" si="13"/>
        <v>0</v>
      </c>
      <c r="W40">
        <f t="shared" si="14"/>
        <v>33</v>
      </c>
      <c r="X40">
        <f t="shared" si="5"/>
        <v>29.7</v>
      </c>
      <c r="Y40">
        <f t="shared" si="6"/>
        <v>36.300000000000004</v>
      </c>
      <c r="Z40">
        <f t="shared" si="15"/>
        <v>0</v>
      </c>
      <c r="AA40" s="126">
        <f t="shared" si="7"/>
        <v>2.2496976370204955E-9</v>
      </c>
      <c r="AB40" s="126">
        <f t="shared" si="8"/>
        <v>6.0243107870509612E-9</v>
      </c>
      <c r="AC40" s="126" t="str">
        <f t="shared" si="9"/>
        <v>Vlow exceeds VIL spec</v>
      </c>
      <c r="AD40" s="126" t="str">
        <f t="shared" si="10"/>
        <v>Vlow exceeds VIL spec</v>
      </c>
    </row>
    <row r="41" spans="1:30" x14ac:dyDescent="0.35">
      <c r="C41" s="1"/>
      <c r="K41">
        <v>1</v>
      </c>
      <c r="L41">
        <v>20</v>
      </c>
      <c r="M41">
        <f t="shared" si="11"/>
        <v>0</v>
      </c>
      <c r="N41">
        <f t="shared" si="0"/>
        <v>20</v>
      </c>
      <c r="O41">
        <f t="shared" si="1"/>
        <v>19</v>
      </c>
      <c r="P41">
        <f t="shared" si="2"/>
        <v>21</v>
      </c>
      <c r="Q41">
        <f t="shared" si="12"/>
        <v>0</v>
      </c>
      <c r="R41" s="126">
        <f t="shared" si="3"/>
        <v>2.1353870612328322E-9</v>
      </c>
      <c r="S41" s="126">
        <f t="shared" si="4"/>
        <v>6.332704518060159E-9</v>
      </c>
      <c r="T41">
        <v>1</v>
      </c>
      <c r="U41">
        <v>39</v>
      </c>
      <c r="V41">
        <f t="shared" si="13"/>
        <v>0</v>
      </c>
      <c r="W41">
        <f t="shared" si="14"/>
        <v>39</v>
      </c>
      <c r="X41">
        <f t="shared" si="5"/>
        <v>35.1</v>
      </c>
      <c r="Y41">
        <f t="shared" si="6"/>
        <v>42.900000000000006</v>
      </c>
      <c r="Z41">
        <f t="shared" si="15"/>
        <v>0</v>
      </c>
      <c r="AA41" s="126">
        <f t="shared" si="7"/>
        <v>2.4996640411180531E-9</v>
      </c>
      <c r="AB41" s="126">
        <f t="shared" si="8"/>
        <v>6.332704518060159E-9</v>
      </c>
      <c r="AC41" s="126" t="str">
        <f t="shared" si="9"/>
        <v>Vlow exceeds VIL spec</v>
      </c>
      <c r="AD41" s="126" t="str">
        <f t="shared" si="10"/>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0.99999921249960133</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0.99999921251971258</v>
      </c>
      <c r="K42">
        <v>1</v>
      </c>
      <c r="L42">
        <v>22</v>
      </c>
      <c r="M42">
        <f t="shared" si="11"/>
        <v>0</v>
      </c>
      <c r="N42">
        <f t="shared" si="0"/>
        <v>22</v>
      </c>
      <c r="O42">
        <f t="shared" si="1"/>
        <v>20.9</v>
      </c>
      <c r="P42">
        <f t="shared" si="2"/>
        <v>23.1</v>
      </c>
      <c r="Q42">
        <f t="shared" si="12"/>
        <v>0</v>
      </c>
      <c r="R42" s="126">
        <f t="shared" si="3"/>
        <v>2.3489257673412385E-9</v>
      </c>
      <c r="S42" s="126">
        <f t="shared" si="4"/>
        <v>6.6410982490658232E-9</v>
      </c>
      <c r="T42">
        <v>1</v>
      </c>
      <c r="U42">
        <v>47</v>
      </c>
      <c r="V42">
        <f t="shared" si="13"/>
        <v>0</v>
      </c>
      <c r="W42">
        <f t="shared" si="14"/>
        <v>47</v>
      </c>
      <c r="X42">
        <f t="shared" si="5"/>
        <v>42.300000000000004</v>
      </c>
      <c r="Y42">
        <f t="shared" si="6"/>
        <v>51.7</v>
      </c>
      <c r="Z42">
        <f t="shared" si="15"/>
        <v>0</v>
      </c>
      <c r="AA42" s="126">
        <f t="shared" si="7"/>
        <v>2.7496304452124435E-9</v>
      </c>
      <c r="AB42" s="126">
        <f t="shared" si="8"/>
        <v>6.6410982490658232E-9</v>
      </c>
      <c r="AC42" s="126" t="str">
        <f t="shared" si="9"/>
        <v>Vlow exceeds VIL spec</v>
      </c>
      <c r="AD42" s="126" t="str">
        <f t="shared" si="10"/>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0.99999921251971258</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0.99999921251971258</v>
      </c>
      <c r="K43">
        <v>1</v>
      </c>
      <c r="L43">
        <v>24</v>
      </c>
      <c r="M43">
        <f t="shared" si="11"/>
        <v>0</v>
      </c>
      <c r="N43">
        <f t="shared" si="0"/>
        <v>24</v>
      </c>
      <c r="O43">
        <f t="shared" si="1"/>
        <v>22.799999999999997</v>
      </c>
      <c r="P43">
        <f t="shared" si="2"/>
        <v>25.200000000000003</v>
      </c>
      <c r="Q43">
        <f t="shared" si="12"/>
        <v>0</v>
      </c>
      <c r="R43" s="126">
        <f t="shared" si="3"/>
        <v>2.5624644734469403E-9</v>
      </c>
      <c r="S43" s="126">
        <f t="shared" si="4"/>
        <v>6.9494919800679569E-9</v>
      </c>
      <c r="T43">
        <v>1</v>
      </c>
      <c r="U43">
        <v>56</v>
      </c>
      <c r="V43">
        <f t="shared" si="13"/>
        <v>0</v>
      </c>
      <c r="W43">
        <f t="shared" si="14"/>
        <v>56</v>
      </c>
      <c r="X43">
        <f t="shared" si="5"/>
        <v>50.4</v>
      </c>
      <c r="Y43">
        <f t="shared" si="6"/>
        <v>61.600000000000009</v>
      </c>
      <c r="Z43">
        <f t="shared" si="15"/>
        <v>0</v>
      </c>
      <c r="AA43" s="126">
        <f t="shared" si="7"/>
        <v>2.9995968493036683E-9</v>
      </c>
      <c r="AB43" s="126">
        <f t="shared" si="8"/>
        <v>6.9494919800679569E-9</v>
      </c>
      <c r="AC43" s="126" t="str">
        <f t="shared" si="9"/>
        <v>Vlow exceeds VIL spec</v>
      </c>
      <c r="AD43" s="126" t="str">
        <f t="shared" si="10"/>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0.99999921251971258</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0.99999921249960133</v>
      </c>
      <c r="K44">
        <v>1</v>
      </c>
      <c r="L44">
        <v>27</v>
      </c>
      <c r="M44">
        <f t="shared" si="11"/>
        <v>0</v>
      </c>
      <c r="N44">
        <f t="shared" si="0"/>
        <v>27</v>
      </c>
      <c r="O44">
        <f t="shared" si="1"/>
        <v>25.65</v>
      </c>
      <c r="P44">
        <f t="shared" si="2"/>
        <v>28.35</v>
      </c>
      <c r="Q44">
        <f t="shared" si="12"/>
        <v>0</v>
      </c>
      <c r="R44" s="126">
        <f t="shared" si="3"/>
        <v>2.8827725326004216E-9</v>
      </c>
      <c r="S44" s="126">
        <f t="shared" si="4"/>
        <v>7.412082576564531E-9</v>
      </c>
      <c r="T44">
        <v>1</v>
      </c>
      <c r="U44">
        <v>68</v>
      </c>
      <c r="V44">
        <f t="shared" si="13"/>
        <v>0</v>
      </c>
      <c r="W44">
        <f t="shared" si="14"/>
        <v>68</v>
      </c>
      <c r="X44">
        <f t="shared" si="5"/>
        <v>61.2</v>
      </c>
      <c r="Y44">
        <f t="shared" si="6"/>
        <v>74.800000000000011</v>
      </c>
      <c r="Z44">
        <f t="shared" si="15"/>
        <v>0</v>
      </c>
      <c r="AA44" s="126">
        <f t="shared" si="7"/>
        <v>3.3745464554345686E-9</v>
      </c>
      <c r="AB44" s="126">
        <f t="shared" si="8"/>
        <v>7.412082576564531E-9</v>
      </c>
      <c r="AC44" s="126" t="str">
        <f t="shared" si="9"/>
        <v>Vlow exceeds VIL spec</v>
      </c>
      <c r="AD44" s="126" t="str">
        <f t="shared" si="10"/>
        <v>Vlow exceeds VIL spec</v>
      </c>
    </row>
    <row r="45" spans="1:30" x14ac:dyDescent="0.35">
      <c r="K45">
        <v>1</v>
      </c>
      <c r="L45">
        <v>30</v>
      </c>
      <c r="M45">
        <f t="shared" si="11"/>
        <v>0</v>
      </c>
      <c r="N45">
        <f t="shared" si="0"/>
        <v>30</v>
      </c>
      <c r="O45">
        <f t="shared" si="1"/>
        <v>28.5</v>
      </c>
      <c r="P45">
        <f t="shared" si="2"/>
        <v>31.5</v>
      </c>
      <c r="Q45">
        <f t="shared" si="12"/>
        <v>0</v>
      </c>
      <c r="R45" s="126">
        <f t="shared" si="3"/>
        <v>3.2030805917478173E-9</v>
      </c>
      <c r="S45" s="126">
        <f t="shared" si="4"/>
        <v>7.8746731730531583E-9</v>
      </c>
      <c r="T45">
        <v>1</v>
      </c>
      <c r="U45">
        <v>82</v>
      </c>
      <c r="V45">
        <f t="shared" si="13"/>
        <v>0</v>
      </c>
      <c r="W45">
        <f t="shared" si="14"/>
        <v>82</v>
      </c>
      <c r="X45">
        <f t="shared" si="5"/>
        <v>73.8</v>
      </c>
      <c r="Y45">
        <f t="shared" si="6"/>
        <v>90.2</v>
      </c>
      <c r="Z45">
        <f t="shared" si="15"/>
        <v>0</v>
      </c>
      <c r="AA45" s="126">
        <f t="shared" si="7"/>
        <v>3.7494960615583456E-9</v>
      </c>
      <c r="AB45" s="126">
        <f t="shared" si="8"/>
        <v>7.8746731730531583E-9</v>
      </c>
      <c r="AC45" s="126" t="str">
        <f t="shared" si="9"/>
        <v>Vlow exceeds VIL spec</v>
      </c>
      <c r="AD45" s="126" t="str">
        <f t="shared" si="10"/>
        <v>Vlow exceeds VIL spec</v>
      </c>
    </row>
    <row r="46" spans="1:30" x14ac:dyDescent="0.35">
      <c r="K46">
        <v>1</v>
      </c>
      <c r="L46">
        <v>33</v>
      </c>
      <c r="M46">
        <f t="shared" si="11"/>
        <v>0</v>
      </c>
      <c r="N46">
        <f t="shared" si="0"/>
        <v>33</v>
      </c>
      <c r="O46">
        <f t="shared" si="1"/>
        <v>31.349999999999998</v>
      </c>
      <c r="P46">
        <f t="shared" si="2"/>
        <v>34.65</v>
      </c>
      <c r="Q46">
        <f t="shared" si="12"/>
        <v>0</v>
      </c>
      <c r="R46" s="126">
        <f t="shared" si="3"/>
        <v>3.5233886508891263E-9</v>
      </c>
      <c r="S46" s="126">
        <f t="shared" si="4"/>
        <v>8.3372637695338381E-9</v>
      </c>
      <c r="T46">
        <v>10</v>
      </c>
      <c r="U46">
        <v>10</v>
      </c>
      <c r="V46">
        <f t="shared" si="13"/>
        <v>0</v>
      </c>
      <c r="W46">
        <f t="shared" si="14"/>
        <v>100</v>
      </c>
      <c r="X46">
        <f t="shared" si="5"/>
        <v>90</v>
      </c>
      <c r="Y46">
        <f t="shared" si="6"/>
        <v>110.00000000000001</v>
      </c>
      <c r="Z46">
        <f t="shared" si="15"/>
        <v>0</v>
      </c>
      <c r="AA46" s="126">
        <f t="shared" si="7"/>
        <v>4.1244456676749968E-9</v>
      </c>
      <c r="AB46" s="126">
        <f t="shared" si="8"/>
        <v>8.3372637695338381E-9</v>
      </c>
      <c r="AC46" s="126" t="str">
        <f t="shared" si="9"/>
        <v>Vlow exceeds VIL spec</v>
      </c>
      <c r="AD46" s="126" t="str">
        <f t="shared" si="10"/>
        <v>Vlow exceeds VIL spec</v>
      </c>
    </row>
    <row r="47" spans="1:30" x14ac:dyDescent="0.35">
      <c r="B47" s="171" t="s">
        <v>353</v>
      </c>
      <c r="C47" s="171"/>
      <c r="K47">
        <v>1</v>
      </c>
      <c r="L47">
        <v>36</v>
      </c>
      <c r="M47">
        <f t="shared" si="11"/>
        <v>0</v>
      </c>
      <c r="N47">
        <f t="shared" si="0"/>
        <v>36</v>
      </c>
      <c r="O47">
        <f t="shared" si="1"/>
        <v>34.199999999999996</v>
      </c>
      <c r="P47">
        <f t="shared" si="2"/>
        <v>37.800000000000004</v>
      </c>
      <c r="Q47">
        <f t="shared" si="12"/>
        <v>0</v>
      </c>
      <c r="R47" s="126">
        <f t="shared" si="3"/>
        <v>3.8436967100243492E-9</v>
      </c>
      <c r="S47" s="126">
        <f t="shared" si="4"/>
        <v>8.7998543660065687E-9</v>
      </c>
      <c r="T47">
        <v>10</v>
      </c>
      <c r="U47">
        <v>12</v>
      </c>
      <c r="V47">
        <f t="shared" si="13"/>
        <v>0</v>
      </c>
      <c r="W47">
        <f>U47*T47</f>
        <v>120</v>
      </c>
      <c r="X47">
        <f t="shared" si="5"/>
        <v>108</v>
      </c>
      <c r="Y47">
        <f t="shared" si="6"/>
        <v>132</v>
      </c>
      <c r="Z47">
        <f t="shared" si="15"/>
        <v>0</v>
      </c>
      <c r="AA47" s="126">
        <f t="shared" si="7"/>
        <v>4.4993952737845244E-9</v>
      </c>
      <c r="AB47" s="126">
        <f t="shared" si="8"/>
        <v>8.7998543660065687E-9</v>
      </c>
      <c r="AC47" s="126" t="str">
        <f t="shared" si="9"/>
        <v>Vlow exceeds VIL spec</v>
      </c>
      <c r="AD47" s="126" t="str">
        <f t="shared" si="10"/>
        <v>Vlow exceeds VIL spec</v>
      </c>
    </row>
    <row r="48" spans="1:30" x14ac:dyDescent="0.35">
      <c r="B48" t="s">
        <v>316</v>
      </c>
      <c r="C48" t="s">
        <v>317</v>
      </c>
      <c r="K48">
        <v>1</v>
      </c>
      <c r="L48">
        <v>39</v>
      </c>
      <c r="M48">
        <f t="shared" si="11"/>
        <v>0</v>
      </c>
      <c r="N48">
        <f t="shared" si="0"/>
        <v>39</v>
      </c>
      <c r="O48">
        <f t="shared" si="1"/>
        <v>37.049999999999997</v>
      </c>
      <c r="P48">
        <f t="shared" si="2"/>
        <v>40.950000000000003</v>
      </c>
      <c r="Q48">
        <f t="shared" si="12"/>
        <v>0</v>
      </c>
      <c r="R48" s="126">
        <f t="shared" si="3"/>
        <v>4.164004769153487E-9</v>
      </c>
      <c r="S48" s="126">
        <f t="shared" si="4"/>
        <v>9.2624449624713517E-9</v>
      </c>
      <c r="T48">
        <v>10</v>
      </c>
      <c r="U48">
        <v>15</v>
      </c>
      <c r="V48">
        <f t="shared" si="13"/>
        <v>0</v>
      </c>
      <c r="W48">
        <f t="shared" si="14"/>
        <v>150</v>
      </c>
      <c r="X48">
        <f t="shared" si="5"/>
        <v>135</v>
      </c>
      <c r="Y48">
        <f t="shared" si="6"/>
        <v>165</v>
      </c>
      <c r="Z48">
        <f t="shared" si="15"/>
        <v>0</v>
      </c>
      <c r="AA48" s="126">
        <f t="shared" si="7"/>
        <v>4.8743448798869291E-9</v>
      </c>
      <c r="AB48" s="126">
        <f t="shared" si="8"/>
        <v>9.2624449624713517E-9</v>
      </c>
      <c r="AC48" s="126" t="str">
        <f t="shared" si="9"/>
        <v>Vlow exceeds VIL spec</v>
      </c>
      <c r="AD48" s="126" t="str">
        <f t="shared" si="10"/>
        <v>Vlow exceeds VIL spec</v>
      </c>
    </row>
    <row r="49" spans="1:30" x14ac:dyDescent="0.35">
      <c r="A49" t="s">
        <v>318</v>
      </c>
      <c r="B49" s="11">
        <f>C2*(1+E2)</f>
        <v>1100000000000</v>
      </c>
      <c r="C49" s="11">
        <f>C2*(1+E2)</f>
        <v>1100000000000</v>
      </c>
      <c r="K49">
        <v>1</v>
      </c>
      <c r="L49">
        <v>43</v>
      </c>
      <c r="M49">
        <f t="shared" si="11"/>
        <v>0</v>
      </c>
      <c r="N49">
        <f t="shared" si="0"/>
        <v>43</v>
      </c>
      <c r="O49">
        <f t="shared" si="1"/>
        <v>40.85</v>
      </c>
      <c r="P49">
        <f t="shared" si="2"/>
        <v>45.15</v>
      </c>
      <c r="Q49">
        <f t="shared" si="12"/>
        <v>0</v>
      </c>
      <c r="R49" s="126">
        <f t="shared" si="3"/>
        <v>4.5910821813162061E-9</v>
      </c>
      <c r="S49" s="126">
        <f t="shared" si="4"/>
        <v>9.8792324244120321E-9</v>
      </c>
      <c r="T49">
        <v>10</v>
      </c>
      <c r="U49">
        <v>18</v>
      </c>
      <c r="V49">
        <f t="shared" si="13"/>
        <v>0</v>
      </c>
      <c r="W49">
        <f t="shared" si="14"/>
        <v>180</v>
      </c>
      <c r="X49">
        <f t="shared" si="5"/>
        <v>162</v>
      </c>
      <c r="Y49">
        <f t="shared" si="6"/>
        <v>198.00000000000003</v>
      </c>
      <c r="Z49">
        <f t="shared" si="15"/>
        <v>0</v>
      </c>
      <c r="AA49" s="126">
        <f t="shared" si="7"/>
        <v>5.3742776880123876E-9</v>
      </c>
      <c r="AB49" s="126">
        <f t="shared" si="8"/>
        <v>9.8792324244120321E-9</v>
      </c>
      <c r="AC49" s="126" t="str">
        <f t="shared" si="9"/>
        <v>Vlow exceeds VIL spec</v>
      </c>
      <c r="AD49" s="126" t="str">
        <f t="shared" si="10"/>
        <v>Vlow exceeds VIL spec</v>
      </c>
    </row>
    <row r="50" spans="1:30" x14ac:dyDescent="0.35">
      <c r="A50" t="s">
        <v>320</v>
      </c>
      <c r="B50" s="11">
        <f>F11*(1+H11)</f>
        <v>955.5</v>
      </c>
      <c r="C50" s="11">
        <f>F11*(1+H11)</f>
        <v>955.5</v>
      </c>
      <c r="K50">
        <v>1</v>
      </c>
      <c r="L50">
        <v>47</v>
      </c>
      <c r="M50">
        <f t="shared" si="11"/>
        <v>0</v>
      </c>
      <c r="N50">
        <f t="shared" si="0"/>
        <v>47</v>
      </c>
      <c r="O50">
        <f t="shared" si="1"/>
        <v>44.65</v>
      </c>
      <c r="P50">
        <f t="shared" si="2"/>
        <v>49.35</v>
      </c>
      <c r="Q50">
        <f t="shared" si="12"/>
        <v>0</v>
      </c>
      <c r="R50" s="126">
        <f t="shared" si="3"/>
        <v>5.0181595934681032E-9</v>
      </c>
      <c r="S50" s="126">
        <f t="shared" si="4"/>
        <v>1.0496019886338583E-8</v>
      </c>
      <c r="T50">
        <v>10</v>
      </c>
      <c r="U50">
        <v>22</v>
      </c>
      <c r="V50">
        <f t="shared" si="13"/>
        <v>0</v>
      </c>
      <c r="W50">
        <f t="shared" si="14"/>
        <v>220</v>
      </c>
      <c r="X50">
        <f t="shared" si="5"/>
        <v>198</v>
      </c>
      <c r="Y50">
        <f t="shared" si="6"/>
        <v>242.00000000000003</v>
      </c>
      <c r="Z50">
        <f t="shared" si="15"/>
        <v>0</v>
      </c>
      <c r="AA50" s="126">
        <f t="shared" si="7"/>
        <v>5.8742104961251794E-9</v>
      </c>
      <c r="AB50" s="126">
        <f t="shared" si="8"/>
        <v>1.0496019886338583E-8</v>
      </c>
      <c r="AC50" s="126" t="str">
        <f t="shared" si="9"/>
        <v>Vlow exceeds VIL spec</v>
      </c>
      <c r="AD50" s="126" t="str">
        <f t="shared" si="10"/>
        <v>Vlow exceeds VIL spec</v>
      </c>
    </row>
    <row r="51" spans="1:30" x14ac:dyDescent="0.35">
      <c r="A51" t="s">
        <v>322</v>
      </c>
      <c r="B51" s="11">
        <f>C3*(1+E3)</f>
        <v>1100000000000</v>
      </c>
      <c r="C51" s="11">
        <f>C3*(1+E3)</f>
        <v>1100000000000</v>
      </c>
      <c r="K51">
        <v>1</v>
      </c>
      <c r="L51">
        <v>51</v>
      </c>
      <c r="M51">
        <f t="shared" si="11"/>
        <v>0</v>
      </c>
      <c r="N51">
        <f t="shared" si="0"/>
        <v>51</v>
      </c>
      <c r="O51">
        <f t="shared" si="1"/>
        <v>48.449999999999996</v>
      </c>
      <c r="P51">
        <f t="shared" si="2"/>
        <v>53.550000000000004</v>
      </c>
      <c r="Q51">
        <f t="shared" si="12"/>
        <v>0</v>
      </c>
      <c r="R51" s="126">
        <f t="shared" si="3"/>
        <v>5.44523700560918E-9</v>
      </c>
      <c r="S51" s="126">
        <f t="shared" si="4"/>
        <v>1.1112807348251003E-8</v>
      </c>
      <c r="T51">
        <v>10</v>
      </c>
      <c r="U51">
        <v>27</v>
      </c>
      <c r="V51">
        <f t="shared" si="13"/>
        <v>0</v>
      </c>
      <c r="W51">
        <f t="shared" si="14"/>
        <v>270</v>
      </c>
      <c r="X51">
        <f t="shared" si="5"/>
        <v>243</v>
      </c>
      <c r="Y51">
        <f t="shared" si="6"/>
        <v>297</v>
      </c>
      <c r="Z51">
        <f t="shared" si="15"/>
        <v>0</v>
      </c>
      <c r="AA51" s="126">
        <f t="shared" si="7"/>
        <v>6.3741433042253055E-9</v>
      </c>
      <c r="AB51" s="126">
        <f t="shared" si="8"/>
        <v>1.1112807348251003E-8</v>
      </c>
      <c r="AC51" s="126" t="str">
        <f t="shared" si="9"/>
        <v>Vlow exceeds VIL spec</v>
      </c>
      <c r="AD51" s="126" t="str">
        <f t="shared" si="10"/>
        <v>Vlow exceeds VIL spec</v>
      </c>
    </row>
    <row r="52" spans="1:30" x14ac:dyDescent="0.35">
      <c r="A52" t="s">
        <v>324</v>
      </c>
      <c r="B52" s="1">
        <f>K21</f>
        <v>22.122405384810769</v>
      </c>
      <c r="C52">
        <v>0</v>
      </c>
      <c r="K52">
        <v>1</v>
      </c>
      <c r="L52">
        <v>56</v>
      </c>
      <c r="M52">
        <f t="shared" si="11"/>
        <v>0</v>
      </c>
      <c r="N52">
        <f t="shared" si="0"/>
        <v>56</v>
      </c>
      <c r="O52">
        <f t="shared" si="1"/>
        <v>53.199999999999996</v>
      </c>
      <c r="P52">
        <f t="shared" si="2"/>
        <v>58.800000000000004</v>
      </c>
      <c r="Q52">
        <f t="shared" si="12"/>
        <v>0</v>
      </c>
      <c r="R52" s="126">
        <f t="shared" si="3"/>
        <v>5.9790837707703136E-9</v>
      </c>
      <c r="S52" s="126">
        <f t="shared" si="4"/>
        <v>1.1883791675621658E-8</v>
      </c>
      <c r="T52">
        <v>10</v>
      </c>
      <c r="U52">
        <v>33</v>
      </c>
      <c r="V52">
        <f t="shared" si="13"/>
        <v>0</v>
      </c>
      <c r="W52">
        <f t="shared" si="14"/>
        <v>330</v>
      </c>
      <c r="X52">
        <f t="shared" si="5"/>
        <v>297</v>
      </c>
      <c r="Y52">
        <f t="shared" si="6"/>
        <v>363.00000000000006</v>
      </c>
      <c r="Z52">
        <f t="shared" si="15"/>
        <v>0</v>
      </c>
      <c r="AA52" s="126">
        <f t="shared" si="7"/>
        <v>6.9990593143326538E-9</v>
      </c>
      <c r="AB52" s="126">
        <f t="shared" si="8"/>
        <v>1.1883791675621658E-8</v>
      </c>
      <c r="AC52" s="126" t="str">
        <f t="shared" si="9"/>
        <v>Vlow exceeds VIL spec</v>
      </c>
      <c r="AD52" s="126" t="str">
        <f t="shared" si="10"/>
        <v>Vlow exceeds VIL spec</v>
      </c>
    </row>
    <row r="53" spans="1:30" x14ac:dyDescent="0.35">
      <c r="A53" t="s">
        <v>327</v>
      </c>
      <c r="B53">
        <v>0</v>
      </c>
      <c r="C53" s="1">
        <f>K21</f>
        <v>22.122405384810769</v>
      </c>
      <c r="K53">
        <v>1</v>
      </c>
      <c r="L53">
        <v>62</v>
      </c>
      <c r="M53">
        <f t="shared" si="11"/>
        <v>0</v>
      </c>
      <c r="N53">
        <f t="shared" si="0"/>
        <v>62</v>
      </c>
      <c r="O53">
        <f t="shared" si="1"/>
        <v>58.9</v>
      </c>
      <c r="P53">
        <f t="shared" si="2"/>
        <v>65.100000000000009</v>
      </c>
      <c r="Q53">
        <f t="shared" si="12"/>
        <v>0</v>
      </c>
      <c r="R53" s="126">
        <f t="shared" si="3"/>
        <v>6.6196998889413597E-9</v>
      </c>
      <c r="S53" s="126">
        <f t="shared" si="4"/>
        <v>1.2808972868437298E-8</v>
      </c>
      <c r="T53">
        <v>10</v>
      </c>
      <c r="U53">
        <v>39</v>
      </c>
      <c r="V53">
        <f t="shared" si="13"/>
        <v>0</v>
      </c>
      <c r="W53">
        <f t="shared" si="14"/>
        <v>390</v>
      </c>
      <c r="X53">
        <f t="shared" si="5"/>
        <v>351</v>
      </c>
      <c r="Y53">
        <f t="shared" si="6"/>
        <v>429.00000000000006</v>
      </c>
      <c r="Z53">
        <f t="shared" si="15"/>
        <v>0</v>
      </c>
      <c r="AA53" s="126">
        <f t="shared" si="7"/>
        <v>7.7489585264353528E-9</v>
      </c>
      <c r="AB53" s="126">
        <f t="shared" si="8"/>
        <v>1.2808972868437298E-8</v>
      </c>
      <c r="AC53" s="126" t="str">
        <f t="shared" si="9"/>
        <v>Vlow exceeds VIL spec</v>
      </c>
      <c r="AD53" s="126" t="str">
        <f t="shared" si="10"/>
        <v>Vlow exceeds VIL spec</v>
      </c>
    </row>
    <row r="54" spans="1:30" x14ac:dyDescent="0.35">
      <c r="A54" t="s">
        <v>329</v>
      </c>
      <c r="B54" s="11">
        <f>F2*(1-G2)</f>
        <v>900000000000</v>
      </c>
      <c r="C54" s="11">
        <f>F2*(1-G2)</f>
        <v>900000000000</v>
      </c>
      <c r="K54">
        <v>1</v>
      </c>
      <c r="L54">
        <v>68</v>
      </c>
      <c r="M54">
        <f t="shared" si="11"/>
        <v>0</v>
      </c>
      <c r="N54">
        <f t="shared" si="0"/>
        <v>68</v>
      </c>
      <c r="O54">
        <f t="shared" si="1"/>
        <v>64.599999999999994</v>
      </c>
      <c r="P54">
        <f t="shared" si="2"/>
        <v>71.400000000000006</v>
      </c>
      <c r="Q54">
        <f t="shared" si="12"/>
        <v>0</v>
      </c>
      <c r="R54" s="126">
        <f t="shared" si="3"/>
        <v>7.2603160070880602E-9</v>
      </c>
      <c r="S54" s="126">
        <f t="shared" si="4"/>
        <v>1.3734154061221149E-8</v>
      </c>
      <c r="T54">
        <v>10</v>
      </c>
      <c r="U54">
        <v>47</v>
      </c>
      <c r="V54">
        <f t="shared" si="13"/>
        <v>1</v>
      </c>
      <c r="W54">
        <f t="shared" si="14"/>
        <v>470</v>
      </c>
      <c r="X54">
        <f t="shared" si="5"/>
        <v>423</v>
      </c>
      <c r="Y54">
        <f t="shared" si="6"/>
        <v>517</v>
      </c>
      <c r="Z54">
        <f t="shared" si="15"/>
        <v>1</v>
      </c>
      <c r="AA54" s="126">
        <f t="shared" si="7"/>
        <v>8.4988577385095521E-9</v>
      </c>
      <c r="AB54" s="126">
        <f t="shared" si="8"/>
        <v>1.3734154061221149E-8</v>
      </c>
      <c r="AC54" s="126" t="str">
        <f t="shared" si="9"/>
        <v>Vlow exceeds VIL spec</v>
      </c>
      <c r="AD54" s="126" t="str">
        <f t="shared" si="10"/>
        <v>Vlow exceeds VIL spec</v>
      </c>
    </row>
    <row r="55" spans="1:30" x14ac:dyDescent="0.35">
      <c r="A55" t="s">
        <v>332</v>
      </c>
      <c r="B55" s="11">
        <f>F12*(1-H12)</f>
        <v>900000000</v>
      </c>
      <c r="C55" s="11">
        <f>F12*(1-H12)</f>
        <v>900000000</v>
      </c>
      <c r="K55">
        <v>1</v>
      </c>
      <c r="L55">
        <v>75</v>
      </c>
      <c r="M55">
        <f t="shared" si="11"/>
        <v>0</v>
      </c>
      <c r="N55">
        <f t="shared" si="0"/>
        <v>75</v>
      </c>
      <c r="O55">
        <f t="shared" si="1"/>
        <v>71.25</v>
      </c>
      <c r="P55">
        <f t="shared" si="2"/>
        <v>78.75</v>
      </c>
      <c r="Q55">
        <f t="shared" si="12"/>
        <v>0</v>
      </c>
      <c r="R55" s="126">
        <f t="shared" si="3"/>
        <v>8.0077014782284446E-9</v>
      </c>
      <c r="S55" s="126">
        <f t="shared" si="4"/>
        <v>1.4813532119428789E-8</v>
      </c>
      <c r="T55">
        <v>10</v>
      </c>
      <c r="U55">
        <v>56</v>
      </c>
      <c r="V55">
        <f t="shared" si="13"/>
        <v>2</v>
      </c>
      <c r="W55">
        <f t="shared" si="14"/>
        <v>560</v>
      </c>
      <c r="X55">
        <f t="shared" si="5"/>
        <v>504</v>
      </c>
      <c r="Y55">
        <f t="shared" si="6"/>
        <v>616</v>
      </c>
      <c r="Z55">
        <f t="shared" si="15"/>
        <v>1</v>
      </c>
      <c r="AA55" s="126">
        <f t="shared" si="7"/>
        <v>9.3737401525601033E-9</v>
      </c>
      <c r="AB55" s="126">
        <f t="shared" si="8"/>
        <v>1.4813532119428789E-8</v>
      </c>
      <c r="AC55" s="126" t="str">
        <f t="shared" si="9"/>
        <v>Vlow exceeds VIL spec</v>
      </c>
      <c r="AD55" s="126" t="str">
        <f t="shared" si="10"/>
        <v>Vlow exceeds VIL spec</v>
      </c>
    </row>
    <row r="56" spans="1:30" x14ac:dyDescent="0.35">
      <c r="A56" t="s">
        <v>333</v>
      </c>
      <c r="B56" s="11">
        <f>F3*(1-G3)</f>
        <v>900000000000</v>
      </c>
      <c r="C56" s="11">
        <f>F3*(1-G3)</f>
        <v>900000000000</v>
      </c>
      <c r="K56">
        <v>1</v>
      </c>
      <c r="L56">
        <v>82</v>
      </c>
      <c r="M56">
        <f t="shared" si="11"/>
        <v>0</v>
      </c>
      <c r="N56">
        <f t="shared" si="0"/>
        <v>82</v>
      </c>
      <c r="O56">
        <f t="shared" si="1"/>
        <v>77.899999999999991</v>
      </c>
      <c r="P56">
        <f t="shared" si="2"/>
        <v>86.100000000000009</v>
      </c>
      <c r="Q56">
        <f t="shared" si="12"/>
        <v>0</v>
      </c>
      <c r="R56" s="126">
        <f t="shared" si="3"/>
        <v>8.7550869493356963E-9</v>
      </c>
      <c r="S56" s="126">
        <f t="shared" si="4"/>
        <v>1.5892910177593163E-8</v>
      </c>
      <c r="T56">
        <v>10</v>
      </c>
      <c r="U56">
        <v>68</v>
      </c>
      <c r="V56">
        <f t="shared" si="13"/>
        <v>3</v>
      </c>
      <c r="W56">
        <f t="shared" si="14"/>
        <v>680</v>
      </c>
      <c r="X56">
        <f t="shared" si="5"/>
        <v>612</v>
      </c>
      <c r="Y56">
        <f t="shared" si="6"/>
        <v>748.00000000000011</v>
      </c>
      <c r="Z56">
        <f t="shared" si="15"/>
        <v>1</v>
      </c>
      <c r="AA56" s="126">
        <f t="shared" si="7"/>
        <v>1.024862256657187E-8</v>
      </c>
      <c r="AB56" s="126">
        <f t="shared" si="8"/>
        <v>1.5892910177593163E-8</v>
      </c>
      <c r="AC56" s="126" t="str">
        <f t="shared" si="9"/>
        <v>Vlow exceeds VIL spec</v>
      </c>
      <c r="AD56" s="126" t="str">
        <f t="shared" si="10"/>
        <v>Vlow exceeds VIL spec</v>
      </c>
    </row>
    <row r="57" spans="1:30" x14ac:dyDescent="0.35">
      <c r="K57">
        <v>1</v>
      </c>
      <c r="L57">
        <v>91</v>
      </c>
      <c r="M57">
        <f t="shared" si="11"/>
        <v>0</v>
      </c>
      <c r="N57">
        <f t="shared" si="0"/>
        <v>91</v>
      </c>
      <c r="O57">
        <f t="shared" si="1"/>
        <v>86.45</v>
      </c>
      <c r="P57">
        <f t="shared" si="2"/>
        <v>95.55</v>
      </c>
      <c r="Q57">
        <f t="shared" si="12"/>
        <v>0</v>
      </c>
      <c r="R57" s="126">
        <f t="shared" si="3"/>
        <v>9.7160111264249028E-9</v>
      </c>
      <c r="S57" s="126">
        <f t="shared" si="4"/>
        <v>1.7280681966598049E-8</v>
      </c>
      <c r="T57">
        <v>10</v>
      </c>
      <c r="U57">
        <v>82</v>
      </c>
      <c r="V57">
        <f t="shared" si="13"/>
        <v>4</v>
      </c>
      <c r="W57">
        <f t="shared" si="14"/>
        <v>820</v>
      </c>
      <c r="X57">
        <f t="shared" si="5"/>
        <v>738</v>
      </c>
      <c r="Y57">
        <f t="shared" si="6"/>
        <v>902.00000000000011</v>
      </c>
      <c r="Z57">
        <f t="shared" si="15"/>
        <v>1</v>
      </c>
      <c r="AA57" s="126">
        <f t="shared" si="7"/>
        <v>1.1373471384530005E-8</v>
      </c>
      <c r="AB57" s="126">
        <f t="shared" si="8"/>
        <v>1.7280681966598049E-8</v>
      </c>
      <c r="AC57" s="126" t="str">
        <f t="shared" si="9"/>
        <v>Vlow exceeds VIL spec</v>
      </c>
      <c r="AD57" s="126" t="str">
        <f t="shared" si="10"/>
        <v>Vlow exceeds VIL spec</v>
      </c>
    </row>
    <row r="58" spans="1:30" x14ac:dyDescent="0.35">
      <c r="A58" t="s">
        <v>344</v>
      </c>
      <c r="B58">
        <v>1</v>
      </c>
      <c r="C58">
        <v>1</v>
      </c>
      <c r="K58">
        <v>10</v>
      </c>
      <c r="L58">
        <v>10</v>
      </c>
      <c r="M58">
        <f t="shared" si="11"/>
        <v>0</v>
      </c>
      <c r="N58">
        <f t="shared" si="0"/>
        <v>100</v>
      </c>
      <c r="O58">
        <f t="shared" si="1"/>
        <v>95</v>
      </c>
      <c r="P58">
        <f t="shared" si="2"/>
        <v>105</v>
      </c>
      <c r="Q58">
        <f t="shared" si="12"/>
        <v>0</v>
      </c>
      <c r="R58" s="126">
        <f t="shared" si="3"/>
        <v>1.0676935303459338E-8</v>
      </c>
      <c r="S58" s="126">
        <f t="shared" si="4"/>
        <v>1.8668453755531403E-8</v>
      </c>
      <c r="T58">
        <v>100</v>
      </c>
      <c r="U58">
        <v>10</v>
      </c>
      <c r="V58">
        <f t="shared" si="13"/>
        <v>5</v>
      </c>
      <c r="W58">
        <f t="shared" si="14"/>
        <v>1000</v>
      </c>
      <c r="X58">
        <f t="shared" si="5"/>
        <v>900</v>
      </c>
      <c r="Y58">
        <f t="shared" si="6"/>
        <v>1100</v>
      </c>
      <c r="Z58">
        <f t="shared" si="15"/>
        <v>1</v>
      </c>
      <c r="AA58" s="126">
        <f t="shared" si="7"/>
        <v>1.2498320202424025E-8</v>
      </c>
      <c r="AB58" s="126">
        <f t="shared" si="8"/>
        <v>1.8668453755531403E-8</v>
      </c>
      <c r="AC58" s="126" t="str">
        <f t="shared" si="9"/>
        <v>Vlow exceeds VIL spec</v>
      </c>
      <c r="AD58" s="126" t="str">
        <f t="shared" si="10"/>
        <v>Vlow exceeds VIL spec</v>
      </c>
    </row>
    <row r="59" spans="1:30" x14ac:dyDescent="0.35">
      <c r="A59" t="s">
        <v>345</v>
      </c>
      <c r="B59">
        <v>1</v>
      </c>
      <c r="C59">
        <v>1</v>
      </c>
      <c r="K59">
        <v>10</v>
      </c>
      <c r="L59">
        <v>11</v>
      </c>
      <c r="M59">
        <f t="shared" si="11"/>
        <v>0</v>
      </c>
      <c r="N59">
        <f t="shared" si="0"/>
        <v>110</v>
      </c>
      <c r="O59">
        <f t="shared" si="1"/>
        <v>104.5</v>
      </c>
      <c r="P59">
        <f t="shared" si="2"/>
        <v>115.5</v>
      </c>
      <c r="Q59">
        <f t="shared" si="12"/>
        <v>0</v>
      </c>
      <c r="R59" s="126">
        <f t="shared" si="3"/>
        <v>1.1744628833433358E-8</v>
      </c>
      <c r="S59" s="126">
        <f t="shared" si="4"/>
        <v>2.0210422409817902E-8</v>
      </c>
      <c r="T59">
        <v>100</v>
      </c>
      <c r="U59">
        <v>12</v>
      </c>
      <c r="V59">
        <f t="shared" si="13"/>
        <v>6</v>
      </c>
      <c r="W59">
        <f t="shared" si="14"/>
        <v>1200</v>
      </c>
      <c r="X59">
        <f t="shared" si="5"/>
        <v>1080</v>
      </c>
      <c r="Y59">
        <f t="shared" si="6"/>
        <v>1320</v>
      </c>
      <c r="Z59">
        <f t="shared" si="15"/>
        <v>1</v>
      </c>
      <c r="AA59" s="126">
        <f t="shared" si="7"/>
        <v>1.3748152222231067E-8</v>
      </c>
      <c r="AB59" s="126">
        <f t="shared" si="8"/>
        <v>2.0210422409817902E-8</v>
      </c>
      <c r="AC59" s="126" t="str">
        <f t="shared" si="9"/>
        <v>Vlow exceeds VIL spec</v>
      </c>
      <c r="AD59" s="126" t="str">
        <f t="shared" si="10"/>
        <v>Vlow exceeds VIL spec</v>
      </c>
    </row>
    <row r="60" spans="1:30" x14ac:dyDescent="0.35">
      <c r="A60" t="s">
        <v>346</v>
      </c>
      <c r="B60">
        <v>1</v>
      </c>
      <c r="C60">
        <v>1</v>
      </c>
      <c r="K60">
        <v>10</v>
      </c>
      <c r="L60">
        <v>12</v>
      </c>
      <c r="M60">
        <f t="shared" si="11"/>
        <v>0</v>
      </c>
      <c r="N60">
        <f t="shared" si="0"/>
        <v>120</v>
      </c>
      <c r="O60">
        <f t="shared" si="1"/>
        <v>114</v>
      </c>
      <c r="P60">
        <f t="shared" si="2"/>
        <v>126</v>
      </c>
      <c r="Q60">
        <f t="shared" si="12"/>
        <v>0</v>
      </c>
      <c r="R60" s="126">
        <f t="shared" si="3"/>
        <v>1.2812322363339758E-8</v>
      </c>
      <c r="S60" s="126">
        <f t="shared" si="4"/>
        <v>2.1752391064016091E-8</v>
      </c>
      <c r="T60">
        <v>100</v>
      </c>
      <c r="U60">
        <v>15</v>
      </c>
      <c r="V60">
        <f t="shared" si="13"/>
        <v>7</v>
      </c>
      <c r="W60">
        <f t="shared" si="14"/>
        <v>1500</v>
      </c>
      <c r="X60">
        <f t="shared" si="5"/>
        <v>1350</v>
      </c>
      <c r="Y60">
        <f t="shared" si="6"/>
        <v>1650.0000000000002</v>
      </c>
      <c r="Z60">
        <f t="shared" si="15"/>
        <v>1</v>
      </c>
      <c r="AA60" s="126">
        <f t="shared" si="7"/>
        <v>1.4997984241958956E-8</v>
      </c>
      <c r="AB60" s="126">
        <f t="shared" si="8"/>
        <v>2.1752391064016091E-8</v>
      </c>
      <c r="AC60" s="126" t="str">
        <f t="shared" si="9"/>
        <v>Vlow exceeds VIL spec</v>
      </c>
      <c r="AD60" s="126" t="str">
        <f t="shared" si="10"/>
        <v>Vlow exceeds VIL spec</v>
      </c>
    </row>
    <row r="61" spans="1:30" x14ac:dyDescent="0.35">
      <c r="K61">
        <v>10</v>
      </c>
      <c r="L61">
        <v>13</v>
      </c>
      <c r="M61">
        <f t="shared" si="11"/>
        <v>0</v>
      </c>
      <c r="N61">
        <f t="shared" si="0"/>
        <v>130</v>
      </c>
      <c r="O61">
        <f t="shared" si="1"/>
        <v>123.5</v>
      </c>
      <c r="P61">
        <f t="shared" si="2"/>
        <v>136.5</v>
      </c>
      <c r="Q61">
        <f t="shared" si="12"/>
        <v>0</v>
      </c>
      <c r="R61" s="126">
        <f t="shared" si="3"/>
        <v>1.3880015893178537E-8</v>
      </c>
      <c r="S61" s="126">
        <f t="shared" si="4"/>
        <v>2.329435971812596E-8</v>
      </c>
      <c r="T61">
        <v>100</v>
      </c>
      <c r="U61">
        <v>18</v>
      </c>
      <c r="V61">
        <f t="shared" si="13"/>
        <v>8</v>
      </c>
      <c r="W61">
        <f t="shared" si="14"/>
        <v>1800</v>
      </c>
      <c r="X61">
        <f t="shared" si="5"/>
        <v>1620</v>
      </c>
      <c r="Y61">
        <f t="shared" si="6"/>
        <v>1980.0000000000002</v>
      </c>
      <c r="Z61">
        <f t="shared" si="15"/>
        <v>1</v>
      </c>
      <c r="AA61" s="126">
        <f t="shared" si="7"/>
        <v>1.6247816261607686E-8</v>
      </c>
      <c r="AB61" s="126">
        <f t="shared" si="8"/>
        <v>2.329435971812596E-8</v>
      </c>
      <c r="AC61" s="126" t="str">
        <f t="shared" si="9"/>
        <v>Vlow exceeds VIL spec</v>
      </c>
      <c r="AD61" s="126" t="str">
        <f t="shared" si="10"/>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0.99999893618655311</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0.99999893621113367</v>
      </c>
      <c r="K62">
        <v>10</v>
      </c>
      <c r="L62">
        <v>15</v>
      </c>
      <c r="M62">
        <f t="shared" si="11"/>
        <v>0</v>
      </c>
      <c r="N62">
        <f t="shared" si="0"/>
        <v>150</v>
      </c>
      <c r="O62">
        <f t="shared" si="1"/>
        <v>142.5</v>
      </c>
      <c r="P62">
        <f t="shared" si="2"/>
        <v>157.5</v>
      </c>
      <c r="Q62">
        <f t="shared" si="12"/>
        <v>0</v>
      </c>
      <c r="R62" s="126">
        <f t="shared" si="3"/>
        <v>1.6015402952653235E-8</v>
      </c>
      <c r="S62" s="126">
        <f t="shared" si="4"/>
        <v>2.6378297026080768E-8</v>
      </c>
      <c r="T62">
        <v>100</v>
      </c>
      <c r="U62">
        <v>22</v>
      </c>
      <c r="V62">
        <f t="shared" si="13"/>
        <v>9</v>
      </c>
      <c r="W62">
        <f t="shared" si="14"/>
        <v>2200</v>
      </c>
      <c r="X62">
        <f t="shared" si="5"/>
        <v>1980</v>
      </c>
      <c r="Y62">
        <f t="shared" si="6"/>
        <v>2420</v>
      </c>
      <c r="Z62">
        <f t="shared" si="15"/>
        <v>1</v>
      </c>
      <c r="AA62" s="126">
        <f t="shared" si="7"/>
        <v>1.8747480300667685E-8</v>
      </c>
      <c r="AB62" s="126">
        <f t="shared" si="8"/>
        <v>2.6378297026080768E-8</v>
      </c>
      <c r="AC62" s="126" t="str">
        <f t="shared" si="9"/>
        <v>Vlow exceeds VIL spec</v>
      </c>
      <c r="AD62" s="126" t="str">
        <f t="shared" si="10"/>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0.99999893621113367</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0.99999893621113367</v>
      </c>
      <c r="K63">
        <v>10</v>
      </c>
      <c r="L63">
        <v>16</v>
      </c>
      <c r="M63">
        <f t="shared" si="11"/>
        <v>0</v>
      </c>
      <c r="N63">
        <f t="shared" si="0"/>
        <v>160</v>
      </c>
      <c r="O63">
        <f t="shared" si="1"/>
        <v>152</v>
      </c>
      <c r="P63">
        <f t="shared" si="2"/>
        <v>168</v>
      </c>
      <c r="Q63">
        <f t="shared" si="12"/>
        <v>0</v>
      </c>
      <c r="R63" s="126">
        <f t="shared" si="3"/>
        <v>1.7083096482289151E-8</v>
      </c>
      <c r="S63" s="126">
        <f t="shared" si="4"/>
        <v>2.7920265679925704E-8</v>
      </c>
      <c r="T63">
        <v>100</v>
      </c>
      <c r="U63">
        <v>27</v>
      </c>
      <c r="V63">
        <f t="shared" si="13"/>
        <v>10</v>
      </c>
      <c r="W63">
        <f t="shared" si="14"/>
        <v>2700</v>
      </c>
      <c r="X63">
        <f t="shared" si="5"/>
        <v>2430</v>
      </c>
      <c r="Y63">
        <f t="shared" si="6"/>
        <v>2970.0000000000005</v>
      </c>
      <c r="Z63">
        <f t="shared" si="15"/>
        <v>1</v>
      </c>
      <c r="AA63" s="126">
        <f t="shared" si="7"/>
        <v>1.9997312320078948E-8</v>
      </c>
      <c r="AB63" s="126">
        <f t="shared" si="8"/>
        <v>2.7920265679925704E-8</v>
      </c>
      <c r="AC63" s="126" t="str">
        <f t="shared" si="9"/>
        <v>Vlow exceeds VIL spec</v>
      </c>
      <c r="AD63" s="126" t="str">
        <f t="shared" si="10"/>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0.99999893621113367</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0.99999893618655311</v>
      </c>
      <c r="K64">
        <v>10</v>
      </c>
      <c r="L64">
        <v>18</v>
      </c>
      <c r="M64">
        <f t="shared" si="11"/>
        <v>0</v>
      </c>
      <c r="N64">
        <f t="shared" si="0"/>
        <v>180</v>
      </c>
      <c r="O64">
        <f t="shared" si="1"/>
        <v>171</v>
      </c>
      <c r="P64">
        <f t="shared" si="2"/>
        <v>189</v>
      </c>
      <c r="Q64">
        <f t="shared" si="12"/>
        <v>0</v>
      </c>
      <c r="R64" s="126">
        <f t="shared" si="3"/>
        <v>1.9218483541358125E-8</v>
      </c>
      <c r="S64" s="126">
        <f t="shared" si="4"/>
        <v>3.1004202987350634E-8</v>
      </c>
      <c r="T64">
        <v>100</v>
      </c>
      <c r="U64">
        <v>33</v>
      </c>
      <c r="V64">
        <f t="shared" si="13"/>
        <v>11</v>
      </c>
      <c r="W64">
        <f t="shared" si="14"/>
        <v>3300</v>
      </c>
      <c r="X64">
        <f t="shared" si="5"/>
        <v>2970</v>
      </c>
      <c r="Y64">
        <f t="shared" si="6"/>
        <v>3630.0000000000005</v>
      </c>
      <c r="Z64">
        <f t="shared" si="15"/>
        <v>1</v>
      </c>
      <c r="AA64" s="126">
        <f t="shared" si="7"/>
        <v>2.2496976358664007E-8</v>
      </c>
      <c r="AB64" s="126">
        <f t="shared" si="8"/>
        <v>3.1004202987350634E-8</v>
      </c>
      <c r="AC64" s="126" t="str">
        <f t="shared" si="9"/>
        <v>Vlow exceeds VIL spec</v>
      </c>
      <c r="AD64" s="126" t="str">
        <f t="shared" si="10"/>
        <v>Vlow exceeds VIL spec</v>
      </c>
    </row>
    <row r="65" spans="1:31" x14ac:dyDescent="0.35">
      <c r="K65">
        <v>10</v>
      </c>
      <c r="L65">
        <v>20</v>
      </c>
      <c r="M65">
        <f t="shared" si="11"/>
        <v>0</v>
      </c>
      <c r="N65">
        <f t="shared" si="0"/>
        <v>200</v>
      </c>
      <c r="O65">
        <f t="shared" si="1"/>
        <v>190</v>
      </c>
      <c r="P65">
        <f t="shared" si="2"/>
        <v>210</v>
      </c>
      <c r="Q65">
        <f t="shared" si="12"/>
        <v>0</v>
      </c>
      <c r="R65" s="126">
        <f t="shared" si="3"/>
        <v>2.1353870600156614E-8</v>
      </c>
      <c r="S65" s="126">
        <f t="shared" si="4"/>
        <v>3.4088140294422305E-8</v>
      </c>
      <c r="T65">
        <v>100</v>
      </c>
      <c r="U65">
        <v>39</v>
      </c>
      <c r="V65">
        <f t="shared" si="13"/>
        <v>12</v>
      </c>
      <c r="W65">
        <f t="shared" si="14"/>
        <v>3900</v>
      </c>
      <c r="X65">
        <f t="shared" si="5"/>
        <v>3510</v>
      </c>
      <c r="Y65">
        <f t="shared" si="6"/>
        <v>4290</v>
      </c>
      <c r="Z65">
        <f t="shared" si="15"/>
        <v>1</v>
      </c>
      <c r="AA65" s="126">
        <f t="shared" si="7"/>
        <v>2.4996640396932444E-8</v>
      </c>
      <c r="AB65" s="126">
        <f t="shared" si="8"/>
        <v>3.4088140294422305E-8</v>
      </c>
      <c r="AC65" s="126" t="str">
        <f t="shared" si="9"/>
        <v>Vlow exceeds VIL spec</v>
      </c>
      <c r="AD65" s="126">
        <f t="shared" si="10"/>
        <v>5.4151332106312269E-8</v>
      </c>
    </row>
    <row r="66" spans="1:31" x14ac:dyDescent="0.35">
      <c r="I66" s="128"/>
      <c r="J66" s="128"/>
      <c r="K66">
        <v>10</v>
      </c>
      <c r="L66">
        <v>22</v>
      </c>
      <c r="M66">
        <f t="shared" si="11"/>
        <v>0</v>
      </c>
      <c r="N66">
        <f t="shared" si="0"/>
        <v>220</v>
      </c>
      <c r="O66">
        <f t="shared" si="1"/>
        <v>209</v>
      </c>
      <c r="P66">
        <f t="shared" si="2"/>
        <v>231</v>
      </c>
      <c r="Q66">
        <f t="shared" si="12"/>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2.3489257658684622E-8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3.7172077601140743E-8</v>
      </c>
      <c r="T66">
        <v>100</v>
      </c>
      <c r="U66">
        <v>47</v>
      </c>
      <c r="V66">
        <f t="shared" si="13"/>
        <v>13</v>
      </c>
      <c r="W66">
        <f t="shared" si="14"/>
        <v>4700</v>
      </c>
      <c r="X66">
        <f t="shared" si="5"/>
        <v>4230</v>
      </c>
      <c r="Y66">
        <f t="shared" si="6"/>
        <v>5170</v>
      </c>
      <c r="Z66">
        <f t="shared" si="15"/>
        <v>1</v>
      </c>
      <c r="AA66" s="126">
        <f t="shared" ref="AA66:AA97" si="18">_xlfn.LET(
_xlpm.PU,O66,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(LN(1-$T$3/_xlpm.VCC)-LN(1-_xlpm.Vspec_abs/_xlpm.VCC))*$K$19*_xlpm.Rbus
)</f>
        <v>2.7496304434884256E-8</v>
      </c>
      <c r="AB66" s="126">
        <f t="shared" ref="AB66:AB97" si="19">_xlfn.LET(
_xlpm.PU,P66,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(LN(1-$T$3/_xlpm.VCC)-LN(1-_xlpm.Vspec_abs/_xlpm.VCC))*$K$18*_xlpm.Rbus
)</f>
        <v>3.7172077601140743E-8</v>
      </c>
      <c r="AC66" s="126" t="str">
        <f t="shared" ref="AC66:AC97" si="20">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f t="shared" ref="AD66:AD97" si="21">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3.6527138653053572E-8</v>
      </c>
    </row>
    <row r="67" spans="1:31" x14ac:dyDescent="0.35">
      <c r="B67" s="171" t="s">
        <v>354</v>
      </c>
      <c r="C67" s="171"/>
      <c r="I67" s="128"/>
      <c r="K67">
        <v>10</v>
      </c>
      <c r="L67">
        <v>24</v>
      </c>
      <c r="M67">
        <f t="shared" si="11"/>
        <v>0</v>
      </c>
      <c r="N67">
        <f t="shared" si="0"/>
        <v>240</v>
      </c>
      <c r="O67">
        <f t="shared" si="1"/>
        <v>228</v>
      </c>
      <c r="P67">
        <f t="shared" si="2"/>
        <v>252</v>
      </c>
      <c r="Q67">
        <f t="shared" si="12"/>
        <v>0</v>
      </c>
      <c r="R67" s="126">
        <f t="shared" si="16"/>
        <v>2.5624644716942152E-8</v>
      </c>
      <c r="S67" s="126">
        <f t="shared" si="17"/>
        <v>4.0256014907505916E-8</v>
      </c>
      <c r="T67">
        <v>100</v>
      </c>
      <c r="U67">
        <v>56</v>
      </c>
      <c r="V67">
        <f t="shared" si="13"/>
        <v>14</v>
      </c>
      <c r="W67">
        <f t="shared" si="14"/>
        <v>5600</v>
      </c>
      <c r="X67">
        <f t="shared" si="5"/>
        <v>5040</v>
      </c>
      <c r="Y67">
        <f t="shared" si="6"/>
        <v>6160.0000000000009</v>
      </c>
      <c r="Z67">
        <f t="shared" si="15"/>
        <v>1</v>
      </c>
      <c r="AA67" s="126">
        <f t="shared" si="18"/>
        <v>2.9995968472519443E-8</v>
      </c>
      <c r="AB67" s="126">
        <f t="shared" si="19"/>
        <v>4.0256014907505916E-8</v>
      </c>
      <c r="AC67" s="126" t="str">
        <f t="shared" si="20"/>
        <v>Vlow exceeds VIL spec</v>
      </c>
      <c r="AD67" s="126">
        <f t="shared" si="21"/>
        <v>3.0943230362270223E-8</v>
      </c>
    </row>
    <row r="68" spans="1:31" ht="28.4" customHeight="1" x14ac:dyDescent="0.35">
      <c r="B68" s="32" t="s">
        <v>355</v>
      </c>
      <c r="C68" s="32" t="s">
        <v>356</v>
      </c>
      <c r="D68" s="32" t="s">
        <v>357</v>
      </c>
      <c r="E68" s="32" t="str">
        <f>IF(Summary!F37="absolute","find min R2, so that max (Vz) = " &amp; TRUNC(R3/J2,3),"find min R2, so that max (Vz) = " &amp; R3)</f>
        <v>find min R2, so that max (Vz) = 0.3</v>
      </c>
      <c r="F68" s="32" t="s">
        <v>358</v>
      </c>
      <c r="G68" s="32" t="s">
        <v>359</v>
      </c>
      <c r="H68" s="32" t="s">
        <v>360</v>
      </c>
      <c r="I68" s="49"/>
      <c r="J68" s="49"/>
      <c r="K68">
        <v>10</v>
      </c>
      <c r="L68">
        <v>27</v>
      </c>
      <c r="M68">
        <f t="shared" si="11"/>
        <v>0</v>
      </c>
      <c r="N68">
        <f t="shared" si="0"/>
        <v>270</v>
      </c>
      <c r="O68">
        <f t="shared" si="1"/>
        <v>256.5</v>
      </c>
      <c r="P68">
        <f t="shared" si="2"/>
        <v>283.5</v>
      </c>
      <c r="Q68">
        <f t="shared" si="12"/>
        <v>0</v>
      </c>
      <c r="R68" s="126">
        <f t="shared" si="16"/>
        <v>2.8827725303821282E-8</v>
      </c>
      <c r="S68" s="126">
        <f t="shared" si="17"/>
        <v>4.4881920866391328E-8</v>
      </c>
      <c r="T68">
        <v>100</v>
      </c>
      <c r="U68">
        <v>68</v>
      </c>
      <c r="V68">
        <f t="shared" si="13"/>
        <v>15</v>
      </c>
      <c r="W68">
        <f t="shared" si="14"/>
        <v>6800</v>
      </c>
      <c r="X68">
        <f t="shared" si="5"/>
        <v>6120</v>
      </c>
      <c r="Y68">
        <f t="shared" si="6"/>
        <v>7480.0000000000009</v>
      </c>
      <c r="Z68">
        <f t="shared" si="15"/>
        <v>0</v>
      </c>
      <c r="AA68" s="126">
        <f t="shared" si="18"/>
        <v>3.3745464528378548E-8</v>
      </c>
      <c r="AB68" s="126">
        <f t="shared" si="19"/>
        <v>4.4881920866391328E-8</v>
      </c>
      <c r="AC68" s="126" t="str">
        <f t="shared" si="20"/>
        <v>Vlow exceeds VIL spec</v>
      </c>
      <c r="AD68" s="126">
        <f t="shared" si="21"/>
        <v>2.6690316286708236E-8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11"/>
        <v>0</v>
      </c>
      <c r="N69">
        <f t="shared" si="0"/>
        <v>300</v>
      </c>
      <c r="O69">
        <f t="shared" si="1"/>
        <v>285</v>
      </c>
      <c r="P69">
        <f t="shared" si="2"/>
        <v>315</v>
      </c>
      <c r="Q69">
        <f t="shared" si="12"/>
        <v>0</v>
      </c>
      <c r="R69" s="126">
        <f t="shared" si="16"/>
        <v>3.2030805890091832E-8</v>
      </c>
      <c r="S69" s="126">
        <f t="shared" si="17"/>
        <v>4.9507826824481939E-8</v>
      </c>
      <c r="T69">
        <v>100</v>
      </c>
      <c r="U69">
        <v>82</v>
      </c>
      <c r="V69">
        <f t="shared" si="13"/>
        <v>15</v>
      </c>
      <c r="W69">
        <f t="shared" si="14"/>
        <v>8200</v>
      </c>
      <c r="X69">
        <f t="shared" si="5"/>
        <v>7380</v>
      </c>
      <c r="Y69">
        <f t="shared" si="6"/>
        <v>9020</v>
      </c>
      <c r="Z69">
        <f t="shared" si="15"/>
        <v>0</v>
      </c>
      <c r="AA69" s="126">
        <f t="shared" si="18"/>
        <v>3.7494960583525259E-8</v>
      </c>
      <c r="AB69" s="126">
        <f t="shared" si="19"/>
        <v>4.9507826824481939E-8</v>
      </c>
      <c r="AC69" s="126" t="str">
        <f t="shared" si="20"/>
        <v>Vlow exceeds VIL spec</v>
      </c>
      <c r="AD69" s="126">
        <f t="shared" si="21"/>
        <v>2.4265742757087072E-8</v>
      </c>
    </row>
    <row r="70" spans="1:31" x14ac:dyDescent="0.35">
      <c r="A70" t="s">
        <v>320</v>
      </c>
      <c r="B70" s="11">
        <f>F11*(1+H11)</f>
        <v>955.5</v>
      </c>
      <c r="C70" s="11">
        <f>F11*(1-H11)</f>
        <v>864.5</v>
      </c>
      <c r="D70" s="11">
        <f>F11*(1+H11)</f>
        <v>955.5</v>
      </c>
      <c r="E70" s="11"/>
      <c r="F70" s="11">
        <f>F11*(1-H11)</f>
        <v>864.5</v>
      </c>
      <c r="G70" s="11">
        <f>F11*(1-H11)</f>
        <v>864.5</v>
      </c>
      <c r="H70" s="11">
        <f>F11*(1+H11)</f>
        <v>955.5</v>
      </c>
      <c r="K70">
        <v>10</v>
      </c>
      <c r="L70">
        <v>33</v>
      </c>
      <c r="M70">
        <f t="shared" si="11"/>
        <v>0</v>
      </c>
      <c r="N70">
        <f t="shared" si="0"/>
        <v>330</v>
      </c>
      <c r="O70">
        <f t="shared" si="1"/>
        <v>313.5</v>
      </c>
      <c r="P70">
        <f t="shared" si="2"/>
        <v>346.5</v>
      </c>
      <c r="Q70">
        <f t="shared" si="12"/>
        <v>0</v>
      </c>
      <c r="R70" s="126">
        <f t="shared" si="16"/>
        <v>3.5233886475753796E-8</v>
      </c>
      <c r="S70" s="126">
        <f t="shared" si="17"/>
        <v>5.4133732781777735E-8</v>
      </c>
      <c r="T70">
        <v>1000</v>
      </c>
      <c r="U70">
        <v>10</v>
      </c>
      <c r="V70">
        <f t="shared" si="13"/>
        <v>15</v>
      </c>
      <c r="W70">
        <f t="shared" si="14"/>
        <v>10000</v>
      </c>
      <c r="X70">
        <f t="shared" si="5"/>
        <v>9000</v>
      </c>
      <c r="Y70">
        <f t="shared" si="6"/>
        <v>11000</v>
      </c>
      <c r="Z70">
        <f t="shared" si="15"/>
        <v>0</v>
      </c>
      <c r="AA70" s="126">
        <f t="shared" si="18"/>
        <v>4.1244456637959562E-8</v>
      </c>
      <c r="AB70" s="126">
        <f t="shared" si="19"/>
        <v>5.4133732781777735E-8</v>
      </c>
      <c r="AC70" s="126" t="str">
        <f t="shared" si="20"/>
        <v>Vlow exceeds VIL spec</v>
      </c>
      <c r="AD70" s="126">
        <f t="shared" si="21"/>
        <v>2.2671313065476638E-8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11"/>
        <v>0</v>
      </c>
      <c r="N71">
        <f t="shared" si="0"/>
        <v>360</v>
      </c>
      <c r="O71">
        <f t="shared" si="1"/>
        <v>342</v>
      </c>
      <c r="P71">
        <f t="shared" si="2"/>
        <v>378</v>
      </c>
      <c r="Q71">
        <f t="shared" si="12"/>
        <v>0</v>
      </c>
      <c r="R71" s="126">
        <f t="shared" si="16"/>
        <v>3.8436967060807173E-8</v>
      </c>
      <c r="S71" s="126">
        <f t="shared" si="17"/>
        <v>5.8759638738278703E-8</v>
      </c>
      <c r="T71">
        <v>1000</v>
      </c>
      <c r="U71">
        <v>12</v>
      </c>
      <c r="V71">
        <f t="shared" si="13"/>
        <v>15</v>
      </c>
      <c r="W71">
        <f t="shared" si="14"/>
        <v>12000</v>
      </c>
      <c r="X71">
        <f t="shared" si="5"/>
        <v>10800</v>
      </c>
      <c r="Y71">
        <f t="shared" si="6"/>
        <v>13200.000000000002</v>
      </c>
      <c r="Z71">
        <f t="shared" si="15"/>
        <v>0</v>
      </c>
      <c r="AA71" s="126">
        <f t="shared" si="18"/>
        <v>4.4993952691681457E-8</v>
      </c>
      <c r="AB71" s="126">
        <f t="shared" si="19"/>
        <v>5.8759638738278703E-8</v>
      </c>
      <c r="AC71" s="126" t="str">
        <f t="shared" si="20"/>
        <v>Vlow exceeds VIL spec</v>
      </c>
      <c r="AD71" s="126">
        <f t="shared" si="21"/>
        <v>2.1535684703096814E-8</v>
      </c>
    </row>
    <row r="72" spans="1:31" x14ac:dyDescent="0.35">
      <c r="A72" t="s">
        <v>324</v>
      </c>
      <c r="B72" s="1">
        <f>K21*MIN(K25,K24)</f>
        <v>0</v>
      </c>
      <c r="C72" s="1">
        <f>K21*MAX(K25,K24)</f>
        <v>22.122405384810769</v>
      </c>
      <c r="D72" s="1">
        <f>K21*MIN(K25,K24)</f>
        <v>0</v>
      </c>
      <c r="E72" s="1">
        <f>K21*MAX(K25,K24)</f>
        <v>22.122405384810769</v>
      </c>
      <c r="F72" s="125">
        <f>K21*MAX(K25,K24)</f>
        <v>22.122405384810769</v>
      </c>
      <c r="G72" s="125">
        <f>K22*MAX(K25,K24)</f>
        <v>16.31240538481077</v>
      </c>
      <c r="H72" s="1">
        <f>K22*MIN(K25,K24)</f>
        <v>0</v>
      </c>
      <c r="K72">
        <v>10</v>
      </c>
      <c r="L72">
        <v>39</v>
      </c>
      <c r="M72">
        <f t="shared" si="11"/>
        <v>0</v>
      </c>
      <c r="N72">
        <f t="shared" si="0"/>
        <v>390</v>
      </c>
      <c r="O72">
        <f t="shared" si="1"/>
        <v>370.5</v>
      </c>
      <c r="P72">
        <f t="shared" si="2"/>
        <v>409.5</v>
      </c>
      <c r="Q72">
        <f t="shared" si="12"/>
        <v>0</v>
      </c>
      <c r="R72" s="126">
        <f t="shared" si="16"/>
        <v>4.164004764525197E-8</v>
      </c>
      <c r="S72" s="126">
        <f t="shared" si="17"/>
        <v>6.338554469398485E-8</v>
      </c>
      <c r="T72">
        <v>1000</v>
      </c>
      <c r="U72">
        <v>15</v>
      </c>
      <c r="V72">
        <f t="shared" si="13"/>
        <v>15</v>
      </c>
      <c r="W72">
        <f t="shared" si="14"/>
        <v>15000</v>
      </c>
      <c r="X72">
        <f t="shared" si="5"/>
        <v>13500</v>
      </c>
      <c r="Y72">
        <f t="shared" si="6"/>
        <v>16500</v>
      </c>
      <c r="Z72">
        <f t="shared" si="15"/>
        <v>0</v>
      </c>
      <c r="AA72" s="126">
        <f t="shared" si="18"/>
        <v>4.8743448744690958E-8</v>
      </c>
      <c r="AB72" s="126">
        <f t="shared" si="19"/>
        <v>6.338554469398485E-8</v>
      </c>
      <c r="AC72" s="126" t="str">
        <f t="shared" si="20"/>
        <v>Vlow exceeds VIL spec</v>
      </c>
      <c r="AD72" s="126">
        <f t="shared" si="21"/>
        <v>2.0683455846165533E-8</v>
      </c>
    </row>
    <row r="73" spans="1:31" x14ac:dyDescent="0.35">
      <c r="A73" t="s">
        <v>327</v>
      </c>
      <c r="B73" s="1">
        <f>K21-B72</f>
        <v>22.122405384810769</v>
      </c>
      <c r="C73" s="1">
        <f>K21-C72</f>
        <v>0</v>
      </c>
      <c r="D73" s="1">
        <f>K21-D72</f>
        <v>22.122405384810769</v>
      </c>
      <c r="E73" s="1">
        <f>K21-E72</f>
        <v>0</v>
      </c>
      <c r="F73" s="1">
        <f>K21-F72</f>
        <v>0</v>
      </c>
      <c r="G73" s="1">
        <f>K22-G72</f>
        <v>0</v>
      </c>
      <c r="H73" s="1">
        <f>K22-H72</f>
        <v>16.31240538481077</v>
      </c>
      <c r="K73">
        <v>10</v>
      </c>
      <c r="L73">
        <v>43</v>
      </c>
      <c r="M73">
        <f t="shared" si="11"/>
        <v>1</v>
      </c>
      <c r="N73">
        <f t="shared" si="0"/>
        <v>430</v>
      </c>
      <c r="O73">
        <f t="shared" si="1"/>
        <v>408.5</v>
      </c>
      <c r="P73">
        <f t="shared" si="2"/>
        <v>451.5</v>
      </c>
      <c r="Q73">
        <f t="shared" si="12"/>
        <v>1</v>
      </c>
      <c r="R73" s="126">
        <f t="shared" si="16"/>
        <v>4.5910821756898344E-8</v>
      </c>
      <c r="S73" s="126">
        <f t="shared" si="17"/>
        <v>6.9553419300356691E-8</v>
      </c>
      <c r="T73">
        <v>1000</v>
      </c>
      <c r="U73">
        <v>18</v>
      </c>
      <c r="V73">
        <f t="shared" si="13"/>
        <v>15</v>
      </c>
      <c r="W73">
        <f t="shared" si="14"/>
        <v>18000</v>
      </c>
      <c r="X73">
        <f t="shared" si="5"/>
        <v>16200</v>
      </c>
      <c r="Y73">
        <f t="shared" si="6"/>
        <v>19800</v>
      </c>
      <c r="Z73">
        <f t="shared" si="15"/>
        <v>0</v>
      </c>
      <c r="AA73" s="126">
        <f t="shared" si="18"/>
        <v>5.3742776814262104E-8</v>
      </c>
      <c r="AB73" s="126">
        <f t="shared" si="19"/>
        <v>6.9553419300356691E-8</v>
      </c>
      <c r="AC73" s="126">
        <f t="shared" si="20"/>
        <v>8.4190148252708504E-8</v>
      </c>
      <c r="AD73" s="126">
        <f t="shared" si="21"/>
        <v>1.9829646563212839E-8</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11"/>
        <v>2</v>
      </c>
      <c r="N74">
        <f t="shared" si="0"/>
        <v>470</v>
      </c>
      <c r="O74">
        <f t="shared" si="1"/>
        <v>446.5</v>
      </c>
      <c r="P74">
        <f t="shared" si="2"/>
        <v>493.5</v>
      </c>
      <c r="Q74">
        <f t="shared" si="12"/>
        <v>1</v>
      </c>
      <c r="R74" s="126">
        <f t="shared" si="16"/>
        <v>5.0181595867462772E-8</v>
      </c>
      <c r="S74" s="126">
        <f t="shared" si="17"/>
        <v>7.5721293905315535E-8</v>
      </c>
      <c r="T74">
        <v>1000</v>
      </c>
      <c r="U74">
        <v>22</v>
      </c>
      <c r="V74">
        <f t="shared" si="13"/>
        <v>15</v>
      </c>
      <c r="W74">
        <f t="shared" si="14"/>
        <v>22000</v>
      </c>
      <c r="X74">
        <f t="shared" si="5"/>
        <v>19800</v>
      </c>
      <c r="Y74">
        <f t="shared" si="6"/>
        <v>24200.000000000004</v>
      </c>
      <c r="Z74">
        <f t="shared" si="15"/>
        <v>0</v>
      </c>
      <c r="AA74" s="126">
        <f t="shared" si="18"/>
        <v>5.8742104882566738E-8</v>
      </c>
      <c r="AB74" s="126">
        <f t="shared" si="19"/>
        <v>7.5721293905315535E-8</v>
      </c>
      <c r="AC74" s="126">
        <f t="shared" si="20"/>
        <v>6.7610720323399918E-8</v>
      </c>
      <c r="AD74" s="126">
        <f t="shared" si="21"/>
        <v>1.9187885425723761E-8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11"/>
        <v>3</v>
      </c>
      <c r="N75">
        <f t="shared" si="0"/>
        <v>510</v>
      </c>
      <c r="O75">
        <f t="shared" si="1"/>
        <v>484.5</v>
      </c>
      <c r="P75">
        <f t="shared" si="2"/>
        <v>535.5</v>
      </c>
      <c r="Q75">
        <f t="shared" si="12"/>
        <v>1</v>
      </c>
      <c r="R75" s="126">
        <f t="shared" si="16"/>
        <v>5.4452369976945294E-8</v>
      </c>
      <c r="S75" s="126">
        <f t="shared" si="17"/>
        <v>8.1889168508861356E-8</v>
      </c>
      <c r="T75">
        <v>1000</v>
      </c>
      <c r="U75">
        <v>27</v>
      </c>
      <c r="V75">
        <f t="shared" si="13"/>
        <v>15</v>
      </c>
      <c r="W75">
        <f t="shared" si="14"/>
        <v>27000</v>
      </c>
      <c r="X75">
        <f t="shared" si="5"/>
        <v>24300</v>
      </c>
      <c r="Y75">
        <f t="shared" si="6"/>
        <v>29700.000000000004</v>
      </c>
      <c r="Z75">
        <f t="shared" si="15"/>
        <v>0</v>
      </c>
      <c r="AA75" s="126">
        <f t="shared" si="18"/>
        <v>6.3741432949604899E-8</v>
      </c>
      <c r="AB75" s="126">
        <f t="shared" si="19"/>
        <v>8.1889168508861356E-8</v>
      </c>
      <c r="AC75" s="126">
        <f t="shared" si="20"/>
        <v>5.9554862378797278E-8</v>
      </c>
      <c r="AD75" s="126">
        <f t="shared" si="21"/>
        <v>1.8687868968531809E-8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11"/>
        <v>4</v>
      </c>
      <c r="N76">
        <f t="shared" si="0"/>
        <v>560</v>
      </c>
      <c r="O76">
        <f t="shared" si="1"/>
        <v>532</v>
      </c>
      <c r="P76">
        <f t="shared" si="2"/>
        <v>588</v>
      </c>
      <c r="Q76">
        <f t="shared" si="12"/>
        <v>1</v>
      </c>
      <c r="R76" s="126">
        <f t="shared" si="16"/>
        <v>5.9790837612276972E-8</v>
      </c>
      <c r="S76" s="126">
        <f t="shared" si="17"/>
        <v>8.9599011761306616E-8</v>
      </c>
      <c r="T76">
        <v>1000</v>
      </c>
      <c r="U76">
        <v>33</v>
      </c>
      <c r="V76">
        <f t="shared" si="13"/>
        <v>15</v>
      </c>
      <c r="W76">
        <f t="shared" si="14"/>
        <v>33000</v>
      </c>
      <c r="X76">
        <f t="shared" si="5"/>
        <v>29700</v>
      </c>
      <c r="Y76">
        <f t="shared" si="6"/>
        <v>36300</v>
      </c>
      <c r="Z76">
        <f t="shared" si="15"/>
        <v>0</v>
      </c>
      <c r="AA76" s="126">
        <f t="shared" si="18"/>
        <v>6.999059303162158E-8</v>
      </c>
      <c r="AB76" s="126">
        <f t="shared" si="19"/>
        <v>8.9599011761306616E-8</v>
      </c>
      <c r="AC76" s="126">
        <f t="shared" si="20"/>
        <v>5.3537913093956813E-8</v>
      </c>
      <c r="AD76" s="126">
        <f t="shared" si="21"/>
        <v>1.8199412315461452E-8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11"/>
        <v>5</v>
      </c>
      <c r="N77">
        <f t="shared" si="0"/>
        <v>620</v>
      </c>
      <c r="O77">
        <f t="shared" si="1"/>
        <v>589</v>
      </c>
      <c r="P77">
        <f t="shared" si="2"/>
        <v>651</v>
      </c>
      <c r="Q77">
        <f t="shared" si="12"/>
        <v>1</v>
      </c>
      <c r="R77" s="126">
        <f t="shared" si="16"/>
        <v>6.6196998772443504E-8</v>
      </c>
      <c r="S77" s="126">
        <f t="shared" si="17"/>
        <v>9.8850823661326581E-8</v>
      </c>
      <c r="T77">
        <v>1000</v>
      </c>
      <c r="U77">
        <v>39</v>
      </c>
      <c r="V77">
        <f t="shared" si="13"/>
        <v>15</v>
      </c>
      <c r="W77">
        <f t="shared" si="14"/>
        <v>39000</v>
      </c>
      <c r="X77">
        <f t="shared" si="5"/>
        <v>35100</v>
      </c>
      <c r="Y77">
        <f t="shared" si="6"/>
        <v>42900</v>
      </c>
      <c r="Z77">
        <f t="shared" si="15"/>
        <v>0</v>
      </c>
      <c r="AA77" s="126">
        <f t="shared" si="18"/>
        <v>7.7489585127429428E-8</v>
      </c>
      <c r="AB77" s="126">
        <f t="shared" si="19"/>
        <v>9.8850823661326581E-8</v>
      </c>
      <c r="AC77" s="126">
        <f t="shared" si="20"/>
        <v>4.8999168283289449E-8</v>
      </c>
      <c r="AD77" s="126">
        <f t="shared" si="21"/>
        <v>1.775007457304864E-8</v>
      </c>
    </row>
    <row r="78" spans="1:31" x14ac:dyDescent="0.35">
      <c r="A78" t="s">
        <v>344</v>
      </c>
      <c r="B78">
        <v>1</v>
      </c>
      <c r="C78">
        <v>1</v>
      </c>
      <c r="D78">
        <v>1</v>
      </c>
      <c r="E78">
        <v>1</v>
      </c>
      <c r="F78">
        <v>1</v>
      </c>
      <c r="G78">
        <v>1</v>
      </c>
      <c r="H78">
        <v>1</v>
      </c>
      <c r="K78">
        <v>10</v>
      </c>
      <c r="L78">
        <v>68</v>
      </c>
      <c r="M78">
        <f t="shared" si="11"/>
        <v>6</v>
      </c>
      <c r="N78">
        <f t="shared" si="0"/>
        <v>680</v>
      </c>
      <c r="O78">
        <f t="shared" si="1"/>
        <v>646</v>
      </c>
      <c r="P78">
        <f t="shared" si="2"/>
        <v>714</v>
      </c>
      <c r="Q78">
        <f t="shared" si="12"/>
        <v>1</v>
      </c>
      <c r="R78" s="126">
        <f t="shared" si="16"/>
        <v>7.2603159930175676E-8</v>
      </c>
      <c r="S78" s="126">
        <f t="shared" si="17"/>
        <v>1.081026355581673E-7</v>
      </c>
      <c r="T78">
        <v>1000</v>
      </c>
      <c r="U78">
        <v>47</v>
      </c>
      <c r="V78">
        <f t="shared" si="13"/>
        <v>15</v>
      </c>
      <c r="W78">
        <f t="shared" si="14"/>
        <v>47000</v>
      </c>
      <c r="X78">
        <f t="shared" si="5"/>
        <v>42300</v>
      </c>
      <c r="Y78">
        <f t="shared" si="6"/>
        <v>51700.000000000007</v>
      </c>
      <c r="Z78">
        <f t="shared" si="15"/>
        <v>0</v>
      </c>
      <c r="AA78" s="126">
        <f t="shared" si="18"/>
        <v>8.4988577220387671E-8</v>
      </c>
      <c r="AB78" s="126">
        <f t="shared" si="19"/>
        <v>1.081026355581673E-7</v>
      </c>
      <c r="AC78" s="126">
        <f t="shared" si="20"/>
        <v>4.5950807606016552E-8</v>
      </c>
      <c r="AD78" s="126">
        <f t="shared" si="21"/>
        <v>1.7402403653908517E-8</v>
      </c>
    </row>
    <row r="79" spans="1:31" x14ac:dyDescent="0.35">
      <c r="A79" t="s">
        <v>345</v>
      </c>
      <c r="B79">
        <v>1</v>
      </c>
      <c r="C79">
        <v>1</v>
      </c>
      <c r="D79">
        <v>1</v>
      </c>
      <c r="E79">
        <v>1</v>
      </c>
      <c r="F79">
        <v>1</v>
      </c>
      <c r="G79">
        <v>1</v>
      </c>
      <c r="H79">
        <v>1</v>
      </c>
      <c r="K79">
        <v>10</v>
      </c>
      <c r="L79">
        <v>75</v>
      </c>
      <c r="M79">
        <f t="shared" si="11"/>
        <v>7</v>
      </c>
      <c r="N79">
        <f t="shared" si="0"/>
        <v>750</v>
      </c>
      <c r="O79">
        <f t="shared" si="1"/>
        <v>712.5</v>
      </c>
      <c r="P79">
        <f t="shared" si="2"/>
        <v>787.5</v>
      </c>
      <c r="Q79">
        <f t="shared" si="12"/>
        <v>1</v>
      </c>
      <c r="R79" s="126">
        <f t="shared" si="16"/>
        <v>8.0077014611119853E-8</v>
      </c>
      <c r="S79" s="126">
        <f t="shared" si="17"/>
        <v>1.1889641610046324E-7</v>
      </c>
      <c r="T79">
        <v>1000</v>
      </c>
      <c r="U79">
        <v>56</v>
      </c>
      <c r="V79">
        <f t="shared" si="13"/>
        <v>15</v>
      </c>
      <c r="W79">
        <f t="shared" si="14"/>
        <v>56000</v>
      </c>
      <c r="X79">
        <f t="shared" si="5"/>
        <v>50400</v>
      </c>
      <c r="Y79">
        <f t="shared" si="6"/>
        <v>61600.000000000007</v>
      </c>
      <c r="Z79">
        <f t="shared" si="15"/>
        <v>0</v>
      </c>
      <c r="AA79" s="126">
        <f t="shared" si="18"/>
        <v>9.3737401325237371E-8</v>
      </c>
      <c r="AB79" s="126">
        <f t="shared" si="19"/>
        <v>1.1889641610046324E-7</v>
      </c>
      <c r="AC79" s="126">
        <f t="shared" si="20"/>
        <v>4.3441059470388253E-8</v>
      </c>
      <c r="AD79" s="126">
        <f t="shared" si="21"/>
        <v>1.7084785636074907E-8</v>
      </c>
      <c r="AE79" s="128"/>
    </row>
    <row r="80" spans="1:31" x14ac:dyDescent="0.35">
      <c r="A80" t="s">
        <v>346</v>
      </c>
      <c r="B80">
        <v>1</v>
      </c>
      <c r="C80">
        <v>1</v>
      </c>
      <c r="D80">
        <v>1</v>
      </c>
      <c r="E80">
        <v>1</v>
      </c>
      <c r="F80">
        <v>1</v>
      </c>
      <c r="G80">
        <v>1</v>
      </c>
      <c r="H80">
        <v>1</v>
      </c>
      <c r="K80">
        <v>10</v>
      </c>
      <c r="L80">
        <v>82</v>
      </c>
      <c r="M80">
        <f t="shared" si="11"/>
        <v>8</v>
      </c>
      <c r="N80">
        <f t="shared" si="0"/>
        <v>820</v>
      </c>
      <c r="O80">
        <f t="shared" si="1"/>
        <v>779</v>
      </c>
      <c r="P80">
        <f t="shared" si="2"/>
        <v>861</v>
      </c>
      <c r="Q80">
        <f t="shared" si="12"/>
        <v>1</v>
      </c>
      <c r="R80" s="126">
        <f t="shared" si="16"/>
        <v>8.7550869288750583E-8</v>
      </c>
      <c r="S80" s="126">
        <f t="shared" si="17"/>
        <v>1.2969019663843186E-7</v>
      </c>
      <c r="T80">
        <v>1000</v>
      </c>
      <c r="U80">
        <v>68</v>
      </c>
      <c r="V80">
        <f t="shared" si="13"/>
        <v>15</v>
      </c>
      <c r="W80">
        <f>U80*T80</f>
        <v>68000</v>
      </c>
      <c r="X80">
        <f t="shared" si="5"/>
        <v>61200</v>
      </c>
      <c r="Y80">
        <f t="shared" si="6"/>
        <v>74800</v>
      </c>
      <c r="Z80">
        <f t="shared" si="15"/>
        <v>0</v>
      </c>
      <c r="AA80" s="126">
        <f t="shared" si="18"/>
        <v>1.024862254262084E-7</v>
      </c>
      <c r="AB80" s="126">
        <f t="shared" si="19"/>
        <v>1.2969019663843186E-7</v>
      </c>
      <c r="AC80" s="126">
        <f t="shared" si="20"/>
        <v>4.1612915136414278E-8</v>
      </c>
      <c r="AD80" s="126">
        <f t="shared" si="21"/>
        <v>1.6833737052347949E-8</v>
      </c>
      <c r="AE80" s="128"/>
    </row>
    <row r="81" spans="1:31" x14ac:dyDescent="0.35">
      <c r="K81">
        <v>10</v>
      </c>
      <c r="L81">
        <v>91</v>
      </c>
      <c r="M81">
        <f t="shared" si="11"/>
        <v>9</v>
      </c>
      <c r="N81">
        <f t="shared" si="0"/>
        <v>910</v>
      </c>
      <c r="O81">
        <f t="shared" si="1"/>
        <v>864.5</v>
      </c>
      <c r="P81">
        <f t="shared" si="2"/>
        <v>955.5</v>
      </c>
      <c r="Q81">
        <f t="shared" si="12"/>
        <v>1</v>
      </c>
      <c r="R81" s="126">
        <f t="shared" si="16"/>
        <v>9.716011101226428E-8</v>
      </c>
      <c r="S81" s="126">
        <f t="shared" si="17"/>
        <v>1.4356791446660439E-7</v>
      </c>
      <c r="T81">
        <v>1000</v>
      </c>
      <c r="U81">
        <v>82</v>
      </c>
      <c r="V81">
        <f t="shared" si="13"/>
        <v>15</v>
      </c>
      <c r="W81">
        <f t="shared" ref="W81" si="22">U81*T81</f>
        <v>82000</v>
      </c>
      <c r="X81">
        <f t="shared" si="5"/>
        <v>73800</v>
      </c>
      <c r="Y81">
        <f t="shared" si="6"/>
        <v>90200.000000000015</v>
      </c>
      <c r="Z81">
        <f t="shared" si="15"/>
        <v>0</v>
      </c>
      <c r="AA81" s="126">
        <f t="shared" si="18"/>
        <v>1.1373471355032908E-7</v>
      </c>
      <c r="AB81" s="126">
        <f t="shared" si="19"/>
        <v>1.4356791446660439E-7</v>
      </c>
      <c r="AC81" s="126">
        <f t="shared" si="20"/>
        <v>3.9881313882558894E-8</v>
      </c>
      <c r="AD81" s="126">
        <f t="shared" si="21"/>
        <v>1.657922175198829E-8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0.99999893621113456</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0.12356387643391067</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7.2780198325575182E-2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0.84963265568815516</v>
      </c>
      <c r="F82" s="13"/>
      <c r="K82">
        <v>100</v>
      </c>
      <c r="L82">
        <v>10</v>
      </c>
      <c r="M82">
        <f>IF(AND(Q81=1,Q82=0),Q82+M81+1, Q82+M81)</f>
        <v>10</v>
      </c>
      <c r="N82">
        <f t="shared" si="0"/>
        <v>1000</v>
      </c>
      <c r="O82">
        <f t="shared" si="1"/>
        <v>950</v>
      </c>
      <c r="P82">
        <f t="shared" si="2"/>
        <v>1050</v>
      </c>
      <c r="Q82">
        <f t="shared" si="12"/>
        <v>1</v>
      </c>
      <c r="R82" s="126">
        <f t="shared" si="16"/>
        <v>1.0676935273030072E-7</v>
      </c>
      <c r="S82" s="126">
        <f t="shared" si="17"/>
        <v>1.5744563228762362E-7</v>
      </c>
      <c r="V82">
        <f t="shared" si="13"/>
        <v>15</v>
      </c>
      <c r="W82">
        <v>9999999</v>
      </c>
      <c r="AA82" s="126">
        <f t="shared" si="18"/>
        <v>1.2498320166803812E-7</v>
      </c>
      <c r="AB82" s="126">
        <f t="shared" si="19"/>
        <v>1.5744563228762362E-7</v>
      </c>
      <c r="AC82" s="126">
        <f t="shared" si="20"/>
        <v>3.8595936909729925E-8</v>
      </c>
      <c r="AD82" s="126">
        <f t="shared" si="21"/>
        <v>1.637891609430807E-8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0.99999893621113456</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0.14543211773796963</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7.2780198325575182E-2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3">IF(AND(Q82=1,Q83=0),Q83+M82+1, Q83+M82)</f>
        <v>11</v>
      </c>
      <c r="N83">
        <f t="shared" si="0"/>
        <v>1100</v>
      </c>
      <c r="O83">
        <f t="shared" si="1"/>
        <v>1045</v>
      </c>
      <c r="P83">
        <f t="shared" si="2"/>
        <v>1155</v>
      </c>
      <c r="Q83">
        <f t="shared" si="12"/>
        <v>1</v>
      </c>
      <c r="R83" s="126">
        <f t="shared" si="16"/>
        <v>1.1744628796613945E-7</v>
      </c>
      <c r="S83" s="126">
        <f t="shared" si="17"/>
        <v>1.7286531874703305E-7</v>
      </c>
      <c r="AA83" s="126">
        <f t="shared" si="18"/>
        <v>1.3748152179130609E-7</v>
      </c>
      <c r="AB83" s="126">
        <f t="shared" si="19"/>
        <v>1.7286531874703305E-7</v>
      </c>
      <c r="AC83" s="126">
        <f t="shared" si="20"/>
        <v>3.7507665805761482E-8</v>
      </c>
      <c r="AD83" s="126">
        <f t="shared" si="21"/>
        <v>1.6201170486295514E-8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0.999998936186554</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0.14543211773796963</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7.2780198342433794E-2</v>
      </c>
      <c r="E84" s="12">
        <f>IF(Summary!F37="absolute",(R3-N7)/(J2+J2*Summary!F17),R3-N7)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0.14543211784199375</v>
      </c>
      <c r="G84" s="12">
        <f t="shared" ref="G84" si="24"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0.14049577170070673</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7.2780198338006238E-2</v>
      </c>
      <c r="K84">
        <v>100</v>
      </c>
      <c r="L84">
        <v>12</v>
      </c>
      <c r="M84">
        <f t="shared" si="23"/>
        <v>12</v>
      </c>
      <c r="N84">
        <f t="shared" si="0"/>
        <v>1200</v>
      </c>
      <c r="O84">
        <f t="shared" si="1"/>
        <v>1140</v>
      </c>
      <c r="P84">
        <f t="shared" si="2"/>
        <v>1260</v>
      </c>
      <c r="Q84">
        <f t="shared" si="12"/>
        <v>1</v>
      </c>
      <c r="R84" s="126">
        <f t="shared" si="16"/>
        <v>1.2812322319521616E-7</v>
      </c>
      <c r="S84" s="126">
        <f t="shared" si="17"/>
        <v>1.8828500519761124E-7</v>
      </c>
      <c r="AA84" s="126">
        <f t="shared" si="18"/>
        <v>1.4997984190665851E-7</v>
      </c>
      <c r="AB84" s="126">
        <f t="shared" si="19"/>
        <v>1.8828500519761124E-7</v>
      </c>
      <c r="AC84" s="126">
        <f t="shared" si="20"/>
        <v>3.6661960238025617E-8</v>
      </c>
      <c r="AD84" s="126">
        <f t="shared" si="21"/>
        <v>1.6057538236195672E-8</v>
      </c>
      <c r="AE84" s="128"/>
    </row>
    <row r="85" spans="1:31" x14ac:dyDescent="0.35">
      <c r="E85" s="73"/>
      <c r="K85">
        <v>100</v>
      </c>
      <c r="L85">
        <v>13</v>
      </c>
      <c r="M85">
        <f t="shared" si="23"/>
        <v>13</v>
      </c>
      <c r="N85">
        <f t="shared" si="0"/>
        <v>1300</v>
      </c>
      <c r="O85">
        <f t="shared" si="1"/>
        <v>1235</v>
      </c>
      <c r="P85">
        <f t="shared" si="2"/>
        <v>1365</v>
      </c>
      <c r="Q85">
        <f t="shared" si="12"/>
        <v>1</v>
      </c>
      <c r="R85" s="126">
        <f t="shared" si="16"/>
        <v>1.388001584175308E-7</v>
      </c>
      <c r="S85" s="126">
        <f t="shared" si="17"/>
        <v>2.037046916393581E-7</v>
      </c>
      <c r="AA85" s="126">
        <f t="shared" si="18"/>
        <v>1.6247816201409533E-7</v>
      </c>
      <c r="AB85" s="126">
        <f t="shared" si="19"/>
        <v>2.037046916393581E-7</v>
      </c>
      <c r="AC85" s="126">
        <f t="shared" si="20"/>
        <v>3.5986105577203891E-8</v>
      </c>
      <c r="AD85" s="126">
        <f t="shared" si="21"/>
        <v>1.5939089352843644E-8</v>
      </c>
      <c r="AE85" s="128"/>
    </row>
    <row r="86" spans="1:31" x14ac:dyDescent="0.35">
      <c r="K86">
        <v>100</v>
      </c>
      <c r="L86">
        <v>15</v>
      </c>
      <c r="M86">
        <f t="shared" si="23"/>
        <v>14</v>
      </c>
      <c r="N86">
        <f t="shared" si="0"/>
        <v>1500</v>
      </c>
      <c r="O86">
        <f t="shared" si="1"/>
        <v>1425</v>
      </c>
      <c r="P86">
        <f t="shared" si="2"/>
        <v>1575</v>
      </c>
      <c r="Q86">
        <f t="shared" si="12"/>
        <v>1</v>
      </c>
      <c r="R86" s="126">
        <f t="shared" si="16"/>
        <v>1.601540288418739E-7</v>
      </c>
      <c r="S86" s="126">
        <f t="shared" si="17"/>
        <v>2.3454406449635806E-7</v>
      </c>
      <c r="AA86" s="126">
        <f t="shared" si="18"/>
        <v>1.8747480220522211E-7</v>
      </c>
      <c r="AB86" s="126">
        <f t="shared" si="19"/>
        <v>2.3454406449635806E-7</v>
      </c>
      <c r="AC86" s="126">
        <f t="shared" si="20"/>
        <v>3.4974138721038468E-8</v>
      </c>
      <c r="AD86" s="126">
        <f t="shared" si="21"/>
        <v>1.5755264092316343E-8</v>
      </c>
      <c r="AE86" s="128"/>
    </row>
    <row r="87" spans="1:31" x14ac:dyDescent="0.35">
      <c r="B87" s="171" t="s">
        <v>362</v>
      </c>
      <c r="C87" s="171"/>
      <c r="K87">
        <v>100</v>
      </c>
      <c r="L87">
        <v>16</v>
      </c>
      <c r="M87">
        <f t="shared" si="23"/>
        <v>15</v>
      </c>
      <c r="N87">
        <f t="shared" si="0"/>
        <v>1600</v>
      </c>
      <c r="O87">
        <f t="shared" si="1"/>
        <v>1520</v>
      </c>
      <c r="P87">
        <f t="shared" si="2"/>
        <v>1680</v>
      </c>
      <c r="Q87">
        <f t="shared" si="12"/>
        <v>1</v>
      </c>
      <c r="R87" s="126">
        <f t="shared" si="16"/>
        <v>1.7083096404390233E-7</v>
      </c>
      <c r="S87" s="126">
        <f t="shared" si="17"/>
        <v>2.4996375091161105E-7</v>
      </c>
      <c r="AA87" s="126">
        <f t="shared" si="18"/>
        <v>1.9997312228891207E-7</v>
      </c>
      <c r="AB87" s="126">
        <f t="shared" si="19"/>
        <v>2.4996375091161105E-7</v>
      </c>
      <c r="AC87" s="126">
        <f t="shared" si="20"/>
        <v>3.4585725268123519E-8</v>
      </c>
      <c r="AD87" s="126">
        <f t="shared" si="21"/>
        <v>1.5682531610549281E-8</v>
      </c>
      <c r="AE87" s="128"/>
    </row>
    <row r="88" spans="1:31" ht="29" x14ac:dyDescent="0.35">
      <c r="B88" t="s">
        <v>355</v>
      </c>
      <c r="C88" t="s">
        <v>363</v>
      </c>
      <c r="D88" t="s">
        <v>364</v>
      </c>
      <c r="E88" s="32" t="str">
        <f>IF(Summary!F37="absolute","find min R2, so that max (Vx) = " &amp; TRUNC(R2/J3,3),"find min R2, so that max (Vx) = " &amp; R2)</f>
        <v>find min R2, so that max (Vx) = 0.3</v>
      </c>
      <c r="F88" s="32" t="s">
        <v>365</v>
      </c>
      <c r="G88" s="32" t="s">
        <v>366</v>
      </c>
      <c r="H88" s="32" t="s">
        <v>367</v>
      </c>
      <c r="K88">
        <v>100</v>
      </c>
      <c r="L88">
        <v>18</v>
      </c>
      <c r="M88">
        <f t="shared" si="23"/>
        <v>16</v>
      </c>
      <c r="N88">
        <f t="shared" si="0"/>
        <v>1800</v>
      </c>
      <c r="O88">
        <f t="shared" si="1"/>
        <v>1710</v>
      </c>
      <c r="P88">
        <f t="shared" si="2"/>
        <v>1890</v>
      </c>
      <c r="Q88">
        <f t="shared" si="12"/>
        <v>1</v>
      </c>
      <c r="R88" s="126">
        <f t="shared" si="16"/>
        <v>1.9218483442767305E-7</v>
      </c>
      <c r="S88" s="126">
        <f t="shared" si="17"/>
        <v>2.8080312371562333E-7</v>
      </c>
      <c r="AA88" s="126">
        <f t="shared" si="18"/>
        <v>2.249697624325452E-7</v>
      </c>
      <c r="AB88" s="126">
        <f t="shared" si="19"/>
        <v>2.8080312371562333E-7</v>
      </c>
      <c r="AC88" s="126">
        <f t="shared" si="20"/>
        <v>3.3965520991020482E-8</v>
      </c>
      <c r="AD88" s="126">
        <f t="shared" si="21"/>
        <v>1.556374122951575E-8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3"/>
        <v>17</v>
      </c>
      <c r="N89">
        <f t="shared" si="0"/>
        <v>2000</v>
      </c>
      <c r="O89">
        <f t="shared" si="1"/>
        <v>1900</v>
      </c>
      <c r="P89">
        <f t="shared" si="2"/>
        <v>2100</v>
      </c>
      <c r="Q89">
        <f t="shared" si="12"/>
        <v>1</v>
      </c>
      <c r="R89" s="126">
        <f t="shared" si="16"/>
        <v>2.1353870478439558E-7</v>
      </c>
      <c r="S89" s="126">
        <f t="shared" si="17"/>
        <v>3.1164249648431063E-7</v>
      </c>
      <c r="AA89" s="126">
        <f t="shared" si="18"/>
        <v>2.4996640254451601E-7</v>
      </c>
      <c r="AB89" s="126">
        <f t="shared" si="19"/>
        <v>3.1164249648431063E-7</v>
      </c>
      <c r="AC89" s="126">
        <f t="shared" si="20"/>
        <v>3.3492541633142335E-8</v>
      </c>
      <c r="AD89" s="126">
        <f t="shared" si="21"/>
        <v>1.5470850211923698E-8</v>
      </c>
      <c r="AE89" s="128"/>
    </row>
    <row r="90" spans="1:31" x14ac:dyDescent="0.35">
      <c r="A90" t="s">
        <v>320</v>
      </c>
      <c r="B90" s="11">
        <f>F11*(1+H11)</f>
        <v>955.5</v>
      </c>
      <c r="C90" s="11">
        <f>F11*(1-H11)</f>
        <v>864.5</v>
      </c>
      <c r="D90" s="11">
        <f>F11*(1+H11)</f>
        <v>955.5</v>
      </c>
      <c r="E90" s="11"/>
      <c r="F90" s="11">
        <f>F11*(1-H11)</f>
        <v>864.5</v>
      </c>
      <c r="G90">
        <f>F11*(1-H11)</f>
        <v>864.5</v>
      </c>
      <c r="H90">
        <f>F11*(1+H11)</f>
        <v>955.5</v>
      </c>
      <c r="K90">
        <v>100</v>
      </c>
      <c r="L90">
        <v>22</v>
      </c>
      <c r="M90">
        <f t="shared" si="23"/>
        <v>18</v>
      </c>
      <c r="N90">
        <f t="shared" si="0"/>
        <v>2200</v>
      </c>
      <c r="O90">
        <f t="shared" si="1"/>
        <v>2090</v>
      </c>
      <c r="P90">
        <f t="shared" si="2"/>
        <v>2310</v>
      </c>
      <c r="Q90">
        <f t="shared" si="12"/>
        <v>1</v>
      </c>
      <c r="R90" s="126">
        <f t="shared" si="16"/>
        <v>2.3489257511406977E-7</v>
      </c>
      <c r="S90" s="126">
        <f t="shared" si="17"/>
        <v>3.4248186921767268E-7</v>
      </c>
      <c r="AA90" s="126">
        <f t="shared" si="18"/>
        <v>2.7496304262482427E-7</v>
      </c>
      <c r="AB90" s="126">
        <f t="shared" si="19"/>
        <v>3.4248186921767268E-7</v>
      </c>
      <c r="AC90" s="126">
        <f t="shared" si="20"/>
        <v>3.3120108223604472E-8</v>
      </c>
      <c r="AD90" s="126">
        <f t="shared" si="21"/>
        <v>1.5396234151890649E-8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3"/>
        <v>19</v>
      </c>
      <c r="N91">
        <f t="shared" si="0"/>
        <v>2400</v>
      </c>
      <c r="O91">
        <f t="shared" si="1"/>
        <v>2280</v>
      </c>
      <c r="P91">
        <f t="shared" si="2"/>
        <v>2520</v>
      </c>
      <c r="Q91">
        <f t="shared" si="12"/>
        <v>1</v>
      </c>
      <c r="R91" s="126">
        <f t="shared" si="16"/>
        <v>2.562464454166958E-7</v>
      </c>
      <c r="S91" s="126">
        <f t="shared" si="17"/>
        <v>3.733212419157097E-7</v>
      </c>
      <c r="AA91" s="126">
        <f t="shared" si="18"/>
        <v>2.9995968267347018E-7</v>
      </c>
      <c r="AB91" s="126">
        <f t="shared" si="19"/>
        <v>3.733212419157097E-7</v>
      </c>
      <c r="AC91" s="126">
        <f t="shared" si="20"/>
        <v>3.2819347708776847E-8</v>
      </c>
      <c r="AD91" s="126">
        <f t="shared" si="21"/>
        <v>1.5334990518060443E-8</v>
      </c>
      <c r="AE91" s="128"/>
    </row>
    <row r="92" spans="1:31" x14ac:dyDescent="0.35">
      <c r="A92" t="s">
        <v>324</v>
      </c>
      <c r="B92" s="1">
        <f>K21-B93</f>
        <v>22.122405384810769</v>
      </c>
      <c r="C92" s="1">
        <f>K21-C93</f>
        <v>0</v>
      </c>
      <c r="D92" s="1">
        <f>K21-D93</f>
        <v>22.122405384810769</v>
      </c>
      <c r="E92" s="1">
        <f>K21-E93</f>
        <v>0</v>
      </c>
      <c r="F92" s="1">
        <f>K21-F93</f>
        <v>0</v>
      </c>
      <c r="G92" s="1">
        <f>K22-G93</f>
        <v>0</v>
      </c>
      <c r="H92" s="1">
        <f>K22-H93</f>
        <v>16.31240538481077</v>
      </c>
      <c r="K92">
        <v>100</v>
      </c>
      <c r="L92">
        <v>27</v>
      </c>
      <c r="M92">
        <f t="shared" si="23"/>
        <v>20</v>
      </c>
      <c r="N92">
        <f t="shared" si="0"/>
        <v>2700</v>
      </c>
      <c r="O92">
        <f t="shared" si="1"/>
        <v>2565</v>
      </c>
      <c r="P92">
        <f t="shared" si="2"/>
        <v>2835</v>
      </c>
      <c r="Q92">
        <f t="shared" si="12"/>
        <v>1</v>
      </c>
      <c r="R92" s="126">
        <f t="shared" si="16"/>
        <v>2.8827725081991944E-7</v>
      </c>
      <c r="S92" s="126">
        <f t="shared" si="17"/>
        <v>4.1958030089653062E-7</v>
      </c>
      <c r="AA92" s="126">
        <f t="shared" si="18"/>
        <v>3.3745464268707215E-7</v>
      </c>
      <c r="AB92" s="126">
        <f t="shared" si="19"/>
        <v>4.1958030089653062E-7</v>
      </c>
      <c r="AC92" s="126">
        <f t="shared" si="20"/>
        <v>3.2463172093753682E-8</v>
      </c>
      <c r="AD92" s="126">
        <f t="shared" si="21"/>
        <v>1.5261275124321535E-8</v>
      </c>
      <c r="AE92" s="128"/>
    </row>
    <row r="93" spans="1:31" x14ac:dyDescent="0.35">
      <c r="A93" t="s">
        <v>327</v>
      </c>
      <c r="B93" s="1">
        <f>K21*(1-MAX(K25,K24))</f>
        <v>0</v>
      </c>
      <c r="C93" s="1">
        <f>K21*(1-MIN(K25,K24))</f>
        <v>22.122405384810769</v>
      </c>
      <c r="D93" s="1">
        <f>K21*(1-MAX(K25,K24))</f>
        <v>0</v>
      </c>
      <c r="E93" s="1">
        <f>K21*(1-MIN(K25,K24))</f>
        <v>22.122405384810769</v>
      </c>
      <c r="F93" s="125">
        <f>K21*(1-MIN(K25,K24))</f>
        <v>22.122405384810769</v>
      </c>
      <c r="G93" s="125">
        <f>K22*(1-MIN(K25,K24))</f>
        <v>16.31240538481077</v>
      </c>
      <c r="H93" s="1">
        <f>K22*(1-MAX(K25,K24))</f>
        <v>0</v>
      </c>
      <c r="K93">
        <v>100</v>
      </c>
      <c r="L93">
        <v>30</v>
      </c>
      <c r="M93">
        <f t="shared" si="23"/>
        <v>21</v>
      </c>
      <c r="N93">
        <f t="shared" si="0"/>
        <v>3000</v>
      </c>
      <c r="O93">
        <f t="shared" si="1"/>
        <v>2850</v>
      </c>
      <c r="P93">
        <f t="shared" si="2"/>
        <v>3150</v>
      </c>
      <c r="Q93">
        <f t="shared" si="12"/>
        <v>1</v>
      </c>
      <c r="R93" s="126">
        <f t="shared" si="16"/>
        <v>3.2030805616228445E-7</v>
      </c>
      <c r="S93" s="126">
        <f t="shared" si="17"/>
        <v>4.6583935979787004E-7</v>
      </c>
      <c r="AA93" s="126">
        <f t="shared" si="18"/>
        <v>3.7494960262943351E-7</v>
      </c>
      <c r="AB93" s="126">
        <f t="shared" si="19"/>
        <v>4.6583935979787004E-7</v>
      </c>
      <c r="AC93" s="126">
        <f t="shared" si="20"/>
        <v>3.2186975922973326E-8</v>
      </c>
      <c r="AD93" s="126">
        <f t="shared" si="21"/>
        <v>1.5203190998635637E-8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3"/>
        <v>22</v>
      </c>
      <c r="N94">
        <f t="shared" si="0"/>
        <v>3300</v>
      </c>
      <c r="O94">
        <f t="shared" si="1"/>
        <v>3135</v>
      </c>
      <c r="P94">
        <f t="shared" si="2"/>
        <v>3465</v>
      </c>
      <c r="Q94">
        <f t="shared" si="12"/>
        <v>1</v>
      </c>
      <c r="R94" s="126">
        <f t="shared" si="16"/>
        <v>3.5233886144379104E-7</v>
      </c>
      <c r="S94" s="126">
        <f t="shared" si="17"/>
        <v>5.1209841861972807E-7</v>
      </c>
      <c r="AA94" s="126">
        <f t="shared" si="18"/>
        <v>4.1244456250055458E-7</v>
      </c>
      <c r="AB94" s="126">
        <f t="shared" si="19"/>
        <v>5.1209841861972807E-7</v>
      </c>
      <c r="AC94" s="126">
        <f t="shared" si="20"/>
        <v>3.1966602243382036E-8</v>
      </c>
      <c r="AD94" s="126">
        <f t="shared" si="21"/>
        <v>1.515624696589075E-8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3"/>
        <v>23</v>
      </c>
      <c r="N95">
        <f t="shared" si="0"/>
        <v>3600</v>
      </c>
      <c r="O95">
        <f t="shared" si="1"/>
        <v>3420</v>
      </c>
      <c r="P95">
        <f t="shared" si="2"/>
        <v>3780</v>
      </c>
      <c r="Q95">
        <f t="shared" si="12"/>
        <v>1</v>
      </c>
      <c r="R95" s="126">
        <f t="shared" si="16"/>
        <v>3.8436966666443901E-7</v>
      </c>
      <c r="S95" s="126">
        <f t="shared" si="17"/>
        <v>5.5835747736210461E-7</v>
      </c>
      <c r="AA95" s="126">
        <f t="shared" si="18"/>
        <v>4.4993952230043515E-7</v>
      </c>
      <c r="AB95" s="126">
        <f t="shared" si="19"/>
        <v>5.5835747736210461E-7</v>
      </c>
      <c r="AC95" s="126">
        <f t="shared" si="20"/>
        <v>3.1786716997634453E-8</v>
      </c>
      <c r="AD95" s="126">
        <f t="shared" si="21"/>
        <v>1.511752091831426E-8</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3"/>
        <v>24</v>
      </c>
      <c r="N96">
        <f t="shared" si="0"/>
        <v>3900</v>
      </c>
      <c r="O96">
        <f t="shared" si="1"/>
        <v>3705</v>
      </c>
      <c r="P96">
        <f t="shared" si="2"/>
        <v>4095</v>
      </c>
      <c r="Q96">
        <f t="shared" si="12"/>
        <v>1</v>
      </c>
      <c r="R96" s="126">
        <f t="shared" si="16"/>
        <v>4.164004718242285E-7</v>
      </c>
      <c r="S96" s="126">
        <f t="shared" si="17"/>
        <v>6.0461653602499949E-7</v>
      </c>
      <c r="AA96" s="126">
        <f t="shared" si="18"/>
        <v>4.8743448202907528E-7</v>
      </c>
      <c r="AB96" s="126">
        <f t="shared" si="19"/>
        <v>6.0461653602499949E-7</v>
      </c>
      <c r="AC96" s="126">
        <f t="shared" si="20"/>
        <v>3.1637122651877972E-8</v>
      </c>
      <c r="AD96" s="126">
        <f t="shared" si="21"/>
        <v>1.5085029973415413E-8</v>
      </c>
      <c r="AE96" s="128"/>
    </row>
    <row r="97" spans="1:31" x14ac:dyDescent="0.35">
      <c r="K97">
        <v>100</v>
      </c>
      <c r="L97">
        <v>43</v>
      </c>
      <c r="M97">
        <f t="shared" si="23"/>
        <v>25</v>
      </c>
      <c r="N97">
        <f t="shared" si="0"/>
        <v>4300</v>
      </c>
      <c r="O97">
        <f t="shared" si="1"/>
        <v>4085</v>
      </c>
      <c r="P97">
        <f t="shared" si="2"/>
        <v>4515</v>
      </c>
      <c r="Q97">
        <f t="shared" si="12"/>
        <v>1</v>
      </c>
      <c r="R97" s="126">
        <f t="shared" si="16"/>
        <v>4.5910821194261226E-7</v>
      </c>
      <c r="S97" s="126">
        <f t="shared" si="17"/>
        <v>6.6629528078522168E-7</v>
      </c>
      <c r="AA97" s="126">
        <f t="shared" si="18"/>
        <v>5.3742776155644373E-7</v>
      </c>
      <c r="AB97" s="126">
        <f t="shared" si="19"/>
        <v>6.6629528078522168E-7</v>
      </c>
      <c r="AC97" s="126">
        <f t="shared" si="20"/>
        <v>3.1472915413094768E-8</v>
      </c>
      <c r="AD97" s="126">
        <f t="shared" si="21"/>
        <v>1.5049058763916241E-8</v>
      </c>
      <c r="AE97" s="128"/>
    </row>
    <row r="98" spans="1:31" x14ac:dyDescent="0.35">
      <c r="A98" t="s">
        <v>344</v>
      </c>
      <c r="B98">
        <v>1</v>
      </c>
      <c r="C98">
        <v>1</v>
      </c>
      <c r="D98">
        <v>1</v>
      </c>
      <c r="E98">
        <v>1</v>
      </c>
      <c r="F98">
        <v>1</v>
      </c>
      <c r="G98">
        <v>1</v>
      </c>
      <c r="H98">
        <v>1</v>
      </c>
      <c r="K98">
        <v>100</v>
      </c>
      <c r="L98">
        <v>47</v>
      </c>
      <c r="M98">
        <f t="shared" si="23"/>
        <v>26</v>
      </c>
      <c r="N98">
        <f t="shared" ref="N98:N129" si="25">L98*K98</f>
        <v>4700</v>
      </c>
      <c r="O98">
        <f t="shared" ref="O98:O129" si="26">N98*(1-$M$32)</f>
        <v>4465</v>
      </c>
      <c r="P98">
        <f t="shared" ref="P98:P129" si="27">N98*(1+$M$32)</f>
        <v>4935</v>
      </c>
      <c r="Q98">
        <f t="shared" si="12"/>
        <v>1</v>
      </c>
      <c r="R98" s="126">
        <f t="shared" ref="R98:R129" si="28">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5.0181595195280307E-7</v>
      </c>
      <c r="S98" s="126">
        <f t="shared" ref="S98:S129" si="29">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7.2797402540414363E-7</v>
      </c>
      <c r="AA98" s="126">
        <f t="shared" ref="AA98:AA129" si="30">_xlfn.LET(
_xlpm.PU,O98,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(LN(1-$T$3/_xlpm.VCC)-LN(1-_xlpm.Vspec_abs/_xlpm.VCC))*$K$19*_xlpm.Rbus
)</f>
        <v>5.8742104095716255E-7</v>
      </c>
      <c r="AB98" s="126">
        <f t="shared" ref="AB98:AB129" si="31">_xlfn.LET(
_xlpm.PU,P98,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(LN(1-$T$3/_xlpm.VCC)-LN(1-_xlpm.Vspec_abs/_xlpm.VCC))*$K$18*_xlpm.Rbus
)</f>
        <v>7.2797402540414363E-7</v>
      </c>
      <c r="AC98" s="126">
        <f t="shared" ref="AC98:AC129" si="32">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3.1338849766472949E-8</v>
      </c>
      <c r="AD98" s="126">
        <f t="shared" ref="AD98:AD129" si="33">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1.5019447002028022E-8</v>
      </c>
      <c r="AE98" s="128"/>
    </row>
    <row r="99" spans="1:31" x14ac:dyDescent="0.35">
      <c r="A99" t="s">
        <v>345</v>
      </c>
      <c r="B99">
        <v>1</v>
      </c>
      <c r="C99">
        <v>1</v>
      </c>
      <c r="D99">
        <v>1</v>
      </c>
      <c r="E99">
        <v>1</v>
      </c>
      <c r="F99">
        <v>1</v>
      </c>
      <c r="G99">
        <v>1</v>
      </c>
      <c r="H99">
        <v>1</v>
      </c>
      <c r="K99">
        <v>100</v>
      </c>
      <c r="L99">
        <v>51</v>
      </c>
      <c r="M99">
        <f t="shared" si="23"/>
        <v>27</v>
      </c>
      <c r="N99">
        <f t="shared" si="25"/>
        <v>5100</v>
      </c>
      <c r="O99">
        <f t="shared" si="26"/>
        <v>4845</v>
      </c>
      <c r="P99">
        <f t="shared" si="27"/>
        <v>5355</v>
      </c>
      <c r="Q99">
        <f t="shared" ref="Q99:Q129" si="34">IF($Q$2="N/A",IF(AND((O99&gt;=MAX($H$7:$I$7)),(P99&lt;=MIN($F$7:$G$7)),(P99&lt;=MIN($B$7:$C$7)),(O99&gt;=MAX($D$7:$E$7))),1,0),IF(AND((O99&gt;=MAX($I$7)),(P99&lt;=MIN($G$7)),(P99&lt;=MIN($C$7)),(O99&gt;=MAX($E$7))),1,0))</f>
        <v>1</v>
      </c>
      <c r="R99" s="126">
        <f t="shared" si="28"/>
        <v>5.445236918548012E-7</v>
      </c>
      <c r="S99" s="126">
        <f t="shared" si="29"/>
        <v>7.8965276988176502E-7</v>
      </c>
      <c r="AA99" s="126">
        <f t="shared" si="30"/>
        <v>6.3741432023123194E-7</v>
      </c>
      <c r="AB99" s="126">
        <f t="shared" si="31"/>
        <v>7.8965276988176502E-7</v>
      </c>
      <c r="AC99" s="126">
        <f t="shared" si="32"/>
        <v>3.1227335207466926E-8</v>
      </c>
      <c r="AD99" s="126">
        <f t="shared" si="33"/>
        <v>1.4994645878204169E-8</v>
      </c>
      <c r="AE99" s="128"/>
    </row>
    <row r="100" spans="1:31" x14ac:dyDescent="0.35">
      <c r="A100" t="s">
        <v>346</v>
      </c>
      <c r="B100">
        <v>1</v>
      </c>
      <c r="C100">
        <v>1</v>
      </c>
      <c r="D100">
        <v>1</v>
      </c>
      <c r="E100">
        <v>1</v>
      </c>
      <c r="F100">
        <v>1</v>
      </c>
      <c r="G100">
        <v>1</v>
      </c>
      <c r="H100">
        <v>1</v>
      </c>
      <c r="K100">
        <v>100</v>
      </c>
      <c r="L100">
        <v>56</v>
      </c>
      <c r="M100">
        <f t="shared" si="23"/>
        <v>28</v>
      </c>
      <c r="N100">
        <f t="shared" si="25"/>
        <v>5600</v>
      </c>
      <c r="O100">
        <f t="shared" si="26"/>
        <v>5320</v>
      </c>
      <c r="P100">
        <f t="shared" si="27"/>
        <v>5880</v>
      </c>
      <c r="Q100">
        <f t="shared" si="34"/>
        <v>1</v>
      </c>
      <c r="R100" s="126">
        <f t="shared" si="28"/>
        <v>5.9790836658015212E-7</v>
      </c>
      <c r="S100" s="126">
        <f t="shared" si="29"/>
        <v>8.6675120028008819E-7</v>
      </c>
      <c r="AA100" s="126">
        <f t="shared" si="30"/>
        <v>6.9990591914571713E-7</v>
      </c>
      <c r="AB100" s="126">
        <f t="shared" si="31"/>
        <v>8.6675120028008819E-7</v>
      </c>
      <c r="AC100" s="126">
        <f t="shared" si="32"/>
        <v>3.1111820546087498E-8</v>
      </c>
      <c r="AD100" s="126">
        <f t="shared" si="33"/>
        <v>1.4968788750856179E-8</v>
      </c>
      <c r="AE100" s="128"/>
    </row>
    <row r="101" spans="1:31" x14ac:dyDescent="0.35">
      <c r="K101">
        <v>100</v>
      </c>
      <c r="L101">
        <v>62</v>
      </c>
      <c r="M101">
        <f t="shared" si="23"/>
        <v>29</v>
      </c>
      <c r="N101">
        <f t="shared" si="25"/>
        <v>6200</v>
      </c>
      <c r="O101">
        <f t="shared" si="26"/>
        <v>5890</v>
      </c>
      <c r="P101">
        <f t="shared" si="27"/>
        <v>6510</v>
      </c>
      <c r="Q101">
        <f t="shared" si="34"/>
        <v>1</v>
      </c>
      <c r="R101" s="126">
        <f t="shared" si="28"/>
        <v>6.6196997602742545E-7</v>
      </c>
      <c r="S101" s="126">
        <f t="shared" si="29"/>
        <v>9.5926931646664373E-7</v>
      </c>
      <c r="AA101" s="126">
        <f t="shared" si="30"/>
        <v>7.7489583758188487E-7</v>
      </c>
      <c r="AB101" s="126">
        <f t="shared" si="31"/>
        <v>9.5926931646664373E-7</v>
      </c>
      <c r="AC101" s="126">
        <f t="shared" si="32"/>
        <v>3.0999260150449286E-8</v>
      </c>
      <c r="AD101" s="126">
        <f t="shared" si="33"/>
        <v>1.4943426915909005E-8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0.999998936186554</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7.7002643443583499E-2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2.5497194700659802E-2</v>
      </c>
      <c r="E102" s="12">
        <f>IF(Summary!F50="absolute",(R2-N7)/(J3+J3*Summary!F18),R2-N7)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7.7002643492123768E-2</v>
      </c>
      <c r="G102" s="12">
        <f t="shared" ref="G102:H102" si="35"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7.124142462287375E-2</v>
      </c>
      <c r="H102" s="12">
        <f t="shared" si="35"/>
        <v>2.5497194695677253E-2</v>
      </c>
      <c r="K102">
        <v>100</v>
      </c>
      <c r="L102">
        <v>68</v>
      </c>
      <c r="M102">
        <f t="shared" si="23"/>
        <v>30</v>
      </c>
      <c r="N102">
        <f t="shared" si="25"/>
        <v>6800</v>
      </c>
      <c r="O102">
        <f t="shared" si="26"/>
        <v>6460</v>
      </c>
      <c r="P102">
        <f t="shared" si="27"/>
        <v>7140</v>
      </c>
      <c r="Q102">
        <f t="shared" si="34"/>
        <v>0</v>
      </c>
      <c r="R102" s="126">
        <f t="shared" si="28"/>
        <v>7.2603158523126469E-7</v>
      </c>
      <c r="S102" s="126">
        <f t="shared" si="29"/>
        <v>1.0517874323352736E-6</v>
      </c>
      <c r="AA102" s="126">
        <f t="shared" si="30"/>
        <v>8.4988575573309071E-7</v>
      </c>
      <c r="AB102" s="126">
        <f t="shared" si="31"/>
        <v>1.0517874323352736E-6</v>
      </c>
      <c r="AC102" s="126">
        <f t="shared" si="32"/>
        <v>3.0907642412472004E-8</v>
      </c>
      <c r="AD102" s="126">
        <f t="shared" si="33"/>
        <v>1.492266062758627E-8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0.99999893621113456</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7.7002643443583499E-2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2.5497194681688037E-2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7.7002643492123768E-2</v>
      </c>
      <c r="K103">
        <v>100</v>
      </c>
      <c r="L103">
        <v>75</v>
      </c>
      <c r="M103">
        <f t="shared" si="23"/>
        <v>30</v>
      </c>
      <c r="N103">
        <f t="shared" si="25"/>
        <v>7500</v>
      </c>
      <c r="O103">
        <f t="shared" si="26"/>
        <v>7125</v>
      </c>
      <c r="P103">
        <f t="shared" si="27"/>
        <v>7875</v>
      </c>
      <c r="Q103">
        <f t="shared" si="34"/>
        <v>0</v>
      </c>
      <c r="R103" s="126">
        <f t="shared" si="28"/>
        <v>8.0077012899473694E-7</v>
      </c>
      <c r="S103" s="126">
        <f t="shared" si="29"/>
        <v>1.1597252337801854E-6</v>
      </c>
      <c r="AA103" s="126">
        <f t="shared" si="30"/>
        <v>9.3737399321600453E-7</v>
      </c>
      <c r="AB103" s="126">
        <f t="shared" si="31"/>
        <v>1.1597252337801854E-6</v>
      </c>
      <c r="AC103" s="126">
        <f t="shared" si="32"/>
        <v>3.0820195502428545E-8</v>
      </c>
      <c r="AD103" s="126">
        <f t="shared" si="33"/>
        <v>1.4902734792702794E-8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0.99999893621113456</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5.3383302355855138E-2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2.5497194681688037E-2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0.69326584066218677</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5.3383302405637545E-2</v>
      </c>
      <c r="K104">
        <v>100</v>
      </c>
      <c r="L104">
        <v>82</v>
      </c>
      <c r="M104">
        <f t="shared" si="23"/>
        <v>30</v>
      </c>
      <c r="N104">
        <f t="shared" si="25"/>
        <v>8200</v>
      </c>
      <c r="O104">
        <f t="shared" si="26"/>
        <v>7790</v>
      </c>
      <c r="P104">
        <f t="shared" si="27"/>
        <v>8610</v>
      </c>
      <c r="Q104">
        <f t="shared" si="34"/>
        <v>0</v>
      </c>
      <c r="R104" s="126">
        <f t="shared" si="28"/>
        <v>8.7550867242686811E-7</v>
      </c>
      <c r="S104" s="126">
        <f t="shared" si="29"/>
        <v>1.2676630347923645E-6</v>
      </c>
      <c r="AA104" s="126">
        <f t="shared" si="30"/>
        <v>1.0248622303110535E-6</v>
      </c>
      <c r="AB104" s="126">
        <f t="shared" si="31"/>
        <v>1.2676630347923645E-6</v>
      </c>
      <c r="AC104" s="126">
        <f t="shared" si="32"/>
        <v>3.0748352409646711E-8</v>
      </c>
      <c r="AD104" s="126">
        <f t="shared" si="33"/>
        <v>1.4886286633869506E-8</v>
      </c>
      <c r="AE104" s="128"/>
    </row>
    <row r="105" spans="1:31" x14ac:dyDescent="0.35">
      <c r="K105">
        <v>100</v>
      </c>
      <c r="L105">
        <v>91</v>
      </c>
      <c r="M105">
        <f t="shared" si="23"/>
        <v>30</v>
      </c>
      <c r="N105">
        <f t="shared" si="25"/>
        <v>9100</v>
      </c>
      <c r="O105">
        <f t="shared" si="26"/>
        <v>8645</v>
      </c>
      <c r="P105">
        <f t="shared" si="27"/>
        <v>9555</v>
      </c>
      <c r="Q105">
        <f t="shared" si="34"/>
        <v>0</v>
      </c>
      <c r="R105" s="126">
        <f t="shared" si="28"/>
        <v>9.7160108492416891E-7</v>
      </c>
      <c r="S105" s="126">
        <f t="shared" si="29"/>
        <v>1.4064402068864574E-6</v>
      </c>
      <c r="AA105" s="126">
        <f t="shared" si="30"/>
        <v>1.1373471060061936E-6</v>
      </c>
      <c r="AB105" s="126">
        <f t="shared" si="31"/>
        <v>1.4064402068864574E-6</v>
      </c>
      <c r="AC105" s="126">
        <f t="shared" si="32"/>
        <v>3.0672884450215967E-8</v>
      </c>
      <c r="AD105" s="126">
        <f t="shared" si="33"/>
        <v>1.4868931860911255E-8</v>
      </c>
      <c r="AE105" s="128"/>
    </row>
    <row r="106" spans="1:31" x14ac:dyDescent="0.35">
      <c r="K106">
        <v>1000</v>
      </c>
      <c r="L106">
        <v>10</v>
      </c>
      <c r="M106">
        <f t="shared" si="23"/>
        <v>30</v>
      </c>
      <c r="N106">
        <f t="shared" si="25"/>
        <v>10000</v>
      </c>
      <c r="O106">
        <f t="shared" si="26"/>
        <v>9500</v>
      </c>
      <c r="P106">
        <f t="shared" si="27"/>
        <v>10500</v>
      </c>
      <c r="Q106">
        <f t="shared" si="34"/>
        <v>0</v>
      </c>
      <c r="R106" s="126">
        <f t="shared" si="28"/>
        <v>1.0676934968737427E-6</v>
      </c>
      <c r="S106" s="126">
        <f t="shared" si="29"/>
        <v>1.5452173782652172E-6</v>
      </c>
      <c r="AA106" s="126">
        <f t="shared" si="30"/>
        <v>1.24983198106017E-6</v>
      </c>
      <c r="AB106" s="126">
        <f t="shared" si="31"/>
        <v>1.5452173782652172E-6</v>
      </c>
      <c r="AC106" s="126">
        <f t="shared" si="32"/>
        <v>3.0611504234779696E-8</v>
      </c>
      <c r="AD106" s="126">
        <f t="shared" si="33"/>
        <v>1.4854758011486457E-8</v>
      </c>
      <c r="AE106" s="128"/>
    </row>
    <row r="107" spans="1:31" x14ac:dyDescent="0.35">
      <c r="K107">
        <v>1000</v>
      </c>
      <c r="L107">
        <v>11</v>
      </c>
      <c r="M107">
        <f t="shared" si="23"/>
        <v>30</v>
      </c>
      <c r="N107">
        <f t="shared" si="25"/>
        <v>11000</v>
      </c>
      <c r="O107">
        <f t="shared" si="26"/>
        <v>10450</v>
      </c>
      <c r="P107">
        <f t="shared" si="27"/>
        <v>11550</v>
      </c>
      <c r="Q107">
        <f t="shared" si="34"/>
        <v>0</v>
      </c>
      <c r="R107" s="126">
        <f t="shared" si="28"/>
        <v>1.1744628428419847E-6</v>
      </c>
      <c r="S107" s="126">
        <f t="shared" si="29"/>
        <v>1.6994142345137572E-6</v>
      </c>
      <c r="AA107" s="126">
        <f t="shared" si="30"/>
        <v>1.3748151748126057E-6</v>
      </c>
      <c r="AB107" s="126">
        <f t="shared" si="31"/>
        <v>1.6994142345137572E-6</v>
      </c>
      <c r="AC107" s="126">
        <f t="shared" si="32"/>
        <v>3.0555481360047285E-8</v>
      </c>
      <c r="AD107" s="126">
        <f t="shared" si="33"/>
        <v>1.4841774724736908E-8</v>
      </c>
      <c r="AE107" s="128"/>
    </row>
    <row r="108" spans="1:31" x14ac:dyDescent="0.35">
      <c r="K108">
        <v>1000</v>
      </c>
      <c r="L108">
        <v>12</v>
      </c>
      <c r="M108">
        <f t="shared" si="23"/>
        <v>30</v>
      </c>
      <c r="N108">
        <f t="shared" si="25"/>
        <v>12000</v>
      </c>
      <c r="O108">
        <f t="shared" si="26"/>
        <v>11400</v>
      </c>
      <c r="P108">
        <f t="shared" si="27"/>
        <v>12600</v>
      </c>
      <c r="Q108">
        <f t="shared" si="34"/>
        <v>0</v>
      </c>
      <c r="R108" s="126">
        <f t="shared" si="28"/>
        <v>1.2812321881340211E-6</v>
      </c>
      <c r="S108" s="126">
        <f t="shared" si="29"/>
        <v>1.8536110898791696E-6</v>
      </c>
      <c r="AA108" s="126">
        <f t="shared" si="30"/>
        <v>1.4997983677734814E-6</v>
      </c>
      <c r="AB108" s="126">
        <f t="shared" si="31"/>
        <v>1.8536110898791696E-6</v>
      </c>
      <c r="AC108" s="126">
        <f t="shared" si="32"/>
        <v>3.0509084585246806E-8</v>
      </c>
      <c r="AD108" s="126">
        <f t="shared" si="33"/>
        <v>1.4830988297693147E-8</v>
      </c>
      <c r="AE108" s="128"/>
    </row>
    <row r="109" spans="1:31" x14ac:dyDescent="0.35">
      <c r="K109">
        <v>1000</v>
      </c>
      <c r="L109">
        <v>13</v>
      </c>
      <c r="M109">
        <f t="shared" si="23"/>
        <v>30</v>
      </c>
      <c r="N109">
        <f t="shared" si="25"/>
        <v>13000</v>
      </c>
      <c r="O109">
        <f t="shared" si="26"/>
        <v>12350</v>
      </c>
      <c r="P109">
        <f t="shared" si="27"/>
        <v>13650</v>
      </c>
      <c r="Q109">
        <f t="shared" si="34"/>
        <v>0</v>
      </c>
      <c r="R109" s="126">
        <f t="shared" si="28"/>
        <v>1.3880015327498513E-6</v>
      </c>
      <c r="S109" s="126">
        <f t="shared" si="29"/>
        <v>2.0078079443614545E-6</v>
      </c>
      <c r="AA109" s="126">
        <f t="shared" si="30"/>
        <v>1.6247815599427966E-6</v>
      </c>
      <c r="AB109" s="126">
        <f t="shared" si="31"/>
        <v>2.0078079443614545E-6</v>
      </c>
      <c r="AC109" s="126">
        <f t="shared" si="32"/>
        <v>3.0470029865676632E-8</v>
      </c>
      <c r="AD109" s="126">
        <f t="shared" si="33"/>
        <v>1.4821884678661887E-8</v>
      </c>
      <c r="AE109" s="128"/>
    </row>
    <row r="110" spans="1:31" x14ac:dyDescent="0.35">
      <c r="K110">
        <v>1000</v>
      </c>
      <c r="L110">
        <v>15</v>
      </c>
      <c r="M110">
        <f t="shared" si="23"/>
        <v>30</v>
      </c>
      <c r="N110">
        <f t="shared" si="25"/>
        <v>15000</v>
      </c>
      <c r="O110">
        <f t="shared" si="26"/>
        <v>14250</v>
      </c>
      <c r="P110">
        <f t="shared" si="27"/>
        <v>15750</v>
      </c>
      <c r="Q110">
        <f t="shared" si="34"/>
        <v>0</v>
      </c>
      <c r="R110" s="126">
        <f t="shared" si="28"/>
        <v>1.6015402199528948E-6</v>
      </c>
      <c r="S110" s="126">
        <f t="shared" si="29"/>
        <v>2.3162016506766423E-6</v>
      </c>
      <c r="AA110" s="126">
        <f t="shared" si="30"/>
        <v>1.874747941906747E-6</v>
      </c>
      <c r="AB110" s="126">
        <f t="shared" si="31"/>
        <v>2.3162016506766423E-6</v>
      </c>
      <c r="AC110" s="126">
        <f t="shared" si="32"/>
        <v>3.0407929297081021E-8</v>
      </c>
      <c r="AD110" s="126">
        <f t="shared" si="33"/>
        <v>1.48073633059219E-8</v>
      </c>
      <c r="AE110" s="128"/>
    </row>
    <row r="111" spans="1:31" x14ac:dyDescent="0.35">
      <c r="K111">
        <v>1000</v>
      </c>
      <c r="L111">
        <v>16</v>
      </c>
      <c r="M111">
        <f t="shared" si="23"/>
        <v>30</v>
      </c>
      <c r="N111">
        <f t="shared" si="25"/>
        <v>16000</v>
      </c>
      <c r="O111">
        <f t="shared" si="26"/>
        <v>15200</v>
      </c>
      <c r="P111">
        <f t="shared" si="27"/>
        <v>16800</v>
      </c>
      <c r="Q111">
        <f t="shared" si="34"/>
        <v>0</v>
      </c>
      <c r="R111" s="126">
        <f t="shared" si="28"/>
        <v>1.7083095625401078E-6</v>
      </c>
      <c r="S111" s="126">
        <f t="shared" si="29"/>
        <v>2.4703985025095445E-6</v>
      </c>
      <c r="AA111" s="126">
        <f t="shared" si="30"/>
        <v>1.9997311317013815E-6</v>
      </c>
      <c r="AB111" s="126">
        <f t="shared" si="31"/>
        <v>2.4703985025095445E-6</v>
      </c>
      <c r="AC111" s="126">
        <f t="shared" si="32"/>
        <v>3.0382836346620919E-8</v>
      </c>
      <c r="AD111" s="126">
        <f t="shared" si="33"/>
        <v>1.4801479578469142E-8</v>
      </c>
      <c r="AE111" s="128"/>
    </row>
    <row r="112" spans="1:31" x14ac:dyDescent="0.35">
      <c r="K112">
        <v>1000</v>
      </c>
      <c r="L112">
        <v>18</v>
      </c>
      <c r="M112">
        <f t="shared" si="23"/>
        <v>30</v>
      </c>
      <c r="N112">
        <f t="shared" si="25"/>
        <v>18000</v>
      </c>
      <c r="O112">
        <f t="shared" si="26"/>
        <v>17100</v>
      </c>
      <c r="P112">
        <f t="shared" si="27"/>
        <v>18900</v>
      </c>
      <c r="Q112">
        <f t="shared" si="34"/>
        <v>0</v>
      </c>
      <c r="R112" s="126">
        <f t="shared" si="28"/>
        <v>1.9218482456859162E-6</v>
      </c>
      <c r="S112" s="126">
        <f t="shared" si="29"/>
        <v>2.7787922035259678E-6</v>
      </c>
      <c r="AA112" s="126">
        <f t="shared" si="30"/>
        <v>2.2496975089159709E-6</v>
      </c>
      <c r="AB112" s="126">
        <f t="shared" si="31"/>
        <v>2.7787922035259678E-6</v>
      </c>
      <c r="AC112" s="126">
        <f t="shared" si="32"/>
        <v>3.0341187777422274E-8</v>
      </c>
      <c r="AD112" s="126">
        <f t="shared" si="33"/>
        <v>1.4791693323903155E-8</v>
      </c>
      <c r="AE112" s="128"/>
    </row>
    <row r="113" spans="11:31" x14ac:dyDescent="0.35">
      <c r="K113">
        <v>1000</v>
      </c>
      <c r="L113">
        <v>20</v>
      </c>
      <c r="M113">
        <f t="shared" si="23"/>
        <v>30</v>
      </c>
      <c r="N113">
        <f t="shared" si="25"/>
        <v>20000</v>
      </c>
      <c r="O113">
        <f t="shared" si="26"/>
        <v>19000</v>
      </c>
      <c r="P113">
        <f t="shared" si="27"/>
        <v>21000</v>
      </c>
      <c r="Q113">
        <f t="shared" si="34"/>
        <v>0</v>
      </c>
      <c r="R113" s="126">
        <f t="shared" si="28"/>
        <v>2.1353869261269018E-6</v>
      </c>
      <c r="S113" s="126">
        <f t="shared" si="29"/>
        <v>3.0871859010098822E-6</v>
      </c>
      <c r="AA113" s="126">
        <f t="shared" si="30"/>
        <v>2.4996638829643195E-6</v>
      </c>
      <c r="AB113" s="126">
        <f t="shared" si="31"/>
        <v>3.0871859010098822E-6</v>
      </c>
      <c r="AC113" s="126">
        <f t="shared" si="32"/>
        <v>3.0308024051626165E-8</v>
      </c>
      <c r="AD113" s="126">
        <f t="shared" si="33"/>
        <v>1.4783882249900581E-8</v>
      </c>
      <c r="AE113" s="128"/>
    </row>
    <row r="114" spans="11:31" x14ac:dyDescent="0.35">
      <c r="K114">
        <v>1000</v>
      </c>
      <c r="L114">
        <v>22</v>
      </c>
      <c r="M114">
        <f t="shared" si="23"/>
        <v>30</v>
      </c>
      <c r="N114">
        <f t="shared" si="25"/>
        <v>22000</v>
      </c>
      <c r="O114">
        <f t="shared" si="26"/>
        <v>20900</v>
      </c>
      <c r="P114">
        <f t="shared" si="27"/>
        <v>23100</v>
      </c>
      <c r="Q114">
        <f t="shared" si="34"/>
        <v>0</v>
      </c>
      <c r="R114" s="126">
        <f t="shared" si="28"/>
        <v>2.3489256038630638E-6</v>
      </c>
      <c r="S114" s="126">
        <f t="shared" si="29"/>
        <v>3.3955795949612871E-6</v>
      </c>
      <c r="AA114" s="126">
        <f t="shared" si="30"/>
        <v>2.7496302538464272E-6</v>
      </c>
      <c r="AB114" s="126">
        <f t="shared" si="31"/>
        <v>3.3955795949612871E-6</v>
      </c>
      <c r="AC114" s="126">
        <f t="shared" si="32"/>
        <v>3.028099226711615E-8</v>
      </c>
      <c r="AD114" s="126">
        <f t="shared" si="33"/>
        <v>1.477750320363823E-8</v>
      </c>
      <c r="AE114" s="128"/>
    </row>
    <row r="115" spans="11:31" x14ac:dyDescent="0.35">
      <c r="K115">
        <v>1000</v>
      </c>
      <c r="L115">
        <v>24</v>
      </c>
      <c r="M115">
        <f t="shared" si="23"/>
        <v>30</v>
      </c>
      <c r="N115">
        <f t="shared" si="25"/>
        <v>24000</v>
      </c>
      <c r="O115">
        <f t="shared" si="26"/>
        <v>22800</v>
      </c>
      <c r="P115">
        <f t="shared" si="27"/>
        <v>25200</v>
      </c>
      <c r="Q115">
        <f t="shared" si="34"/>
        <v>0</v>
      </c>
      <c r="R115" s="126">
        <f t="shared" si="28"/>
        <v>2.5624642788944031E-6</v>
      </c>
      <c r="S115" s="126">
        <f t="shared" si="29"/>
        <v>3.7039732853801823E-6</v>
      </c>
      <c r="AA115" s="126">
        <f t="shared" si="30"/>
        <v>2.9995966215622952E-6</v>
      </c>
      <c r="AB115" s="126">
        <f t="shared" si="31"/>
        <v>3.7039732853801823E-6</v>
      </c>
      <c r="AC115" s="126">
        <f t="shared" si="32"/>
        <v>3.025853580581874E-8</v>
      </c>
      <c r="AD115" s="126">
        <f t="shared" si="33"/>
        <v>1.4772195454376332E-8</v>
      </c>
      <c r="AE115" s="128"/>
    </row>
    <row r="116" spans="11:31" x14ac:dyDescent="0.35">
      <c r="K116">
        <v>1000</v>
      </c>
      <c r="L116">
        <v>27</v>
      </c>
      <c r="M116">
        <f t="shared" si="23"/>
        <v>30</v>
      </c>
      <c r="N116">
        <f t="shared" si="25"/>
        <v>27000</v>
      </c>
      <c r="O116">
        <f t="shared" si="26"/>
        <v>25650</v>
      </c>
      <c r="P116">
        <f t="shared" si="27"/>
        <v>28350</v>
      </c>
      <c r="Q116">
        <f t="shared" si="34"/>
        <v>0</v>
      </c>
      <c r="R116" s="126">
        <f t="shared" si="28"/>
        <v>2.8827722863698686E-6</v>
      </c>
      <c r="S116" s="126">
        <f t="shared" si="29"/>
        <v>4.1665638143850708E-6</v>
      </c>
      <c r="AA116" s="126">
        <f t="shared" si="30"/>
        <v>3.3745461671993957E-6</v>
      </c>
      <c r="AB116" s="126">
        <f t="shared" si="31"/>
        <v>4.1665638143850708E-6</v>
      </c>
      <c r="AC116" s="126">
        <f t="shared" si="32"/>
        <v>3.0231175221584084E-8</v>
      </c>
      <c r="AD116" s="126">
        <f t="shared" si="33"/>
        <v>1.4765718219195198E-8</v>
      </c>
      <c r="AE116" s="128"/>
    </row>
    <row r="117" spans="11:31" x14ac:dyDescent="0.35">
      <c r="K117">
        <v>1000</v>
      </c>
      <c r="L117">
        <v>30</v>
      </c>
      <c r="M117">
        <f t="shared" si="23"/>
        <v>30</v>
      </c>
      <c r="N117">
        <f t="shared" si="25"/>
        <v>30000</v>
      </c>
      <c r="O117">
        <f t="shared" si="26"/>
        <v>28500</v>
      </c>
      <c r="P117">
        <f t="shared" si="27"/>
        <v>31500</v>
      </c>
      <c r="Q117">
        <f t="shared" si="34"/>
        <v>0</v>
      </c>
      <c r="R117" s="126">
        <f t="shared" si="28"/>
        <v>3.2030802877594832E-6</v>
      </c>
      <c r="S117" s="126">
        <f t="shared" si="29"/>
        <v>4.6291543354418129E-6</v>
      </c>
      <c r="AA117" s="126">
        <f t="shared" si="30"/>
        <v>3.7494957057124562E-6</v>
      </c>
      <c r="AB117" s="126">
        <f t="shared" si="31"/>
        <v>4.6291543354418129E-6</v>
      </c>
      <c r="AC117" s="126">
        <f t="shared" si="32"/>
        <v>3.0209354842030592E-8</v>
      </c>
      <c r="AD117" s="126">
        <f t="shared" si="33"/>
        <v>1.4760544351722083E-8</v>
      </c>
      <c r="AE117" s="128"/>
    </row>
    <row r="118" spans="11:31" x14ac:dyDescent="0.35">
      <c r="K118">
        <v>1000</v>
      </c>
      <c r="L118">
        <v>33</v>
      </c>
      <c r="M118">
        <f t="shared" si="23"/>
        <v>30</v>
      </c>
      <c r="N118">
        <f t="shared" si="25"/>
        <v>33000</v>
      </c>
      <c r="O118">
        <f t="shared" si="26"/>
        <v>31350</v>
      </c>
      <c r="P118">
        <f t="shared" si="27"/>
        <v>34650</v>
      </c>
      <c r="Q118">
        <f t="shared" si="34"/>
        <v>0</v>
      </c>
      <c r="R118" s="126">
        <f t="shared" si="28"/>
        <v>3.5233882830632454E-6</v>
      </c>
      <c r="S118" s="126">
        <f t="shared" si="29"/>
        <v>5.0917448485504104E-6</v>
      </c>
      <c r="AA118" s="126">
        <f t="shared" si="30"/>
        <v>4.1244452371014749E-6</v>
      </c>
      <c r="AB118" s="126">
        <f t="shared" si="31"/>
        <v>5.0917448485504104E-6</v>
      </c>
      <c r="AC118" s="126">
        <f t="shared" si="32"/>
        <v>3.0191546707486828E-8</v>
      </c>
      <c r="AD118" s="126">
        <f t="shared" si="33"/>
        <v>1.4756316417833757E-8</v>
      </c>
      <c r="AE118" s="128"/>
    </row>
    <row r="119" spans="11:31" x14ac:dyDescent="0.35">
      <c r="K119">
        <v>1000</v>
      </c>
      <c r="L119">
        <v>36</v>
      </c>
      <c r="M119">
        <f t="shared" si="23"/>
        <v>30</v>
      </c>
      <c r="N119">
        <f t="shared" si="25"/>
        <v>36000</v>
      </c>
      <c r="O119">
        <f t="shared" si="26"/>
        <v>34200</v>
      </c>
      <c r="P119">
        <f t="shared" si="27"/>
        <v>37800</v>
      </c>
      <c r="Q119">
        <f t="shared" si="34"/>
        <v>0</v>
      </c>
      <c r="R119" s="126">
        <f t="shared" si="28"/>
        <v>3.8436962722811567E-6</v>
      </c>
      <c r="S119" s="126">
        <f t="shared" si="29"/>
        <v>5.5543353537108607E-6</v>
      </c>
      <c r="AA119" s="126">
        <f t="shared" si="30"/>
        <v>4.499394761366454E-6</v>
      </c>
      <c r="AB119" s="126">
        <f t="shared" si="31"/>
        <v>5.5543353537108607E-6</v>
      </c>
      <c r="AC119" s="126">
        <f t="shared" si="32"/>
        <v>3.0176737403087262E-8</v>
      </c>
      <c r="AD119" s="126">
        <f t="shared" si="33"/>
        <v>1.4752796731921687E-8</v>
      </c>
      <c r="AE119" s="128"/>
    </row>
    <row r="120" spans="11:31" x14ac:dyDescent="0.35">
      <c r="K120">
        <v>1000</v>
      </c>
      <c r="L120">
        <v>39</v>
      </c>
      <c r="M120">
        <f t="shared" si="23"/>
        <v>30</v>
      </c>
      <c r="N120">
        <f t="shared" si="25"/>
        <v>39000</v>
      </c>
      <c r="O120">
        <f t="shared" si="26"/>
        <v>37050</v>
      </c>
      <c r="P120">
        <f t="shared" si="27"/>
        <v>40950</v>
      </c>
      <c r="Q120">
        <f t="shared" si="34"/>
        <v>0</v>
      </c>
      <c r="R120" s="126">
        <f t="shared" si="28"/>
        <v>4.1640042554132176E-6</v>
      </c>
      <c r="S120" s="126">
        <f t="shared" si="29"/>
        <v>6.0169258509231688E-6</v>
      </c>
      <c r="AA120" s="126">
        <f t="shared" si="30"/>
        <v>4.874344278507393E-6</v>
      </c>
      <c r="AB120" s="126">
        <f t="shared" si="31"/>
        <v>6.0169258509231688E-6</v>
      </c>
      <c r="AC120" s="126">
        <f t="shared" si="32"/>
        <v>3.0164228291325499E-8</v>
      </c>
      <c r="AD120" s="126">
        <f t="shared" si="33"/>
        <v>1.4749821084809183E-8</v>
      </c>
      <c r="AE120" s="128"/>
    </row>
    <row r="121" spans="11:31" x14ac:dyDescent="0.35">
      <c r="K121">
        <v>1000</v>
      </c>
      <c r="L121">
        <v>43</v>
      </c>
      <c r="M121">
        <f t="shared" si="23"/>
        <v>30</v>
      </c>
      <c r="N121">
        <f t="shared" si="25"/>
        <v>43000</v>
      </c>
      <c r="O121">
        <f t="shared" si="26"/>
        <v>40850</v>
      </c>
      <c r="P121">
        <f t="shared" si="27"/>
        <v>45150</v>
      </c>
      <c r="Q121">
        <f t="shared" si="34"/>
        <v>0</v>
      </c>
      <c r="R121" s="126">
        <f t="shared" si="28"/>
        <v>4.5910815567890853E-6</v>
      </c>
      <c r="S121" s="126">
        <f t="shared" si="29"/>
        <v>6.6337131681757958E-6</v>
      </c>
      <c r="AA121" s="126">
        <f t="shared" si="30"/>
        <v>5.374276956946806E-6</v>
      </c>
      <c r="AB121" s="126">
        <f t="shared" si="31"/>
        <v>6.6337131681757958E-6</v>
      </c>
      <c r="AC121" s="126">
        <f t="shared" si="32"/>
        <v>3.015028824007848E-8</v>
      </c>
      <c r="AD121" s="126">
        <f t="shared" si="33"/>
        <v>1.4746502189686715E-8</v>
      </c>
      <c r="AE121" s="128"/>
    </row>
    <row r="122" spans="11:31" x14ac:dyDescent="0.35">
      <c r="K122">
        <v>1000</v>
      </c>
      <c r="L122">
        <v>47</v>
      </c>
      <c r="M122">
        <f t="shared" si="23"/>
        <v>30</v>
      </c>
      <c r="N122">
        <f t="shared" si="25"/>
        <v>47000</v>
      </c>
      <c r="O122">
        <f t="shared" si="26"/>
        <v>44650</v>
      </c>
      <c r="P122">
        <f t="shared" si="27"/>
        <v>49350</v>
      </c>
      <c r="Q122">
        <f t="shared" si="34"/>
        <v>0</v>
      </c>
      <c r="R122" s="126">
        <f t="shared" si="28"/>
        <v>5.0181588473456631E-6</v>
      </c>
      <c r="S122" s="126">
        <f t="shared" si="29"/>
        <v>7.2505004712983902E-6</v>
      </c>
      <c r="AA122" s="126">
        <f t="shared" si="30"/>
        <v>5.8742096227212579E-6</v>
      </c>
      <c r="AB122" s="126">
        <f t="shared" si="31"/>
        <v>7.2505004712983902E-6</v>
      </c>
      <c r="AC122" s="126">
        <f t="shared" si="32"/>
        <v>3.0138739843905406E-8</v>
      </c>
      <c r="AD122" s="126">
        <f t="shared" si="33"/>
        <v>1.4743750419743828E-8</v>
      </c>
      <c r="AE122" s="128"/>
    </row>
    <row r="123" spans="11:31" x14ac:dyDescent="0.35">
      <c r="K123">
        <v>1000</v>
      </c>
      <c r="L123">
        <v>51</v>
      </c>
      <c r="M123">
        <f t="shared" si="23"/>
        <v>30</v>
      </c>
      <c r="N123">
        <f t="shared" si="25"/>
        <v>51000</v>
      </c>
      <c r="O123">
        <f t="shared" si="26"/>
        <v>48450</v>
      </c>
      <c r="P123">
        <f t="shared" si="27"/>
        <v>53550</v>
      </c>
      <c r="Q123">
        <f t="shared" si="34"/>
        <v>0</v>
      </c>
      <c r="R123" s="126">
        <f t="shared" si="28"/>
        <v>5.4452361270829519E-6</v>
      </c>
      <c r="S123" s="126">
        <f t="shared" si="29"/>
        <v>7.867287760290947E-6</v>
      </c>
      <c r="AA123" s="126">
        <f t="shared" si="30"/>
        <v>6.3741422758307528E-6</v>
      </c>
      <c r="AB123" s="126">
        <f t="shared" si="31"/>
        <v>7.867287760290947E-6</v>
      </c>
      <c r="AC123" s="126">
        <f t="shared" si="32"/>
        <v>3.0129016248750723E-8</v>
      </c>
      <c r="AD123" s="126">
        <f t="shared" si="33"/>
        <v>1.4741431854221613E-8</v>
      </c>
      <c r="AE123" s="128"/>
    </row>
    <row r="124" spans="11:31" x14ac:dyDescent="0.35">
      <c r="K124">
        <v>1000</v>
      </c>
      <c r="L124">
        <v>56</v>
      </c>
      <c r="M124">
        <f t="shared" si="23"/>
        <v>30</v>
      </c>
      <c r="N124">
        <f t="shared" si="25"/>
        <v>56000</v>
      </c>
      <c r="O124">
        <f t="shared" si="26"/>
        <v>53200</v>
      </c>
      <c r="P124">
        <f t="shared" si="27"/>
        <v>58800</v>
      </c>
      <c r="Q124">
        <f t="shared" si="34"/>
        <v>0</v>
      </c>
      <c r="R124" s="126">
        <f t="shared" si="28"/>
        <v>5.9790827115399383E-6</v>
      </c>
      <c r="S124" s="126">
        <f t="shared" si="29"/>
        <v>8.6382718516612867E-6</v>
      </c>
      <c r="AA124" s="126">
        <f t="shared" si="30"/>
        <v>6.9990580744075234E-6</v>
      </c>
      <c r="AB124" s="126">
        <f t="shared" si="31"/>
        <v>8.6382718516612867E-6</v>
      </c>
      <c r="AC124" s="126">
        <f t="shared" si="32"/>
        <v>3.0118828207274009E-8</v>
      </c>
      <c r="AD124" s="126">
        <f t="shared" si="33"/>
        <v>1.4739000958103015E-8</v>
      </c>
      <c r="AE124" s="128"/>
    </row>
    <row r="125" spans="11:31" x14ac:dyDescent="0.35">
      <c r="K125">
        <v>1000</v>
      </c>
      <c r="L125">
        <v>62</v>
      </c>
      <c r="M125">
        <f t="shared" si="23"/>
        <v>30</v>
      </c>
      <c r="N125">
        <f t="shared" si="25"/>
        <v>62000</v>
      </c>
      <c r="O125">
        <f t="shared" si="26"/>
        <v>58900</v>
      </c>
      <c r="P125">
        <f t="shared" si="27"/>
        <v>65100</v>
      </c>
      <c r="Q125">
        <f t="shared" si="34"/>
        <v>0</v>
      </c>
      <c r="R125" s="126">
        <f t="shared" si="28"/>
        <v>6.6196985905735367E-6</v>
      </c>
      <c r="S125" s="126">
        <f t="shared" si="29"/>
        <v>9.5634527321624991E-6</v>
      </c>
      <c r="AA125" s="126">
        <f t="shared" si="30"/>
        <v>7.7489570065781719E-6</v>
      </c>
      <c r="AB125" s="126">
        <f t="shared" si="31"/>
        <v>9.5634527321624991E-6</v>
      </c>
      <c r="AC125" s="126">
        <f t="shared" si="32"/>
        <v>3.0108784716468515E-8</v>
      </c>
      <c r="AD125" s="126">
        <f t="shared" si="33"/>
        <v>1.4736602961537007E-8</v>
      </c>
      <c r="AE125" s="128"/>
    </row>
    <row r="126" spans="11:31" x14ac:dyDescent="0.35">
      <c r="K126">
        <v>1000</v>
      </c>
      <c r="L126">
        <v>68</v>
      </c>
      <c r="M126">
        <f t="shared" si="23"/>
        <v>30</v>
      </c>
      <c r="N126">
        <f t="shared" si="25"/>
        <v>68000</v>
      </c>
      <c r="O126">
        <f t="shared" si="26"/>
        <v>64600</v>
      </c>
      <c r="P126">
        <f t="shared" si="27"/>
        <v>71400</v>
      </c>
      <c r="Q126">
        <f t="shared" si="34"/>
        <v>0</v>
      </c>
      <c r="R126" s="126">
        <f t="shared" si="28"/>
        <v>7.2603144452637376E-6</v>
      </c>
      <c r="S126" s="126">
        <f t="shared" si="29"/>
        <v>1.0488633580871136E-5</v>
      </c>
      <c r="AA126" s="126">
        <f t="shared" si="30"/>
        <v>8.498855910252667E-6</v>
      </c>
      <c r="AB126" s="126">
        <f t="shared" si="31"/>
        <v>1.0488633580871136E-5</v>
      </c>
      <c r="AC126" s="126">
        <f t="shared" si="32"/>
        <v>3.0100523362437778E-8</v>
      </c>
      <c r="AD126" s="126">
        <f t="shared" si="33"/>
        <v>1.4734629283950278E-8</v>
      </c>
      <c r="AE126" s="128"/>
    </row>
    <row r="127" spans="11:31" x14ac:dyDescent="0.35">
      <c r="K127">
        <v>1000</v>
      </c>
      <c r="L127">
        <v>75</v>
      </c>
      <c r="M127">
        <f t="shared" si="23"/>
        <v>30</v>
      </c>
      <c r="N127">
        <f t="shared" si="25"/>
        <v>75000</v>
      </c>
      <c r="O127">
        <f t="shared" si="26"/>
        <v>71250</v>
      </c>
      <c r="P127">
        <f t="shared" si="27"/>
        <v>78750</v>
      </c>
      <c r="Q127">
        <f t="shared" si="34"/>
        <v>0</v>
      </c>
      <c r="R127" s="126">
        <f t="shared" si="28"/>
        <v>8.0076995783016263E-6</v>
      </c>
      <c r="S127" s="126">
        <f t="shared" si="29"/>
        <v>1.1568011197515605E-5</v>
      </c>
      <c r="AA127" s="126">
        <f t="shared" si="30"/>
        <v>9.3737379285236113E-6</v>
      </c>
      <c r="AB127" s="126">
        <f t="shared" si="31"/>
        <v>1.1568011197515605E-5</v>
      </c>
      <c r="AC127" s="126">
        <f t="shared" si="32"/>
        <v>3.0092564084676895E-8</v>
      </c>
      <c r="AD127" s="126">
        <f t="shared" si="33"/>
        <v>1.4732726759170779E-8</v>
      </c>
      <c r="AE127" s="128"/>
    </row>
    <row r="128" spans="11:31" x14ac:dyDescent="0.35">
      <c r="K128">
        <v>1000</v>
      </c>
      <c r="L128">
        <v>82</v>
      </c>
      <c r="M128">
        <f t="shared" si="23"/>
        <v>30</v>
      </c>
      <c r="N128">
        <f t="shared" si="25"/>
        <v>82000</v>
      </c>
      <c r="O128">
        <f t="shared" si="26"/>
        <v>77900</v>
      </c>
      <c r="P128">
        <f t="shared" si="27"/>
        <v>86100</v>
      </c>
      <c r="Q128">
        <f t="shared" si="34"/>
        <v>0</v>
      </c>
      <c r="R128" s="126">
        <f t="shared" si="28"/>
        <v>8.7550846782054452E-6</v>
      </c>
      <c r="S128" s="126">
        <f t="shared" si="29"/>
        <v>1.2647388770886854E-5</v>
      </c>
      <c r="AA128" s="126">
        <f t="shared" si="30"/>
        <v>1.0248619908008128E-5</v>
      </c>
      <c r="AB128" s="126">
        <f t="shared" si="31"/>
        <v>1.2647388770886854E-5</v>
      </c>
      <c r="AC128" s="126">
        <f t="shared" si="32"/>
        <v>3.00859699132869E-8</v>
      </c>
      <c r="AD128" s="126">
        <f t="shared" si="33"/>
        <v>1.4731149783458778E-8</v>
      </c>
      <c r="AE128" s="128"/>
    </row>
    <row r="129" spans="11:31" x14ac:dyDescent="0.35">
      <c r="K129">
        <v>1000</v>
      </c>
      <c r="L129">
        <v>91</v>
      </c>
      <c r="M129">
        <f t="shared" si="23"/>
        <v>30</v>
      </c>
      <c r="N129">
        <f t="shared" si="25"/>
        <v>91000</v>
      </c>
      <c r="O129">
        <f t="shared" si="26"/>
        <v>86450</v>
      </c>
      <c r="P129">
        <f t="shared" si="27"/>
        <v>95550</v>
      </c>
      <c r="Q129">
        <f t="shared" si="34"/>
        <v>0</v>
      </c>
      <c r="R129" s="126">
        <f t="shared" si="28"/>
        <v>9.7160083293949993E-6</v>
      </c>
      <c r="S129" s="126">
        <f t="shared" si="29"/>
        <v>1.4035159873064752E-5</v>
      </c>
      <c r="AA129" s="126">
        <f t="shared" si="30"/>
        <v>1.1373468110353066E-5</v>
      </c>
      <c r="AB129" s="126">
        <f t="shared" si="31"/>
        <v>1.4035159873064752E-5</v>
      </c>
      <c r="AC129" s="126">
        <f t="shared" si="32"/>
        <v>3.007898850362033E-8</v>
      </c>
      <c r="AD129" s="126">
        <f t="shared" si="33"/>
        <v>1.4729479453613405E-8</v>
      </c>
      <c r="AE129" s="128"/>
    </row>
    <row r="130" spans="11:31" x14ac:dyDescent="0.35">
      <c r="M130">
        <f t="shared" si="23"/>
        <v>30</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1105" priority="34" stopIfTrue="1">
      <formula>AND($B$11="need resistor",$C$11&gt;0)</formula>
    </cfRule>
    <cfRule type="containsText" dxfId="1104" priority="38" operator="containsText" text="need resistor">
      <formula>NOT(ISERROR(SEARCH("need resistor",B11)))</formula>
    </cfRule>
  </conditionalFormatting>
  <conditionalFormatting sqref="B11:B12">
    <cfRule type="containsText" dxfId="1103" priority="36" operator="containsText" text="no need">
      <formula>NOT(ISERROR(SEARCH("no need",B11)))</formula>
    </cfRule>
  </conditionalFormatting>
  <conditionalFormatting sqref="B12">
    <cfRule type="expression" dxfId="1102" priority="33" stopIfTrue="1">
      <formula>AND($B$12="need resistor",$C$12&gt;0)</formula>
    </cfRule>
    <cfRule type="containsText" dxfId="1101" priority="35" operator="containsText" text="need resistor">
      <formula>NOT(ISERROR(SEARCH("need resistor",B12)))</formula>
    </cfRule>
  </conditionalFormatting>
  <conditionalFormatting sqref="B42">
    <cfRule type="expression" dxfId="1100" priority="61">
      <formula>AND($B$42&gt;$S$2,$B$2=1)</formula>
    </cfRule>
    <cfRule type="expression" dxfId="1099" priority="60">
      <formula>AND($B$42&lt;$R$2,$B$2=0)</formula>
    </cfRule>
    <cfRule type="expression" dxfId="1098" priority="59" stopIfTrue="1">
      <formula>AND($B$42&lt;=$S$2,$B$2=1)</formula>
    </cfRule>
    <cfRule type="expression" dxfId="1097" priority="58" stopIfTrue="1">
      <formula>AND($B$42&gt;=$R$2,$B$2=0)</formula>
    </cfRule>
  </conditionalFormatting>
  <conditionalFormatting sqref="B62">
    <cfRule type="expression" dxfId="1096" priority="69">
      <formula>AND($B$62&gt;$S$2,$B$2=1)</formula>
    </cfRule>
    <cfRule type="expression" dxfId="1095" priority="68">
      <formula>AND($B$62&lt;$R$2,$B$2=0)</formula>
    </cfRule>
    <cfRule type="expression" dxfId="1094" priority="67" stopIfTrue="1">
      <formula>AND($B$62&lt;=$S$2,$B$2=1)</formula>
    </cfRule>
    <cfRule type="expression" dxfId="1093" priority="66" stopIfTrue="1">
      <formula>AND($B$62&gt;=$R$2,$B$2=0)</formula>
    </cfRule>
  </conditionalFormatting>
  <conditionalFormatting sqref="B84">
    <cfRule type="cellIs" dxfId="1092" priority="47" operator="greaterThan">
      <formula>$S$3</formula>
    </cfRule>
    <cfRule type="cellIs" dxfId="1091" priority="46" operator="lessThanOrEqual">
      <formula>$S$3</formula>
    </cfRule>
  </conditionalFormatting>
  <conditionalFormatting sqref="B102">
    <cfRule type="cellIs" dxfId="1090" priority="50" operator="lessThanOrEqual">
      <formula>$S$2</formula>
    </cfRule>
    <cfRule type="cellIs" dxfId="1089" priority="51" operator="greaterThan">
      <formula>$S$2</formula>
    </cfRule>
  </conditionalFormatting>
  <conditionalFormatting sqref="B18:C18">
    <cfRule type="expression" dxfId="1088" priority="55">
      <formula>OR(AND($B$2=0,$C$18&lt;$R$2),AND($B$2=1,$C$18&gt;$S$2))</formula>
    </cfRule>
    <cfRule type="expression" dxfId="1087" priority="54" stopIfTrue="1">
      <formula>OR(AND($B$2=0,$C$18&gt;=$R$2),AND($B$2=1,$C$18&lt;=$S$2))</formula>
    </cfRule>
  </conditionalFormatting>
  <conditionalFormatting sqref="B19:C19">
    <cfRule type="expression" dxfId="1086" priority="57">
      <formula>OR(AND($B$3=0,$C$19&lt;$R$3),AND($B$3=1,$C$19&gt;$S$3))</formula>
    </cfRule>
    <cfRule type="expression" dxfId="1085" priority="56" stopIfTrue="1">
      <formula>OR(AND($B$3=0,$C$19&gt;=$R$3),AND($B$3=1,$C$19&lt;=$S$3))</formula>
    </cfRule>
  </conditionalFormatting>
  <conditionalFormatting sqref="C14">
    <cfRule type="cellIs" dxfId="1084" priority="28" operator="equal">
      <formula>"no solution"</formula>
    </cfRule>
  </conditionalFormatting>
  <conditionalFormatting sqref="C44">
    <cfRule type="expression" dxfId="1083" priority="65">
      <formula>AND($B$44&gt;$S$3,$B$3=1)</formula>
    </cfRule>
    <cfRule type="expression" dxfId="1082" priority="64">
      <formula>AND($B$44&lt;$R$3,$B$3=0)</formula>
    </cfRule>
    <cfRule type="expression" dxfId="1081" priority="63" stopIfTrue="1">
      <formula>AND($C$44&lt;=$S$3,$B$3=1)</formula>
    </cfRule>
    <cfRule type="expression" dxfId="1080" priority="62" stopIfTrue="1">
      <formula>AND($C$44&gt;=$R$3,$B$3=0)</formula>
    </cfRule>
  </conditionalFormatting>
  <conditionalFormatting sqref="C64">
    <cfRule type="expression" dxfId="1079" priority="71" stopIfTrue="1">
      <formula>AND($C$64&lt;=$S$3,$B$3=1)</formula>
    </cfRule>
    <cfRule type="expression" dxfId="1078" priority="72">
      <formula>AND($B$64&lt;$R$3,$B$3=0)</formula>
    </cfRule>
    <cfRule type="expression" dxfId="1077" priority="73">
      <formula>AND($B$64&gt;$S$3,$B$3=1)</formula>
    </cfRule>
    <cfRule type="expression" dxfId="1076" priority="70" stopIfTrue="1">
      <formula>AND($C$64&gt;=$R$3,$B$3=0)</formula>
    </cfRule>
  </conditionalFormatting>
  <conditionalFormatting sqref="C102:D102">
    <cfRule type="cellIs" dxfId="1075" priority="30" operator="lessThan">
      <formula>$R$2</formula>
    </cfRule>
    <cfRule type="cellIs" dxfId="1074" priority="29" operator="greaterThanOrEqual">
      <formula>$R$2</formula>
    </cfRule>
  </conditionalFormatting>
  <conditionalFormatting sqref="C84:H84">
    <cfRule type="cellIs" dxfId="1073" priority="15" operator="lessThan">
      <formula>$R$3</formula>
    </cfRule>
    <cfRule type="cellIs" dxfId="1072" priority="14" operator="greaterThanOrEqual">
      <formula>$R$3</formula>
    </cfRule>
  </conditionalFormatting>
  <conditionalFormatting sqref="D11">
    <cfRule type="containsText" dxfId="1071" priority="41" stopIfTrue="1" operator="containsText" text="please remove resistor">
      <formula>NOT(ISERROR(SEARCH("please remove resistor",D11)))</formula>
    </cfRule>
    <cfRule type="cellIs" dxfId="1070" priority="43" operator="greaterThan">
      <formula>$S$2</formula>
    </cfRule>
    <cfRule type="cellIs" dxfId="1069" priority="42" operator="lessThan">
      <formula>$S$2</formula>
    </cfRule>
  </conditionalFormatting>
  <conditionalFormatting sqref="D11:D12">
    <cfRule type="cellIs" priority="26" stopIfTrue="1" operator="equal">
      <formula>""</formula>
    </cfRule>
  </conditionalFormatting>
  <conditionalFormatting sqref="D12 E18:E19">
    <cfRule type="cellIs" dxfId="1068" priority="40" operator="lessThan">
      <formula>$R$2-$N$7</formula>
    </cfRule>
    <cfRule type="cellIs" dxfId="1067" priority="39" operator="greaterThanOrEqual">
      <formula>$R$2-$N$7</formula>
    </cfRule>
  </conditionalFormatting>
  <conditionalFormatting sqref="D18:D19">
    <cfRule type="cellIs" dxfId="1066" priority="44" operator="lessThanOrEqual">
      <formula>$S$2+$N$7</formula>
    </cfRule>
    <cfRule type="cellIs" dxfId="1065" priority="45" operator="greaterThan">
      <formula>$S$2+$N$7</formula>
    </cfRule>
  </conditionalFormatting>
  <conditionalFormatting sqref="E102">
    <cfRule type="cellIs" dxfId="1064" priority="13" operator="lessThan">
      <formula>$R$3</formula>
    </cfRule>
    <cfRule type="cellIs" dxfId="1063" priority="12" operator="greaterThanOrEqual">
      <formula>$R$3</formula>
    </cfRule>
  </conditionalFormatting>
  <conditionalFormatting sqref="F21">
    <cfRule type="containsText" dxfId="1062" priority="11" operator="containsText" text="failed">
      <formula>NOT(ISERROR(SEARCH("failed",F21)))</formula>
    </cfRule>
  </conditionalFormatting>
  <conditionalFormatting sqref="F22">
    <cfRule type="containsText" dxfId="1061" priority="10" operator="containsText" text="fail">
      <formula>NOT(ISERROR(SEARCH("fail",F22)))</formula>
    </cfRule>
  </conditionalFormatting>
  <conditionalFormatting sqref="F23">
    <cfRule type="containsText" dxfId="1060" priority="9" operator="containsText" text="failed">
      <formula>NOT(ISERROR(SEARCH("failed",F23)))</formula>
    </cfRule>
  </conditionalFormatting>
  <conditionalFormatting sqref="F102:H102">
    <cfRule type="cellIs" dxfId="1059" priority="22" operator="greaterThanOrEqual">
      <formula>$R$2</formula>
    </cfRule>
    <cfRule type="cellIs" dxfId="1058" priority="23" operator="lessThan">
      <formula>$R$2</formula>
    </cfRule>
  </conditionalFormatting>
  <conditionalFormatting sqref="G18">
    <cfRule type="cellIs" dxfId="1057" priority="3" operator="greaterThan">
      <formula>$V$2</formula>
    </cfRule>
    <cfRule type="cellIs" dxfId="1056" priority="4" operator="lessThan">
      <formula>$V$2</formula>
    </cfRule>
  </conditionalFormatting>
  <conditionalFormatting sqref="G19">
    <cfRule type="cellIs" dxfId="1055" priority="6" operator="lessThan">
      <formula>$V$3</formula>
    </cfRule>
    <cfRule type="cellIs" dxfId="1054" priority="5" operator="greaterThan">
      <formula>$V$3</formula>
    </cfRule>
  </conditionalFormatting>
  <conditionalFormatting sqref="I18:I19">
    <cfRule type="cellIs" dxfId="1053" priority="2" operator="lessThan">
      <formula>$W$2</formula>
    </cfRule>
    <cfRule type="cellIs" dxfId="1052" priority="1" operator="greaterThan">
      <formula>$W$2</formula>
    </cfRule>
  </conditionalFormatting>
  <conditionalFormatting sqref="K12">
    <cfRule type="expression" dxfId="1051" priority="74">
      <formula>SEARCH("reduce",$F$23)</formula>
    </cfRule>
    <cfRule type="expression" dxfId="1050" priority="75">
      <formula>SEARCH("reduce",$F$21)</formula>
    </cfRule>
  </conditionalFormatting>
  <conditionalFormatting sqref="N2">
    <cfRule type="expression" dxfId="1049" priority="76">
      <formula>SEARCH("strength",$F$21)</formula>
    </cfRule>
    <cfRule type="expression" dxfId="1048" priority="77">
      <formula>SEARCH("strength",$F$23)</formula>
    </cfRule>
  </conditionalFormatting>
  <hyperlinks>
    <hyperlink ref="N25" location="Summary!A1" display="Link to summary" xr:uid="{22107871-D2B6-4890-B18D-31DA26E7F8F9}"/>
  </hyperlinks>
  <pageMargins left="0.7" right="0.7" top="0.75" bottom="0.75" header="0.3" footer="0.3"/>
  <pageSetup paperSize="9" orientation="portrait" r:id="rId1"/>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5EED7-E945-4022-ACC7-82B267ACD8CD}">
  <dimension ref="A1:AK130"/>
  <sheetViews>
    <sheetView topLeftCell="H1"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Summary!G16</f>
        <v>1.8</v>
      </c>
      <c r="K2" s="10">
        <v>1000000000000</v>
      </c>
      <c r="L2" s="15">
        <v>0.1</v>
      </c>
      <c r="M2" s="15">
        <v>0.1</v>
      </c>
      <c r="N2" s="66">
        <f>Summary!G26</f>
        <v>100</v>
      </c>
      <c r="O2" s="15">
        <f>Summary!G88</f>
        <v>0.25</v>
      </c>
      <c r="P2" s="15">
        <f>Summary!G89</f>
        <v>0.25</v>
      </c>
      <c r="Q2" s="5" t="str">
        <f>Summary!G27</f>
        <v>N/A</v>
      </c>
      <c r="R2" s="5">
        <f>Summary!G51</f>
        <v>0.3</v>
      </c>
      <c r="S2" s="5">
        <f>Summary!G52</f>
        <v>0.7</v>
      </c>
      <c r="T2" s="5">
        <f>Summary!G53</f>
        <v>0.3</v>
      </c>
      <c r="U2" s="5">
        <f>Summary!G54</f>
        <v>0.7</v>
      </c>
      <c r="V2" s="130">
        <f>Summary!G55</f>
        <v>2.9999999999999999E-7</v>
      </c>
      <c r="W2" s="130">
        <f>Summary!G56</f>
        <v>2.9999999999999999E-7</v>
      </c>
      <c r="X2" s="131">
        <f>V2</f>
        <v>2.9999999999999999E-7</v>
      </c>
      <c r="Y2" s="132">
        <f>IF(Summary!G57="","",Summary!G57)</f>
        <v>2E-8</v>
      </c>
      <c r="Z2" s="132">
        <f>IF(Summary!G58="","",Summary!G58)</f>
        <v>6.5454545454545451E-9</v>
      </c>
      <c r="AA2" s="4">
        <f>Summary!G59</f>
        <v>1E-10</v>
      </c>
      <c r="AB2" s="41">
        <f>Summary!G81</f>
        <v>4.9999999999999997E-12</v>
      </c>
      <c r="AC2" s="41">
        <f>Summary!G83</f>
        <v>8.1900000000000013E-12</v>
      </c>
      <c r="AD2" s="3">
        <f>Summary!G84</f>
        <v>0.69</v>
      </c>
      <c r="AE2" s="41">
        <f>Summary!G86</f>
        <v>4.9999999999999997E-12</v>
      </c>
      <c r="AF2" s="5">
        <f>Summary!G87</f>
        <v>2.93</v>
      </c>
      <c r="AG2" s="127" t="str">
        <f>Summary!G50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Summary!G16</f>
        <v>1.8</v>
      </c>
      <c r="K3" s="10">
        <v>1000000000000</v>
      </c>
      <c r="L3" s="15">
        <v>0.1</v>
      </c>
      <c r="M3" s="15">
        <v>0.1</v>
      </c>
      <c r="N3">
        <f>Summary!G97</f>
        <v>50</v>
      </c>
      <c r="O3" s="15">
        <f>Summary!G98</f>
        <v>0.5</v>
      </c>
      <c r="P3" s="15">
        <f>Summary!G99</f>
        <v>0</v>
      </c>
      <c r="Q3"/>
      <c r="R3" s="5">
        <f>Summary!G38</f>
        <v>0.3</v>
      </c>
      <c r="S3" s="5">
        <f>Summary!G39</f>
        <v>0.7</v>
      </c>
      <c r="T3" s="5">
        <f>Summary!G42</f>
        <v>0.3</v>
      </c>
      <c r="U3" s="5">
        <f>Summary!G43</f>
        <v>0.7</v>
      </c>
      <c r="V3" s="130">
        <f>Summary!G44</f>
        <v>2.9999999999999999E-7</v>
      </c>
      <c r="W3" s="130">
        <f>Summary!G45</f>
        <v>2.9999999999999999E-7</v>
      </c>
      <c r="X3" s="131">
        <f>V3</f>
        <v>2.9999999999999999E-7</v>
      </c>
      <c r="Y3" s="132">
        <f>IF(Summary!G46="","",Summary!G46)</f>
        <v>2E-8</v>
      </c>
      <c r="Z3" s="132">
        <f>IF(Summary!G47="","",Summary!G47)</f>
        <v>6.5454545454545451E-9</v>
      </c>
      <c r="AA3" s="4">
        <f>Summary!G59</f>
        <v>1E-10</v>
      </c>
      <c r="AB3" s="41">
        <f>Summary!G96</f>
        <v>9.9999999999999994E-12</v>
      </c>
      <c r="AG3" s="127" t="str">
        <f>Summary!G37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427329345.73217905</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427329345.73217905</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185.45760173684255</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378.31470632001259</v>
      </c>
      <c r="F7" s="123">
        <f>_xlfn.IFNA(_xlfn.XLOOKUP($X$2,AB34:AB129,P34:P129,,-1), "Out of support PU range")</f>
        <v>1890</v>
      </c>
      <c r="G7" s="124">
        <f>_xlfn.IFNA(_xlfn.XLOOKUP($X$3,S34:S129,P34:P129,,-1), "Out of support PU range")</f>
        <v>1890</v>
      </c>
      <c r="H7" s="124">
        <f>_xlfn.IFNA(MAX(_xlfn.XLOOKUP(MAX($Y$2:$AA$2),AA34:AA129,O34:O129,,1), _xlfn.XLOOKUP($W$2,AD34:AD129,O34:O129,,-1)), "Fail AC VIL")</f>
        <v>190</v>
      </c>
      <c r="I7" s="129">
        <f>_xlfn.IFNA(MAX(_xlfn.XLOOKUP(MAX($Y$3:$AA$3),R34:R129,O34:O129,,1), _xlfn.XLOOKUP($W$3,AC34:AC129,O34:O129,,-1)), "Fail AC VIL")</f>
        <v>408.5</v>
      </c>
      <c r="J7" s="21">
        <v>20000</v>
      </c>
      <c r="K7" s="2">
        <f>MIN(
MIN(FLOOR(B7,10^(LEN(ROUND(B7,0))-1))/10,
FLOOR(C7,10^(LEN(ROUND(C7,0))-1))/10,
IF(F7*10&gt;=J7,FLOOR(F7,10^(LEN(ROUND(F7,0))-1))/10,FLOOR(F7,10^(LEN(ROUND(F7,0))-1))),
FLOOR(G7,10^(LEN(ROUND(G7,0))-1))/10),
MAX(I7,J7)
)</f>
        <v>100</v>
      </c>
      <c r="L7" s="1"/>
      <c r="N7" s="71">
        <f>Summary!G62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370.49999951809826</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370.49999951809826</v>
      </c>
      <c r="E8">
        <f>X2/(1.204*K18)</f>
        <v>1554.6828759599234</v>
      </c>
      <c r="F8">
        <f>X3/(1.204*K18)</f>
        <v>1554.6828759599234</v>
      </c>
      <c r="H8">
        <f>AA2/(1.204*K18)</f>
        <v>0.51822762531997457</v>
      </c>
      <c r="I8" s="2">
        <f>AA3/(1.204*K18)</f>
        <v>0.51822762531997457</v>
      </c>
      <c r="J8" s="8">
        <v>20000</v>
      </c>
      <c r="K8">
        <f>MIN(MIN(FLOOR(B8,10^(LEN(ROUND(B8,0))-1))/10,FLOOR(C8,10^(LEN(ROUND(C8,0))-1))/10,FLOOR(E8,10^(LEN(ROUND(E8,0))-1))/10,FLOOR(F8,10^(LEN(ROUND(F8,0))-1))/10),MAX(I8,J8))</f>
        <v>30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Summary!G24</f>
        <v>910</v>
      </c>
      <c r="D11" s="1">
        <f>IF(AND(B11="no need", C11=""), "",IF(AND(B11="no need", C11&gt;0), "please remove resistor",   IF(AND(B11="need resistor", ISBLANK(C11)), "please enter resistor",  (1/(1/F2+1/F3))/(1/(1/(1/(1/C2+1/C3))+1/C11)+(1/(1/F2+1/F3))) ) ))</f>
        <v>0.99999999817999996</v>
      </c>
      <c r="F11" s="7">
        <f>IF(B11="no need", 1000000000, C11)</f>
        <v>910</v>
      </c>
      <c r="G11" s="7" t="s">
        <v>281</v>
      </c>
      <c r="H11" s="62">
        <f>Summary!G25</f>
        <v>0.05</v>
      </c>
      <c r="K11" s="6" t="s">
        <v>282</v>
      </c>
      <c r="N11" s="19" t="s">
        <v>283</v>
      </c>
      <c r="P11" s="19" t="s">
        <v>284</v>
      </c>
      <c r="R11" s="127" t="s">
        <v>285</v>
      </c>
      <c r="S11" s="127">
        <f>($J$2+$J$2*Summary!$G$17)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Summary!G10</f>
        <v>25</v>
      </c>
      <c r="L12" t="s">
        <v>287</v>
      </c>
      <c r="N12" s="4">
        <f>SUM(AB2:AC3,AE2:AE3)</f>
        <v>2.8189999999999998E-11</v>
      </c>
      <c r="O12" t="s">
        <v>288</v>
      </c>
      <c r="P12" s="61">
        <f>Summary!G84+Summary!G87</f>
        <v>3.62</v>
      </c>
      <c r="Q12" t="s">
        <v>289</v>
      </c>
      <c r="R12" s="127" t="s">
        <v>290</v>
      </c>
      <c r="S12" s="127">
        <f>($J$2-$J$2*Summary!$G$17)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($J$3+$J$3*Summary!$G$18)</f>
        <v>1.8900000000000001</v>
      </c>
    </row>
    <row r="14" spans="1:37" x14ac:dyDescent="0.35">
      <c r="K14" s="6" t="s">
        <v>293</v>
      </c>
      <c r="N14" s="6" t="s">
        <v>294</v>
      </c>
      <c r="R14" s="127" t="s">
        <v>295</v>
      </c>
      <c r="S14" s="127">
        <f>($J$3-$J$3*Summary!$G$18)</f>
        <v>1.71</v>
      </c>
    </row>
    <row r="15" spans="1:37" x14ac:dyDescent="0.35">
      <c r="B15" s="2"/>
      <c r="C15" s="2"/>
      <c r="K15" s="3">
        <f>Summary!G8</f>
        <v>19.988</v>
      </c>
      <c r="L15" t="s">
        <v>296</v>
      </c>
      <c r="N15" s="41">
        <f>Summary!G9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0.99999893618655311</v>
      </c>
      <c r="C18">
        <f>B42</f>
        <v>0.99999921249960133</v>
      </c>
      <c r="D18">
        <f>B102</f>
        <v>0.999998936186554</v>
      </c>
      <c r="E18">
        <f>C102</f>
        <v>7.7002643443583499E-2</v>
      </c>
      <c r="F18" s="126">
        <f>_xlfn.LET(
_xlpm.Rbus, (1/(1/((1/(1/($G$91+$G$93)+1/$G$90))+$G$92)+1/($G$89))),
_xlpm.VCC, IF($AG$2="absolute",$S$13,1),
_xlpm.Vspec_abs, $U$2-$N$7,
(LN(1-$T$2/_xlpm.VCC)-LN(1-_xlpm.Vspec_abs/_xlpm.VCC))*$K$19*_xlpm.Rbus
)</f>
        <v>9.716011101226428E-8</v>
      </c>
      <c r="G18" s="128">
        <f>_xlfn.LET(
_xlpm.Rbus, (1/(1/((1/(1/($D$91+$D$93)+1/$D$90))+$D$92)+1/($D$89))),
_xlpm.VCC, IF($AG$2="absolute",$S$14,1),
_xlpm.Vspec_abs, $U$2+$N$7,
(LN(1-$T$2/_xlpm.VCC)-LN(1-_xlpm.Vspec_abs/_xlpm.VCC))*$K$18*_xlpm.Rbus
)</f>
        <v>1.4356791446660439E-7</v>
      </c>
      <c r="H18" s="126">
        <f>_xlfn.LET(
_xlpm.Rbus, (1/(1/((1/(1/($H$96+$H$93)+1/$H$95))+$H$92)+1/($H$94))),
_xlpm.VCC, IF($AG$2="absolute",$S$14,1),
_xlpm.Vspec_abs, $T$2+$N$7,
_xlpm.Vspec_rel, _xlpm.Vspec_abs/_xlpm.VCC,
IFERROR((LN($U$2)-LN(_xlpm.Vspec_rel))*$K$19*_xlpm.Rbus, "Vlow exceeds VIL spec")
)</f>
        <v>4.6430512865409298E-9</v>
      </c>
      <c r="I18" s="128">
        <f>_xlfn.LET(
_xlpm.Rbus, (1/(1/((1/(1/($F$96+$F$93)+1/$F$95))+$F$92)+1/($F$94))),
_xlpm.VCC, IF($AG$2="absolute",$S$13,1),
_xlpm.Vspec_abs, $T$2-$N$7,
_xlpm.Vspec_rel, _xlpm.Vspec_abs/_xlpm.VCC,
IFERROR((LN($U$2)-LN(_xlpm.Vspec_rel))*$K$18*_xlpm.Rbus,"Vlow exceeds VIL spec")
)</f>
        <v>1.0591474394673357E-8</v>
      </c>
      <c r="J18" s="139" t="s">
        <v>307</v>
      </c>
      <c r="K18" s="4">
        <f>Summary!G102</f>
        <v>1.6027026416052833E-10</v>
      </c>
      <c r="L18" s="22" t="s">
        <v>288</v>
      </c>
      <c r="M18" s="10">
        <f>K18*1000000000000</f>
        <v>160.27026416052834</v>
      </c>
      <c r="N18" t="s">
        <v>308</v>
      </c>
      <c r="O18" s="49">
        <f>N12+K12/39.37*N15</f>
        <v>1.6027026416052833E-10</v>
      </c>
    </row>
    <row r="19" spans="1:26" x14ac:dyDescent="0.35">
      <c r="A19" t="s">
        <v>309</v>
      </c>
      <c r="B19">
        <f>C64</f>
        <v>0.99999893618655311</v>
      </c>
      <c r="C19">
        <f>C44</f>
        <v>0.99999921249960133</v>
      </c>
      <c r="D19">
        <f>B84</f>
        <v>0.999998936186554</v>
      </c>
      <c r="E19">
        <f>C84</f>
        <v>0.14543211773796963</v>
      </c>
      <c r="F19" s="126">
        <f>_xlfn.LET(
_xlpm.Rbus,(1/(1/((1/(1/($G$77+$G$72)+1/$G$70))+$G$73)+1/($G$71))),
_xlpm.VCC,IF($AG$3="absolute",$S$11,1),
_xlpm.Vspec_abs,$U$3-$N$7,
(LN(1-($T$3/_xlpm.VCC))-LN(1-_xlpm.Vspec_abs/_xlpm.VCC))*$K$19*_xlpm.Rbus
)</f>
        <v>9.716011101226428E-8</v>
      </c>
      <c r="G19" s="128">
        <f>_xlfn.LET(
_xlpm.Rbus, (1/(1/((1/(1/($D$77+$D$72)+1/$D$70))+$D$73)+1/($D$71))),
_xlpm.VCC, IF($AG$3="absolute",$S$12,1),
_xlpm.Vspec_abs, $U$3+$N$7,
(LN(1-$T$3/_xlpm.VCC)-LN(1-_xlpm.Vspec_abs/_xlpm.VCC))*$K$18*_xlpm.Rbus
)</f>
        <v>1.4356791446660439E-7</v>
      </c>
      <c r="H19" s="126">
        <f>_xlfn.LET(
_xlpm.Rbus, (1/(1/((1/(1/($H$74+$H$72)+1/$H$75))+$H$73)+1/($H$76))),
_xlpm.VCC, IF($AG$3="absolute",$S$12,1),
_xlpm.Vspec_abs, $T$3+$N$7,
_xlpm.Vspec_rel, _xlpm.Vspec_abs/_xlpm.VCC,
IFERROR((LN($U$3)-LN(_xlpm.Vspec_rel))*$K$19*_xlpm.Rbus, "Vlow exceeds VIL spec")
)</f>
        <v>1.0262490295885478E-8</v>
      </c>
      <c r="I19" s="128">
        <f>_xlfn.LET(
_xlpm.Rbus, (1/(1/((1/(1/($F$74+$F$72)+1/$F$75))+$F$73)+1/($F$76))),
_xlpm.VCC, IF($AG$3="absolute",$S$11,1),
_xlpm.Vspec_abs, $T$3-$N$7,
_xlpm.Vspec_rel, _xlpm.Vspec_abs/_xlpm.VCC,
IFERROR((LN($U$3)-LN(_xlpm.Vspec_rel))*$K$18*_xlpm.Rbus,"Vlow exceeds VIL spec")
)</f>
        <v>2.1605534018873997E-8</v>
      </c>
      <c r="J19" s="139" t="s">
        <v>310</v>
      </c>
      <c r="K19" s="122">
        <f>Summary!G101</f>
        <v>1.4358026416052834E-10</v>
      </c>
      <c r="L19" t="s">
        <v>288</v>
      </c>
    </row>
    <row r="20" spans="1:26" x14ac:dyDescent="0.35">
      <c r="J20" s="139"/>
      <c r="K20" s="6" t="s">
        <v>311</v>
      </c>
    </row>
    <row r="21" spans="1:26" x14ac:dyDescent="0.35">
      <c r="E21" s="120" t="s">
        <v>137</v>
      </c>
      <c r="F21" t="str">
        <f>IF(OR(AND(E18&gt;(R2-N7), Summary!G50="relative"), AND(E18&gt;(R2-N7)/(J3+J3*Summary!G18), Summary!G50="absolute")),IF(U29="no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IF(OR(Summary!G24&gt;Summary!G22,Summary!G24&lt;Summary!G21), "- ensure board PU is within recommended range" &amp; CHAR(10),) &amp; "- reduce MB trace length",""))</f>
        <v/>
      </c>
      <c r="J21" s="139" t="s">
        <v>307</v>
      </c>
      <c r="K21" s="5">
        <f>Summary!G104</f>
        <v>22.122405384810769</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Summary!G103</f>
        <v>16.31240538481077</v>
      </c>
      <c r="L22" t="s">
        <v>289</v>
      </c>
    </row>
    <row r="23" spans="1:26" x14ac:dyDescent="0.35">
      <c r="B23" s="171" t="s">
        <v>313</v>
      </c>
      <c r="C23" s="171"/>
      <c r="D23" t="s">
        <v>314</v>
      </c>
      <c r="E23" s="175"/>
      <c r="F23" t="str">
        <f>IF(F22="",IF(OR(AND(E19&lt;=(R3-N7), Summary!G37="relative"),AND(E19&lt;=(R3-N7)/(J2+J2*Summary!G17), Summary!G37="absolute")),IF(OR(G19&gt;V3,I19&gt;W3), IF(N2=MIN(AH2:AH5), "failed max rise/fall time spec, recommendations:" &amp; CHAR(10) &amp; "-reduce MB trace length" &amp; CHAR(10) &amp; "-increase trace width (reduce MB trace resistance per length)", "failed max rise/fall time spec, recommendations:" &amp; CHAR(10) &amp; IF(OR(Summary!G24&gt;Summary!G22,Summary!G24&lt;Summary!G21),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Summary!G13</f>
        <v>0</v>
      </c>
      <c r="L24" t="s">
        <v>305</v>
      </c>
    </row>
    <row r="25" spans="1:26" x14ac:dyDescent="0.35">
      <c r="A25" t="s">
        <v>318</v>
      </c>
      <c r="B25" s="11">
        <f>C2*(1-D2)</f>
        <v>900000000000</v>
      </c>
      <c r="C25" s="11">
        <f>C2*(1-D2)</f>
        <v>900000000000</v>
      </c>
      <c r="K25" s="18">
        <f>Summary!G14</f>
        <v>1</v>
      </c>
      <c r="L25" t="s">
        <v>274</v>
      </c>
      <c r="N25" s="72" t="s">
        <v>319</v>
      </c>
    </row>
    <row r="26" spans="1:26" x14ac:dyDescent="0.35">
      <c r="A26" t="s">
        <v>320</v>
      </c>
      <c r="B26" s="11">
        <f>F11*(1-H11)</f>
        <v>864.5</v>
      </c>
      <c r="C26" s="11">
        <f>F11*(1-H11)</f>
        <v>864.5</v>
      </c>
      <c r="Q26" t="s">
        <v>321</v>
      </c>
    </row>
    <row r="27" spans="1:26" x14ac:dyDescent="0.35">
      <c r="A27" t="s">
        <v>322</v>
      </c>
      <c r="B27" s="11">
        <f>C3*(1-D3)</f>
        <v>900000000000</v>
      </c>
      <c r="C27" s="11">
        <f>C3*(1-D3)</f>
        <v>900000000000</v>
      </c>
      <c r="Q27" t="s">
        <v>323</v>
      </c>
    </row>
    <row r="28" spans="1:26" x14ac:dyDescent="0.35">
      <c r="A28" t="s">
        <v>324</v>
      </c>
      <c r="B28" s="1">
        <f>K21</f>
        <v>22.122405384810769</v>
      </c>
      <c r="C28">
        <v>0</v>
      </c>
      <c r="Q28" t="s">
        <v>325</v>
      </c>
      <c r="V28" t="s">
        <v>305</v>
      </c>
      <c r="W28" t="s">
        <v>274</v>
      </c>
      <c r="X28" t="s">
        <v>326</v>
      </c>
    </row>
    <row r="29" spans="1:26" x14ac:dyDescent="0.35">
      <c r="A29" t="s">
        <v>327</v>
      </c>
      <c r="B29">
        <v>0</v>
      </c>
      <c r="C29" s="1">
        <f>K21</f>
        <v>22.122405384810769</v>
      </c>
      <c r="F29" s="11"/>
      <c r="T29" t="s">
        <v>328</v>
      </c>
      <c r="U29">
        <f>IF(IF(ISBLANK(Summary!G25),IF(U30=W82,L30,U30),IF(Summary!G25=5%,L30,U30))=N130,"no solution",IF(ISBLANK(Summary!G25),IF(U30=W82,L30,U30),IF(Summary!G25=5%,L30,U30)))</f>
        <v>910</v>
      </c>
      <c r="V29">
        <f>IFERROR(IF(X29=5%,VLOOKUP(1,M34:N129,2,FALSE),VLOOKUP(1,V34:W81,2,FALSE)),"no solution")</f>
        <v>430</v>
      </c>
      <c r="W29">
        <f>IF(U29="no solution","no solution",IF(X29=5%,VLOOKUP(MAX(M34:M129)-1,M34:N129,2,FALSE),VLOOKUP(MAX(V34:V81)-1,V34:W81,2,FALSE)))</f>
        <v>1800</v>
      </c>
      <c r="X29" s="64">
        <f>Summary!G25</f>
        <v>0.05</v>
      </c>
    </row>
    <row r="30" spans="1:26" x14ac:dyDescent="0.35">
      <c r="A30" t="s">
        <v>329</v>
      </c>
      <c r="B30" s="11">
        <f>F2*(1+H2)</f>
        <v>1100000000000</v>
      </c>
      <c r="C30" s="11">
        <f>F2*(1+H2)</f>
        <v>1100000000000</v>
      </c>
      <c r="K30" t="s">
        <v>330</v>
      </c>
      <c r="L30">
        <f>VLOOKUP(Q31,M34:Q154,2)</f>
        <v>910</v>
      </c>
      <c r="T30" t="s">
        <v>331</v>
      </c>
      <c r="U30">
        <f>VLOOKUP(Z31,V34:W82,2)</f>
        <v>820</v>
      </c>
    </row>
    <row r="31" spans="1:26" x14ac:dyDescent="0.35">
      <c r="A31" t="s">
        <v>332</v>
      </c>
      <c r="B31" s="11">
        <f>F12*(1+H12)</f>
        <v>1100000000</v>
      </c>
      <c r="C31" s="11">
        <f>F12*(1+H12)</f>
        <v>1100000000</v>
      </c>
      <c r="Q31" cm="1">
        <f t="array" ref="Q31">MAX(M34:M129+1)/2</f>
        <v>9</v>
      </c>
      <c r="Z31" cm="1">
        <f t="array" ref="Z31">MAX(V34:V81+1)/2</f>
        <v>4.5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4.7907358629788475E-9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 t="shared" ref="AA34:AA65" si="7">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(LN(1-$T$3/_xlpm.VCC)-LN(1-_xlpm.Vspec_abs/_xlpm.VCC))*$K$19*_xlpm.Rbus
)</f>
        <v>1.2498320205986047E-9</v>
      </c>
      <c r="AB34" s="126">
        <f t="shared" ref="AB34:AB65" si="8">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(LN(1-$T$3/_xlpm.VCC)-LN(1-_xlpm.Vspec_abs/_xlpm.VCC))*$K$18*_xlpm.Rbus
)</f>
        <v>4.7907358629788475E-9</v>
      </c>
      <c r="AC34" s="126" t="str">
        <f t="shared" ref="AC34:AC65" si="9">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10">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11">IF(AND(Q34=1,Q35=0),Q35+M34+1, Q35+M34)</f>
        <v>0</v>
      </c>
      <c r="N35">
        <f t="shared" si="0"/>
        <v>11</v>
      </c>
      <c r="O35">
        <f t="shared" si="1"/>
        <v>10.45</v>
      </c>
      <c r="P35">
        <f t="shared" si="2"/>
        <v>11.55</v>
      </c>
      <c r="Q35">
        <f t="shared" ref="Q35:Q98" si="12">IF($Q$2="N/A",IF(AND((O35&gt;=MAX($H$7:$I$7)),(P35&lt;=MIN($F$7:$G$7)),(P35&lt;=MIN($B$7:$C$7)),(O35&gt;=MAX($D$7:$E$7))),1,0),IF(AND((O35&gt;=MAX($I$7)),(P35&lt;=MIN($G$7)),(P35&lt;=MIN($C$7)),(O35&gt;=MAX($E$7))),1,0))</f>
        <v>0</v>
      </c>
      <c r="R35" s="126">
        <f t="shared" si="3"/>
        <v>1.1744628837115299E-9</v>
      </c>
      <c r="S35" s="126">
        <f t="shared" si="4"/>
        <v>4.9449327284909522E-9</v>
      </c>
      <c r="T35">
        <v>1</v>
      </c>
      <c r="U35">
        <v>12</v>
      </c>
      <c r="V35">
        <f t="shared" ref="V35:V82" si="13">IF(AND(Z34=1,Z35=0),Z35+V34+1, Z35+V34)</f>
        <v>0</v>
      </c>
      <c r="W35">
        <f t="shared" ref="W35:W79" si="14">U35*T35</f>
        <v>12</v>
      </c>
      <c r="X35">
        <f t="shared" si="5"/>
        <v>10.8</v>
      </c>
      <c r="Y35">
        <f t="shared" si="6"/>
        <v>13.200000000000001</v>
      </c>
      <c r="Z35">
        <f t="shared" ref="Z35:Z81" si="15">IF($Q$2="N/A",IF(AND((X35&gt;=MAX($H$7:$I$7)),(Y35&lt;=MIN($F$7:$G$7)),(Y35&lt;=MIN($B$7:$C$7)),(X35&gt;=MAX($D$7:$E$7))),1,0),IF(AND((X35&gt;=MAX($I$7)),(Y35&lt;=MIN($G$7)),(Y35&lt;=MIN($C$7)),(X35&gt;=MAX($E$7))),1,0))</f>
        <v>0</v>
      </c>
      <c r="AA35" s="126">
        <f t="shared" si="7"/>
        <v>1.3748152226541114E-9</v>
      </c>
      <c r="AB35" s="126">
        <f t="shared" si="8"/>
        <v>4.9449327284909522E-9</v>
      </c>
      <c r="AC35" s="126" t="str">
        <f t="shared" si="9"/>
        <v>Vlow exceeds VIL spec</v>
      </c>
      <c r="AD35" s="126" t="str">
        <f t="shared" si="10"/>
        <v>Vlow exceeds VIL spec</v>
      </c>
    </row>
    <row r="36" spans="1:30" x14ac:dyDescent="0.35">
      <c r="A36" t="s">
        <v>346</v>
      </c>
      <c r="B36">
        <v>1</v>
      </c>
      <c r="C36">
        <v>1</v>
      </c>
      <c r="K36">
        <v>1</v>
      </c>
      <c r="L36">
        <v>12</v>
      </c>
      <c r="M36">
        <f t="shared" si="11"/>
        <v>0</v>
      </c>
      <c r="N36">
        <f t="shared" si="0"/>
        <v>12</v>
      </c>
      <c r="O36">
        <f t="shared" si="1"/>
        <v>11.399999999999999</v>
      </c>
      <c r="P36">
        <f t="shared" si="2"/>
        <v>12.600000000000001</v>
      </c>
      <c r="Q36">
        <f t="shared" si="12"/>
        <v>0</v>
      </c>
      <c r="R36" s="126">
        <f t="shared" si="3"/>
        <v>1.281232236772157E-9</v>
      </c>
      <c r="S36" s="126">
        <f t="shared" si="4"/>
        <v>5.0991295940021736E-9</v>
      </c>
      <c r="T36">
        <v>1</v>
      </c>
      <c r="U36">
        <v>15</v>
      </c>
      <c r="V36">
        <f t="shared" si="13"/>
        <v>0</v>
      </c>
      <c r="W36">
        <f t="shared" si="14"/>
        <v>15</v>
      </c>
      <c r="X36">
        <f t="shared" si="5"/>
        <v>13.5</v>
      </c>
      <c r="Y36">
        <f t="shared" si="6"/>
        <v>16.5</v>
      </c>
      <c r="Z36">
        <f t="shared" si="15"/>
        <v>0</v>
      </c>
      <c r="AA36" s="126">
        <f t="shared" si="7"/>
        <v>1.4997984247088265E-9</v>
      </c>
      <c r="AB36" s="126">
        <f t="shared" si="8"/>
        <v>5.0991295940021736E-9</v>
      </c>
      <c r="AC36" s="126" t="str">
        <f t="shared" si="9"/>
        <v>Vlow exceeds VIL spec</v>
      </c>
      <c r="AD36" s="126" t="str">
        <f t="shared" si="10"/>
        <v>Vlow exceeds VIL spec</v>
      </c>
    </row>
    <row r="37" spans="1:30" x14ac:dyDescent="0.35">
      <c r="K37">
        <v>1</v>
      </c>
      <c r="L37">
        <v>13</v>
      </c>
      <c r="M37">
        <f t="shared" si="11"/>
        <v>0</v>
      </c>
      <c r="N37">
        <f t="shared" si="0"/>
        <v>13</v>
      </c>
      <c r="O37">
        <f t="shared" si="1"/>
        <v>12.35</v>
      </c>
      <c r="P37">
        <f t="shared" si="2"/>
        <v>13.65</v>
      </c>
      <c r="Q37">
        <f t="shared" si="12"/>
        <v>0</v>
      </c>
      <c r="R37" s="126">
        <f t="shared" si="3"/>
        <v>1.3880015898321084E-9</v>
      </c>
      <c r="S37" s="126">
        <f t="shared" si="4"/>
        <v>5.2533264595125131E-9</v>
      </c>
      <c r="T37">
        <v>1</v>
      </c>
      <c r="U37">
        <v>18</v>
      </c>
      <c r="V37">
        <f t="shared" si="13"/>
        <v>0</v>
      </c>
      <c r="W37">
        <f t="shared" si="14"/>
        <v>18</v>
      </c>
      <c r="X37">
        <f t="shared" si="5"/>
        <v>16.2</v>
      </c>
      <c r="Y37">
        <f t="shared" si="6"/>
        <v>19.8</v>
      </c>
      <c r="Z37">
        <f t="shared" si="15"/>
        <v>0</v>
      </c>
      <c r="AA37" s="126">
        <f t="shared" si="7"/>
        <v>1.6247816267627504E-9</v>
      </c>
      <c r="AB37" s="126">
        <f t="shared" si="8"/>
        <v>5.2533264595125131E-9</v>
      </c>
      <c r="AC37" s="126" t="str">
        <f t="shared" si="9"/>
        <v>Vlow exceeds VIL spec</v>
      </c>
      <c r="AD37" s="126" t="str">
        <f t="shared" si="10"/>
        <v>Vlow exceeds VIL spec</v>
      </c>
    </row>
    <row r="38" spans="1:30" x14ac:dyDescent="0.35">
      <c r="A38" t="s">
        <v>347</v>
      </c>
      <c r="B38" s="125">
        <f>IF(Summary!G50="absolute",(S2+N7)/(J3-J3*Summary!G18),S2+N7)</f>
        <v>0.72</v>
      </c>
      <c r="K38">
        <v>1</v>
      </c>
      <c r="L38">
        <v>15</v>
      </c>
      <c r="M38">
        <f t="shared" si="11"/>
        <v>0</v>
      </c>
      <c r="N38">
        <f t="shared" si="0"/>
        <v>15</v>
      </c>
      <c r="O38">
        <f t="shared" si="1"/>
        <v>14.25</v>
      </c>
      <c r="P38">
        <f t="shared" si="2"/>
        <v>15.75</v>
      </c>
      <c r="Q38">
        <f t="shared" si="12"/>
        <v>0</v>
      </c>
      <c r="R38" s="126">
        <f t="shared" si="3"/>
        <v>1.601540295949982E-9</v>
      </c>
      <c r="S38" s="126">
        <f t="shared" si="4"/>
        <v>5.5617201905305428E-9</v>
      </c>
      <c r="T38">
        <v>1</v>
      </c>
      <c r="U38">
        <v>22</v>
      </c>
      <c r="V38">
        <f t="shared" si="13"/>
        <v>0</v>
      </c>
      <c r="W38">
        <f t="shared" si="14"/>
        <v>22</v>
      </c>
      <c r="X38">
        <f t="shared" si="5"/>
        <v>19.8</v>
      </c>
      <c r="Y38">
        <f t="shared" si="6"/>
        <v>24.200000000000003</v>
      </c>
      <c r="Z38">
        <f t="shared" si="15"/>
        <v>0</v>
      </c>
      <c r="AA38" s="126">
        <f t="shared" si="7"/>
        <v>1.8747480308682233E-9</v>
      </c>
      <c r="AB38" s="126">
        <f t="shared" si="8"/>
        <v>5.5617201905305428E-9</v>
      </c>
      <c r="AC38" s="126" t="str">
        <f t="shared" si="9"/>
        <v>Vlow exceeds VIL spec</v>
      </c>
      <c r="AD38" s="126" t="str">
        <f t="shared" si="10"/>
        <v>Vlow exceeds VIL spec</v>
      </c>
    </row>
    <row r="39" spans="1:30" x14ac:dyDescent="0.35">
      <c r="A39" t="s">
        <v>348</v>
      </c>
      <c r="K39">
        <v>1</v>
      </c>
      <c r="L39">
        <v>16</v>
      </c>
      <c r="M39">
        <f t="shared" si="11"/>
        <v>0</v>
      </c>
      <c r="N39">
        <f t="shared" si="0"/>
        <v>16</v>
      </c>
      <c r="O39">
        <f t="shared" si="1"/>
        <v>15.2</v>
      </c>
      <c r="P39">
        <f t="shared" si="2"/>
        <v>16.8</v>
      </c>
      <c r="Q39">
        <f t="shared" si="12"/>
        <v>0</v>
      </c>
      <c r="R39" s="126">
        <f t="shared" si="3"/>
        <v>1.7083096490079043E-9</v>
      </c>
      <c r="S39" s="126">
        <f t="shared" si="4"/>
        <v>5.7159170560382321E-9</v>
      </c>
      <c r="T39">
        <v>1</v>
      </c>
      <c r="U39">
        <v>27</v>
      </c>
      <c r="V39">
        <f t="shared" si="13"/>
        <v>0</v>
      </c>
      <c r="W39">
        <f t="shared" si="14"/>
        <v>27</v>
      </c>
      <c r="X39">
        <f t="shared" si="5"/>
        <v>24.3</v>
      </c>
      <c r="Y39">
        <f t="shared" si="6"/>
        <v>29.700000000000003</v>
      </c>
      <c r="Z39">
        <f t="shared" si="15"/>
        <v>0</v>
      </c>
      <c r="AA39" s="126">
        <f t="shared" si="7"/>
        <v>1.9997312329197722E-9</v>
      </c>
      <c r="AB39" s="126">
        <f t="shared" si="8"/>
        <v>5.7159170560382321E-9</v>
      </c>
      <c r="AC39" s="126" t="str">
        <f t="shared" si="9"/>
        <v>Vlow exceeds VIL spec</v>
      </c>
      <c r="AD39" s="126" t="str">
        <f t="shared" si="10"/>
        <v>Vlow exceeds VIL spec</v>
      </c>
    </row>
    <row r="40" spans="1:30" x14ac:dyDescent="0.35">
      <c r="A40" t="s">
        <v>349</v>
      </c>
      <c r="C40" s="125">
        <f>IF(Summary!G37="absolute",(S3+N7)/(J2-J2*Summary!G17),S3+N7)</f>
        <v>0.72</v>
      </c>
      <c r="K40">
        <v>1</v>
      </c>
      <c r="L40">
        <v>18</v>
      </c>
      <c r="M40">
        <f t="shared" si="11"/>
        <v>0</v>
      </c>
      <c r="N40">
        <f t="shared" si="0"/>
        <v>18</v>
      </c>
      <c r="O40">
        <f t="shared" si="1"/>
        <v>17.099999999999998</v>
      </c>
      <c r="P40">
        <f t="shared" si="2"/>
        <v>18.900000000000002</v>
      </c>
      <c r="Q40">
        <f t="shared" si="12"/>
        <v>0</v>
      </c>
      <c r="R40" s="126">
        <f t="shared" si="3"/>
        <v>1.9218483551217202E-9</v>
      </c>
      <c r="S40" s="126">
        <f t="shared" si="4"/>
        <v>6.0243107870509612E-9</v>
      </c>
      <c r="T40">
        <v>1</v>
      </c>
      <c r="U40">
        <v>33</v>
      </c>
      <c r="V40">
        <f t="shared" si="13"/>
        <v>0</v>
      </c>
      <c r="W40">
        <f t="shared" si="14"/>
        <v>33</v>
      </c>
      <c r="X40">
        <f t="shared" si="5"/>
        <v>29.7</v>
      </c>
      <c r="Y40">
        <f t="shared" si="6"/>
        <v>36.300000000000004</v>
      </c>
      <c r="Z40">
        <f t="shared" si="15"/>
        <v>0</v>
      </c>
      <c r="AA40" s="126">
        <f t="shared" si="7"/>
        <v>2.2496976370204955E-9</v>
      </c>
      <c r="AB40" s="126">
        <f t="shared" si="8"/>
        <v>6.0243107870509612E-9</v>
      </c>
      <c r="AC40" s="126" t="str">
        <f t="shared" si="9"/>
        <v>Vlow exceeds VIL spec</v>
      </c>
      <c r="AD40" s="126" t="str">
        <f t="shared" si="10"/>
        <v>Vlow exceeds VIL spec</v>
      </c>
    </row>
    <row r="41" spans="1:30" x14ac:dyDescent="0.35">
      <c r="C41" s="1"/>
      <c r="K41">
        <v>1</v>
      </c>
      <c r="L41">
        <v>20</v>
      </c>
      <c r="M41">
        <f t="shared" si="11"/>
        <v>0</v>
      </c>
      <c r="N41">
        <f t="shared" si="0"/>
        <v>20</v>
      </c>
      <c r="O41">
        <f t="shared" si="1"/>
        <v>19</v>
      </c>
      <c r="P41">
        <f t="shared" si="2"/>
        <v>21</v>
      </c>
      <c r="Q41">
        <f t="shared" si="12"/>
        <v>0</v>
      </c>
      <c r="R41" s="126">
        <f t="shared" si="3"/>
        <v>2.1353870612328322E-9</v>
      </c>
      <c r="S41" s="126">
        <f t="shared" si="4"/>
        <v>6.332704518060159E-9</v>
      </c>
      <c r="T41">
        <v>1</v>
      </c>
      <c r="U41">
        <v>39</v>
      </c>
      <c r="V41">
        <f t="shared" si="13"/>
        <v>0</v>
      </c>
      <c r="W41">
        <f t="shared" si="14"/>
        <v>39</v>
      </c>
      <c r="X41">
        <f t="shared" si="5"/>
        <v>35.1</v>
      </c>
      <c r="Y41">
        <f t="shared" si="6"/>
        <v>42.900000000000006</v>
      </c>
      <c r="Z41">
        <f t="shared" si="15"/>
        <v>0</v>
      </c>
      <c r="AA41" s="126">
        <f t="shared" si="7"/>
        <v>2.4996640411180531E-9</v>
      </c>
      <c r="AB41" s="126">
        <f t="shared" si="8"/>
        <v>6.332704518060159E-9</v>
      </c>
      <c r="AC41" s="126" t="str">
        <f t="shared" si="9"/>
        <v>Vlow exceeds VIL spec</v>
      </c>
      <c r="AD41" s="126" t="str">
        <f t="shared" si="10"/>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0.99999921249960133</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0.99999921251971258</v>
      </c>
      <c r="K42">
        <v>1</v>
      </c>
      <c r="L42">
        <v>22</v>
      </c>
      <c r="M42">
        <f t="shared" si="11"/>
        <v>0</v>
      </c>
      <c r="N42">
        <f t="shared" si="0"/>
        <v>22</v>
      </c>
      <c r="O42">
        <f t="shared" si="1"/>
        <v>20.9</v>
      </c>
      <c r="P42">
        <f t="shared" si="2"/>
        <v>23.1</v>
      </c>
      <c r="Q42">
        <f t="shared" si="12"/>
        <v>0</v>
      </c>
      <c r="R42" s="126">
        <f t="shared" si="3"/>
        <v>2.3489257673412385E-9</v>
      </c>
      <c r="S42" s="126">
        <f t="shared" si="4"/>
        <v>6.6410982490658232E-9</v>
      </c>
      <c r="T42">
        <v>1</v>
      </c>
      <c r="U42">
        <v>47</v>
      </c>
      <c r="V42">
        <f t="shared" si="13"/>
        <v>0</v>
      </c>
      <c r="W42">
        <f t="shared" si="14"/>
        <v>47</v>
      </c>
      <c r="X42">
        <f t="shared" si="5"/>
        <v>42.300000000000004</v>
      </c>
      <c r="Y42">
        <f t="shared" si="6"/>
        <v>51.7</v>
      </c>
      <c r="Z42">
        <f t="shared" si="15"/>
        <v>0</v>
      </c>
      <c r="AA42" s="126">
        <f t="shared" si="7"/>
        <v>2.7496304452124435E-9</v>
      </c>
      <c r="AB42" s="126">
        <f t="shared" si="8"/>
        <v>6.6410982490658232E-9</v>
      </c>
      <c r="AC42" s="126" t="str">
        <f t="shared" si="9"/>
        <v>Vlow exceeds VIL spec</v>
      </c>
      <c r="AD42" s="126" t="str">
        <f t="shared" si="10"/>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0.99999921251971258</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0.99999921251971258</v>
      </c>
      <c r="K43">
        <v>1</v>
      </c>
      <c r="L43">
        <v>24</v>
      </c>
      <c r="M43">
        <f t="shared" si="11"/>
        <v>0</v>
      </c>
      <c r="N43">
        <f t="shared" si="0"/>
        <v>24</v>
      </c>
      <c r="O43">
        <f t="shared" si="1"/>
        <v>22.799999999999997</v>
      </c>
      <c r="P43">
        <f t="shared" si="2"/>
        <v>25.200000000000003</v>
      </c>
      <c r="Q43">
        <f t="shared" si="12"/>
        <v>0</v>
      </c>
      <c r="R43" s="126">
        <f t="shared" si="3"/>
        <v>2.5624644734469403E-9</v>
      </c>
      <c r="S43" s="126">
        <f t="shared" si="4"/>
        <v>6.9494919800679569E-9</v>
      </c>
      <c r="T43">
        <v>1</v>
      </c>
      <c r="U43">
        <v>56</v>
      </c>
      <c r="V43">
        <f t="shared" si="13"/>
        <v>0</v>
      </c>
      <c r="W43">
        <f t="shared" si="14"/>
        <v>56</v>
      </c>
      <c r="X43">
        <f t="shared" si="5"/>
        <v>50.4</v>
      </c>
      <c r="Y43">
        <f t="shared" si="6"/>
        <v>61.600000000000009</v>
      </c>
      <c r="Z43">
        <f t="shared" si="15"/>
        <v>0</v>
      </c>
      <c r="AA43" s="126">
        <f t="shared" si="7"/>
        <v>2.9995968493036683E-9</v>
      </c>
      <c r="AB43" s="126">
        <f t="shared" si="8"/>
        <v>6.9494919800679569E-9</v>
      </c>
      <c r="AC43" s="126" t="str">
        <f t="shared" si="9"/>
        <v>Vlow exceeds VIL spec</v>
      </c>
      <c r="AD43" s="126" t="str">
        <f t="shared" si="10"/>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0.99999921251971258</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0.99999921249960133</v>
      </c>
      <c r="K44">
        <v>1</v>
      </c>
      <c r="L44">
        <v>27</v>
      </c>
      <c r="M44">
        <f t="shared" si="11"/>
        <v>0</v>
      </c>
      <c r="N44">
        <f t="shared" si="0"/>
        <v>27</v>
      </c>
      <c r="O44">
        <f t="shared" si="1"/>
        <v>25.65</v>
      </c>
      <c r="P44">
        <f t="shared" si="2"/>
        <v>28.35</v>
      </c>
      <c r="Q44">
        <f t="shared" si="12"/>
        <v>0</v>
      </c>
      <c r="R44" s="126">
        <f t="shared" si="3"/>
        <v>2.8827725326004216E-9</v>
      </c>
      <c r="S44" s="126">
        <f t="shared" si="4"/>
        <v>7.412082576564531E-9</v>
      </c>
      <c r="T44">
        <v>1</v>
      </c>
      <c r="U44">
        <v>68</v>
      </c>
      <c r="V44">
        <f t="shared" si="13"/>
        <v>0</v>
      </c>
      <c r="W44">
        <f t="shared" si="14"/>
        <v>68</v>
      </c>
      <c r="X44">
        <f t="shared" si="5"/>
        <v>61.2</v>
      </c>
      <c r="Y44">
        <f t="shared" si="6"/>
        <v>74.800000000000011</v>
      </c>
      <c r="Z44">
        <f t="shared" si="15"/>
        <v>0</v>
      </c>
      <c r="AA44" s="126">
        <f t="shared" si="7"/>
        <v>3.3745464554345686E-9</v>
      </c>
      <c r="AB44" s="126">
        <f t="shared" si="8"/>
        <v>7.412082576564531E-9</v>
      </c>
      <c r="AC44" s="126" t="str">
        <f t="shared" si="9"/>
        <v>Vlow exceeds VIL spec</v>
      </c>
      <c r="AD44" s="126" t="str">
        <f t="shared" si="10"/>
        <v>Vlow exceeds VIL spec</v>
      </c>
    </row>
    <row r="45" spans="1:30" x14ac:dyDescent="0.35">
      <c r="K45">
        <v>1</v>
      </c>
      <c r="L45">
        <v>30</v>
      </c>
      <c r="M45">
        <f t="shared" si="11"/>
        <v>0</v>
      </c>
      <c r="N45">
        <f t="shared" si="0"/>
        <v>30</v>
      </c>
      <c r="O45">
        <f t="shared" si="1"/>
        <v>28.5</v>
      </c>
      <c r="P45">
        <f t="shared" si="2"/>
        <v>31.5</v>
      </c>
      <c r="Q45">
        <f t="shared" si="12"/>
        <v>0</v>
      </c>
      <c r="R45" s="126">
        <f t="shared" si="3"/>
        <v>3.2030805917478173E-9</v>
      </c>
      <c r="S45" s="126">
        <f t="shared" si="4"/>
        <v>7.8746731730531583E-9</v>
      </c>
      <c r="T45">
        <v>1</v>
      </c>
      <c r="U45">
        <v>82</v>
      </c>
      <c r="V45">
        <f t="shared" si="13"/>
        <v>0</v>
      </c>
      <c r="W45">
        <f t="shared" si="14"/>
        <v>82</v>
      </c>
      <c r="X45">
        <f t="shared" si="5"/>
        <v>73.8</v>
      </c>
      <c r="Y45">
        <f t="shared" si="6"/>
        <v>90.2</v>
      </c>
      <c r="Z45">
        <f t="shared" si="15"/>
        <v>0</v>
      </c>
      <c r="AA45" s="126">
        <f t="shared" si="7"/>
        <v>3.7494960615583456E-9</v>
      </c>
      <c r="AB45" s="126">
        <f t="shared" si="8"/>
        <v>7.8746731730531583E-9</v>
      </c>
      <c r="AC45" s="126" t="str">
        <f t="shared" si="9"/>
        <v>Vlow exceeds VIL spec</v>
      </c>
      <c r="AD45" s="126" t="str">
        <f t="shared" si="10"/>
        <v>Vlow exceeds VIL spec</v>
      </c>
    </row>
    <row r="46" spans="1:30" x14ac:dyDescent="0.35">
      <c r="K46">
        <v>1</v>
      </c>
      <c r="L46">
        <v>33</v>
      </c>
      <c r="M46">
        <f t="shared" si="11"/>
        <v>0</v>
      </c>
      <c r="N46">
        <f t="shared" si="0"/>
        <v>33</v>
      </c>
      <c r="O46">
        <f t="shared" si="1"/>
        <v>31.349999999999998</v>
      </c>
      <c r="P46">
        <f t="shared" si="2"/>
        <v>34.65</v>
      </c>
      <c r="Q46">
        <f t="shared" si="12"/>
        <v>0</v>
      </c>
      <c r="R46" s="126">
        <f t="shared" si="3"/>
        <v>3.5233886508891263E-9</v>
      </c>
      <c r="S46" s="126">
        <f t="shared" si="4"/>
        <v>8.3372637695338381E-9</v>
      </c>
      <c r="T46">
        <v>10</v>
      </c>
      <c r="U46">
        <v>10</v>
      </c>
      <c r="V46">
        <f t="shared" si="13"/>
        <v>0</v>
      </c>
      <c r="W46">
        <f t="shared" si="14"/>
        <v>100</v>
      </c>
      <c r="X46">
        <f t="shared" si="5"/>
        <v>90</v>
      </c>
      <c r="Y46">
        <f t="shared" si="6"/>
        <v>110.00000000000001</v>
      </c>
      <c r="Z46">
        <f t="shared" si="15"/>
        <v>0</v>
      </c>
      <c r="AA46" s="126">
        <f t="shared" si="7"/>
        <v>4.1244456676749968E-9</v>
      </c>
      <c r="AB46" s="126">
        <f t="shared" si="8"/>
        <v>8.3372637695338381E-9</v>
      </c>
      <c r="AC46" s="126" t="str">
        <f t="shared" si="9"/>
        <v>Vlow exceeds VIL spec</v>
      </c>
      <c r="AD46" s="126" t="str">
        <f t="shared" si="10"/>
        <v>Vlow exceeds VIL spec</v>
      </c>
    </row>
    <row r="47" spans="1:30" x14ac:dyDescent="0.35">
      <c r="B47" s="171" t="s">
        <v>353</v>
      </c>
      <c r="C47" s="171"/>
      <c r="K47">
        <v>1</v>
      </c>
      <c r="L47">
        <v>36</v>
      </c>
      <c r="M47">
        <f t="shared" si="11"/>
        <v>0</v>
      </c>
      <c r="N47">
        <f t="shared" si="0"/>
        <v>36</v>
      </c>
      <c r="O47">
        <f t="shared" si="1"/>
        <v>34.199999999999996</v>
      </c>
      <c r="P47">
        <f t="shared" si="2"/>
        <v>37.800000000000004</v>
      </c>
      <c r="Q47">
        <f t="shared" si="12"/>
        <v>0</v>
      </c>
      <c r="R47" s="126">
        <f t="shared" si="3"/>
        <v>3.8436967100243492E-9</v>
      </c>
      <c r="S47" s="126">
        <f t="shared" si="4"/>
        <v>8.7998543660065687E-9</v>
      </c>
      <c r="T47">
        <v>10</v>
      </c>
      <c r="U47">
        <v>12</v>
      </c>
      <c r="V47">
        <f t="shared" si="13"/>
        <v>0</v>
      </c>
      <c r="W47">
        <f>U47*T47</f>
        <v>120</v>
      </c>
      <c r="X47">
        <f t="shared" si="5"/>
        <v>108</v>
      </c>
      <c r="Y47">
        <f t="shared" si="6"/>
        <v>132</v>
      </c>
      <c r="Z47">
        <f t="shared" si="15"/>
        <v>0</v>
      </c>
      <c r="AA47" s="126">
        <f t="shared" si="7"/>
        <v>4.4993952737845244E-9</v>
      </c>
      <c r="AB47" s="126">
        <f t="shared" si="8"/>
        <v>8.7998543660065687E-9</v>
      </c>
      <c r="AC47" s="126" t="str">
        <f t="shared" si="9"/>
        <v>Vlow exceeds VIL spec</v>
      </c>
      <c r="AD47" s="126" t="str">
        <f t="shared" si="10"/>
        <v>Vlow exceeds VIL spec</v>
      </c>
    </row>
    <row r="48" spans="1:30" x14ac:dyDescent="0.35">
      <c r="B48" t="s">
        <v>316</v>
      </c>
      <c r="C48" t="s">
        <v>317</v>
      </c>
      <c r="K48">
        <v>1</v>
      </c>
      <c r="L48">
        <v>39</v>
      </c>
      <c r="M48">
        <f t="shared" si="11"/>
        <v>0</v>
      </c>
      <c r="N48">
        <f t="shared" si="0"/>
        <v>39</v>
      </c>
      <c r="O48">
        <f t="shared" si="1"/>
        <v>37.049999999999997</v>
      </c>
      <c r="P48">
        <f t="shared" si="2"/>
        <v>40.950000000000003</v>
      </c>
      <c r="Q48">
        <f t="shared" si="12"/>
        <v>0</v>
      </c>
      <c r="R48" s="126">
        <f t="shared" si="3"/>
        <v>4.164004769153487E-9</v>
      </c>
      <c r="S48" s="126">
        <f t="shared" si="4"/>
        <v>9.2624449624713517E-9</v>
      </c>
      <c r="T48">
        <v>10</v>
      </c>
      <c r="U48">
        <v>15</v>
      </c>
      <c r="V48">
        <f t="shared" si="13"/>
        <v>0</v>
      </c>
      <c r="W48">
        <f t="shared" si="14"/>
        <v>150</v>
      </c>
      <c r="X48">
        <f t="shared" si="5"/>
        <v>135</v>
      </c>
      <c r="Y48">
        <f t="shared" si="6"/>
        <v>165</v>
      </c>
      <c r="Z48">
        <f t="shared" si="15"/>
        <v>0</v>
      </c>
      <c r="AA48" s="126">
        <f t="shared" si="7"/>
        <v>4.8743448798869291E-9</v>
      </c>
      <c r="AB48" s="126">
        <f t="shared" si="8"/>
        <v>9.2624449624713517E-9</v>
      </c>
      <c r="AC48" s="126" t="str">
        <f t="shared" si="9"/>
        <v>Vlow exceeds VIL spec</v>
      </c>
      <c r="AD48" s="126" t="str">
        <f t="shared" si="10"/>
        <v>Vlow exceeds VIL spec</v>
      </c>
    </row>
    <row r="49" spans="1:30" x14ac:dyDescent="0.35">
      <c r="A49" t="s">
        <v>318</v>
      </c>
      <c r="B49" s="11">
        <f>C2*(1+E2)</f>
        <v>1100000000000</v>
      </c>
      <c r="C49" s="11">
        <f>C2*(1+E2)</f>
        <v>1100000000000</v>
      </c>
      <c r="K49">
        <v>1</v>
      </c>
      <c r="L49">
        <v>43</v>
      </c>
      <c r="M49">
        <f t="shared" si="11"/>
        <v>0</v>
      </c>
      <c r="N49">
        <f t="shared" si="0"/>
        <v>43</v>
      </c>
      <c r="O49">
        <f t="shared" si="1"/>
        <v>40.85</v>
      </c>
      <c r="P49">
        <f t="shared" si="2"/>
        <v>45.15</v>
      </c>
      <c r="Q49">
        <f t="shared" si="12"/>
        <v>0</v>
      </c>
      <c r="R49" s="126">
        <f t="shared" si="3"/>
        <v>4.5910821813162061E-9</v>
      </c>
      <c r="S49" s="126">
        <f t="shared" si="4"/>
        <v>9.8792324244120321E-9</v>
      </c>
      <c r="T49">
        <v>10</v>
      </c>
      <c r="U49">
        <v>18</v>
      </c>
      <c r="V49">
        <f t="shared" si="13"/>
        <v>0</v>
      </c>
      <c r="W49">
        <f t="shared" si="14"/>
        <v>180</v>
      </c>
      <c r="X49">
        <f t="shared" si="5"/>
        <v>162</v>
      </c>
      <c r="Y49">
        <f t="shared" si="6"/>
        <v>198.00000000000003</v>
      </c>
      <c r="Z49">
        <f t="shared" si="15"/>
        <v>0</v>
      </c>
      <c r="AA49" s="126">
        <f t="shared" si="7"/>
        <v>5.3742776880123876E-9</v>
      </c>
      <c r="AB49" s="126">
        <f t="shared" si="8"/>
        <v>9.8792324244120321E-9</v>
      </c>
      <c r="AC49" s="126" t="str">
        <f t="shared" si="9"/>
        <v>Vlow exceeds VIL spec</v>
      </c>
      <c r="AD49" s="126" t="str">
        <f t="shared" si="10"/>
        <v>Vlow exceeds VIL spec</v>
      </c>
    </row>
    <row r="50" spans="1:30" x14ac:dyDescent="0.35">
      <c r="A50" t="s">
        <v>320</v>
      </c>
      <c r="B50" s="11">
        <f>F11*(1+H11)</f>
        <v>955.5</v>
      </c>
      <c r="C50" s="11">
        <f>F11*(1+H11)</f>
        <v>955.5</v>
      </c>
      <c r="K50">
        <v>1</v>
      </c>
      <c r="L50">
        <v>47</v>
      </c>
      <c r="M50">
        <f t="shared" si="11"/>
        <v>0</v>
      </c>
      <c r="N50">
        <f t="shared" si="0"/>
        <v>47</v>
      </c>
      <c r="O50">
        <f t="shared" si="1"/>
        <v>44.65</v>
      </c>
      <c r="P50">
        <f t="shared" si="2"/>
        <v>49.35</v>
      </c>
      <c r="Q50">
        <f t="shared" si="12"/>
        <v>0</v>
      </c>
      <c r="R50" s="126">
        <f t="shared" si="3"/>
        <v>5.0181595934681032E-9</v>
      </c>
      <c r="S50" s="126">
        <f t="shared" si="4"/>
        <v>1.0496019886338583E-8</v>
      </c>
      <c r="T50">
        <v>10</v>
      </c>
      <c r="U50">
        <v>22</v>
      </c>
      <c r="V50">
        <f t="shared" si="13"/>
        <v>0</v>
      </c>
      <c r="W50">
        <f t="shared" si="14"/>
        <v>220</v>
      </c>
      <c r="X50">
        <f t="shared" si="5"/>
        <v>198</v>
      </c>
      <c r="Y50">
        <f t="shared" si="6"/>
        <v>242.00000000000003</v>
      </c>
      <c r="Z50">
        <f t="shared" si="15"/>
        <v>0</v>
      </c>
      <c r="AA50" s="126">
        <f t="shared" si="7"/>
        <v>5.8742104961251794E-9</v>
      </c>
      <c r="AB50" s="126">
        <f t="shared" si="8"/>
        <v>1.0496019886338583E-8</v>
      </c>
      <c r="AC50" s="126" t="str">
        <f t="shared" si="9"/>
        <v>Vlow exceeds VIL spec</v>
      </c>
      <c r="AD50" s="126" t="str">
        <f t="shared" si="10"/>
        <v>Vlow exceeds VIL spec</v>
      </c>
    </row>
    <row r="51" spans="1:30" x14ac:dyDescent="0.35">
      <c r="A51" t="s">
        <v>322</v>
      </c>
      <c r="B51" s="11">
        <f>C3*(1+E3)</f>
        <v>1100000000000</v>
      </c>
      <c r="C51" s="11">
        <f>C3*(1+E3)</f>
        <v>1100000000000</v>
      </c>
      <c r="K51">
        <v>1</v>
      </c>
      <c r="L51">
        <v>51</v>
      </c>
      <c r="M51">
        <f t="shared" si="11"/>
        <v>0</v>
      </c>
      <c r="N51">
        <f t="shared" si="0"/>
        <v>51</v>
      </c>
      <c r="O51">
        <f t="shared" si="1"/>
        <v>48.449999999999996</v>
      </c>
      <c r="P51">
        <f t="shared" si="2"/>
        <v>53.550000000000004</v>
      </c>
      <c r="Q51">
        <f t="shared" si="12"/>
        <v>0</v>
      </c>
      <c r="R51" s="126">
        <f t="shared" si="3"/>
        <v>5.44523700560918E-9</v>
      </c>
      <c r="S51" s="126">
        <f t="shared" si="4"/>
        <v>1.1112807348251003E-8</v>
      </c>
      <c r="T51">
        <v>10</v>
      </c>
      <c r="U51">
        <v>27</v>
      </c>
      <c r="V51">
        <f t="shared" si="13"/>
        <v>0</v>
      </c>
      <c r="W51">
        <f t="shared" si="14"/>
        <v>270</v>
      </c>
      <c r="X51">
        <f t="shared" si="5"/>
        <v>243</v>
      </c>
      <c r="Y51">
        <f t="shared" si="6"/>
        <v>297</v>
      </c>
      <c r="Z51">
        <f t="shared" si="15"/>
        <v>0</v>
      </c>
      <c r="AA51" s="126">
        <f t="shared" si="7"/>
        <v>6.3741433042253055E-9</v>
      </c>
      <c r="AB51" s="126">
        <f t="shared" si="8"/>
        <v>1.1112807348251003E-8</v>
      </c>
      <c r="AC51" s="126" t="str">
        <f t="shared" si="9"/>
        <v>Vlow exceeds VIL spec</v>
      </c>
      <c r="AD51" s="126" t="str">
        <f t="shared" si="10"/>
        <v>Vlow exceeds VIL spec</v>
      </c>
    </row>
    <row r="52" spans="1:30" x14ac:dyDescent="0.35">
      <c r="A52" t="s">
        <v>324</v>
      </c>
      <c r="B52" s="1">
        <f>K21</f>
        <v>22.122405384810769</v>
      </c>
      <c r="C52">
        <v>0</v>
      </c>
      <c r="K52">
        <v>1</v>
      </c>
      <c r="L52">
        <v>56</v>
      </c>
      <c r="M52">
        <f t="shared" si="11"/>
        <v>0</v>
      </c>
      <c r="N52">
        <f t="shared" si="0"/>
        <v>56</v>
      </c>
      <c r="O52">
        <f t="shared" si="1"/>
        <v>53.199999999999996</v>
      </c>
      <c r="P52">
        <f t="shared" si="2"/>
        <v>58.800000000000004</v>
      </c>
      <c r="Q52">
        <f t="shared" si="12"/>
        <v>0</v>
      </c>
      <c r="R52" s="126">
        <f t="shared" si="3"/>
        <v>5.9790837707703136E-9</v>
      </c>
      <c r="S52" s="126">
        <f t="shared" si="4"/>
        <v>1.1883791675621658E-8</v>
      </c>
      <c r="T52">
        <v>10</v>
      </c>
      <c r="U52">
        <v>33</v>
      </c>
      <c r="V52">
        <f t="shared" si="13"/>
        <v>0</v>
      </c>
      <c r="W52">
        <f t="shared" si="14"/>
        <v>330</v>
      </c>
      <c r="X52">
        <f t="shared" si="5"/>
        <v>297</v>
      </c>
      <c r="Y52">
        <f t="shared" si="6"/>
        <v>363.00000000000006</v>
      </c>
      <c r="Z52">
        <f t="shared" si="15"/>
        <v>0</v>
      </c>
      <c r="AA52" s="126">
        <f t="shared" si="7"/>
        <v>6.9990593143326538E-9</v>
      </c>
      <c r="AB52" s="126">
        <f t="shared" si="8"/>
        <v>1.1883791675621658E-8</v>
      </c>
      <c r="AC52" s="126" t="str">
        <f t="shared" si="9"/>
        <v>Vlow exceeds VIL spec</v>
      </c>
      <c r="AD52" s="126" t="str">
        <f t="shared" si="10"/>
        <v>Vlow exceeds VIL spec</v>
      </c>
    </row>
    <row r="53" spans="1:30" x14ac:dyDescent="0.35">
      <c r="A53" t="s">
        <v>327</v>
      </c>
      <c r="B53">
        <v>0</v>
      </c>
      <c r="C53" s="1">
        <f>K21</f>
        <v>22.122405384810769</v>
      </c>
      <c r="K53">
        <v>1</v>
      </c>
      <c r="L53">
        <v>62</v>
      </c>
      <c r="M53">
        <f t="shared" si="11"/>
        <v>0</v>
      </c>
      <c r="N53">
        <f t="shared" si="0"/>
        <v>62</v>
      </c>
      <c r="O53">
        <f t="shared" si="1"/>
        <v>58.9</v>
      </c>
      <c r="P53">
        <f t="shared" si="2"/>
        <v>65.100000000000009</v>
      </c>
      <c r="Q53">
        <f t="shared" si="12"/>
        <v>0</v>
      </c>
      <c r="R53" s="126">
        <f t="shared" si="3"/>
        <v>6.6196998889413597E-9</v>
      </c>
      <c r="S53" s="126">
        <f t="shared" si="4"/>
        <v>1.2808972868437298E-8</v>
      </c>
      <c r="T53">
        <v>10</v>
      </c>
      <c r="U53">
        <v>39</v>
      </c>
      <c r="V53">
        <f t="shared" si="13"/>
        <v>0</v>
      </c>
      <c r="W53">
        <f t="shared" si="14"/>
        <v>390</v>
      </c>
      <c r="X53">
        <f t="shared" si="5"/>
        <v>351</v>
      </c>
      <c r="Y53">
        <f t="shared" si="6"/>
        <v>429.00000000000006</v>
      </c>
      <c r="Z53">
        <f t="shared" si="15"/>
        <v>0</v>
      </c>
      <c r="AA53" s="126">
        <f t="shared" si="7"/>
        <v>7.7489585264353528E-9</v>
      </c>
      <c r="AB53" s="126">
        <f t="shared" si="8"/>
        <v>1.2808972868437298E-8</v>
      </c>
      <c r="AC53" s="126" t="str">
        <f t="shared" si="9"/>
        <v>Vlow exceeds VIL spec</v>
      </c>
      <c r="AD53" s="126" t="str">
        <f t="shared" si="10"/>
        <v>Vlow exceeds VIL spec</v>
      </c>
    </row>
    <row r="54" spans="1:30" x14ac:dyDescent="0.35">
      <c r="A54" t="s">
        <v>329</v>
      </c>
      <c r="B54" s="11">
        <f>F2*(1-G2)</f>
        <v>900000000000</v>
      </c>
      <c r="C54" s="11">
        <f>F2*(1-G2)</f>
        <v>900000000000</v>
      </c>
      <c r="K54">
        <v>1</v>
      </c>
      <c r="L54">
        <v>68</v>
      </c>
      <c r="M54">
        <f t="shared" si="11"/>
        <v>0</v>
      </c>
      <c r="N54">
        <f t="shared" si="0"/>
        <v>68</v>
      </c>
      <c r="O54">
        <f t="shared" si="1"/>
        <v>64.599999999999994</v>
      </c>
      <c r="P54">
        <f t="shared" si="2"/>
        <v>71.400000000000006</v>
      </c>
      <c r="Q54">
        <f t="shared" si="12"/>
        <v>0</v>
      </c>
      <c r="R54" s="126">
        <f t="shared" si="3"/>
        <v>7.2603160070880602E-9</v>
      </c>
      <c r="S54" s="126">
        <f t="shared" si="4"/>
        <v>1.3734154061221149E-8</v>
      </c>
      <c r="T54">
        <v>10</v>
      </c>
      <c r="U54">
        <v>47</v>
      </c>
      <c r="V54">
        <f t="shared" si="13"/>
        <v>1</v>
      </c>
      <c r="W54">
        <f t="shared" si="14"/>
        <v>470</v>
      </c>
      <c r="X54">
        <f t="shared" si="5"/>
        <v>423</v>
      </c>
      <c r="Y54">
        <f t="shared" si="6"/>
        <v>517</v>
      </c>
      <c r="Z54">
        <f t="shared" si="15"/>
        <v>1</v>
      </c>
      <c r="AA54" s="126">
        <f t="shared" si="7"/>
        <v>8.4988577385095521E-9</v>
      </c>
      <c r="AB54" s="126">
        <f t="shared" si="8"/>
        <v>1.3734154061221149E-8</v>
      </c>
      <c r="AC54" s="126" t="str">
        <f t="shared" si="9"/>
        <v>Vlow exceeds VIL spec</v>
      </c>
      <c r="AD54" s="126" t="str">
        <f t="shared" si="10"/>
        <v>Vlow exceeds VIL spec</v>
      </c>
    </row>
    <row r="55" spans="1:30" x14ac:dyDescent="0.35">
      <c r="A55" t="s">
        <v>332</v>
      </c>
      <c r="B55" s="11">
        <f>F12*(1-H12)</f>
        <v>900000000</v>
      </c>
      <c r="C55" s="11">
        <f>F12*(1-H12)</f>
        <v>900000000</v>
      </c>
      <c r="K55">
        <v>1</v>
      </c>
      <c r="L55">
        <v>75</v>
      </c>
      <c r="M55">
        <f t="shared" si="11"/>
        <v>0</v>
      </c>
      <c r="N55">
        <f t="shared" si="0"/>
        <v>75</v>
      </c>
      <c r="O55">
        <f t="shared" si="1"/>
        <v>71.25</v>
      </c>
      <c r="P55">
        <f t="shared" si="2"/>
        <v>78.75</v>
      </c>
      <c r="Q55">
        <f t="shared" si="12"/>
        <v>0</v>
      </c>
      <c r="R55" s="126">
        <f t="shared" si="3"/>
        <v>8.0077014782284446E-9</v>
      </c>
      <c r="S55" s="126">
        <f t="shared" si="4"/>
        <v>1.4813532119428789E-8</v>
      </c>
      <c r="T55">
        <v>10</v>
      </c>
      <c r="U55">
        <v>56</v>
      </c>
      <c r="V55">
        <f t="shared" si="13"/>
        <v>2</v>
      </c>
      <c r="W55">
        <f t="shared" si="14"/>
        <v>560</v>
      </c>
      <c r="X55">
        <f t="shared" si="5"/>
        <v>504</v>
      </c>
      <c r="Y55">
        <f t="shared" si="6"/>
        <v>616</v>
      </c>
      <c r="Z55">
        <f t="shared" si="15"/>
        <v>1</v>
      </c>
      <c r="AA55" s="126">
        <f t="shared" si="7"/>
        <v>9.3737401525601033E-9</v>
      </c>
      <c r="AB55" s="126">
        <f t="shared" si="8"/>
        <v>1.4813532119428789E-8</v>
      </c>
      <c r="AC55" s="126" t="str">
        <f t="shared" si="9"/>
        <v>Vlow exceeds VIL spec</v>
      </c>
      <c r="AD55" s="126" t="str">
        <f t="shared" si="10"/>
        <v>Vlow exceeds VIL spec</v>
      </c>
    </row>
    <row r="56" spans="1:30" x14ac:dyDescent="0.35">
      <c r="A56" t="s">
        <v>333</v>
      </c>
      <c r="B56" s="11">
        <f>F3*(1-G3)</f>
        <v>900000000000</v>
      </c>
      <c r="C56" s="11">
        <f>F3*(1-G3)</f>
        <v>900000000000</v>
      </c>
      <c r="K56">
        <v>1</v>
      </c>
      <c r="L56">
        <v>82</v>
      </c>
      <c r="M56">
        <f t="shared" si="11"/>
        <v>0</v>
      </c>
      <c r="N56">
        <f t="shared" si="0"/>
        <v>82</v>
      </c>
      <c r="O56">
        <f t="shared" si="1"/>
        <v>77.899999999999991</v>
      </c>
      <c r="P56">
        <f t="shared" si="2"/>
        <v>86.100000000000009</v>
      </c>
      <c r="Q56">
        <f t="shared" si="12"/>
        <v>0</v>
      </c>
      <c r="R56" s="126">
        <f t="shared" si="3"/>
        <v>8.7550869493356963E-9</v>
      </c>
      <c r="S56" s="126">
        <f t="shared" si="4"/>
        <v>1.5892910177593163E-8</v>
      </c>
      <c r="T56">
        <v>10</v>
      </c>
      <c r="U56">
        <v>68</v>
      </c>
      <c r="V56">
        <f t="shared" si="13"/>
        <v>3</v>
      </c>
      <c r="W56">
        <f t="shared" si="14"/>
        <v>680</v>
      </c>
      <c r="X56">
        <f t="shared" si="5"/>
        <v>612</v>
      </c>
      <c r="Y56">
        <f t="shared" si="6"/>
        <v>748.00000000000011</v>
      </c>
      <c r="Z56">
        <f t="shared" si="15"/>
        <v>1</v>
      </c>
      <c r="AA56" s="126">
        <f t="shared" si="7"/>
        <v>1.024862256657187E-8</v>
      </c>
      <c r="AB56" s="126">
        <f t="shared" si="8"/>
        <v>1.5892910177593163E-8</v>
      </c>
      <c r="AC56" s="126" t="str">
        <f t="shared" si="9"/>
        <v>Vlow exceeds VIL spec</v>
      </c>
      <c r="AD56" s="126" t="str">
        <f t="shared" si="10"/>
        <v>Vlow exceeds VIL spec</v>
      </c>
    </row>
    <row r="57" spans="1:30" x14ac:dyDescent="0.35">
      <c r="K57">
        <v>1</v>
      </c>
      <c r="L57">
        <v>91</v>
      </c>
      <c r="M57">
        <f t="shared" si="11"/>
        <v>0</v>
      </c>
      <c r="N57">
        <f t="shared" si="0"/>
        <v>91</v>
      </c>
      <c r="O57">
        <f t="shared" si="1"/>
        <v>86.45</v>
      </c>
      <c r="P57">
        <f t="shared" si="2"/>
        <v>95.55</v>
      </c>
      <c r="Q57">
        <f t="shared" si="12"/>
        <v>0</v>
      </c>
      <c r="R57" s="126">
        <f t="shared" si="3"/>
        <v>9.7160111264249028E-9</v>
      </c>
      <c r="S57" s="126">
        <f t="shared" si="4"/>
        <v>1.7280681966598049E-8</v>
      </c>
      <c r="T57">
        <v>10</v>
      </c>
      <c r="U57">
        <v>82</v>
      </c>
      <c r="V57">
        <f t="shared" si="13"/>
        <v>4</v>
      </c>
      <c r="W57">
        <f t="shared" si="14"/>
        <v>820</v>
      </c>
      <c r="X57">
        <f t="shared" si="5"/>
        <v>738</v>
      </c>
      <c r="Y57">
        <f t="shared" si="6"/>
        <v>902.00000000000011</v>
      </c>
      <c r="Z57">
        <f t="shared" si="15"/>
        <v>1</v>
      </c>
      <c r="AA57" s="126">
        <f t="shared" si="7"/>
        <v>1.1373471384530005E-8</v>
      </c>
      <c r="AB57" s="126">
        <f t="shared" si="8"/>
        <v>1.7280681966598049E-8</v>
      </c>
      <c r="AC57" s="126" t="str">
        <f t="shared" si="9"/>
        <v>Vlow exceeds VIL spec</v>
      </c>
      <c r="AD57" s="126" t="str">
        <f t="shared" si="10"/>
        <v>Vlow exceeds VIL spec</v>
      </c>
    </row>
    <row r="58" spans="1:30" x14ac:dyDescent="0.35">
      <c r="A58" t="s">
        <v>344</v>
      </c>
      <c r="B58">
        <v>1</v>
      </c>
      <c r="C58">
        <v>1</v>
      </c>
      <c r="K58">
        <v>10</v>
      </c>
      <c r="L58">
        <v>10</v>
      </c>
      <c r="M58">
        <f t="shared" si="11"/>
        <v>0</v>
      </c>
      <c r="N58">
        <f t="shared" si="0"/>
        <v>100</v>
      </c>
      <c r="O58">
        <f t="shared" si="1"/>
        <v>95</v>
      </c>
      <c r="P58">
        <f t="shared" si="2"/>
        <v>105</v>
      </c>
      <c r="Q58">
        <f t="shared" si="12"/>
        <v>0</v>
      </c>
      <c r="R58" s="126">
        <f t="shared" si="3"/>
        <v>1.0676935303459338E-8</v>
      </c>
      <c r="S58" s="126">
        <f t="shared" si="4"/>
        <v>1.8668453755531403E-8</v>
      </c>
      <c r="T58">
        <v>100</v>
      </c>
      <c r="U58">
        <v>10</v>
      </c>
      <c r="V58">
        <f t="shared" si="13"/>
        <v>5</v>
      </c>
      <c r="W58">
        <f t="shared" si="14"/>
        <v>1000</v>
      </c>
      <c r="X58">
        <f t="shared" si="5"/>
        <v>900</v>
      </c>
      <c r="Y58">
        <f t="shared" si="6"/>
        <v>1100</v>
      </c>
      <c r="Z58">
        <f t="shared" si="15"/>
        <v>1</v>
      </c>
      <c r="AA58" s="126">
        <f t="shared" si="7"/>
        <v>1.2498320202424025E-8</v>
      </c>
      <c r="AB58" s="126">
        <f t="shared" si="8"/>
        <v>1.8668453755531403E-8</v>
      </c>
      <c r="AC58" s="126" t="str">
        <f t="shared" si="9"/>
        <v>Vlow exceeds VIL spec</v>
      </c>
      <c r="AD58" s="126" t="str">
        <f t="shared" si="10"/>
        <v>Vlow exceeds VIL spec</v>
      </c>
    </row>
    <row r="59" spans="1:30" x14ac:dyDescent="0.35">
      <c r="A59" t="s">
        <v>345</v>
      </c>
      <c r="B59">
        <v>1</v>
      </c>
      <c r="C59">
        <v>1</v>
      </c>
      <c r="K59">
        <v>10</v>
      </c>
      <c r="L59">
        <v>11</v>
      </c>
      <c r="M59">
        <f t="shared" si="11"/>
        <v>0</v>
      </c>
      <c r="N59">
        <f t="shared" si="0"/>
        <v>110</v>
      </c>
      <c r="O59">
        <f t="shared" si="1"/>
        <v>104.5</v>
      </c>
      <c r="P59">
        <f t="shared" si="2"/>
        <v>115.5</v>
      </c>
      <c r="Q59">
        <f t="shared" si="12"/>
        <v>0</v>
      </c>
      <c r="R59" s="126">
        <f t="shared" si="3"/>
        <v>1.1744628833433358E-8</v>
      </c>
      <c r="S59" s="126">
        <f t="shared" si="4"/>
        <v>2.0210422409817902E-8</v>
      </c>
      <c r="T59">
        <v>100</v>
      </c>
      <c r="U59">
        <v>12</v>
      </c>
      <c r="V59">
        <f t="shared" si="13"/>
        <v>6</v>
      </c>
      <c r="W59">
        <f t="shared" si="14"/>
        <v>1200</v>
      </c>
      <c r="X59">
        <f t="shared" si="5"/>
        <v>1080</v>
      </c>
      <c r="Y59">
        <f t="shared" si="6"/>
        <v>1320</v>
      </c>
      <c r="Z59">
        <f t="shared" si="15"/>
        <v>1</v>
      </c>
      <c r="AA59" s="126">
        <f t="shared" si="7"/>
        <v>1.3748152222231067E-8</v>
      </c>
      <c r="AB59" s="126">
        <f t="shared" si="8"/>
        <v>2.0210422409817902E-8</v>
      </c>
      <c r="AC59" s="126" t="str">
        <f t="shared" si="9"/>
        <v>Vlow exceeds VIL spec</v>
      </c>
      <c r="AD59" s="126" t="str">
        <f t="shared" si="10"/>
        <v>Vlow exceeds VIL spec</v>
      </c>
    </row>
    <row r="60" spans="1:30" x14ac:dyDescent="0.35">
      <c r="A60" t="s">
        <v>346</v>
      </c>
      <c r="B60">
        <v>1</v>
      </c>
      <c r="C60">
        <v>1</v>
      </c>
      <c r="K60">
        <v>10</v>
      </c>
      <c r="L60">
        <v>12</v>
      </c>
      <c r="M60">
        <f t="shared" si="11"/>
        <v>0</v>
      </c>
      <c r="N60">
        <f t="shared" si="0"/>
        <v>120</v>
      </c>
      <c r="O60">
        <f t="shared" si="1"/>
        <v>114</v>
      </c>
      <c r="P60">
        <f t="shared" si="2"/>
        <v>126</v>
      </c>
      <c r="Q60">
        <f t="shared" si="12"/>
        <v>0</v>
      </c>
      <c r="R60" s="126">
        <f t="shared" si="3"/>
        <v>1.2812322363339758E-8</v>
      </c>
      <c r="S60" s="126">
        <f t="shared" si="4"/>
        <v>2.1752391064016091E-8</v>
      </c>
      <c r="T60">
        <v>100</v>
      </c>
      <c r="U60">
        <v>15</v>
      </c>
      <c r="V60">
        <f t="shared" si="13"/>
        <v>7</v>
      </c>
      <c r="W60">
        <f t="shared" si="14"/>
        <v>1500</v>
      </c>
      <c r="X60">
        <f t="shared" si="5"/>
        <v>1350</v>
      </c>
      <c r="Y60">
        <f t="shared" si="6"/>
        <v>1650.0000000000002</v>
      </c>
      <c r="Z60">
        <f t="shared" si="15"/>
        <v>1</v>
      </c>
      <c r="AA60" s="126">
        <f t="shared" si="7"/>
        <v>1.4997984241958956E-8</v>
      </c>
      <c r="AB60" s="126">
        <f t="shared" si="8"/>
        <v>2.1752391064016091E-8</v>
      </c>
      <c r="AC60" s="126" t="str">
        <f t="shared" si="9"/>
        <v>Vlow exceeds VIL spec</v>
      </c>
      <c r="AD60" s="126" t="str">
        <f t="shared" si="10"/>
        <v>Vlow exceeds VIL spec</v>
      </c>
    </row>
    <row r="61" spans="1:30" x14ac:dyDescent="0.35">
      <c r="K61">
        <v>10</v>
      </c>
      <c r="L61">
        <v>13</v>
      </c>
      <c r="M61">
        <f t="shared" si="11"/>
        <v>0</v>
      </c>
      <c r="N61">
        <f t="shared" si="0"/>
        <v>130</v>
      </c>
      <c r="O61">
        <f t="shared" si="1"/>
        <v>123.5</v>
      </c>
      <c r="P61">
        <f t="shared" si="2"/>
        <v>136.5</v>
      </c>
      <c r="Q61">
        <f t="shared" si="12"/>
        <v>0</v>
      </c>
      <c r="R61" s="126">
        <f t="shared" si="3"/>
        <v>1.3880015893178537E-8</v>
      </c>
      <c r="S61" s="126">
        <f t="shared" si="4"/>
        <v>2.329435971812596E-8</v>
      </c>
      <c r="T61">
        <v>100</v>
      </c>
      <c r="U61">
        <v>18</v>
      </c>
      <c r="V61">
        <f t="shared" si="13"/>
        <v>8</v>
      </c>
      <c r="W61">
        <f t="shared" si="14"/>
        <v>1800</v>
      </c>
      <c r="X61">
        <f t="shared" si="5"/>
        <v>1620</v>
      </c>
      <c r="Y61">
        <f t="shared" si="6"/>
        <v>1980.0000000000002</v>
      </c>
      <c r="Z61">
        <f t="shared" si="15"/>
        <v>0</v>
      </c>
      <c r="AA61" s="126">
        <f t="shared" si="7"/>
        <v>1.6247816261607686E-8</v>
      </c>
      <c r="AB61" s="126">
        <f t="shared" si="8"/>
        <v>2.329435971812596E-8</v>
      </c>
      <c r="AC61" s="126" t="str">
        <f t="shared" si="9"/>
        <v>Vlow exceeds VIL spec</v>
      </c>
      <c r="AD61" s="126" t="str">
        <f t="shared" si="10"/>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0.99999893618655311</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0.99999893621113367</v>
      </c>
      <c r="K62">
        <v>10</v>
      </c>
      <c r="L62">
        <v>15</v>
      </c>
      <c r="M62">
        <f t="shared" si="11"/>
        <v>0</v>
      </c>
      <c r="N62">
        <f t="shared" si="0"/>
        <v>150</v>
      </c>
      <c r="O62">
        <f t="shared" si="1"/>
        <v>142.5</v>
      </c>
      <c r="P62">
        <f t="shared" si="2"/>
        <v>157.5</v>
      </c>
      <c r="Q62">
        <f t="shared" si="12"/>
        <v>0</v>
      </c>
      <c r="R62" s="126">
        <f t="shared" si="3"/>
        <v>1.6015402952653235E-8</v>
      </c>
      <c r="S62" s="126">
        <f t="shared" si="4"/>
        <v>2.6378297026080768E-8</v>
      </c>
      <c r="T62">
        <v>100</v>
      </c>
      <c r="U62">
        <v>22</v>
      </c>
      <c r="V62">
        <f t="shared" si="13"/>
        <v>8</v>
      </c>
      <c r="W62">
        <f t="shared" si="14"/>
        <v>2200</v>
      </c>
      <c r="X62">
        <f t="shared" si="5"/>
        <v>1980</v>
      </c>
      <c r="Y62">
        <f t="shared" si="6"/>
        <v>2420</v>
      </c>
      <c r="Z62">
        <f t="shared" si="15"/>
        <v>0</v>
      </c>
      <c r="AA62" s="126">
        <f t="shared" si="7"/>
        <v>1.8747480300667685E-8</v>
      </c>
      <c r="AB62" s="126">
        <f t="shared" si="8"/>
        <v>2.6378297026080768E-8</v>
      </c>
      <c r="AC62" s="126" t="str">
        <f t="shared" si="9"/>
        <v>Vlow exceeds VIL spec</v>
      </c>
      <c r="AD62" s="126" t="str">
        <f t="shared" si="10"/>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0.99999893621113367</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0.99999893621113367</v>
      </c>
      <c r="K63">
        <v>10</v>
      </c>
      <c r="L63">
        <v>16</v>
      </c>
      <c r="M63">
        <f t="shared" si="11"/>
        <v>0</v>
      </c>
      <c r="N63">
        <f t="shared" si="0"/>
        <v>160</v>
      </c>
      <c r="O63">
        <f t="shared" si="1"/>
        <v>152</v>
      </c>
      <c r="P63">
        <f t="shared" si="2"/>
        <v>168</v>
      </c>
      <c r="Q63">
        <f t="shared" si="12"/>
        <v>0</v>
      </c>
      <c r="R63" s="126">
        <f t="shared" si="3"/>
        <v>1.7083096482289151E-8</v>
      </c>
      <c r="S63" s="126">
        <f t="shared" si="4"/>
        <v>2.7920265679925704E-8</v>
      </c>
      <c r="T63">
        <v>100</v>
      </c>
      <c r="U63">
        <v>27</v>
      </c>
      <c r="V63">
        <f t="shared" si="13"/>
        <v>8</v>
      </c>
      <c r="W63">
        <f t="shared" si="14"/>
        <v>2700</v>
      </c>
      <c r="X63">
        <f t="shared" si="5"/>
        <v>2430</v>
      </c>
      <c r="Y63">
        <f t="shared" si="6"/>
        <v>2970.0000000000005</v>
      </c>
      <c r="Z63">
        <f t="shared" si="15"/>
        <v>0</v>
      </c>
      <c r="AA63" s="126">
        <f t="shared" si="7"/>
        <v>1.9997312320078948E-8</v>
      </c>
      <c r="AB63" s="126">
        <f t="shared" si="8"/>
        <v>2.7920265679925704E-8</v>
      </c>
      <c r="AC63" s="126" t="str">
        <f t="shared" si="9"/>
        <v>Vlow exceeds VIL spec</v>
      </c>
      <c r="AD63" s="126" t="str">
        <f t="shared" si="10"/>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0.99999893621113367</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0.99999893618655311</v>
      </c>
      <c r="K64">
        <v>10</v>
      </c>
      <c r="L64">
        <v>18</v>
      </c>
      <c r="M64">
        <f t="shared" si="11"/>
        <v>0</v>
      </c>
      <c r="N64">
        <f t="shared" si="0"/>
        <v>180</v>
      </c>
      <c r="O64">
        <f t="shared" si="1"/>
        <v>171</v>
      </c>
      <c r="P64">
        <f t="shared" si="2"/>
        <v>189</v>
      </c>
      <c r="Q64">
        <f t="shared" si="12"/>
        <v>0</v>
      </c>
      <c r="R64" s="126">
        <f t="shared" si="3"/>
        <v>1.9218483541358125E-8</v>
      </c>
      <c r="S64" s="126">
        <f t="shared" si="4"/>
        <v>3.1004202987350634E-8</v>
      </c>
      <c r="T64">
        <v>100</v>
      </c>
      <c r="U64">
        <v>33</v>
      </c>
      <c r="V64">
        <f t="shared" si="13"/>
        <v>8</v>
      </c>
      <c r="W64">
        <f t="shared" si="14"/>
        <v>3300</v>
      </c>
      <c r="X64">
        <f t="shared" si="5"/>
        <v>2970</v>
      </c>
      <c r="Y64">
        <f t="shared" si="6"/>
        <v>3630.0000000000005</v>
      </c>
      <c r="Z64">
        <f t="shared" si="15"/>
        <v>0</v>
      </c>
      <c r="AA64" s="126">
        <f t="shared" si="7"/>
        <v>2.2496976358664007E-8</v>
      </c>
      <c r="AB64" s="126">
        <f t="shared" si="8"/>
        <v>3.1004202987350634E-8</v>
      </c>
      <c r="AC64" s="126" t="str">
        <f t="shared" si="9"/>
        <v>Vlow exceeds VIL spec</v>
      </c>
      <c r="AD64" s="126" t="str">
        <f t="shared" si="10"/>
        <v>Vlow exceeds VIL spec</v>
      </c>
    </row>
    <row r="65" spans="1:31" x14ac:dyDescent="0.35">
      <c r="K65">
        <v>10</v>
      </c>
      <c r="L65">
        <v>20</v>
      </c>
      <c r="M65">
        <f t="shared" si="11"/>
        <v>0</v>
      </c>
      <c r="N65">
        <f t="shared" si="0"/>
        <v>200</v>
      </c>
      <c r="O65">
        <f t="shared" si="1"/>
        <v>190</v>
      </c>
      <c r="P65">
        <f t="shared" si="2"/>
        <v>210</v>
      </c>
      <c r="Q65">
        <f t="shared" si="12"/>
        <v>0</v>
      </c>
      <c r="R65" s="126">
        <f t="shared" si="3"/>
        <v>2.1353870600156614E-8</v>
      </c>
      <c r="S65" s="126">
        <f t="shared" si="4"/>
        <v>3.4088140294422305E-8</v>
      </c>
      <c r="T65">
        <v>100</v>
      </c>
      <c r="U65">
        <v>39</v>
      </c>
      <c r="V65">
        <f t="shared" si="13"/>
        <v>8</v>
      </c>
      <c r="W65">
        <f t="shared" si="14"/>
        <v>3900</v>
      </c>
      <c r="X65">
        <f t="shared" si="5"/>
        <v>3510</v>
      </c>
      <c r="Y65">
        <f t="shared" si="6"/>
        <v>4290</v>
      </c>
      <c r="Z65">
        <f t="shared" si="15"/>
        <v>0</v>
      </c>
      <c r="AA65" s="126">
        <f t="shared" si="7"/>
        <v>2.4996640396932444E-8</v>
      </c>
      <c r="AB65" s="126">
        <f t="shared" si="8"/>
        <v>3.4088140294422305E-8</v>
      </c>
      <c r="AC65" s="126" t="str">
        <f t="shared" si="9"/>
        <v>Vlow exceeds VIL spec</v>
      </c>
      <c r="AD65" s="126">
        <f t="shared" si="10"/>
        <v>5.4151332106312269E-8</v>
      </c>
    </row>
    <row r="66" spans="1:31" x14ac:dyDescent="0.35">
      <c r="I66" s="128"/>
      <c r="J66" s="128"/>
      <c r="K66">
        <v>10</v>
      </c>
      <c r="L66">
        <v>22</v>
      </c>
      <c r="M66">
        <f t="shared" si="11"/>
        <v>0</v>
      </c>
      <c r="N66">
        <f t="shared" si="0"/>
        <v>220</v>
      </c>
      <c r="O66">
        <f t="shared" si="1"/>
        <v>209</v>
      </c>
      <c r="P66">
        <f t="shared" si="2"/>
        <v>231</v>
      </c>
      <c r="Q66">
        <f t="shared" si="12"/>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2.3489257658684622E-8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3.7172077601140743E-8</v>
      </c>
      <c r="T66">
        <v>100</v>
      </c>
      <c r="U66">
        <v>47</v>
      </c>
      <c r="V66">
        <f t="shared" si="13"/>
        <v>8</v>
      </c>
      <c r="W66">
        <f t="shared" si="14"/>
        <v>4700</v>
      </c>
      <c r="X66">
        <f t="shared" si="5"/>
        <v>4230</v>
      </c>
      <c r="Y66">
        <f t="shared" si="6"/>
        <v>5170</v>
      </c>
      <c r="Z66">
        <f t="shared" si="15"/>
        <v>0</v>
      </c>
      <c r="AA66" s="126">
        <f t="shared" ref="AA66:AA97" si="18">_xlfn.LET(
_xlpm.PU,O66,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(LN(1-$T$3/_xlpm.VCC)-LN(1-_xlpm.Vspec_abs/_xlpm.VCC))*$K$19*_xlpm.Rbus
)</f>
        <v>2.7496304434884256E-8</v>
      </c>
      <c r="AB66" s="126">
        <f t="shared" ref="AB66:AB97" si="19">_xlfn.LET(
_xlpm.PU,P66,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(LN(1-$T$3/_xlpm.VCC)-LN(1-_xlpm.Vspec_abs/_xlpm.VCC))*$K$18*_xlpm.Rbus
)</f>
        <v>3.7172077601140743E-8</v>
      </c>
      <c r="AC66" s="126" t="str">
        <f t="shared" ref="AC66:AC97" si="20">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f t="shared" ref="AD66:AD97" si="21">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3.6527138653053572E-8</v>
      </c>
    </row>
    <row r="67" spans="1:31" x14ac:dyDescent="0.35">
      <c r="B67" s="171" t="s">
        <v>354</v>
      </c>
      <c r="C67" s="171"/>
      <c r="I67" s="128"/>
      <c r="K67">
        <v>10</v>
      </c>
      <c r="L67">
        <v>24</v>
      </c>
      <c r="M67">
        <f t="shared" si="11"/>
        <v>0</v>
      </c>
      <c r="N67">
        <f t="shared" si="0"/>
        <v>240</v>
      </c>
      <c r="O67">
        <f t="shared" si="1"/>
        <v>228</v>
      </c>
      <c r="P67">
        <f t="shared" si="2"/>
        <v>252</v>
      </c>
      <c r="Q67">
        <f t="shared" si="12"/>
        <v>0</v>
      </c>
      <c r="R67" s="126">
        <f t="shared" si="16"/>
        <v>2.5624644716942152E-8</v>
      </c>
      <c r="S67" s="126">
        <f t="shared" si="17"/>
        <v>4.0256014907505916E-8</v>
      </c>
      <c r="T67">
        <v>100</v>
      </c>
      <c r="U67">
        <v>56</v>
      </c>
      <c r="V67">
        <f t="shared" si="13"/>
        <v>8</v>
      </c>
      <c r="W67">
        <f t="shared" si="14"/>
        <v>5600</v>
      </c>
      <c r="X67">
        <f t="shared" si="5"/>
        <v>5040</v>
      </c>
      <c r="Y67">
        <f t="shared" si="6"/>
        <v>6160.0000000000009</v>
      </c>
      <c r="Z67">
        <f t="shared" si="15"/>
        <v>0</v>
      </c>
      <c r="AA67" s="126">
        <f t="shared" si="18"/>
        <v>2.9995968472519443E-8</v>
      </c>
      <c r="AB67" s="126">
        <f t="shared" si="19"/>
        <v>4.0256014907505916E-8</v>
      </c>
      <c r="AC67" s="126" t="str">
        <f t="shared" si="20"/>
        <v>Vlow exceeds VIL spec</v>
      </c>
      <c r="AD67" s="126">
        <f t="shared" si="21"/>
        <v>3.0943230362270223E-8</v>
      </c>
    </row>
    <row r="68" spans="1:31" ht="28.4" customHeight="1" x14ac:dyDescent="0.35">
      <c r="B68" s="32" t="s">
        <v>355</v>
      </c>
      <c r="C68" s="32" t="s">
        <v>356</v>
      </c>
      <c r="D68" s="32" t="s">
        <v>357</v>
      </c>
      <c r="E68" s="32" t="str">
        <f>IF(Summary!G37="absolute","find min R2, so that max (Vz) = " &amp; TRUNC(R3/J2,3),"find min R2, so that max (Vz) = " &amp; R3)</f>
        <v>find min R2, so that max (Vz) = 0.3</v>
      </c>
      <c r="F68" s="32" t="s">
        <v>358</v>
      </c>
      <c r="G68" s="32" t="s">
        <v>359</v>
      </c>
      <c r="H68" s="32" t="s">
        <v>360</v>
      </c>
      <c r="I68" s="49"/>
      <c r="J68" s="49"/>
      <c r="K68">
        <v>10</v>
      </c>
      <c r="L68">
        <v>27</v>
      </c>
      <c r="M68">
        <f t="shared" si="11"/>
        <v>0</v>
      </c>
      <c r="N68">
        <f t="shared" si="0"/>
        <v>270</v>
      </c>
      <c r="O68">
        <f t="shared" si="1"/>
        <v>256.5</v>
      </c>
      <c r="P68">
        <f t="shared" si="2"/>
        <v>283.5</v>
      </c>
      <c r="Q68">
        <f t="shared" si="12"/>
        <v>0</v>
      </c>
      <c r="R68" s="126">
        <f t="shared" si="16"/>
        <v>2.8827725303821282E-8</v>
      </c>
      <c r="S68" s="126">
        <f t="shared" si="17"/>
        <v>4.4881920866391328E-8</v>
      </c>
      <c r="T68">
        <v>100</v>
      </c>
      <c r="U68">
        <v>68</v>
      </c>
      <c r="V68">
        <f t="shared" si="13"/>
        <v>8</v>
      </c>
      <c r="W68">
        <f t="shared" si="14"/>
        <v>6800</v>
      </c>
      <c r="X68">
        <f t="shared" si="5"/>
        <v>6120</v>
      </c>
      <c r="Y68">
        <f t="shared" si="6"/>
        <v>7480.0000000000009</v>
      </c>
      <c r="Z68">
        <f t="shared" si="15"/>
        <v>0</v>
      </c>
      <c r="AA68" s="126">
        <f t="shared" si="18"/>
        <v>3.3745464528378548E-8</v>
      </c>
      <c r="AB68" s="126">
        <f t="shared" si="19"/>
        <v>4.4881920866391328E-8</v>
      </c>
      <c r="AC68" s="126" t="str">
        <f t="shared" si="20"/>
        <v>Vlow exceeds VIL spec</v>
      </c>
      <c r="AD68" s="126">
        <f t="shared" si="21"/>
        <v>2.6690316286708236E-8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11"/>
        <v>0</v>
      </c>
      <c r="N69">
        <f t="shared" si="0"/>
        <v>300</v>
      </c>
      <c r="O69">
        <f t="shared" si="1"/>
        <v>285</v>
      </c>
      <c r="P69">
        <f t="shared" si="2"/>
        <v>315</v>
      </c>
      <c r="Q69">
        <f t="shared" si="12"/>
        <v>0</v>
      </c>
      <c r="R69" s="126">
        <f t="shared" si="16"/>
        <v>3.2030805890091832E-8</v>
      </c>
      <c r="S69" s="126">
        <f t="shared" si="17"/>
        <v>4.9507826824481939E-8</v>
      </c>
      <c r="T69">
        <v>100</v>
      </c>
      <c r="U69">
        <v>82</v>
      </c>
      <c r="V69">
        <f t="shared" si="13"/>
        <v>8</v>
      </c>
      <c r="W69">
        <f t="shared" si="14"/>
        <v>8200</v>
      </c>
      <c r="X69">
        <f t="shared" si="5"/>
        <v>7380</v>
      </c>
      <c r="Y69">
        <f t="shared" si="6"/>
        <v>9020</v>
      </c>
      <c r="Z69">
        <f t="shared" si="15"/>
        <v>0</v>
      </c>
      <c r="AA69" s="126">
        <f t="shared" si="18"/>
        <v>3.7494960583525259E-8</v>
      </c>
      <c r="AB69" s="126">
        <f t="shared" si="19"/>
        <v>4.9507826824481939E-8</v>
      </c>
      <c r="AC69" s="126" t="str">
        <f t="shared" si="20"/>
        <v>Vlow exceeds VIL spec</v>
      </c>
      <c r="AD69" s="126">
        <f t="shared" si="21"/>
        <v>2.4265742757087072E-8</v>
      </c>
    </row>
    <row r="70" spans="1:31" x14ac:dyDescent="0.35">
      <c r="A70" t="s">
        <v>320</v>
      </c>
      <c r="B70" s="11">
        <f>F11*(1+H11)</f>
        <v>955.5</v>
      </c>
      <c r="C70" s="11">
        <f>F11*(1-H11)</f>
        <v>864.5</v>
      </c>
      <c r="D70" s="11">
        <f>F11*(1+H11)</f>
        <v>955.5</v>
      </c>
      <c r="E70" s="11"/>
      <c r="F70" s="11">
        <f>F11*(1-H11)</f>
        <v>864.5</v>
      </c>
      <c r="G70" s="11">
        <f>F11*(1-H11)</f>
        <v>864.5</v>
      </c>
      <c r="H70" s="11">
        <f>F11*(1+H11)</f>
        <v>955.5</v>
      </c>
      <c r="K70">
        <v>10</v>
      </c>
      <c r="L70">
        <v>33</v>
      </c>
      <c r="M70">
        <f t="shared" si="11"/>
        <v>0</v>
      </c>
      <c r="N70">
        <f t="shared" si="0"/>
        <v>330</v>
      </c>
      <c r="O70">
        <f t="shared" si="1"/>
        <v>313.5</v>
      </c>
      <c r="P70">
        <f t="shared" si="2"/>
        <v>346.5</v>
      </c>
      <c r="Q70">
        <f t="shared" si="12"/>
        <v>0</v>
      </c>
      <c r="R70" s="126">
        <f t="shared" si="16"/>
        <v>3.5233886475753796E-8</v>
      </c>
      <c r="S70" s="126">
        <f t="shared" si="17"/>
        <v>5.4133732781777735E-8</v>
      </c>
      <c r="T70">
        <v>1000</v>
      </c>
      <c r="U70">
        <v>10</v>
      </c>
      <c r="V70">
        <f t="shared" si="13"/>
        <v>8</v>
      </c>
      <c r="W70">
        <f t="shared" si="14"/>
        <v>10000</v>
      </c>
      <c r="X70">
        <f t="shared" si="5"/>
        <v>9000</v>
      </c>
      <c r="Y70">
        <f t="shared" si="6"/>
        <v>11000</v>
      </c>
      <c r="Z70">
        <f t="shared" si="15"/>
        <v>0</v>
      </c>
      <c r="AA70" s="126">
        <f t="shared" si="18"/>
        <v>4.1244456637959562E-8</v>
      </c>
      <c r="AB70" s="126">
        <f t="shared" si="19"/>
        <v>5.4133732781777735E-8</v>
      </c>
      <c r="AC70" s="126" t="str">
        <f t="shared" si="20"/>
        <v>Vlow exceeds VIL spec</v>
      </c>
      <c r="AD70" s="126">
        <f t="shared" si="21"/>
        <v>2.2671313065476638E-8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11"/>
        <v>0</v>
      </c>
      <c r="N71">
        <f t="shared" si="0"/>
        <v>360</v>
      </c>
      <c r="O71">
        <f t="shared" si="1"/>
        <v>342</v>
      </c>
      <c r="P71">
        <f t="shared" si="2"/>
        <v>378</v>
      </c>
      <c r="Q71">
        <f t="shared" si="12"/>
        <v>0</v>
      </c>
      <c r="R71" s="126">
        <f t="shared" si="16"/>
        <v>3.8436967060807173E-8</v>
      </c>
      <c r="S71" s="126">
        <f t="shared" si="17"/>
        <v>5.8759638738278703E-8</v>
      </c>
      <c r="T71">
        <v>1000</v>
      </c>
      <c r="U71">
        <v>12</v>
      </c>
      <c r="V71">
        <f t="shared" si="13"/>
        <v>8</v>
      </c>
      <c r="W71">
        <f t="shared" si="14"/>
        <v>12000</v>
      </c>
      <c r="X71">
        <f t="shared" si="5"/>
        <v>10800</v>
      </c>
      <c r="Y71">
        <f t="shared" si="6"/>
        <v>13200.000000000002</v>
      </c>
      <c r="Z71">
        <f t="shared" si="15"/>
        <v>0</v>
      </c>
      <c r="AA71" s="126">
        <f t="shared" si="18"/>
        <v>4.4993952691681457E-8</v>
      </c>
      <c r="AB71" s="126">
        <f t="shared" si="19"/>
        <v>5.8759638738278703E-8</v>
      </c>
      <c r="AC71" s="126" t="str">
        <f t="shared" si="20"/>
        <v>Vlow exceeds VIL spec</v>
      </c>
      <c r="AD71" s="126">
        <f t="shared" si="21"/>
        <v>2.1535684703096814E-8</v>
      </c>
    </row>
    <row r="72" spans="1:31" x14ac:dyDescent="0.35">
      <c r="A72" t="s">
        <v>324</v>
      </c>
      <c r="B72" s="1">
        <f>K21*MIN(K25,K24)</f>
        <v>0</v>
      </c>
      <c r="C72" s="1">
        <f>K21*MAX(K25,K24)</f>
        <v>22.122405384810769</v>
      </c>
      <c r="D72" s="1">
        <f>K21*MIN(K25,K24)</f>
        <v>0</v>
      </c>
      <c r="E72" s="1">
        <f>K21*MAX(K25,K24)</f>
        <v>22.122405384810769</v>
      </c>
      <c r="F72" s="125">
        <f>K21*MAX(K25,K24)</f>
        <v>22.122405384810769</v>
      </c>
      <c r="G72" s="125">
        <f>K22*MAX(K25,K24)</f>
        <v>16.31240538481077</v>
      </c>
      <c r="H72" s="1">
        <f>K22*MIN(K25,K24)</f>
        <v>0</v>
      </c>
      <c r="K72">
        <v>10</v>
      </c>
      <c r="L72">
        <v>39</v>
      </c>
      <c r="M72">
        <f t="shared" si="11"/>
        <v>0</v>
      </c>
      <c r="N72">
        <f t="shared" si="0"/>
        <v>390</v>
      </c>
      <c r="O72">
        <f t="shared" si="1"/>
        <v>370.5</v>
      </c>
      <c r="P72">
        <f t="shared" si="2"/>
        <v>409.5</v>
      </c>
      <c r="Q72">
        <f t="shared" si="12"/>
        <v>0</v>
      </c>
      <c r="R72" s="126">
        <f t="shared" si="16"/>
        <v>4.164004764525197E-8</v>
      </c>
      <c r="S72" s="126">
        <f t="shared" si="17"/>
        <v>6.338554469398485E-8</v>
      </c>
      <c r="T72">
        <v>1000</v>
      </c>
      <c r="U72">
        <v>15</v>
      </c>
      <c r="V72">
        <f t="shared" si="13"/>
        <v>8</v>
      </c>
      <c r="W72">
        <f t="shared" si="14"/>
        <v>15000</v>
      </c>
      <c r="X72">
        <f t="shared" si="5"/>
        <v>13500</v>
      </c>
      <c r="Y72">
        <f t="shared" si="6"/>
        <v>16500</v>
      </c>
      <c r="Z72">
        <f t="shared" si="15"/>
        <v>0</v>
      </c>
      <c r="AA72" s="126">
        <f t="shared" si="18"/>
        <v>4.8743448744690958E-8</v>
      </c>
      <c r="AB72" s="126">
        <f t="shared" si="19"/>
        <v>6.338554469398485E-8</v>
      </c>
      <c r="AC72" s="126" t="str">
        <f t="shared" si="20"/>
        <v>Vlow exceeds VIL spec</v>
      </c>
      <c r="AD72" s="126">
        <f t="shared" si="21"/>
        <v>2.0683455846165533E-8</v>
      </c>
    </row>
    <row r="73" spans="1:31" x14ac:dyDescent="0.35">
      <c r="A73" t="s">
        <v>327</v>
      </c>
      <c r="B73" s="1">
        <f>K21-B72</f>
        <v>22.122405384810769</v>
      </c>
      <c r="C73" s="1">
        <f>K21-C72</f>
        <v>0</v>
      </c>
      <c r="D73" s="1">
        <f>K21-D72</f>
        <v>22.122405384810769</v>
      </c>
      <c r="E73" s="1">
        <f>K21-E72</f>
        <v>0</v>
      </c>
      <c r="F73" s="1">
        <f>K21-F72</f>
        <v>0</v>
      </c>
      <c r="G73" s="1">
        <f>K22-G72</f>
        <v>0</v>
      </c>
      <c r="H73" s="1">
        <f>K22-H72</f>
        <v>16.31240538481077</v>
      </c>
      <c r="K73">
        <v>10</v>
      </c>
      <c r="L73">
        <v>43</v>
      </c>
      <c r="M73">
        <f t="shared" si="11"/>
        <v>1</v>
      </c>
      <c r="N73">
        <f t="shared" si="0"/>
        <v>430</v>
      </c>
      <c r="O73">
        <f t="shared" si="1"/>
        <v>408.5</v>
      </c>
      <c r="P73">
        <f t="shared" si="2"/>
        <v>451.5</v>
      </c>
      <c r="Q73">
        <f t="shared" si="12"/>
        <v>1</v>
      </c>
      <c r="R73" s="126">
        <f t="shared" si="16"/>
        <v>4.5910821756898344E-8</v>
      </c>
      <c r="S73" s="126">
        <f t="shared" si="17"/>
        <v>6.9553419300356691E-8</v>
      </c>
      <c r="T73">
        <v>1000</v>
      </c>
      <c r="U73">
        <v>18</v>
      </c>
      <c r="V73">
        <f t="shared" si="13"/>
        <v>8</v>
      </c>
      <c r="W73">
        <f t="shared" si="14"/>
        <v>18000</v>
      </c>
      <c r="X73">
        <f t="shared" si="5"/>
        <v>16200</v>
      </c>
      <c r="Y73">
        <f t="shared" si="6"/>
        <v>19800</v>
      </c>
      <c r="Z73">
        <f t="shared" si="15"/>
        <v>0</v>
      </c>
      <c r="AA73" s="126">
        <f t="shared" si="18"/>
        <v>5.3742776814262104E-8</v>
      </c>
      <c r="AB73" s="126">
        <f t="shared" si="19"/>
        <v>6.9553419300356691E-8</v>
      </c>
      <c r="AC73" s="126">
        <f t="shared" si="20"/>
        <v>8.4190148252708504E-8</v>
      </c>
      <c r="AD73" s="126">
        <f t="shared" si="21"/>
        <v>1.9829646563212839E-8</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11"/>
        <v>2</v>
      </c>
      <c r="N74">
        <f t="shared" si="0"/>
        <v>470</v>
      </c>
      <c r="O74">
        <f t="shared" si="1"/>
        <v>446.5</v>
      </c>
      <c r="P74">
        <f t="shared" si="2"/>
        <v>493.5</v>
      </c>
      <c r="Q74">
        <f t="shared" si="12"/>
        <v>1</v>
      </c>
      <c r="R74" s="126">
        <f t="shared" si="16"/>
        <v>5.0181595867462772E-8</v>
      </c>
      <c r="S74" s="126">
        <f t="shared" si="17"/>
        <v>7.5721293905315535E-8</v>
      </c>
      <c r="T74">
        <v>1000</v>
      </c>
      <c r="U74">
        <v>22</v>
      </c>
      <c r="V74">
        <f t="shared" si="13"/>
        <v>8</v>
      </c>
      <c r="W74">
        <f t="shared" si="14"/>
        <v>22000</v>
      </c>
      <c r="X74">
        <f t="shared" si="5"/>
        <v>19800</v>
      </c>
      <c r="Y74">
        <f t="shared" si="6"/>
        <v>24200.000000000004</v>
      </c>
      <c r="Z74">
        <f t="shared" si="15"/>
        <v>0</v>
      </c>
      <c r="AA74" s="126">
        <f t="shared" si="18"/>
        <v>5.8742104882566738E-8</v>
      </c>
      <c r="AB74" s="126">
        <f t="shared" si="19"/>
        <v>7.5721293905315535E-8</v>
      </c>
      <c r="AC74" s="126">
        <f t="shared" si="20"/>
        <v>6.7610720323399918E-8</v>
      </c>
      <c r="AD74" s="126">
        <f t="shared" si="21"/>
        <v>1.9187885425723761E-8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11"/>
        <v>3</v>
      </c>
      <c r="N75">
        <f t="shared" si="0"/>
        <v>510</v>
      </c>
      <c r="O75">
        <f t="shared" si="1"/>
        <v>484.5</v>
      </c>
      <c r="P75">
        <f t="shared" si="2"/>
        <v>535.5</v>
      </c>
      <c r="Q75">
        <f t="shared" si="12"/>
        <v>1</v>
      </c>
      <c r="R75" s="126">
        <f t="shared" si="16"/>
        <v>5.4452369976945294E-8</v>
      </c>
      <c r="S75" s="126">
        <f t="shared" si="17"/>
        <v>8.1889168508861356E-8</v>
      </c>
      <c r="T75">
        <v>1000</v>
      </c>
      <c r="U75">
        <v>27</v>
      </c>
      <c r="V75">
        <f t="shared" si="13"/>
        <v>8</v>
      </c>
      <c r="W75">
        <f t="shared" si="14"/>
        <v>27000</v>
      </c>
      <c r="X75">
        <f t="shared" si="5"/>
        <v>24300</v>
      </c>
      <c r="Y75">
        <f t="shared" si="6"/>
        <v>29700.000000000004</v>
      </c>
      <c r="Z75">
        <f t="shared" si="15"/>
        <v>0</v>
      </c>
      <c r="AA75" s="126">
        <f t="shared" si="18"/>
        <v>6.3741432949604899E-8</v>
      </c>
      <c r="AB75" s="126">
        <f t="shared" si="19"/>
        <v>8.1889168508861356E-8</v>
      </c>
      <c r="AC75" s="126">
        <f t="shared" si="20"/>
        <v>5.9554862378797278E-8</v>
      </c>
      <c r="AD75" s="126">
        <f t="shared" si="21"/>
        <v>1.8687868968531809E-8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11"/>
        <v>4</v>
      </c>
      <c r="N76">
        <f t="shared" si="0"/>
        <v>560</v>
      </c>
      <c r="O76">
        <f t="shared" si="1"/>
        <v>532</v>
      </c>
      <c r="P76">
        <f t="shared" si="2"/>
        <v>588</v>
      </c>
      <c r="Q76">
        <f t="shared" si="12"/>
        <v>1</v>
      </c>
      <c r="R76" s="126">
        <f t="shared" si="16"/>
        <v>5.9790837612276972E-8</v>
      </c>
      <c r="S76" s="126">
        <f t="shared" si="17"/>
        <v>8.9599011761306616E-8</v>
      </c>
      <c r="T76">
        <v>1000</v>
      </c>
      <c r="U76">
        <v>33</v>
      </c>
      <c r="V76">
        <f t="shared" si="13"/>
        <v>8</v>
      </c>
      <c r="W76">
        <f t="shared" si="14"/>
        <v>33000</v>
      </c>
      <c r="X76">
        <f t="shared" si="5"/>
        <v>29700</v>
      </c>
      <c r="Y76">
        <f t="shared" si="6"/>
        <v>36300</v>
      </c>
      <c r="Z76">
        <f t="shared" si="15"/>
        <v>0</v>
      </c>
      <c r="AA76" s="126">
        <f t="shared" si="18"/>
        <v>6.999059303162158E-8</v>
      </c>
      <c r="AB76" s="126">
        <f t="shared" si="19"/>
        <v>8.9599011761306616E-8</v>
      </c>
      <c r="AC76" s="126">
        <f t="shared" si="20"/>
        <v>5.3537913093956813E-8</v>
      </c>
      <c r="AD76" s="126">
        <f t="shared" si="21"/>
        <v>1.8199412315461452E-8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11"/>
        <v>5</v>
      </c>
      <c r="N77">
        <f t="shared" si="0"/>
        <v>620</v>
      </c>
      <c r="O77">
        <f t="shared" si="1"/>
        <v>589</v>
      </c>
      <c r="P77">
        <f t="shared" si="2"/>
        <v>651</v>
      </c>
      <c r="Q77">
        <f t="shared" si="12"/>
        <v>1</v>
      </c>
      <c r="R77" s="126">
        <f t="shared" si="16"/>
        <v>6.6196998772443504E-8</v>
      </c>
      <c r="S77" s="126">
        <f t="shared" si="17"/>
        <v>9.8850823661326581E-8</v>
      </c>
      <c r="T77">
        <v>1000</v>
      </c>
      <c r="U77">
        <v>39</v>
      </c>
      <c r="V77">
        <f t="shared" si="13"/>
        <v>8</v>
      </c>
      <c r="W77">
        <f t="shared" si="14"/>
        <v>39000</v>
      </c>
      <c r="X77">
        <f t="shared" si="5"/>
        <v>35100</v>
      </c>
      <c r="Y77">
        <f t="shared" si="6"/>
        <v>42900</v>
      </c>
      <c r="Z77">
        <f t="shared" si="15"/>
        <v>0</v>
      </c>
      <c r="AA77" s="126">
        <f t="shared" si="18"/>
        <v>7.7489585127429428E-8</v>
      </c>
      <c r="AB77" s="126">
        <f t="shared" si="19"/>
        <v>9.8850823661326581E-8</v>
      </c>
      <c r="AC77" s="126">
        <f t="shared" si="20"/>
        <v>4.8999168283289449E-8</v>
      </c>
      <c r="AD77" s="126">
        <f t="shared" si="21"/>
        <v>1.775007457304864E-8</v>
      </c>
    </row>
    <row r="78" spans="1:31" x14ac:dyDescent="0.35">
      <c r="A78" t="s">
        <v>344</v>
      </c>
      <c r="B78">
        <v>1</v>
      </c>
      <c r="C78">
        <v>1</v>
      </c>
      <c r="D78">
        <v>1</v>
      </c>
      <c r="E78">
        <v>1</v>
      </c>
      <c r="F78">
        <v>1</v>
      </c>
      <c r="G78">
        <v>1</v>
      </c>
      <c r="H78">
        <v>1</v>
      </c>
      <c r="K78">
        <v>10</v>
      </c>
      <c r="L78">
        <v>68</v>
      </c>
      <c r="M78">
        <f t="shared" si="11"/>
        <v>6</v>
      </c>
      <c r="N78">
        <f t="shared" si="0"/>
        <v>680</v>
      </c>
      <c r="O78">
        <f t="shared" si="1"/>
        <v>646</v>
      </c>
      <c r="P78">
        <f t="shared" si="2"/>
        <v>714</v>
      </c>
      <c r="Q78">
        <f t="shared" si="12"/>
        <v>1</v>
      </c>
      <c r="R78" s="126">
        <f t="shared" si="16"/>
        <v>7.2603159930175676E-8</v>
      </c>
      <c r="S78" s="126">
        <f t="shared" si="17"/>
        <v>1.081026355581673E-7</v>
      </c>
      <c r="T78">
        <v>1000</v>
      </c>
      <c r="U78">
        <v>47</v>
      </c>
      <c r="V78">
        <f t="shared" si="13"/>
        <v>8</v>
      </c>
      <c r="W78">
        <f t="shared" si="14"/>
        <v>47000</v>
      </c>
      <c r="X78">
        <f t="shared" si="5"/>
        <v>42300</v>
      </c>
      <c r="Y78">
        <f t="shared" si="6"/>
        <v>51700.000000000007</v>
      </c>
      <c r="Z78">
        <f t="shared" si="15"/>
        <v>0</v>
      </c>
      <c r="AA78" s="126">
        <f t="shared" si="18"/>
        <v>8.4988577220387671E-8</v>
      </c>
      <c r="AB78" s="126">
        <f t="shared" si="19"/>
        <v>1.081026355581673E-7</v>
      </c>
      <c r="AC78" s="126">
        <f t="shared" si="20"/>
        <v>4.5950807606016552E-8</v>
      </c>
      <c r="AD78" s="126">
        <f t="shared" si="21"/>
        <v>1.7402403653908517E-8</v>
      </c>
    </row>
    <row r="79" spans="1:31" x14ac:dyDescent="0.35">
      <c r="A79" t="s">
        <v>345</v>
      </c>
      <c r="B79">
        <v>1</v>
      </c>
      <c r="C79">
        <v>1</v>
      </c>
      <c r="D79">
        <v>1</v>
      </c>
      <c r="E79">
        <v>1</v>
      </c>
      <c r="F79">
        <v>1</v>
      </c>
      <c r="G79">
        <v>1</v>
      </c>
      <c r="H79">
        <v>1</v>
      </c>
      <c r="K79">
        <v>10</v>
      </c>
      <c r="L79">
        <v>75</v>
      </c>
      <c r="M79">
        <f t="shared" si="11"/>
        <v>7</v>
      </c>
      <c r="N79">
        <f t="shared" si="0"/>
        <v>750</v>
      </c>
      <c r="O79">
        <f t="shared" si="1"/>
        <v>712.5</v>
      </c>
      <c r="P79">
        <f t="shared" si="2"/>
        <v>787.5</v>
      </c>
      <c r="Q79">
        <f t="shared" si="12"/>
        <v>1</v>
      </c>
      <c r="R79" s="126">
        <f t="shared" si="16"/>
        <v>8.0077014611119853E-8</v>
      </c>
      <c r="S79" s="126">
        <f t="shared" si="17"/>
        <v>1.1889641610046324E-7</v>
      </c>
      <c r="T79">
        <v>1000</v>
      </c>
      <c r="U79">
        <v>56</v>
      </c>
      <c r="V79">
        <f t="shared" si="13"/>
        <v>8</v>
      </c>
      <c r="W79">
        <f t="shared" si="14"/>
        <v>56000</v>
      </c>
      <c r="X79">
        <f t="shared" si="5"/>
        <v>50400</v>
      </c>
      <c r="Y79">
        <f t="shared" si="6"/>
        <v>61600.000000000007</v>
      </c>
      <c r="Z79">
        <f t="shared" si="15"/>
        <v>0</v>
      </c>
      <c r="AA79" s="126">
        <f t="shared" si="18"/>
        <v>9.3737401325237371E-8</v>
      </c>
      <c r="AB79" s="126">
        <f t="shared" si="19"/>
        <v>1.1889641610046324E-7</v>
      </c>
      <c r="AC79" s="126">
        <f t="shared" si="20"/>
        <v>4.3441059470388253E-8</v>
      </c>
      <c r="AD79" s="126">
        <f t="shared" si="21"/>
        <v>1.7084785636074907E-8</v>
      </c>
      <c r="AE79" s="128"/>
    </row>
    <row r="80" spans="1:31" x14ac:dyDescent="0.35">
      <c r="A80" t="s">
        <v>346</v>
      </c>
      <c r="B80">
        <v>1</v>
      </c>
      <c r="C80">
        <v>1</v>
      </c>
      <c r="D80">
        <v>1</v>
      </c>
      <c r="E80">
        <v>1</v>
      </c>
      <c r="F80">
        <v>1</v>
      </c>
      <c r="G80">
        <v>1</v>
      </c>
      <c r="H80">
        <v>1</v>
      </c>
      <c r="K80">
        <v>10</v>
      </c>
      <c r="L80">
        <v>82</v>
      </c>
      <c r="M80">
        <f t="shared" si="11"/>
        <v>8</v>
      </c>
      <c r="N80">
        <f t="shared" si="0"/>
        <v>820</v>
      </c>
      <c r="O80">
        <f t="shared" si="1"/>
        <v>779</v>
      </c>
      <c r="P80">
        <f t="shared" si="2"/>
        <v>861</v>
      </c>
      <c r="Q80">
        <f t="shared" si="12"/>
        <v>1</v>
      </c>
      <c r="R80" s="126">
        <f t="shared" si="16"/>
        <v>8.7550869288750583E-8</v>
      </c>
      <c r="S80" s="126">
        <f t="shared" si="17"/>
        <v>1.2969019663843186E-7</v>
      </c>
      <c r="T80">
        <v>1000</v>
      </c>
      <c r="U80">
        <v>68</v>
      </c>
      <c r="V80">
        <f t="shared" si="13"/>
        <v>8</v>
      </c>
      <c r="W80">
        <f>U80*T80</f>
        <v>68000</v>
      </c>
      <c r="X80">
        <f t="shared" si="5"/>
        <v>61200</v>
      </c>
      <c r="Y80">
        <f t="shared" si="6"/>
        <v>74800</v>
      </c>
      <c r="Z80">
        <f t="shared" si="15"/>
        <v>0</v>
      </c>
      <c r="AA80" s="126">
        <f t="shared" si="18"/>
        <v>1.024862254262084E-7</v>
      </c>
      <c r="AB80" s="126">
        <f t="shared" si="19"/>
        <v>1.2969019663843186E-7</v>
      </c>
      <c r="AC80" s="126">
        <f t="shared" si="20"/>
        <v>4.1612915136414278E-8</v>
      </c>
      <c r="AD80" s="126">
        <f t="shared" si="21"/>
        <v>1.6833737052347949E-8</v>
      </c>
      <c r="AE80" s="128"/>
    </row>
    <row r="81" spans="1:31" x14ac:dyDescent="0.35">
      <c r="K81">
        <v>10</v>
      </c>
      <c r="L81">
        <v>91</v>
      </c>
      <c r="M81">
        <f t="shared" si="11"/>
        <v>9</v>
      </c>
      <c r="N81">
        <f t="shared" si="0"/>
        <v>910</v>
      </c>
      <c r="O81">
        <f t="shared" si="1"/>
        <v>864.5</v>
      </c>
      <c r="P81">
        <f t="shared" si="2"/>
        <v>955.5</v>
      </c>
      <c r="Q81">
        <f t="shared" si="12"/>
        <v>1</v>
      </c>
      <c r="R81" s="126">
        <f t="shared" si="16"/>
        <v>9.716011101226428E-8</v>
      </c>
      <c r="S81" s="126">
        <f t="shared" si="17"/>
        <v>1.4356791446660439E-7</v>
      </c>
      <c r="T81">
        <v>1000</v>
      </c>
      <c r="U81">
        <v>82</v>
      </c>
      <c r="V81">
        <f t="shared" si="13"/>
        <v>8</v>
      </c>
      <c r="W81">
        <f t="shared" ref="W81" si="22">U81*T81</f>
        <v>82000</v>
      </c>
      <c r="X81">
        <f t="shared" si="5"/>
        <v>73800</v>
      </c>
      <c r="Y81">
        <f t="shared" si="6"/>
        <v>90200.000000000015</v>
      </c>
      <c r="Z81">
        <f t="shared" si="15"/>
        <v>0</v>
      </c>
      <c r="AA81" s="126">
        <f t="shared" si="18"/>
        <v>1.1373471355032908E-7</v>
      </c>
      <c r="AB81" s="126">
        <f t="shared" si="19"/>
        <v>1.4356791446660439E-7</v>
      </c>
      <c r="AC81" s="126">
        <f t="shared" si="20"/>
        <v>3.9881313882558894E-8</v>
      </c>
      <c r="AD81" s="126">
        <f t="shared" si="21"/>
        <v>1.657922175198829E-8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0.99999893621113456</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0.12356387643391067</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7.2780198325575182E-2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0.84963265568815516</v>
      </c>
      <c r="F82" s="13"/>
      <c r="K82">
        <v>100</v>
      </c>
      <c r="L82">
        <v>10</v>
      </c>
      <c r="M82">
        <f>IF(AND(Q81=1,Q82=0),Q82+M81+1, Q82+M81)</f>
        <v>10</v>
      </c>
      <c r="N82">
        <f t="shared" si="0"/>
        <v>1000</v>
      </c>
      <c r="O82">
        <f t="shared" si="1"/>
        <v>950</v>
      </c>
      <c r="P82">
        <f t="shared" si="2"/>
        <v>1050</v>
      </c>
      <c r="Q82">
        <f t="shared" si="12"/>
        <v>1</v>
      </c>
      <c r="R82" s="126">
        <f t="shared" si="16"/>
        <v>1.0676935273030072E-7</v>
      </c>
      <c r="S82" s="126">
        <f t="shared" si="17"/>
        <v>1.5744563228762362E-7</v>
      </c>
      <c r="V82">
        <f t="shared" si="13"/>
        <v>8</v>
      </c>
      <c r="W82">
        <v>9999999</v>
      </c>
      <c r="AA82" s="126">
        <f t="shared" si="18"/>
        <v>1.2498320166803812E-7</v>
      </c>
      <c r="AB82" s="126">
        <f t="shared" si="19"/>
        <v>1.5744563228762362E-7</v>
      </c>
      <c r="AC82" s="126">
        <f t="shared" si="20"/>
        <v>3.8595936909729925E-8</v>
      </c>
      <c r="AD82" s="126">
        <f t="shared" si="21"/>
        <v>1.637891609430807E-8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0.99999893621113456</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0.14543211773796963</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7.2780198325575182E-2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3">IF(AND(Q82=1,Q83=0),Q83+M82+1, Q83+M82)</f>
        <v>11</v>
      </c>
      <c r="N83">
        <f t="shared" si="0"/>
        <v>1100</v>
      </c>
      <c r="O83">
        <f t="shared" si="1"/>
        <v>1045</v>
      </c>
      <c r="P83">
        <f t="shared" si="2"/>
        <v>1155</v>
      </c>
      <c r="Q83">
        <f t="shared" si="12"/>
        <v>1</v>
      </c>
      <c r="R83" s="126">
        <f t="shared" si="16"/>
        <v>1.1744628796613945E-7</v>
      </c>
      <c r="S83" s="126">
        <f t="shared" si="17"/>
        <v>1.7286531874703305E-7</v>
      </c>
      <c r="AA83" s="126">
        <f t="shared" si="18"/>
        <v>1.3748152179130609E-7</v>
      </c>
      <c r="AB83" s="126">
        <f t="shared" si="19"/>
        <v>1.7286531874703305E-7</v>
      </c>
      <c r="AC83" s="126">
        <f t="shared" si="20"/>
        <v>3.7507665805761482E-8</v>
      </c>
      <c r="AD83" s="126">
        <f t="shared" si="21"/>
        <v>1.6201170486295514E-8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0.999998936186554</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0.14543211773796963</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7.2780198342433794E-2</v>
      </c>
      <c r="E84" s="12">
        <f>IF(Summary!G37="absolute",(R3-N7)/(J2+J2*Summary!G17),R3-N7)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0.14543211784199375</v>
      </c>
      <c r="G84" s="12">
        <f t="shared" ref="G84" si="24"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0.14049577170070673</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7.2780198338006238E-2</v>
      </c>
      <c r="K84">
        <v>100</v>
      </c>
      <c r="L84">
        <v>12</v>
      </c>
      <c r="M84">
        <f t="shared" si="23"/>
        <v>12</v>
      </c>
      <c r="N84">
        <f t="shared" si="0"/>
        <v>1200</v>
      </c>
      <c r="O84">
        <f t="shared" si="1"/>
        <v>1140</v>
      </c>
      <c r="P84">
        <f t="shared" si="2"/>
        <v>1260</v>
      </c>
      <c r="Q84">
        <f t="shared" si="12"/>
        <v>1</v>
      </c>
      <c r="R84" s="126">
        <f t="shared" si="16"/>
        <v>1.2812322319521616E-7</v>
      </c>
      <c r="S84" s="126">
        <f t="shared" si="17"/>
        <v>1.8828500519761124E-7</v>
      </c>
      <c r="AA84" s="126">
        <f t="shared" si="18"/>
        <v>1.4997984190665851E-7</v>
      </c>
      <c r="AB84" s="126">
        <f t="shared" si="19"/>
        <v>1.8828500519761124E-7</v>
      </c>
      <c r="AC84" s="126">
        <f t="shared" si="20"/>
        <v>3.6661960238025617E-8</v>
      </c>
      <c r="AD84" s="126">
        <f t="shared" si="21"/>
        <v>1.6057538236195672E-8</v>
      </c>
      <c r="AE84" s="128"/>
    </row>
    <row r="85" spans="1:31" x14ac:dyDescent="0.35">
      <c r="E85" s="73"/>
      <c r="K85">
        <v>100</v>
      </c>
      <c r="L85">
        <v>13</v>
      </c>
      <c r="M85">
        <f t="shared" si="23"/>
        <v>13</v>
      </c>
      <c r="N85">
        <f t="shared" si="0"/>
        <v>1300</v>
      </c>
      <c r="O85">
        <f t="shared" si="1"/>
        <v>1235</v>
      </c>
      <c r="P85">
        <f t="shared" si="2"/>
        <v>1365</v>
      </c>
      <c r="Q85">
        <f t="shared" si="12"/>
        <v>1</v>
      </c>
      <c r="R85" s="126">
        <f t="shared" si="16"/>
        <v>1.388001584175308E-7</v>
      </c>
      <c r="S85" s="126">
        <f t="shared" si="17"/>
        <v>2.037046916393581E-7</v>
      </c>
      <c r="AA85" s="126">
        <f t="shared" si="18"/>
        <v>1.6247816201409533E-7</v>
      </c>
      <c r="AB85" s="126">
        <f t="shared" si="19"/>
        <v>2.037046916393581E-7</v>
      </c>
      <c r="AC85" s="126">
        <f t="shared" si="20"/>
        <v>3.5986105577203891E-8</v>
      </c>
      <c r="AD85" s="126">
        <f t="shared" si="21"/>
        <v>1.5939089352843644E-8</v>
      </c>
      <c r="AE85" s="128"/>
    </row>
    <row r="86" spans="1:31" x14ac:dyDescent="0.35">
      <c r="K86">
        <v>100</v>
      </c>
      <c r="L86">
        <v>15</v>
      </c>
      <c r="M86">
        <f t="shared" si="23"/>
        <v>14</v>
      </c>
      <c r="N86">
        <f t="shared" si="0"/>
        <v>1500</v>
      </c>
      <c r="O86">
        <f t="shared" si="1"/>
        <v>1425</v>
      </c>
      <c r="P86">
        <f t="shared" si="2"/>
        <v>1575</v>
      </c>
      <c r="Q86">
        <f t="shared" si="12"/>
        <v>1</v>
      </c>
      <c r="R86" s="126">
        <f t="shared" si="16"/>
        <v>1.601540288418739E-7</v>
      </c>
      <c r="S86" s="126">
        <f t="shared" si="17"/>
        <v>2.3454406449635806E-7</v>
      </c>
      <c r="AA86" s="126">
        <f t="shared" si="18"/>
        <v>1.8747480220522211E-7</v>
      </c>
      <c r="AB86" s="126">
        <f t="shared" si="19"/>
        <v>2.3454406449635806E-7</v>
      </c>
      <c r="AC86" s="126">
        <f t="shared" si="20"/>
        <v>3.4974138721038468E-8</v>
      </c>
      <c r="AD86" s="126">
        <f t="shared" si="21"/>
        <v>1.5755264092316343E-8</v>
      </c>
      <c r="AE86" s="128"/>
    </row>
    <row r="87" spans="1:31" x14ac:dyDescent="0.35">
      <c r="B87" s="171" t="s">
        <v>362</v>
      </c>
      <c r="C87" s="171"/>
      <c r="K87">
        <v>100</v>
      </c>
      <c r="L87">
        <v>16</v>
      </c>
      <c r="M87">
        <f t="shared" si="23"/>
        <v>15</v>
      </c>
      <c r="N87">
        <f t="shared" si="0"/>
        <v>1600</v>
      </c>
      <c r="O87">
        <f t="shared" si="1"/>
        <v>1520</v>
      </c>
      <c r="P87">
        <f t="shared" si="2"/>
        <v>1680</v>
      </c>
      <c r="Q87">
        <f t="shared" si="12"/>
        <v>1</v>
      </c>
      <c r="R87" s="126">
        <f t="shared" si="16"/>
        <v>1.7083096404390233E-7</v>
      </c>
      <c r="S87" s="126">
        <f t="shared" si="17"/>
        <v>2.4996375091161105E-7</v>
      </c>
      <c r="AA87" s="126">
        <f t="shared" si="18"/>
        <v>1.9997312228891207E-7</v>
      </c>
      <c r="AB87" s="126">
        <f t="shared" si="19"/>
        <v>2.4996375091161105E-7</v>
      </c>
      <c r="AC87" s="126">
        <f t="shared" si="20"/>
        <v>3.4585725268123519E-8</v>
      </c>
      <c r="AD87" s="126">
        <f t="shared" si="21"/>
        <v>1.5682531610549281E-8</v>
      </c>
      <c r="AE87" s="128"/>
    </row>
    <row r="88" spans="1:31" ht="29" x14ac:dyDescent="0.35">
      <c r="B88" t="s">
        <v>355</v>
      </c>
      <c r="C88" t="s">
        <v>363</v>
      </c>
      <c r="D88" t="s">
        <v>364</v>
      </c>
      <c r="E88" s="32" t="str">
        <f>IF(Summary!G37="absolute","find min R2, so that max (Vx) = " &amp; TRUNC(R2/J3,3),"find min R2, so that max (Vx) = " &amp; R2)</f>
        <v>find min R2, so that max (Vx) = 0.3</v>
      </c>
      <c r="F88" s="32" t="s">
        <v>365</v>
      </c>
      <c r="G88" s="32" t="s">
        <v>366</v>
      </c>
      <c r="H88" s="32" t="s">
        <v>367</v>
      </c>
      <c r="K88">
        <v>100</v>
      </c>
      <c r="L88">
        <v>18</v>
      </c>
      <c r="M88">
        <f t="shared" si="23"/>
        <v>16</v>
      </c>
      <c r="N88">
        <f t="shared" si="0"/>
        <v>1800</v>
      </c>
      <c r="O88">
        <f t="shared" si="1"/>
        <v>1710</v>
      </c>
      <c r="P88">
        <f t="shared" si="2"/>
        <v>1890</v>
      </c>
      <c r="Q88">
        <f t="shared" si="12"/>
        <v>1</v>
      </c>
      <c r="R88" s="126">
        <f t="shared" si="16"/>
        <v>1.9218483442767305E-7</v>
      </c>
      <c r="S88" s="126">
        <f t="shared" si="17"/>
        <v>2.8080312371562333E-7</v>
      </c>
      <c r="AA88" s="126">
        <f t="shared" si="18"/>
        <v>2.249697624325452E-7</v>
      </c>
      <c r="AB88" s="126">
        <f t="shared" si="19"/>
        <v>2.8080312371562333E-7</v>
      </c>
      <c r="AC88" s="126">
        <f t="shared" si="20"/>
        <v>3.3965520991020482E-8</v>
      </c>
      <c r="AD88" s="126">
        <f t="shared" si="21"/>
        <v>1.556374122951575E-8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3"/>
        <v>17</v>
      </c>
      <c r="N89">
        <f t="shared" si="0"/>
        <v>2000</v>
      </c>
      <c r="O89">
        <f t="shared" si="1"/>
        <v>1900</v>
      </c>
      <c r="P89">
        <f t="shared" si="2"/>
        <v>2100</v>
      </c>
      <c r="Q89">
        <f t="shared" si="12"/>
        <v>0</v>
      </c>
      <c r="R89" s="126">
        <f t="shared" si="16"/>
        <v>2.1353870478439558E-7</v>
      </c>
      <c r="S89" s="126">
        <f t="shared" si="17"/>
        <v>3.1164249648431063E-7</v>
      </c>
      <c r="AA89" s="126">
        <f t="shared" si="18"/>
        <v>2.4996640254451601E-7</v>
      </c>
      <c r="AB89" s="126">
        <f t="shared" si="19"/>
        <v>3.1164249648431063E-7</v>
      </c>
      <c r="AC89" s="126">
        <f t="shared" si="20"/>
        <v>3.3492541633142335E-8</v>
      </c>
      <c r="AD89" s="126">
        <f t="shared" si="21"/>
        <v>1.5470850211923698E-8</v>
      </c>
      <c r="AE89" s="128"/>
    </row>
    <row r="90" spans="1:31" x14ac:dyDescent="0.35">
      <c r="A90" t="s">
        <v>320</v>
      </c>
      <c r="B90" s="11">
        <f>F11*(1+H11)</f>
        <v>955.5</v>
      </c>
      <c r="C90" s="11">
        <f>F11*(1-H11)</f>
        <v>864.5</v>
      </c>
      <c r="D90" s="11">
        <f>F11*(1+H11)</f>
        <v>955.5</v>
      </c>
      <c r="E90" s="11"/>
      <c r="F90" s="11">
        <f>F11*(1-H11)</f>
        <v>864.5</v>
      </c>
      <c r="G90">
        <f>F11*(1-H11)</f>
        <v>864.5</v>
      </c>
      <c r="H90">
        <f>F11*(1+H11)</f>
        <v>955.5</v>
      </c>
      <c r="K90">
        <v>100</v>
      </c>
      <c r="L90">
        <v>22</v>
      </c>
      <c r="M90">
        <f t="shared" si="23"/>
        <v>17</v>
      </c>
      <c r="N90">
        <f t="shared" si="0"/>
        <v>2200</v>
      </c>
      <c r="O90">
        <f t="shared" si="1"/>
        <v>2090</v>
      </c>
      <c r="P90">
        <f t="shared" si="2"/>
        <v>2310</v>
      </c>
      <c r="Q90">
        <f t="shared" si="12"/>
        <v>0</v>
      </c>
      <c r="R90" s="126">
        <f t="shared" si="16"/>
        <v>2.3489257511406977E-7</v>
      </c>
      <c r="S90" s="126">
        <f t="shared" si="17"/>
        <v>3.4248186921767268E-7</v>
      </c>
      <c r="AA90" s="126">
        <f t="shared" si="18"/>
        <v>2.7496304262482427E-7</v>
      </c>
      <c r="AB90" s="126">
        <f t="shared" si="19"/>
        <v>3.4248186921767268E-7</v>
      </c>
      <c r="AC90" s="126">
        <f t="shared" si="20"/>
        <v>3.3120108223604472E-8</v>
      </c>
      <c r="AD90" s="126">
        <f t="shared" si="21"/>
        <v>1.5396234151890649E-8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3"/>
        <v>17</v>
      </c>
      <c r="N91">
        <f t="shared" si="0"/>
        <v>2400</v>
      </c>
      <c r="O91">
        <f t="shared" si="1"/>
        <v>2280</v>
      </c>
      <c r="P91">
        <f t="shared" si="2"/>
        <v>2520</v>
      </c>
      <c r="Q91">
        <f t="shared" si="12"/>
        <v>0</v>
      </c>
      <c r="R91" s="126">
        <f t="shared" si="16"/>
        <v>2.562464454166958E-7</v>
      </c>
      <c r="S91" s="126">
        <f t="shared" si="17"/>
        <v>3.733212419157097E-7</v>
      </c>
      <c r="AA91" s="126">
        <f t="shared" si="18"/>
        <v>2.9995968267347018E-7</v>
      </c>
      <c r="AB91" s="126">
        <f t="shared" si="19"/>
        <v>3.733212419157097E-7</v>
      </c>
      <c r="AC91" s="126">
        <f t="shared" si="20"/>
        <v>3.2819347708776847E-8</v>
      </c>
      <c r="AD91" s="126">
        <f t="shared" si="21"/>
        <v>1.5334990518060443E-8</v>
      </c>
      <c r="AE91" s="128"/>
    </row>
    <row r="92" spans="1:31" x14ac:dyDescent="0.35">
      <c r="A92" t="s">
        <v>324</v>
      </c>
      <c r="B92" s="1">
        <f>K21-B93</f>
        <v>22.122405384810769</v>
      </c>
      <c r="C92" s="1">
        <f>K21-C93</f>
        <v>0</v>
      </c>
      <c r="D92" s="1">
        <f>K21-D93</f>
        <v>22.122405384810769</v>
      </c>
      <c r="E92" s="1">
        <f>K21-E93</f>
        <v>0</v>
      </c>
      <c r="F92" s="1">
        <f>K21-F93</f>
        <v>0</v>
      </c>
      <c r="G92" s="1">
        <f>K22-G93</f>
        <v>0</v>
      </c>
      <c r="H92" s="1">
        <f>K22-H93</f>
        <v>16.31240538481077</v>
      </c>
      <c r="K92">
        <v>100</v>
      </c>
      <c r="L92">
        <v>27</v>
      </c>
      <c r="M92">
        <f t="shared" si="23"/>
        <v>17</v>
      </c>
      <c r="N92">
        <f t="shared" si="0"/>
        <v>2700</v>
      </c>
      <c r="O92">
        <f t="shared" si="1"/>
        <v>2565</v>
      </c>
      <c r="P92">
        <f t="shared" si="2"/>
        <v>2835</v>
      </c>
      <c r="Q92">
        <f t="shared" si="12"/>
        <v>0</v>
      </c>
      <c r="R92" s="126">
        <f t="shared" si="16"/>
        <v>2.8827725081991944E-7</v>
      </c>
      <c r="S92" s="126">
        <f t="shared" si="17"/>
        <v>4.1958030089653062E-7</v>
      </c>
      <c r="AA92" s="126">
        <f t="shared" si="18"/>
        <v>3.3745464268707215E-7</v>
      </c>
      <c r="AB92" s="126">
        <f t="shared" si="19"/>
        <v>4.1958030089653062E-7</v>
      </c>
      <c r="AC92" s="126">
        <f t="shared" si="20"/>
        <v>3.2463172093753682E-8</v>
      </c>
      <c r="AD92" s="126">
        <f t="shared" si="21"/>
        <v>1.5261275124321535E-8</v>
      </c>
      <c r="AE92" s="128"/>
    </row>
    <row r="93" spans="1:31" x14ac:dyDescent="0.35">
      <c r="A93" t="s">
        <v>327</v>
      </c>
      <c r="B93" s="1">
        <f>K21*(1-MAX(K25,K24))</f>
        <v>0</v>
      </c>
      <c r="C93" s="1">
        <f>K21*(1-MIN(K25,K24))</f>
        <v>22.122405384810769</v>
      </c>
      <c r="D93" s="1">
        <f>K21*(1-MAX(K25,K24))</f>
        <v>0</v>
      </c>
      <c r="E93" s="1">
        <f>K21*(1-MIN(K25,K24))</f>
        <v>22.122405384810769</v>
      </c>
      <c r="F93" s="125">
        <f>K21*(1-MIN(K25,K24))</f>
        <v>22.122405384810769</v>
      </c>
      <c r="G93" s="125">
        <f>K22*(1-MIN(K25,K24))</f>
        <v>16.31240538481077</v>
      </c>
      <c r="H93" s="1">
        <f>K22*(1-MAX(K25,K24))</f>
        <v>0</v>
      </c>
      <c r="K93">
        <v>100</v>
      </c>
      <c r="L93">
        <v>30</v>
      </c>
      <c r="M93">
        <f t="shared" si="23"/>
        <v>17</v>
      </c>
      <c r="N93">
        <f t="shared" si="0"/>
        <v>3000</v>
      </c>
      <c r="O93">
        <f t="shared" si="1"/>
        <v>2850</v>
      </c>
      <c r="P93">
        <f t="shared" si="2"/>
        <v>3150</v>
      </c>
      <c r="Q93">
        <f t="shared" si="12"/>
        <v>0</v>
      </c>
      <c r="R93" s="126">
        <f t="shared" si="16"/>
        <v>3.2030805616228445E-7</v>
      </c>
      <c r="S93" s="126">
        <f t="shared" si="17"/>
        <v>4.6583935979787004E-7</v>
      </c>
      <c r="AA93" s="126">
        <f t="shared" si="18"/>
        <v>3.7494960262943351E-7</v>
      </c>
      <c r="AB93" s="126">
        <f t="shared" si="19"/>
        <v>4.6583935979787004E-7</v>
      </c>
      <c r="AC93" s="126">
        <f t="shared" si="20"/>
        <v>3.2186975922973326E-8</v>
      </c>
      <c r="AD93" s="126">
        <f t="shared" si="21"/>
        <v>1.5203190998635637E-8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3"/>
        <v>17</v>
      </c>
      <c r="N94">
        <f t="shared" si="0"/>
        <v>3300</v>
      </c>
      <c r="O94">
        <f t="shared" si="1"/>
        <v>3135</v>
      </c>
      <c r="P94">
        <f t="shared" si="2"/>
        <v>3465</v>
      </c>
      <c r="Q94">
        <f t="shared" si="12"/>
        <v>0</v>
      </c>
      <c r="R94" s="126">
        <f t="shared" si="16"/>
        <v>3.5233886144379104E-7</v>
      </c>
      <c r="S94" s="126">
        <f t="shared" si="17"/>
        <v>5.1209841861972807E-7</v>
      </c>
      <c r="AA94" s="126">
        <f t="shared" si="18"/>
        <v>4.1244456250055458E-7</v>
      </c>
      <c r="AB94" s="126">
        <f t="shared" si="19"/>
        <v>5.1209841861972807E-7</v>
      </c>
      <c r="AC94" s="126">
        <f t="shared" si="20"/>
        <v>3.1966602243382036E-8</v>
      </c>
      <c r="AD94" s="126">
        <f t="shared" si="21"/>
        <v>1.515624696589075E-8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3"/>
        <v>17</v>
      </c>
      <c r="N95">
        <f t="shared" si="0"/>
        <v>3600</v>
      </c>
      <c r="O95">
        <f t="shared" si="1"/>
        <v>3420</v>
      </c>
      <c r="P95">
        <f t="shared" si="2"/>
        <v>3780</v>
      </c>
      <c r="Q95">
        <f t="shared" si="12"/>
        <v>0</v>
      </c>
      <c r="R95" s="126">
        <f t="shared" si="16"/>
        <v>3.8436966666443901E-7</v>
      </c>
      <c r="S95" s="126">
        <f t="shared" si="17"/>
        <v>5.5835747736210461E-7</v>
      </c>
      <c r="AA95" s="126">
        <f t="shared" si="18"/>
        <v>4.4993952230043515E-7</v>
      </c>
      <c r="AB95" s="126">
        <f t="shared" si="19"/>
        <v>5.5835747736210461E-7</v>
      </c>
      <c r="AC95" s="126">
        <f t="shared" si="20"/>
        <v>3.1786716997634453E-8</v>
      </c>
      <c r="AD95" s="126">
        <f t="shared" si="21"/>
        <v>1.511752091831426E-8</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3"/>
        <v>17</v>
      </c>
      <c r="N96">
        <f t="shared" si="0"/>
        <v>3900</v>
      </c>
      <c r="O96">
        <f t="shared" si="1"/>
        <v>3705</v>
      </c>
      <c r="P96">
        <f t="shared" si="2"/>
        <v>4095</v>
      </c>
      <c r="Q96">
        <f t="shared" si="12"/>
        <v>0</v>
      </c>
      <c r="R96" s="126">
        <f t="shared" si="16"/>
        <v>4.164004718242285E-7</v>
      </c>
      <c r="S96" s="126">
        <f t="shared" si="17"/>
        <v>6.0461653602499949E-7</v>
      </c>
      <c r="AA96" s="126">
        <f t="shared" si="18"/>
        <v>4.8743448202907528E-7</v>
      </c>
      <c r="AB96" s="126">
        <f t="shared" si="19"/>
        <v>6.0461653602499949E-7</v>
      </c>
      <c r="AC96" s="126">
        <f t="shared" si="20"/>
        <v>3.1637122651877972E-8</v>
      </c>
      <c r="AD96" s="126">
        <f t="shared" si="21"/>
        <v>1.5085029973415413E-8</v>
      </c>
      <c r="AE96" s="128"/>
    </row>
    <row r="97" spans="1:31" x14ac:dyDescent="0.35">
      <c r="K97">
        <v>100</v>
      </c>
      <c r="L97">
        <v>43</v>
      </c>
      <c r="M97">
        <f t="shared" si="23"/>
        <v>17</v>
      </c>
      <c r="N97">
        <f t="shared" si="0"/>
        <v>4300</v>
      </c>
      <c r="O97">
        <f t="shared" si="1"/>
        <v>4085</v>
      </c>
      <c r="P97">
        <f t="shared" si="2"/>
        <v>4515</v>
      </c>
      <c r="Q97">
        <f t="shared" si="12"/>
        <v>0</v>
      </c>
      <c r="R97" s="126">
        <f t="shared" si="16"/>
        <v>4.5910821194261226E-7</v>
      </c>
      <c r="S97" s="126">
        <f t="shared" si="17"/>
        <v>6.6629528078522168E-7</v>
      </c>
      <c r="AA97" s="126">
        <f t="shared" si="18"/>
        <v>5.3742776155644373E-7</v>
      </c>
      <c r="AB97" s="126">
        <f t="shared" si="19"/>
        <v>6.6629528078522168E-7</v>
      </c>
      <c r="AC97" s="126">
        <f t="shared" si="20"/>
        <v>3.1472915413094768E-8</v>
      </c>
      <c r="AD97" s="126">
        <f t="shared" si="21"/>
        <v>1.5049058763916241E-8</v>
      </c>
      <c r="AE97" s="128"/>
    </row>
    <row r="98" spans="1:31" x14ac:dyDescent="0.35">
      <c r="A98" t="s">
        <v>344</v>
      </c>
      <c r="B98">
        <v>1</v>
      </c>
      <c r="C98">
        <v>1</v>
      </c>
      <c r="D98">
        <v>1</v>
      </c>
      <c r="E98">
        <v>1</v>
      </c>
      <c r="F98">
        <v>1</v>
      </c>
      <c r="G98">
        <v>1</v>
      </c>
      <c r="H98">
        <v>1</v>
      </c>
      <c r="K98">
        <v>100</v>
      </c>
      <c r="L98">
        <v>47</v>
      </c>
      <c r="M98">
        <f t="shared" si="23"/>
        <v>17</v>
      </c>
      <c r="N98">
        <f t="shared" ref="N98:N129" si="25">L98*K98</f>
        <v>4700</v>
      </c>
      <c r="O98">
        <f t="shared" ref="O98:O129" si="26">N98*(1-$M$32)</f>
        <v>4465</v>
      </c>
      <c r="P98">
        <f t="shared" ref="P98:P129" si="27">N98*(1+$M$32)</f>
        <v>4935</v>
      </c>
      <c r="Q98">
        <f t="shared" si="12"/>
        <v>0</v>
      </c>
      <c r="R98" s="126">
        <f t="shared" ref="R98:R129" si="28">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5.0181595195280307E-7</v>
      </c>
      <c r="S98" s="126">
        <f t="shared" ref="S98:S129" si="29">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7.2797402540414363E-7</v>
      </c>
      <c r="AA98" s="126">
        <f t="shared" ref="AA98:AA129" si="30">_xlfn.LET(
_xlpm.PU,O98,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(LN(1-$T$3/_xlpm.VCC)-LN(1-_xlpm.Vspec_abs/_xlpm.VCC))*$K$19*_xlpm.Rbus
)</f>
        <v>5.8742104095716255E-7</v>
      </c>
      <c r="AB98" s="126">
        <f t="shared" ref="AB98:AB129" si="31">_xlfn.LET(
_xlpm.PU,P98,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(LN(1-$T$3/_xlpm.VCC)-LN(1-_xlpm.Vspec_abs/_xlpm.VCC))*$K$18*_xlpm.Rbus
)</f>
        <v>7.2797402540414363E-7</v>
      </c>
      <c r="AC98" s="126">
        <f t="shared" ref="AC98:AC129" si="32">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3.1338849766472949E-8</v>
      </c>
      <c r="AD98" s="126">
        <f t="shared" ref="AD98:AD129" si="33">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1.5019447002028022E-8</v>
      </c>
      <c r="AE98" s="128"/>
    </row>
    <row r="99" spans="1:31" x14ac:dyDescent="0.35">
      <c r="A99" t="s">
        <v>345</v>
      </c>
      <c r="B99">
        <v>1</v>
      </c>
      <c r="C99">
        <v>1</v>
      </c>
      <c r="D99">
        <v>1</v>
      </c>
      <c r="E99">
        <v>1</v>
      </c>
      <c r="F99">
        <v>1</v>
      </c>
      <c r="G99">
        <v>1</v>
      </c>
      <c r="H99">
        <v>1</v>
      </c>
      <c r="K99">
        <v>100</v>
      </c>
      <c r="L99">
        <v>51</v>
      </c>
      <c r="M99">
        <f t="shared" si="23"/>
        <v>17</v>
      </c>
      <c r="N99">
        <f t="shared" si="25"/>
        <v>5100</v>
      </c>
      <c r="O99">
        <f t="shared" si="26"/>
        <v>4845</v>
      </c>
      <c r="P99">
        <f t="shared" si="27"/>
        <v>5355</v>
      </c>
      <c r="Q99">
        <f t="shared" ref="Q99:Q129" si="34">IF($Q$2="N/A",IF(AND((O99&gt;=MAX($H$7:$I$7)),(P99&lt;=MIN($F$7:$G$7)),(P99&lt;=MIN($B$7:$C$7)),(O99&gt;=MAX($D$7:$E$7))),1,0),IF(AND((O99&gt;=MAX($I$7)),(P99&lt;=MIN($G$7)),(P99&lt;=MIN($C$7)),(O99&gt;=MAX($E$7))),1,0))</f>
        <v>0</v>
      </c>
      <c r="R99" s="126">
        <f t="shared" si="28"/>
        <v>5.445236918548012E-7</v>
      </c>
      <c r="S99" s="126">
        <f t="shared" si="29"/>
        <v>7.8965276988176502E-7</v>
      </c>
      <c r="AA99" s="126">
        <f t="shared" si="30"/>
        <v>6.3741432023123194E-7</v>
      </c>
      <c r="AB99" s="126">
        <f t="shared" si="31"/>
        <v>7.8965276988176502E-7</v>
      </c>
      <c r="AC99" s="126">
        <f t="shared" si="32"/>
        <v>3.1227335207466926E-8</v>
      </c>
      <c r="AD99" s="126">
        <f t="shared" si="33"/>
        <v>1.4994645878204169E-8</v>
      </c>
      <c r="AE99" s="128"/>
    </row>
    <row r="100" spans="1:31" x14ac:dyDescent="0.35">
      <c r="A100" t="s">
        <v>346</v>
      </c>
      <c r="B100">
        <v>1</v>
      </c>
      <c r="C100">
        <v>1</v>
      </c>
      <c r="D100">
        <v>1</v>
      </c>
      <c r="E100">
        <v>1</v>
      </c>
      <c r="F100">
        <v>1</v>
      </c>
      <c r="G100">
        <v>1</v>
      </c>
      <c r="H100">
        <v>1</v>
      </c>
      <c r="K100">
        <v>100</v>
      </c>
      <c r="L100">
        <v>56</v>
      </c>
      <c r="M100">
        <f t="shared" si="23"/>
        <v>17</v>
      </c>
      <c r="N100">
        <f t="shared" si="25"/>
        <v>5600</v>
      </c>
      <c r="O100">
        <f t="shared" si="26"/>
        <v>5320</v>
      </c>
      <c r="P100">
        <f t="shared" si="27"/>
        <v>5880</v>
      </c>
      <c r="Q100">
        <f t="shared" si="34"/>
        <v>0</v>
      </c>
      <c r="R100" s="126">
        <f t="shared" si="28"/>
        <v>5.9790836658015212E-7</v>
      </c>
      <c r="S100" s="126">
        <f t="shared" si="29"/>
        <v>8.6675120028008819E-7</v>
      </c>
      <c r="AA100" s="126">
        <f t="shared" si="30"/>
        <v>6.9990591914571713E-7</v>
      </c>
      <c r="AB100" s="126">
        <f t="shared" si="31"/>
        <v>8.6675120028008819E-7</v>
      </c>
      <c r="AC100" s="126">
        <f t="shared" si="32"/>
        <v>3.1111820546087498E-8</v>
      </c>
      <c r="AD100" s="126">
        <f t="shared" si="33"/>
        <v>1.4968788750856179E-8</v>
      </c>
      <c r="AE100" s="128"/>
    </row>
    <row r="101" spans="1:31" x14ac:dyDescent="0.35">
      <c r="K101">
        <v>100</v>
      </c>
      <c r="L101">
        <v>62</v>
      </c>
      <c r="M101">
        <f t="shared" si="23"/>
        <v>17</v>
      </c>
      <c r="N101">
        <f t="shared" si="25"/>
        <v>6200</v>
      </c>
      <c r="O101">
        <f t="shared" si="26"/>
        <v>5890</v>
      </c>
      <c r="P101">
        <f t="shared" si="27"/>
        <v>6510</v>
      </c>
      <c r="Q101">
        <f t="shared" si="34"/>
        <v>0</v>
      </c>
      <c r="R101" s="126">
        <f t="shared" si="28"/>
        <v>6.6196997602742545E-7</v>
      </c>
      <c r="S101" s="126">
        <f t="shared" si="29"/>
        <v>9.5926931646664373E-7</v>
      </c>
      <c r="AA101" s="126">
        <f t="shared" si="30"/>
        <v>7.7489583758188487E-7</v>
      </c>
      <c r="AB101" s="126">
        <f t="shared" si="31"/>
        <v>9.5926931646664373E-7</v>
      </c>
      <c r="AC101" s="126">
        <f t="shared" si="32"/>
        <v>3.0999260150449286E-8</v>
      </c>
      <c r="AD101" s="126">
        <f t="shared" si="33"/>
        <v>1.4943426915909005E-8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0.999998936186554</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7.7002643443583499E-2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2.5497194700659802E-2</v>
      </c>
      <c r="E102" s="12">
        <f>IF(Summary!G50="absolute",(R2-N7)/(J3+J3*Summary!G18),R2-N7)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7.7002643492123768E-2</v>
      </c>
      <c r="G102" s="12">
        <f t="shared" ref="G102:H102" si="35"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7.124142462287375E-2</v>
      </c>
      <c r="H102" s="12">
        <f t="shared" si="35"/>
        <v>2.5497194695677253E-2</v>
      </c>
      <c r="K102">
        <v>100</v>
      </c>
      <c r="L102">
        <v>68</v>
      </c>
      <c r="M102">
        <f t="shared" si="23"/>
        <v>17</v>
      </c>
      <c r="N102">
        <f t="shared" si="25"/>
        <v>6800</v>
      </c>
      <c r="O102">
        <f t="shared" si="26"/>
        <v>6460</v>
      </c>
      <c r="P102">
        <f t="shared" si="27"/>
        <v>7140</v>
      </c>
      <c r="Q102">
        <f t="shared" si="34"/>
        <v>0</v>
      </c>
      <c r="R102" s="126">
        <f t="shared" si="28"/>
        <v>7.2603158523126469E-7</v>
      </c>
      <c r="S102" s="126">
        <f t="shared" si="29"/>
        <v>1.0517874323352736E-6</v>
      </c>
      <c r="AA102" s="126">
        <f t="shared" si="30"/>
        <v>8.4988575573309071E-7</v>
      </c>
      <c r="AB102" s="126">
        <f t="shared" si="31"/>
        <v>1.0517874323352736E-6</v>
      </c>
      <c r="AC102" s="126">
        <f t="shared" si="32"/>
        <v>3.0907642412472004E-8</v>
      </c>
      <c r="AD102" s="126">
        <f t="shared" si="33"/>
        <v>1.492266062758627E-8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0.99999893621113456</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7.7002643443583499E-2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2.5497194681688037E-2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7.7002643492123768E-2</v>
      </c>
      <c r="K103">
        <v>100</v>
      </c>
      <c r="L103">
        <v>75</v>
      </c>
      <c r="M103">
        <f t="shared" si="23"/>
        <v>17</v>
      </c>
      <c r="N103">
        <f t="shared" si="25"/>
        <v>7500</v>
      </c>
      <c r="O103">
        <f t="shared" si="26"/>
        <v>7125</v>
      </c>
      <c r="P103">
        <f t="shared" si="27"/>
        <v>7875</v>
      </c>
      <c r="Q103">
        <f t="shared" si="34"/>
        <v>0</v>
      </c>
      <c r="R103" s="126">
        <f t="shared" si="28"/>
        <v>8.0077012899473694E-7</v>
      </c>
      <c r="S103" s="126">
        <f t="shared" si="29"/>
        <v>1.1597252337801854E-6</v>
      </c>
      <c r="AA103" s="126">
        <f t="shared" si="30"/>
        <v>9.3737399321600453E-7</v>
      </c>
      <c r="AB103" s="126">
        <f t="shared" si="31"/>
        <v>1.1597252337801854E-6</v>
      </c>
      <c r="AC103" s="126">
        <f t="shared" si="32"/>
        <v>3.0820195502428545E-8</v>
      </c>
      <c r="AD103" s="126">
        <f t="shared" si="33"/>
        <v>1.4902734792702794E-8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0.99999893621113456</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5.3383302355855138E-2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2.5497194681688037E-2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0.69326584066218677</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5.3383302405637545E-2</v>
      </c>
      <c r="K104">
        <v>100</v>
      </c>
      <c r="L104">
        <v>82</v>
      </c>
      <c r="M104">
        <f t="shared" si="23"/>
        <v>17</v>
      </c>
      <c r="N104">
        <f t="shared" si="25"/>
        <v>8200</v>
      </c>
      <c r="O104">
        <f t="shared" si="26"/>
        <v>7790</v>
      </c>
      <c r="P104">
        <f t="shared" si="27"/>
        <v>8610</v>
      </c>
      <c r="Q104">
        <f t="shared" si="34"/>
        <v>0</v>
      </c>
      <c r="R104" s="126">
        <f t="shared" si="28"/>
        <v>8.7550867242686811E-7</v>
      </c>
      <c r="S104" s="126">
        <f t="shared" si="29"/>
        <v>1.2676630347923645E-6</v>
      </c>
      <c r="AA104" s="126">
        <f t="shared" si="30"/>
        <v>1.0248622303110535E-6</v>
      </c>
      <c r="AB104" s="126">
        <f t="shared" si="31"/>
        <v>1.2676630347923645E-6</v>
      </c>
      <c r="AC104" s="126">
        <f t="shared" si="32"/>
        <v>3.0748352409646711E-8</v>
      </c>
      <c r="AD104" s="126">
        <f t="shared" si="33"/>
        <v>1.4886286633869506E-8</v>
      </c>
      <c r="AE104" s="128"/>
    </row>
    <row r="105" spans="1:31" x14ac:dyDescent="0.35">
      <c r="K105">
        <v>100</v>
      </c>
      <c r="L105">
        <v>91</v>
      </c>
      <c r="M105">
        <f t="shared" si="23"/>
        <v>17</v>
      </c>
      <c r="N105">
        <f t="shared" si="25"/>
        <v>9100</v>
      </c>
      <c r="O105">
        <f t="shared" si="26"/>
        <v>8645</v>
      </c>
      <c r="P105">
        <f t="shared" si="27"/>
        <v>9555</v>
      </c>
      <c r="Q105">
        <f t="shared" si="34"/>
        <v>0</v>
      </c>
      <c r="R105" s="126">
        <f t="shared" si="28"/>
        <v>9.7160108492416891E-7</v>
      </c>
      <c r="S105" s="126">
        <f t="shared" si="29"/>
        <v>1.4064402068864574E-6</v>
      </c>
      <c r="AA105" s="126">
        <f t="shared" si="30"/>
        <v>1.1373471060061936E-6</v>
      </c>
      <c r="AB105" s="126">
        <f t="shared" si="31"/>
        <v>1.4064402068864574E-6</v>
      </c>
      <c r="AC105" s="126">
        <f t="shared" si="32"/>
        <v>3.0672884450215967E-8</v>
      </c>
      <c r="AD105" s="126">
        <f t="shared" si="33"/>
        <v>1.4868931860911255E-8</v>
      </c>
      <c r="AE105" s="128"/>
    </row>
    <row r="106" spans="1:31" x14ac:dyDescent="0.35">
      <c r="K106">
        <v>1000</v>
      </c>
      <c r="L106">
        <v>10</v>
      </c>
      <c r="M106">
        <f t="shared" si="23"/>
        <v>17</v>
      </c>
      <c r="N106">
        <f t="shared" si="25"/>
        <v>10000</v>
      </c>
      <c r="O106">
        <f t="shared" si="26"/>
        <v>9500</v>
      </c>
      <c r="P106">
        <f t="shared" si="27"/>
        <v>10500</v>
      </c>
      <c r="Q106">
        <f t="shared" si="34"/>
        <v>0</v>
      </c>
      <c r="R106" s="126">
        <f t="shared" si="28"/>
        <v>1.0676934968737427E-6</v>
      </c>
      <c r="S106" s="126">
        <f t="shared" si="29"/>
        <v>1.5452173782652172E-6</v>
      </c>
      <c r="AA106" s="126">
        <f t="shared" si="30"/>
        <v>1.24983198106017E-6</v>
      </c>
      <c r="AB106" s="126">
        <f t="shared" si="31"/>
        <v>1.5452173782652172E-6</v>
      </c>
      <c r="AC106" s="126">
        <f t="shared" si="32"/>
        <v>3.0611504234779696E-8</v>
      </c>
      <c r="AD106" s="126">
        <f t="shared" si="33"/>
        <v>1.4854758011486457E-8</v>
      </c>
      <c r="AE106" s="128"/>
    </row>
    <row r="107" spans="1:31" x14ac:dyDescent="0.35">
      <c r="K107">
        <v>1000</v>
      </c>
      <c r="L107">
        <v>11</v>
      </c>
      <c r="M107">
        <f t="shared" si="23"/>
        <v>17</v>
      </c>
      <c r="N107">
        <f t="shared" si="25"/>
        <v>11000</v>
      </c>
      <c r="O107">
        <f t="shared" si="26"/>
        <v>10450</v>
      </c>
      <c r="P107">
        <f t="shared" si="27"/>
        <v>11550</v>
      </c>
      <c r="Q107">
        <f t="shared" si="34"/>
        <v>0</v>
      </c>
      <c r="R107" s="126">
        <f t="shared" si="28"/>
        <v>1.1744628428419847E-6</v>
      </c>
      <c r="S107" s="126">
        <f t="shared" si="29"/>
        <v>1.6994142345137572E-6</v>
      </c>
      <c r="AA107" s="126">
        <f t="shared" si="30"/>
        <v>1.3748151748126057E-6</v>
      </c>
      <c r="AB107" s="126">
        <f t="shared" si="31"/>
        <v>1.6994142345137572E-6</v>
      </c>
      <c r="AC107" s="126">
        <f t="shared" si="32"/>
        <v>3.0555481360047285E-8</v>
      </c>
      <c r="AD107" s="126">
        <f t="shared" si="33"/>
        <v>1.4841774724736908E-8</v>
      </c>
      <c r="AE107" s="128"/>
    </row>
    <row r="108" spans="1:31" x14ac:dyDescent="0.35">
      <c r="K108">
        <v>1000</v>
      </c>
      <c r="L108">
        <v>12</v>
      </c>
      <c r="M108">
        <f t="shared" si="23"/>
        <v>17</v>
      </c>
      <c r="N108">
        <f t="shared" si="25"/>
        <v>12000</v>
      </c>
      <c r="O108">
        <f t="shared" si="26"/>
        <v>11400</v>
      </c>
      <c r="P108">
        <f t="shared" si="27"/>
        <v>12600</v>
      </c>
      <c r="Q108">
        <f t="shared" si="34"/>
        <v>0</v>
      </c>
      <c r="R108" s="126">
        <f t="shared" si="28"/>
        <v>1.2812321881340211E-6</v>
      </c>
      <c r="S108" s="126">
        <f t="shared" si="29"/>
        <v>1.8536110898791696E-6</v>
      </c>
      <c r="AA108" s="126">
        <f t="shared" si="30"/>
        <v>1.4997983677734814E-6</v>
      </c>
      <c r="AB108" s="126">
        <f t="shared" si="31"/>
        <v>1.8536110898791696E-6</v>
      </c>
      <c r="AC108" s="126">
        <f t="shared" si="32"/>
        <v>3.0509084585246806E-8</v>
      </c>
      <c r="AD108" s="126">
        <f t="shared" si="33"/>
        <v>1.4830988297693147E-8</v>
      </c>
      <c r="AE108" s="128"/>
    </row>
    <row r="109" spans="1:31" x14ac:dyDescent="0.35">
      <c r="K109">
        <v>1000</v>
      </c>
      <c r="L109">
        <v>13</v>
      </c>
      <c r="M109">
        <f t="shared" si="23"/>
        <v>17</v>
      </c>
      <c r="N109">
        <f t="shared" si="25"/>
        <v>13000</v>
      </c>
      <c r="O109">
        <f t="shared" si="26"/>
        <v>12350</v>
      </c>
      <c r="P109">
        <f t="shared" si="27"/>
        <v>13650</v>
      </c>
      <c r="Q109">
        <f t="shared" si="34"/>
        <v>0</v>
      </c>
      <c r="R109" s="126">
        <f t="shared" si="28"/>
        <v>1.3880015327498513E-6</v>
      </c>
      <c r="S109" s="126">
        <f t="shared" si="29"/>
        <v>2.0078079443614545E-6</v>
      </c>
      <c r="AA109" s="126">
        <f t="shared" si="30"/>
        <v>1.6247815599427966E-6</v>
      </c>
      <c r="AB109" s="126">
        <f t="shared" si="31"/>
        <v>2.0078079443614545E-6</v>
      </c>
      <c r="AC109" s="126">
        <f t="shared" si="32"/>
        <v>3.0470029865676632E-8</v>
      </c>
      <c r="AD109" s="126">
        <f t="shared" si="33"/>
        <v>1.4821884678661887E-8</v>
      </c>
      <c r="AE109" s="128"/>
    </row>
    <row r="110" spans="1:31" x14ac:dyDescent="0.35">
      <c r="K110">
        <v>1000</v>
      </c>
      <c r="L110">
        <v>15</v>
      </c>
      <c r="M110">
        <f t="shared" si="23"/>
        <v>17</v>
      </c>
      <c r="N110">
        <f t="shared" si="25"/>
        <v>15000</v>
      </c>
      <c r="O110">
        <f t="shared" si="26"/>
        <v>14250</v>
      </c>
      <c r="P110">
        <f t="shared" si="27"/>
        <v>15750</v>
      </c>
      <c r="Q110">
        <f t="shared" si="34"/>
        <v>0</v>
      </c>
      <c r="R110" s="126">
        <f t="shared" si="28"/>
        <v>1.6015402199528948E-6</v>
      </c>
      <c r="S110" s="126">
        <f t="shared" si="29"/>
        <v>2.3162016506766423E-6</v>
      </c>
      <c r="AA110" s="126">
        <f t="shared" si="30"/>
        <v>1.874747941906747E-6</v>
      </c>
      <c r="AB110" s="126">
        <f t="shared" si="31"/>
        <v>2.3162016506766423E-6</v>
      </c>
      <c r="AC110" s="126">
        <f t="shared" si="32"/>
        <v>3.0407929297081021E-8</v>
      </c>
      <c r="AD110" s="126">
        <f t="shared" si="33"/>
        <v>1.48073633059219E-8</v>
      </c>
      <c r="AE110" s="128"/>
    </row>
    <row r="111" spans="1:31" x14ac:dyDescent="0.35">
      <c r="K111">
        <v>1000</v>
      </c>
      <c r="L111">
        <v>16</v>
      </c>
      <c r="M111">
        <f t="shared" si="23"/>
        <v>17</v>
      </c>
      <c r="N111">
        <f t="shared" si="25"/>
        <v>16000</v>
      </c>
      <c r="O111">
        <f t="shared" si="26"/>
        <v>15200</v>
      </c>
      <c r="P111">
        <f t="shared" si="27"/>
        <v>16800</v>
      </c>
      <c r="Q111">
        <f t="shared" si="34"/>
        <v>0</v>
      </c>
      <c r="R111" s="126">
        <f t="shared" si="28"/>
        <v>1.7083095625401078E-6</v>
      </c>
      <c r="S111" s="126">
        <f t="shared" si="29"/>
        <v>2.4703985025095445E-6</v>
      </c>
      <c r="AA111" s="126">
        <f t="shared" si="30"/>
        <v>1.9997311317013815E-6</v>
      </c>
      <c r="AB111" s="126">
        <f t="shared" si="31"/>
        <v>2.4703985025095445E-6</v>
      </c>
      <c r="AC111" s="126">
        <f t="shared" si="32"/>
        <v>3.0382836346620919E-8</v>
      </c>
      <c r="AD111" s="126">
        <f t="shared" si="33"/>
        <v>1.4801479578469142E-8</v>
      </c>
      <c r="AE111" s="128"/>
    </row>
    <row r="112" spans="1:31" x14ac:dyDescent="0.35">
      <c r="K112">
        <v>1000</v>
      </c>
      <c r="L112">
        <v>18</v>
      </c>
      <c r="M112">
        <f t="shared" si="23"/>
        <v>17</v>
      </c>
      <c r="N112">
        <f t="shared" si="25"/>
        <v>18000</v>
      </c>
      <c r="O112">
        <f t="shared" si="26"/>
        <v>17100</v>
      </c>
      <c r="P112">
        <f t="shared" si="27"/>
        <v>18900</v>
      </c>
      <c r="Q112">
        <f t="shared" si="34"/>
        <v>0</v>
      </c>
      <c r="R112" s="126">
        <f t="shared" si="28"/>
        <v>1.9218482456859162E-6</v>
      </c>
      <c r="S112" s="126">
        <f t="shared" si="29"/>
        <v>2.7787922035259678E-6</v>
      </c>
      <c r="AA112" s="126">
        <f t="shared" si="30"/>
        <v>2.2496975089159709E-6</v>
      </c>
      <c r="AB112" s="126">
        <f t="shared" si="31"/>
        <v>2.7787922035259678E-6</v>
      </c>
      <c r="AC112" s="126">
        <f t="shared" si="32"/>
        <v>3.0341187777422274E-8</v>
      </c>
      <c r="AD112" s="126">
        <f t="shared" si="33"/>
        <v>1.4791693323903155E-8</v>
      </c>
      <c r="AE112" s="128"/>
    </row>
    <row r="113" spans="11:31" x14ac:dyDescent="0.35">
      <c r="K113">
        <v>1000</v>
      </c>
      <c r="L113">
        <v>20</v>
      </c>
      <c r="M113">
        <f t="shared" si="23"/>
        <v>17</v>
      </c>
      <c r="N113">
        <f t="shared" si="25"/>
        <v>20000</v>
      </c>
      <c r="O113">
        <f t="shared" si="26"/>
        <v>19000</v>
      </c>
      <c r="P113">
        <f t="shared" si="27"/>
        <v>21000</v>
      </c>
      <c r="Q113">
        <f t="shared" si="34"/>
        <v>0</v>
      </c>
      <c r="R113" s="126">
        <f t="shared" si="28"/>
        <v>2.1353869261269018E-6</v>
      </c>
      <c r="S113" s="126">
        <f t="shared" si="29"/>
        <v>3.0871859010098822E-6</v>
      </c>
      <c r="AA113" s="126">
        <f t="shared" si="30"/>
        <v>2.4996638829643195E-6</v>
      </c>
      <c r="AB113" s="126">
        <f t="shared" si="31"/>
        <v>3.0871859010098822E-6</v>
      </c>
      <c r="AC113" s="126">
        <f t="shared" si="32"/>
        <v>3.0308024051626165E-8</v>
      </c>
      <c r="AD113" s="126">
        <f t="shared" si="33"/>
        <v>1.4783882249900581E-8</v>
      </c>
      <c r="AE113" s="128"/>
    </row>
    <row r="114" spans="11:31" x14ac:dyDescent="0.35">
      <c r="K114">
        <v>1000</v>
      </c>
      <c r="L114">
        <v>22</v>
      </c>
      <c r="M114">
        <f t="shared" si="23"/>
        <v>17</v>
      </c>
      <c r="N114">
        <f t="shared" si="25"/>
        <v>22000</v>
      </c>
      <c r="O114">
        <f t="shared" si="26"/>
        <v>20900</v>
      </c>
      <c r="P114">
        <f t="shared" si="27"/>
        <v>23100</v>
      </c>
      <c r="Q114">
        <f t="shared" si="34"/>
        <v>0</v>
      </c>
      <c r="R114" s="126">
        <f t="shared" si="28"/>
        <v>2.3489256038630638E-6</v>
      </c>
      <c r="S114" s="126">
        <f t="shared" si="29"/>
        <v>3.3955795949612871E-6</v>
      </c>
      <c r="AA114" s="126">
        <f t="shared" si="30"/>
        <v>2.7496302538464272E-6</v>
      </c>
      <c r="AB114" s="126">
        <f t="shared" si="31"/>
        <v>3.3955795949612871E-6</v>
      </c>
      <c r="AC114" s="126">
        <f t="shared" si="32"/>
        <v>3.028099226711615E-8</v>
      </c>
      <c r="AD114" s="126">
        <f t="shared" si="33"/>
        <v>1.477750320363823E-8</v>
      </c>
      <c r="AE114" s="128"/>
    </row>
    <row r="115" spans="11:31" x14ac:dyDescent="0.35">
      <c r="K115">
        <v>1000</v>
      </c>
      <c r="L115">
        <v>24</v>
      </c>
      <c r="M115">
        <f t="shared" si="23"/>
        <v>17</v>
      </c>
      <c r="N115">
        <f t="shared" si="25"/>
        <v>24000</v>
      </c>
      <c r="O115">
        <f t="shared" si="26"/>
        <v>22800</v>
      </c>
      <c r="P115">
        <f t="shared" si="27"/>
        <v>25200</v>
      </c>
      <c r="Q115">
        <f t="shared" si="34"/>
        <v>0</v>
      </c>
      <c r="R115" s="126">
        <f t="shared" si="28"/>
        <v>2.5624642788944031E-6</v>
      </c>
      <c r="S115" s="126">
        <f t="shared" si="29"/>
        <v>3.7039732853801823E-6</v>
      </c>
      <c r="AA115" s="126">
        <f t="shared" si="30"/>
        <v>2.9995966215622952E-6</v>
      </c>
      <c r="AB115" s="126">
        <f t="shared" si="31"/>
        <v>3.7039732853801823E-6</v>
      </c>
      <c r="AC115" s="126">
        <f t="shared" si="32"/>
        <v>3.025853580581874E-8</v>
      </c>
      <c r="AD115" s="126">
        <f t="shared" si="33"/>
        <v>1.4772195454376332E-8</v>
      </c>
      <c r="AE115" s="128"/>
    </row>
    <row r="116" spans="11:31" x14ac:dyDescent="0.35">
      <c r="K116">
        <v>1000</v>
      </c>
      <c r="L116">
        <v>27</v>
      </c>
      <c r="M116">
        <f t="shared" si="23"/>
        <v>17</v>
      </c>
      <c r="N116">
        <f t="shared" si="25"/>
        <v>27000</v>
      </c>
      <c r="O116">
        <f t="shared" si="26"/>
        <v>25650</v>
      </c>
      <c r="P116">
        <f t="shared" si="27"/>
        <v>28350</v>
      </c>
      <c r="Q116">
        <f t="shared" si="34"/>
        <v>0</v>
      </c>
      <c r="R116" s="126">
        <f t="shared" si="28"/>
        <v>2.8827722863698686E-6</v>
      </c>
      <c r="S116" s="126">
        <f t="shared" si="29"/>
        <v>4.1665638143850708E-6</v>
      </c>
      <c r="AA116" s="126">
        <f t="shared" si="30"/>
        <v>3.3745461671993957E-6</v>
      </c>
      <c r="AB116" s="126">
        <f t="shared" si="31"/>
        <v>4.1665638143850708E-6</v>
      </c>
      <c r="AC116" s="126">
        <f t="shared" si="32"/>
        <v>3.0231175221584084E-8</v>
      </c>
      <c r="AD116" s="126">
        <f t="shared" si="33"/>
        <v>1.4765718219195198E-8</v>
      </c>
      <c r="AE116" s="128"/>
    </row>
    <row r="117" spans="11:31" x14ac:dyDescent="0.35">
      <c r="K117">
        <v>1000</v>
      </c>
      <c r="L117">
        <v>30</v>
      </c>
      <c r="M117">
        <f t="shared" si="23"/>
        <v>17</v>
      </c>
      <c r="N117">
        <f t="shared" si="25"/>
        <v>30000</v>
      </c>
      <c r="O117">
        <f t="shared" si="26"/>
        <v>28500</v>
      </c>
      <c r="P117">
        <f t="shared" si="27"/>
        <v>31500</v>
      </c>
      <c r="Q117">
        <f t="shared" si="34"/>
        <v>0</v>
      </c>
      <c r="R117" s="126">
        <f t="shared" si="28"/>
        <v>3.2030802877594832E-6</v>
      </c>
      <c r="S117" s="126">
        <f t="shared" si="29"/>
        <v>4.6291543354418129E-6</v>
      </c>
      <c r="AA117" s="126">
        <f t="shared" si="30"/>
        <v>3.7494957057124562E-6</v>
      </c>
      <c r="AB117" s="126">
        <f t="shared" si="31"/>
        <v>4.6291543354418129E-6</v>
      </c>
      <c r="AC117" s="126">
        <f t="shared" si="32"/>
        <v>3.0209354842030592E-8</v>
      </c>
      <c r="AD117" s="126">
        <f t="shared" si="33"/>
        <v>1.4760544351722083E-8</v>
      </c>
      <c r="AE117" s="128"/>
    </row>
    <row r="118" spans="11:31" x14ac:dyDescent="0.35">
      <c r="K118">
        <v>1000</v>
      </c>
      <c r="L118">
        <v>33</v>
      </c>
      <c r="M118">
        <f t="shared" si="23"/>
        <v>17</v>
      </c>
      <c r="N118">
        <f t="shared" si="25"/>
        <v>33000</v>
      </c>
      <c r="O118">
        <f t="shared" si="26"/>
        <v>31350</v>
      </c>
      <c r="P118">
        <f t="shared" si="27"/>
        <v>34650</v>
      </c>
      <c r="Q118">
        <f t="shared" si="34"/>
        <v>0</v>
      </c>
      <c r="R118" s="126">
        <f t="shared" si="28"/>
        <v>3.5233882830632454E-6</v>
      </c>
      <c r="S118" s="126">
        <f t="shared" si="29"/>
        <v>5.0917448485504104E-6</v>
      </c>
      <c r="AA118" s="126">
        <f t="shared" si="30"/>
        <v>4.1244452371014749E-6</v>
      </c>
      <c r="AB118" s="126">
        <f t="shared" si="31"/>
        <v>5.0917448485504104E-6</v>
      </c>
      <c r="AC118" s="126">
        <f t="shared" si="32"/>
        <v>3.0191546707486828E-8</v>
      </c>
      <c r="AD118" s="126">
        <f t="shared" si="33"/>
        <v>1.4756316417833757E-8</v>
      </c>
      <c r="AE118" s="128"/>
    </row>
    <row r="119" spans="11:31" x14ac:dyDescent="0.35">
      <c r="K119">
        <v>1000</v>
      </c>
      <c r="L119">
        <v>36</v>
      </c>
      <c r="M119">
        <f t="shared" si="23"/>
        <v>17</v>
      </c>
      <c r="N119">
        <f t="shared" si="25"/>
        <v>36000</v>
      </c>
      <c r="O119">
        <f t="shared" si="26"/>
        <v>34200</v>
      </c>
      <c r="P119">
        <f t="shared" si="27"/>
        <v>37800</v>
      </c>
      <c r="Q119">
        <f t="shared" si="34"/>
        <v>0</v>
      </c>
      <c r="R119" s="126">
        <f t="shared" si="28"/>
        <v>3.8436962722811567E-6</v>
      </c>
      <c r="S119" s="126">
        <f t="shared" si="29"/>
        <v>5.5543353537108607E-6</v>
      </c>
      <c r="AA119" s="126">
        <f t="shared" si="30"/>
        <v>4.499394761366454E-6</v>
      </c>
      <c r="AB119" s="126">
        <f t="shared" si="31"/>
        <v>5.5543353537108607E-6</v>
      </c>
      <c r="AC119" s="126">
        <f t="shared" si="32"/>
        <v>3.0176737403087262E-8</v>
      </c>
      <c r="AD119" s="126">
        <f t="shared" si="33"/>
        <v>1.4752796731921687E-8</v>
      </c>
      <c r="AE119" s="128"/>
    </row>
    <row r="120" spans="11:31" x14ac:dyDescent="0.35">
      <c r="K120">
        <v>1000</v>
      </c>
      <c r="L120">
        <v>39</v>
      </c>
      <c r="M120">
        <f t="shared" si="23"/>
        <v>17</v>
      </c>
      <c r="N120">
        <f t="shared" si="25"/>
        <v>39000</v>
      </c>
      <c r="O120">
        <f t="shared" si="26"/>
        <v>37050</v>
      </c>
      <c r="P120">
        <f t="shared" si="27"/>
        <v>40950</v>
      </c>
      <c r="Q120">
        <f t="shared" si="34"/>
        <v>0</v>
      </c>
      <c r="R120" s="126">
        <f t="shared" si="28"/>
        <v>4.1640042554132176E-6</v>
      </c>
      <c r="S120" s="126">
        <f t="shared" si="29"/>
        <v>6.0169258509231688E-6</v>
      </c>
      <c r="AA120" s="126">
        <f t="shared" si="30"/>
        <v>4.874344278507393E-6</v>
      </c>
      <c r="AB120" s="126">
        <f t="shared" si="31"/>
        <v>6.0169258509231688E-6</v>
      </c>
      <c r="AC120" s="126">
        <f t="shared" si="32"/>
        <v>3.0164228291325499E-8</v>
      </c>
      <c r="AD120" s="126">
        <f t="shared" si="33"/>
        <v>1.4749821084809183E-8</v>
      </c>
      <c r="AE120" s="128"/>
    </row>
    <row r="121" spans="11:31" x14ac:dyDescent="0.35">
      <c r="K121">
        <v>1000</v>
      </c>
      <c r="L121">
        <v>43</v>
      </c>
      <c r="M121">
        <f t="shared" si="23"/>
        <v>17</v>
      </c>
      <c r="N121">
        <f t="shared" si="25"/>
        <v>43000</v>
      </c>
      <c r="O121">
        <f t="shared" si="26"/>
        <v>40850</v>
      </c>
      <c r="P121">
        <f t="shared" si="27"/>
        <v>45150</v>
      </c>
      <c r="Q121">
        <f t="shared" si="34"/>
        <v>0</v>
      </c>
      <c r="R121" s="126">
        <f t="shared" si="28"/>
        <v>4.5910815567890853E-6</v>
      </c>
      <c r="S121" s="126">
        <f t="shared" si="29"/>
        <v>6.6337131681757958E-6</v>
      </c>
      <c r="AA121" s="126">
        <f t="shared" si="30"/>
        <v>5.374276956946806E-6</v>
      </c>
      <c r="AB121" s="126">
        <f t="shared" si="31"/>
        <v>6.6337131681757958E-6</v>
      </c>
      <c r="AC121" s="126">
        <f t="shared" si="32"/>
        <v>3.015028824007848E-8</v>
      </c>
      <c r="AD121" s="126">
        <f t="shared" si="33"/>
        <v>1.4746502189686715E-8</v>
      </c>
      <c r="AE121" s="128"/>
    </row>
    <row r="122" spans="11:31" x14ac:dyDescent="0.35">
      <c r="K122">
        <v>1000</v>
      </c>
      <c r="L122">
        <v>47</v>
      </c>
      <c r="M122">
        <f t="shared" si="23"/>
        <v>17</v>
      </c>
      <c r="N122">
        <f t="shared" si="25"/>
        <v>47000</v>
      </c>
      <c r="O122">
        <f t="shared" si="26"/>
        <v>44650</v>
      </c>
      <c r="P122">
        <f t="shared" si="27"/>
        <v>49350</v>
      </c>
      <c r="Q122">
        <f t="shared" si="34"/>
        <v>0</v>
      </c>
      <c r="R122" s="126">
        <f t="shared" si="28"/>
        <v>5.0181588473456631E-6</v>
      </c>
      <c r="S122" s="126">
        <f t="shared" si="29"/>
        <v>7.2505004712983902E-6</v>
      </c>
      <c r="AA122" s="126">
        <f t="shared" si="30"/>
        <v>5.8742096227212579E-6</v>
      </c>
      <c r="AB122" s="126">
        <f t="shared" si="31"/>
        <v>7.2505004712983902E-6</v>
      </c>
      <c r="AC122" s="126">
        <f t="shared" si="32"/>
        <v>3.0138739843905406E-8</v>
      </c>
      <c r="AD122" s="126">
        <f t="shared" si="33"/>
        <v>1.4743750419743828E-8</v>
      </c>
      <c r="AE122" s="128"/>
    </row>
    <row r="123" spans="11:31" x14ac:dyDescent="0.35">
      <c r="K123">
        <v>1000</v>
      </c>
      <c r="L123">
        <v>51</v>
      </c>
      <c r="M123">
        <f t="shared" si="23"/>
        <v>17</v>
      </c>
      <c r="N123">
        <f t="shared" si="25"/>
        <v>51000</v>
      </c>
      <c r="O123">
        <f t="shared" si="26"/>
        <v>48450</v>
      </c>
      <c r="P123">
        <f t="shared" si="27"/>
        <v>53550</v>
      </c>
      <c r="Q123">
        <f t="shared" si="34"/>
        <v>0</v>
      </c>
      <c r="R123" s="126">
        <f t="shared" si="28"/>
        <v>5.4452361270829519E-6</v>
      </c>
      <c r="S123" s="126">
        <f t="shared" si="29"/>
        <v>7.867287760290947E-6</v>
      </c>
      <c r="AA123" s="126">
        <f t="shared" si="30"/>
        <v>6.3741422758307528E-6</v>
      </c>
      <c r="AB123" s="126">
        <f t="shared" si="31"/>
        <v>7.867287760290947E-6</v>
      </c>
      <c r="AC123" s="126">
        <f t="shared" si="32"/>
        <v>3.0129016248750723E-8</v>
      </c>
      <c r="AD123" s="126">
        <f t="shared" si="33"/>
        <v>1.4741431854221613E-8</v>
      </c>
      <c r="AE123" s="128"/>
    </row>
    <row r="124" spans="11:31" x14ac:dyDescent="0.35">
      <c r="K124">
        <v>1000</v>
      </c>
      <c r="L124">
        <v>56</v>
      </c>
      <c r="M124">
        <f t="shared" si="23"/>
        <v>17</v>
      </c>
      <c r="N124">
        <f t="shared" si="25"/>
        <v>56000</v>
      </c>
      <c r="O124">
        <f t="shared" si="26"/>
        <v>53200</v>
      </c>
      <c r="P124">
        <f t="shared" si="27"/>
        <v>58800</v>
      </c>
      <c r="Q124">
        <f t="shared" si="34"/>
        <v>0</v>
      </c>
      <c r="R124" s="126">
        <f t="shared" si="28"/>
        <v>5.9790827115399383E-6</v>
      </c>
      <c r="S124" s="126">
        <f t="shared" si="29"/>
        <v>8.6382718516612867E-6</v>
      </c>
      <c r="AA124" s="126">
        <f t="shared" si="30"/>
        <v>6.9990580744075234E-6</v>
      </c>
      <c r="AB124" s="126">
        <f t="shared" si="31"/>
        <v>8.6382718516612867E-6</v>
      </c>
      <c r="AC124" s="126">
        <f t="shared" si="32"/>
        <v>3.0118828207274009E-8</v>
      </c>
      <c r="AD124" s="126">
        <f t="shared" si="33"/>
        <v>1.4739000958103015E-8</v>
      </c>
      <c r="AE124" s="128"/>
    </row>
    <row r="125" spans="11:31" x14ac:dyDescent="0.35">
      <c r="K125">
        <v>1000</v>
      </c>
      <c r="L125">
        <v>62</v>
      </c>
      <c r="M125">
        <f t="shared" si="23"/>
        <v>17</v>
      </c>
      <c r="N125">
        <f t="shared" si="25"/>
        <v>62000</v>
      </c>
      <c r="O125">
        <f t="shared" si="26"/>
        <v>58900</v>
      </c>
      <c r="P125">
        <f t="shared" si="27"/>
        <v>65100</v>
      </c>
      <c r="Q125">
        <f t="shared" si="34"/>
        <v>0</v>
      </c>
      <c r="R125" s="126">
        <f t="shared" si="28"/>
        <v>6.6196985905735367E-6</v>
      </c>
      <c r="S125" s="126">
        <f t="shared" si="29"/>
        <v>9.5634527321624991E-6</v>
      </c>
      <c r="AA125" s="126">
        <f t="shared" si="30"/>
        <v>7.7489570065781719E-6</v>
      </c>
      <c r="AB125" s="126">
        <f t="shared" si="31"/>
        <v>9.5634527321624991E-6</v>
      </c>
      <c r="AC125" s="126">
        <f t="shared" si="32"/>
        <v>3.0108784716468515E-8</v>
      </c>
      <c r="AD125" s="126">
        <f t="shared" si="33"/>
        <v>1.4736602961537007E-8</v>
      </c>
      <c r="AE125" s="128"/>
    </row>
    <row r="126" spans="11:31" x14ac:dyDescent="0.35">
      <c r="K126">
        <v>1000</v>
      </c>
      <c r="L126">
        <v>68</v>
      </c>
      <c r="M126">
        <f t="shared" si="23"/>
        <v>17</v>
      </c>
      <c r="N126">
        <f t="shared" si="25"/>
        <v>68000</v>
      </c>
      <c r="O126">
        <f t="shared" si="26"/>
        <v>64600</v>
      </c>
      <c r="P126">
        <f t="shared" si="27"/>
        <v>71400</v>
      </c>
      <c r="Q126">
        <f t="shared" si="34"/>
        <v>0</v>
      </c>
      <c r="R126" s="126">
        <f t="shared" si="28"/>
        <v>7.2603144452637376E-6</v>
      </c>
      <c r="S126" s="126">
        <f t="shared" si="29"/>
        <v>1.0488633580871136E-5</v>
      </c>
      <c r="AA126" s="126">
        <f t="shared" si="30"/>
        <v>8.498855910252667E-6</v>
      </c>
      <c r="AB126" s="126">
        <f t="shared" si="31"/>
        <v>1.0488633580871136E-5</v>
      </c>
      <c r="AC126" s="126">
        <f t="shared" si="32"/>
        <v>3.0100523362437778E-8</v>
      </c>
      <c r="AD126" s="126">
        <f t="shared" si="33"/>
        <v>1.4734629283950278E-8</v>
      </c>
      <c r="AE126" s="128"/>
    </row>
    <row r="127" spans="11:31" x14ac:dyDescent="0.35">
      <c r="K127">
        <v>1000</v>
      </c>
      <c r="L127">
        <v>75</v>
      </c>
      <c r="M127">
        <f t="shared" si="23"/>
        <v>17</v>
      </c>
      <c r="N127">
        <f t="shared" si="25"/>
        <v>75000</v>
      </c>
      <c r="O127">
        <f t="shared" si="26"/>
        <v>71250</v>
      </c>
      <c r="P127">
        <f t="shared" si="27"/>
        <v>78750</v>
      </c>
      <c r="Q127">
        <f t="shared" si="34"/>
        <v>0</v>
      </c>
      <c r="R127" s="126">
        <f t="shared" si="28"/>
        <v>8.0076995783016263E-6</v>
      </c>
      <c r="S127" s="126">
        <f t="shared" si="29"/>
        <v>1.1568011197515605E-5</v>
      </c>
      <c r="AA127" s="126">
        <f t="shared" si="30"/>
        <v>9.3737379285236113E-6</v>
      </c>
      <c r="AB127" s="126">
        <f t="shared" si="31"/>
        <v>1.1568011197515605E-5</v>
      </c>
      <c r="AC127" s="126">
        <f t="shared" si="32"/>
        <v>3.0092564084676895E-8</v>
      </c>
      <c r="AD127" s="126">
        <f t="shared" si="33"/>
        <v>1.4732726759170779E-8</v>
      </c>
      <c r="AE127" s="128"/>
    </row>
    <row r="128" spans="11:31" x14ac:dyDescent="0.35">
      <c r="K128">
        <v>1000</v>
      </c>
      <c r="L128">
        <v>82</v>
      </c>
      <c r="M128">
        <f t="shared" si="23"/>
        <v>17</v>
      </c>
      <c r="N128">
        <f t="shared" si="25"/>
        <v>82000</v>
      </c>
      <c r="O128">
        <f t="shared" si="26"/>
        <v>77900</v>
      </c>
      <c r="P128">
        <f t="shared" si="27"/>
        <v>86100</v>
      </c>
      <c r="Q128">
        <f t="shared" si="34"/>
        <v>0</v>
      </c>
      <c r="R128" s="126">
        <f t="shared" si="28"/>
        <v>8.7550846782054452E-6</v>
      </c>
      <c r="S128" s="126">
        <f t="shared" si="29"/>
        <v>1.2647388770886854E-5</v>
      </c>
      <c r="AA128" s="126">
        <f t="shared" si="30"/>
        <v>1.0248619908008128E-5</v>
      </c>
      <c r="AB128" s="126">
        <f t="shared" si="31"/>
        <v>1.2647388770886854E-5</v>
      </c>
      <c r="AC128" s="126">
        <f t="shared" si="32"/>
        <v>3.00859699132869E-8</v>
      </c>
      <c r="AD128" s="126">
        <f t="shared" si="33"/>
        <v>1.4731149783458778E-8</v>
      </c>
      <c r="AE128" s="128"/>
    </row>
    <row r="129" spans="11:31" x14ac:dyDescent="0.35">
      <c r="K129">
        <v>1000</v>
      </c>
      <c r="L129">
        <v>91</v>
      </c>
      <c r="M129">
        <f t="shared" si="23"/>
        <v>17</v>
      </c>
      <c r="N129">
        <f t="shared" si="25"/>
        <v>91000</v>
      </c>
      <c r="O129">
        <f t="shared" si="26"/>
        <v>86450</v>
      </c>
      <c r="P129">
        <f t="shared" si="27"/>
        <v>95550</v>
      </c>
      <c r="Q129">
        <f t="shared" si="34"/>
        <v>0</v>
      </c>
      <c r="R129" s="126">
        <f t="shared" si="28"/>
        <v>9.7160083293949993E-6</v>
      </c>
      <c r="S129" s="126">
        <f t="shared" si="29"/>
        <v>1.4035159873064752E-5</v>
      </c>
      <c r="AA129" s="126">
        <f t="shared" si="30"/>
        <v>1.1373468110353066E-5</v>
      </c>
      <c r="AB129" s="126">
        <f t="shared" si="31"/>
        <v>1.4035159873064752E-5</v>
      </c>
      <c r="AC129" s="126">
        <f t="shared" si="32"/>
        <v>3.007898850362033E-8</v>
      </c>
      <c r="AD129" s="126">
        <f t="shared" si="33"/>
        <v>1.4729479453613405E-8</v>
      </c>
      <c r="AE129" s="128"/>
    </row>
    <row r="130" spans="11:31" x14ac:dyDescent="0.35">
      <c r="M130">
        <f t="shared" si="23"/>
        <v>17</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1047" priority="34" stopIfTrue="1">
      <formula>AND($B$11="need resistor",$C$11&gt;0)</formula>
    </cfRule>
    <cfRule type="containsText" dxfId="1046" priority="38" operator="containsText" text="need resistor">
      <formula>NOT(ISERROR(SEARCH("need resistor",B11)))</formula>
    </cfRule>
  </conditionalFormatting>
  <conditionalFormatting sqref="B11:B12">
    <cfRule type="containsText" dxfId="1045" priority="36" operator="containsText" text="no need">
      <formula>NOT(ISERROR(SEARCH("no need",B11)))</formula>
    </cfRule>
  </conditionalFormatting>
  <conditionalFormatting sqref="B12">
    <cfRule type="expression" dxfId="1044" priority="33" stopIfTrue="1">
      <formula>AND($B$12="need resistor",$C$12&gt;0)</formula>
    </cfRule>
    <cfRule type="containsText" dxfId="1043" priority="35" operator="containsText" text="need resistor">
      <formula>NOT(ISERROR(SEARCH("need resistor",B12)))</formula>
    </cfRule>
  </conditionalFormatting>
  <conditionalFormatting sqref="B42">
    <cfRule type="expression" dxfId="1042" priority="61">
      <formula>AND($B$42&gt;$S$2,$B$2=1)</formula>
    </cfRule>
    <cfRule type="expression" dxfId="1041" priority="60">
      <formula>AND($B$42&lt;$R$2,$B$2=0)</formula>
    </cfRule>
    <cfRule type="expression" dxfId="1040" priority="59" stopIfTrue="1">
      <formula>AND($B$42&lt;=$S$2,$B$2=1)</formula>
    </cfRule>
    <cfRule type="expression" dxfId="1039" priority="58" stopIfTrue="1">
      <formula>AND($B$42&gt;=$R$2,$B$2=0)</formula>
    </cfRule>
  </conditionalFormatting>
  <conditionalFormatting sqref="B62">
    <cfRule type="expression" dxfId="1038" priority="69">
      <formula>AND($B$62&gt;$S$2,$B$2=1)</formula>
    </cfRule>
    <cfRule type="expression" dxfId="1037" priority="68">
      <formula>AND($B$62&lt;$R$2,$B$2=0)</formula>
    </cfRule>
    <cfRule type="expression" dxfId="1036" priority="67" stopIfTrue="1">
      <formula>AND($B$62&lt;=$S$2,$B$2=1)</formula>
    </cfRule>
    <cfRule type="expression" dxfId="1035" priority="66" stopIfTrue="1">
      <formula>AND($B$62&gt;=$R$2,$B$2=0)</formula>
    </cfRule>
  </conditionalFormatting>
  <conditionalFormatting sqref="B84">
    <cfRule type="cellIs" dxfId="1034" priority="47" operator="greaterThan">
      <formula>$S$3</formula>
    </cfRule>
    <cfRule type="cellIs" dxfId="1033" priority="46" operator="lessThanOrEqual">
      <formula>$S$3</formula>
    </cfRule>
  </conditionalFormatting>
  <conditionalFormatting sqref="B102">
    <cfRule type="cellIs" dxfId="1032" priority="50" operator="lessThanOrEqual">
      <formula>$S$2</formula>
    </cfRule>
    <cfRule type="cellIs" dxfId="1031" priority="51" operator="greaterThan">
      <formula>$S$2</formula>
    </cfRule>
  </conditionalFormatting>
  <conditionalFormatting sqref="B18:C18">
    <cfRule type="expression" dxfId="1030" priority="55">
      <formula>OR(AND($B$2=0,$C$18&lt;$R$2),AND($B$2=1,$C$18&gt;$S$2))</formula>
    </cfRule>
    <cfRule type="expression" dxfId="1029" priority="54" stopIfTrue="1">
      <formula>OR(AND($B$2=0,$C$18&gt;=$R$2),AND($B$2=1,$C$18&lt;=$S$2))</formula>
    </cfRule>
  </conditionalFormatting>
  <conditionalFormatting sqref="B19:C19">
    <cfRule type="expression" dxfId="1028" priority="57">
      <formula>OR(AND($B$3=0,$C$19&lt;$R$3),AND($B$3=1,$C$19&gt;$S$3))</formula>
    </cfRule>
    <cfRule type="expression" dxfId="1027" priority="56" stopIfTrue="1">
      <formula>OR(AND($B$3=0,$C$19&gt;=$R$3),AND($B$3=1,$C$19&lt;=$S$3))</formula>
    </cfRule>
  </conditionalFormatting>
  <conditionalFormatting sqref="C14">
    <cfRule type="cellIs" dxfId="1026" priority="28" operator="equal">
      <formula>"no solution"</formula>
    </cfRule>
  </conditionalFormatting>
  <conditionalFormatting sqref="C44">
    <cfRule type="expression" dxfId="1025" priority="65">
      <formula>AND($B$44&gt;$S$3,$B$3=1)</formula>
    </cfRule>
    <cfRule type="expression" dxfId="1024" priority="64">
      <formula>AND($B$44&lt;$R$3,$B$3=0)</formula>
    </cfRule>
    <cfRule type="expression" dxfId="1023" priority="63" stopIfTrue="1">
      <formula>AND($C$44&lt;=$S$3,$B$3=1)</formula>
    </cfRule>
    <cfRule type="expression" dxfId="1022" priority="62" stopIfTrue="1">
      <formula>AND($C$44&gt;=$R$3,$B$3=0)</formula>
    </cfRule>
  </conditionalFormatting>
  <conditionalFormatting sqref="C64">
    <cfRule type="expression" dxfId="1021" priority="71" stopIfTrue="1">
      <formula>AND($C$64&lt;=$S$3,$B$3=1)</formula>
    </cfRule>
    <cfRule type="expression" dxfId="1020" priority="72">
      <formula>AND($B$64&lt;$R$3,$B$3=0)</formula>
    </cfRule>
    <cfRule type="expression" dxfId="1019" priority="73">
      <formula>AND($B$64&gt;$S$3,$B$3=1)</formula>
    </cfRule>
    <cfRule type="expression" dxfId="1018" priority="70" stopIfTrue="1">
      <formula>AND($C$64&gt;=$R$3,$B$3=0)</formula>
    </cfRule>
  </conditionalFormatting>
  <conditionalFormatting sqref="C102:D102">
    <cfRule type="cellIs" dxfId="1017" priority="30" operator="lessThan">
      <formula>$R$2</formula>
    </cfRule>
    <cfRule type="cellIs" dxfId="1016" priority="29" operator="greaterThanOrEqual">
      <formula>$R$2</formula>
    </cfRule>
  </conditionalFormatting>
  <conditionalFormatting sqref="C84:H84">
    <cfRule type="cellIs" dxfId="1015" priority="15" operator="lessThan">
      <formula>$R$3</formula>
    </cfRule>
    <cfRule type="cellIs" dxfId="1014" priority="14" operator="greaterThanOrEqual">
      <formula>$R$3</formula>
    </cfRule>
  </conditionalFormatting>
  <conditionalFormatting sqref="D11">
    <cfRule type="containsText" dxfId="1013" priority="41" stopIfTrue="1" operator="containsText" text="please remove resistor">
      <formula>NOT(ISERROR(SEARCH("please remove resistor",D11)))</formula>
    </cfRule>
    <cfRule type="cellIs" dxfId="1012" priority="43" operator="greaterThan">
      <formula>$S$2</formula>
    </cfRule>
    <cfRule type="cellIs" dxfId="1011" priority="42" operator="lessThan">
      <formula>$S$2</formula>
    </cfRule>
  </conditionalFormatting>
  <conditionalFormatting sqref="D11:D12">
    <cfRule type="cellIs" priority="26" stopIfTrue="1" operator="equal">
      <formula>""</formula>
    </cfRule>
  </conditionalFormatting>
  <conditionalFormatting sqref="D12 E18:E19">
    <cfRule type="cellIs" dxfId="1010" priority="40" operator="lessThan">
      <formula>$R$2-$N$7</formula>
    </cfRule>
    <cfRule type="cellIs" dxfId="1009" priority="39" operator="greaterThanOrEqual">
      <formula>$R$2-$N$7</formula>
    </cfRule>
  </conditionalFormatting>
  <conditionalFormatting sqref="D18:D19">
    <cfRule type="cellIs" dxfId="1008" priority="44" operator="lessThanOrEqual">
      <formula>$S$2+$N$7</formula>
    </cfRule>
    <cfRule type="cellIs" dxfId="1007" priority="45" operator="greaterThan">
      <formula>$S$2+$N$7</formula>
    </cfRule>
  </conditionalFormatting>
  <conditionalFormatting sqref="E102">
    <cfRule type="cellIs" dxfId="1006" priority="13" operator="lessThan">
      <formula>$R$3</formula>
    </cfRule>
    <cfRule type="cellIs" dxfId="1005" priority="12" operator="greaterThanOrEqual">
      <formula>$R$3</formula>
    </cfRule>
  </conditionalFormatting>
  <conditionalFormatting sqref="F21">
    <cfRule type="containsText" dxfId="1004" priority="11" operator="containsText" text="failed">
      <formula>NOT(ISERROR(SEARCH("failed",F21)))</formula>
    </cfRule>
  </conditionalFormatting>
  <conditionalFormatting sqref="F22">
    <cfRule type="containsText" dxfId="1003" priority="10" operator="containsText" text="fail">
      <formula>NOT(ISERROR(SEARCH("fail",F22)))</formula>
    </cfRule>
  </conditionalFormatting>
  <conditionalFormatting sqref="F23">
    <cfRule type="containsText" dxfId="1002" priority="9" operator="containsText" text="failed">
      <formula>NOT(ISERROR(SEARCH("failed",F23)))</formula>
    </cfRule>
  </conditionalFormatting>
  <conditionalFormatting sqref="F102:H102">
    <cfRule type="cellIs" dxfId="1001" priority="22" operator="greaterThanOrEqual">
      <formula>$R$2</formula>
    </cfRule>
    <cfRule type="cellIs" dxfId="1000" priority="23" operator="lessThan">
      <formula>$R$2</formula>
    </cfRule>
  </conditionalFormatting>
  <conditionalFormatting sqref="G18">
    <cfRule type="cellIs" dxfId="999" priority="3" operator="greaterThan">
      <formula>$V$2</formula>
    </cfRule>
    <cfRule type="cellIs" dxfId="998" priority="4" operator="lessThan">
      <formula>$V$2</formula>
    </cfRule>
  </conditionalFormatting>
  <conditionalFormatting sqref="G19">
    <cfRule type="cellIs" dxfId="997" priority="6" operator="lessThan">
      <formula>$V$3</formula>
    </cfRule>
    <cfRule type="cellIs" dxfId="996" priority="5" operator="greaterThan">
      <formula>$V$3</formula>
    </cfRule>
  </conditionalFormatting>
  <conditionalFormatting sqref="I18:I19">
    <cfRule type="cellIs" dxfId="995" priority="2" operator="lessThan">
      <formula>$W$2</formula>
    </cfRule>
    <cfRule type="cellIs" dxfId="994" priority="1" operator="greaterThan">
      <formula>$W$2</formula>
    </cfRule>
  </conditionalFormatting>
  <conditionalFormatting sqref="K12">
    <cfRule type="expression" dxfId="993" priority="74">
      <formula>SEARCH("reduce",$F$23)</formula>
    </cfRule>
    <cfRule type="expression" dxfId="992" priority="75">
      <formula>SEARCH("reduce",$F$21)</formula>
    </cfRule>
  </conditionalFormatting>
  <conditionalFormatting sqref="N2">
    <cfRule type="expression" dxfId="991" priority="76">
      <formula>SEARCH("strength",$F$21)</formula>
    </cfRule>
    <cfRule type="expression" dxfId="990" priority="77">
      <formula>SEARCH("strength",$F$23)</formula>
    </cfRule>
  </conditionalFormatting>
  <hyperlinks>
    <hyperlink ref="N25" location="Summary!A1" display="Link to summary" xr:uid="{056A1B76-DAAC-4D63-8813-9AF12737AA08}"/>
  </hyperlinks>
  <pageMargins left="0.7" right="0.7" top="0.75" bottom="0.75" header="0.3" footer="0.3"/>
  <pageSetup paperSize="9" orientation="portrait"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3398-37E0-4BC7-91FE-F7951CEE6938}">
  <dimension ref="A1:AK130"/>
  <sheetViews>
    <sheetView topLeftCell="F1"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Summary!H16</f>
        <v>1.8</v>
      </c>
      <c r="K2" s="10">
        <v>1000000000000</v>
      </c>
      <c r="L2" s="15">
        <v>0.1</v>
      </c>
      <c r="M2" s="15">
        <v>0.1</v>
      </c>
      <c r="N2" s="17">
        <f>Summary!H26</f>
        <v>100</v>
      </c>
      <c r="O2" s="15">
        <f>Summary!H88</f>
        <v>0.25</v>
      </c>
      <c r="P2" s="15">
        <f>Summary!H89</f>
        <v>0.25</v>
      </c>
      <c r="Q2" s="5" t="str">
        <f>Summary!H27</f>
        <v>N/A</v>
      </c>
      <c r="R2" s="5">
        <f>Summary!H51</f>
        <v>0.3</v>
      </c>
      <c r="S2" s="5">
        <f>Summary!H52</f>
        <v>0.7</v>
      </c>
      <c r="T2" s="5">
        <f>Summary!H53</f>
        <v>0.3</v>
      </c>
      <c r="U2" s="5">
        <f>Summary!H54</f>
        <v>0.7</v>
      </c>
      <c r="V2" s="130">
        <f>Summary!H55</f>
        <v>1.6E-7</v>
      </c>
      <c r="W2" s="130">
        <f>Summary!H56</f>
        <v>1.6E-7</v>
      </c>
      <c r="X2" s="131">
        <f>V2</f>
        <v>1.6E-7</v>
      </c>
      <c r="Y2" s="132">
        <f>IF(Summary!H57="","",Summary!H57)</f>
        <v>2E-8</v>
      </c>
      <c r="Z2" s="132">
        <f>IF(Summary!H58="","",Summary!H58)</f>
        <v>2E-8</v>
      </c>
      <c r="AA2" s="4">
        <f>Summary!H59</f>
        <v>1E-10</v>
      </c>
      <c r="AB2" s="41">
        <f>Summary!H81</f>
        <v>4.9999999999999997E-12</v>
      </c>
      <c r="AC2" s="41">
        <f>Summary!H83</f>
        <v>8.1900000000000013E-12</v>
      </c>
      <c r="AD2" s="3">
        <f>Summary!H84</f>
        <v>0.69</v>
      </c>
      <c r="AE2" s="41">
        <f>Summary!H86</f>
        <v>4.9999999999999997E-12</v>
      </c>
      <c r="AF2" s="5">
        <f>Summary!H87</f>
        <v>2.93</v>
      </c>
      <c r="AG2" s="127" t="str">
        <f>Summary!H50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Summary!H16</f>
        <v>1.8</v>
      </c>
      <c r="K3" s="10">
        <v>1000000000000</v>
      </c>
      <c r="L3" s="15">
        <v>0.1</v>
      </c>
      <c r="M3" s="15">
        <v>0.1</v>
      </c>
      <c r="N3">
        <f>Summary!H97</f>
        <v>50</v>
      </c>
      <c r="O3" s="15">
        <f>Summary!H98</f>
        <v>0.5</v>
      </c>
      <c r="P3" s="15">
        <f>Summary!H99</f>
        <v>0</v>
      </c>
      <c r="Q3"/>
      <c r="R3" s="5">
        <f>Summary!H38</f>
        <v>0.3</v>
      </c>
      <c r="S3" s="5">
        <f>Summary!H39</f>
        <v>0.7</v>
      </c>
      <c r="T3" s="5">
        <f>Summary!H42</f>
        <v>0.3</v>
      </c>
      <c r="U3" s="5">
        <f>Summary!H43</f>
        <v>0.7</v>
      </c>
      <c r="V3" s="130">
        <f>Summary!H44</f>
        <v>1.6E-7</v>
      </c>
      <c r="W3" s="130">
        <f>Summary!H45</f>
        <v>1.6E-7</v>
      </c>
      <c r="X3" s="131">
        <f>V3</f>
        <v>1.6E-7</v>
      </c>
      <c r="Y3" s="132">
        <f>IF(Summary!H46="","",Summary!H46)</f>
        <v>2E-8</v>
      </c>
      <c r="Z3" s="132">
        <f>IF(Summary!H47="","",Summary!H47)</f>
        <v>2E-8</v>
      </c>
      <c r="AA3" s="4">
        <f>Summary!H59</f>
        <v>1E-10</v>
      </c>
      <c r="AB3" s="41">
        <f>Summary!H96</f>
        <v>9.9999999999999994E-12</v>
      </c>
      <c r="AG3" s="127" t="str">
        <f>Summary!H37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427329345.73217905</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427329345.73217905</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185.45760173684255</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378.31470632001259</v>
      </c>
      <c r="F7" s="123">
        <f>_xlfn.IFNA(_xlfn.XLOOKUP($X$2,AB34:AB129,P34:P129,,-1), "Out of support PU range")</f>
        <v>1050</v>
      </c>
      <c r="G7" s="124">
        <f>_xlfn.IFNA(_xlfn.XLOOKUP($X$3,S34:S129,P34:P129,,-1), "Out of support PU range")</f>
        <v>1050</v>
      </c>
      <c r="H7" s="124">
        <f>_xlfn.IFNA(MAX(_xlfn.XLOOKUP(MAX($Y$2:$AA$2),AA34:AA129,O34:O129,,1), _xlfn.XLOOKUP($W$2,AD34:AD129,O34:O129,,-1)), "Fail AC VIL")</f>
        <v>190</v>
      </c>
      <c r="I7" s="129">
        <f>_xlfn.IFNA(MAX(_xlfn.XLOOKUP(MAX($Y$3:$AA$3),R34:R129,O34:O129,,1), _xlfn.XLOOKUP($W$3,AC34:AC129,O34:O129,,-1)), "Fail AC VIL")</f>
        <v>408.5</v>
      </c>
      <c r="J7" s="21">
        <v>20000</v>
      </c>
      <c r="K7" s="2">
        <f>MIN(
MIN(FLOOR(B7,10^(LEN(ROUND(B7,0))-1))/10,
FLOOR(C7,10^(LEN(ROUND(C7,0))-1))/10,
IF(F7*10&gt;=J7,FLOOR(F7,10^(LEN(ROUND(F7,0))-1))/10,FLOOR(F7,10^(LEN(ROUND(F7,0))-1))),
FLOOR(G7,10^(LEN(ROUND(G7,0))-1))/10),
MAX(I7,J7)
)</f>
        <v>100</v>
      </c>
      <c r="L7" s="1"/>
      <c r="N7" s="71">
        <f>Summary!H62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370.49999951809826</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370.49999951809826</v>
      </c>
      <c r="E8">
        <f>X2/(1.204*K18)</f>
        <v>829.16420051195928</v>
      </c>
      <c r="F8">
        <f>X3/(1.204*K18)</f>
        <v>829.16420051195928</v>
      </c>
      <c r="H8">
        <f>AA2/(1.204*K18)</f>
        <v>0.51822762531997457</v>
      </c>
      <c r="I8" s="2">
        <f>AA3/(1.204*K18)</f>
        <v>0.51822762531997457</v>
      </c>
      <c r="J8" s="8">
        <v>20000</v>
      </c>
      <c r="K8">
        <f>MIN(MIN(FLOOR(B8,10^(LEN(ROUND(B8,0))-1))/10,FLOOR(C8,10^(LEN(ROUND(C8,0))-1))/10,FLOOR(E8,10^(LEN(ROUND(E8,0))-1))/10,FLOOR(F8,10^(LEN(ROUND(F8,0))-1))/10),MAX(I8,J8))</f>
        <v>30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Summary!H24</f>
        <v>910</v>
      </c>
      <c r="D11" s="1">
        <f>IF(AND(B11="no need", C11=""), "",IF(AND(B11="no need", C11&gt;0), "please remove resistor",   IF(AND(B11="need resistor", ISBLANK(C11)), "please enter resistor",  (1/(1/F2+1/F3))/(1/(1/(1/(1/C2+1/C3))+1/C11)+(1/(1/F2+1/F3))) ) ))</f>
        <v>0.99999999817999996</v>
      </c>
      <c r="F11" s="7">
        <f>IF(B11="no need", 1000000000, C11)</f>
        <v>910</v>
      </c>
      <c r="G11" s="7" t="s">
        <v>281</v>
      </c>
      <c r="H11" s="62">
        <f>Summary!H25</f>
        <v>0.05</v>
      </c>
      <c r="K11" s="6" t="s">
        <v>282</v>
      </c>
      <c r="N11" s="19" t="s">
        <v>283</v>
      </c>
      <c r="P11" s="19" t="s">
        <v>284</v>
      </c>
      <c r="R11" s="127" t="s">
        <v>285</v>
      </c>
      <c r="S11" s="127">
        <f>($J$2+$J$2*Summary!$H$17)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Summary!H10</f>
        <v>25</v>
      </c>
      <c r="L12" t="s">
        <v>287</v>
      </c>
      <c r="N12" s="4">
        <f>SUM(AB2:AC3,AE2:AE3)</f>
        <v>2.8189999999999998E-11</v>
      </c>
      <c r="O12" t="s">
        <v>288</v>
      </c>
      <c r="P12" s="61">
        <f>Summary!H84+Summary!H87</f>
        <v>3.62</v>
      </c>
      <c r="Q12" t="s">
        <v>289</v>
      </c>
      <c r="R12" s="127" t="s">
        <v>290</v>
      </c>
      <c r="S12" s="127">
        <f>($J$2-$J$2*Summary!$H$17)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($J$3+$J$3*Summary!$H$18)</f>
        <v>1.8900000000000001</v>
      </c>
    </row>
    <row r="14" spans="1:37" x14ac:dyDescent="0.35">
      <c r="K14" s="6" t="s">
        <v>293</v>
      </c>
      <c r="N14" s="6" t="s">
        <v>294</v>
      </c>
      <c r="R14" s="127" t="s">
        <v>295</v>
      </c>
      <c r="S14" s="127">
        <f>($J$3-$J$3*Summary!$H$18)</f>
        <v>1.71</v>
      </c>
    </row>
    <row r="15" spans="1:37" x14ac:dyDescent="0.35">
      <c r="B15" s="2"/>
      <c r="C15" s="2"/>
      <c r="K15" s="3">
        <f>Summary!H8</f>
        <v>19.988</v>
      </c>
      <c r="L15" t="s">
        <v>296</v>
      </c>
      <c r="N15" s="41">
        <f>Summary!H9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0.99999893618655311</v>
      </c>
      <c r="C18">
        <f>B42</f>
        <v>0.99999921249960133</v>
      </c>
      <c r="D18">
        <f>B102</f>
        <v>0.999998936186554</v>
      </c>
      <c r="E18">
        <f>C102</f>
        <v>7.7002643443583499E-2</v>
      </c>
      <c r="F18" s="126">
        <f>_xlfn.LET(
_xlpm.Rbus, (1/(1/((1/(1/($G$91+$G$93)+1/$G$90))+$G$92)+1/($G$89))),
_xlpm.VCC, IF($AG$2="absolute",$S$13,1),
_xlpm.Vspec_abs, $U$2-$N$7,
(LN(1-$T$2/_xlpm.VCC)-LN(1-_xlpm.Vspec_abs/_xlpm.VCC))*$K$19*_xlpm.Rbus
)</f>
        <v>9.716011101226428E-8</v>
      </c>
      <c r="G18" s="128">
        <f>_xlfn.LET(
_xlpm.Rbus, (1/(1/((1/(1/($D$91+$D$93)+1/$D$90))+$D$92)+1/($D$89))),
_xlpm.VCC, IF($AG$2="absolute",$S$14,1),
_xlpm.Vspec_abs, $U$2+$N$7,
(LN(1-$T$2/_xlpm.VCC)-LN(1-_xlpm.Vspec_abs/_xlpm.VCC))*$K$18*_xlpm.Rbus
)</f>
        <v>1.4356791446660439E-7</v>
      </c>
      <c r="H18" s="126">
        <f>_xlfn.LET(
_xlpm.Rbus, (1/(1/((1/(1/($H$96+$H$93)+1/$H$95))+$H$92)+1/($H$94))),
_xlpm.VCC, IF($AG$2="absolute",$S$14,1),
_xlpm.Vspec_abs, $T$2+$N$7,
_xlpm.Vspec_rel, _xlpm.Vspec_abs/_xlpm.VCC,
IFERROR((LN($U$2)-LN(_xlpm.Vspec_rel))*$K$19*_xlpm.Rbus, "Vlow exceeds VIL spec")
)</f>
        <v>4.6430512865409298E-9</v>
      </c>
      <c r="I18" s="128">
        <f>_xlfn.LET(
_xlpm.Rbus, (1/(1/((1/(1/($F$96+$F$93)+1/$F$95))+$F$92)+1/($F$94))),
_xlpm.VCC, IF($AG$2="absolute",$S$13,1),
_xlpm.Vspec_abs, $T$2-$N$7,
_xlpm.Vspec_rel, _xlpm.Vspec_abs/_xlpm.VCC,
IFERROR((LN($U$2)-LN(_xlpm.Vspec_rel))*$K$18*_xlpm.Rbus,"Vlow exceeds VIL spec")
)</f>
        <v>1.0591474394673357E-8</v>
      </c>
      <c r="J18" s="139" t="s">
        <v>307</v>
      </c>
      <c r="K18" s="4">
        <f>Summary!H102</f>
        <v>1.6027026416052833E-10</v>
      </c>
      <c r="L18" s="22" t="s">
        <v>288</v>
      </c>
      <c r="M18" s="10">
        <f>K18*1000000000000</f>
        <v>160.27026416052834</v>
      </c>
      <c r="N18" t="s">
        <v>308</v>
      </c>
      <c r="O18" s="49">
        <f>N12+K12/39.37*N15</f>
        <v>1.6027026416052833E-10</v>
      </c>
    </row>
    <row r="19" spans="1:26" x14ac:dyDescent="0.35">
      <c r="A19" t="s">
        <v>309</v>
      </c>
      <c r="B19">
        <f>C64</f>
        <v>0.99999893618655311</v>
      </c>
      <c r="C19">
        <f>C44</f>
        <v>0.99999921249960133</v>
      </c>
      <c r="D19">
        <f>B84</f>
        <v>0.999998936186554</v>
      </c>
      <c r="E19">
        <f>C84</f>
        <v>0.14543211773796963</v>
      </c>
      <c r="F19" s="126">
        <f>_xlfn.LET(
_xlpm.Rbus,(1/(1/((1/(1/($G$77+$G$72)+1/$G$70))+$G$73)+1/($G$71))),
_xlpm.VCC,IF($AG$3="absolute",$S$11,1),
_xlpm.Vspec_abs,$U$3-$N$7,
(LN(1-($T$3/_xlpm.VCC))-LN(1-_xlpm.Vspec_abs/_xlpm.VCC))*$K$19*_xlpm.Rbus
)</f>
        <v>9.716011101226428E-8</v>
      </c>
      <c r="G19" s="128">
        <f>_xlfn.LET(
_xlpm.Rbus, (1/(1/((1/(1/($D$77+$D$72)+1/$D$70))+$D$73)+1/($D$71))),
_xlpm.VCC, IF($AG$3="absolute",$S$12,1),
_xlpm.Vspec_abs, $U$3+$N$7,
(LN(1-$T$3/_xlpm.VCC)-LN(1-_xlpm.Vspec_abs/_xlpm.VCC))*$K$18*_xlpm.Rbus
)</f>
        <v>1.4356791446660439E-7</v>
      </c>
      <c r="H19" s="126">
        <f>_xlfn.LET(
_xlpm.Rbus, (1/(1/((1/(1/($H$74+$H$72)+1/$H$75))+$H$73)+1/($H$76))),
_xlpm.VCC, IF($AG$3="absolute",$S$12,1),
_xlpm.Vspec_abs, $T$3+$N$7,
_xlpm.Vspec_rel, _xlpm.Vspec_abs/_xlpm.VCC,
IFERROR((LN($U$3)-LN(_xlpm.Vspec_rel))*$K$19*_xlpm.Rbus, "Vlow exceeds VIL spec")
)</f>
        <v>1.0262490295885478E-8</v>
      </c>
      <c r="I19" s="128">
        <f>_xlfn.LET(
_xlpm.Rbus, (1/(1/((1/(1/($F$74+$F$72)+1/$F$75))+$F$73)+1/($F$76))),
_xlpm.VCC, IF($AG$3="absolute",$S$11,1),
_xlpm.Vspec_abs, $T$3-$N$7,
_xlpm.Vspec_rel, _xlpm.Vspec_abs/_xlpm.VCC,
IFERROR((LN($U$3)-LN(_xlpm.Vspec_rel))*$K$18*_xlpm.Rbus,"Vlow exceeds VIL spec")
)</f>
        <v>2.1605534018873997E-8</v>
      </c>
      <c r="J19" s="139" t="s">
        <v>310</v>
      </c>
      <c r="K19" s="122">
        <f>Summary!H101</f>
        <v>1.4358026416052834E-10</v>
      </c>
      <c r="L19" t="s">
        <v>288</v>
      </c>
    </row>
    <row r="20" spans="1:26" x14ac:dyDescent="0.35">
      <c r="J20" s="139"/>
      <c r="K20" s="6" t="s">
        <v>311</v>
      </c>
    </row>
    <row r="21" spans="1:26" x14ac:dyDescent="0.35">
      <c r="E21" s="120" t="s">
        <v>137</v>
      </c>
      <c r="F21" t="str">
        <f>IF(OR(AND(E18&gt;(R2-N7), Summary!H50="relative"), AND(E18&gt;(R2-N7)/(J3+J3*Summary!H18), Summary!H50="absolute")),IF(U29="no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IF(OR(Summary!H24&gt;Summary!H22,Summary!H24&lt;Summary!H21), "- ensure board PU is within recommended range" &amp; CHAR(10),) &amp; "- reduce MB trace length",""))</f>
        <v/>
      </c>
      <c r="J21" s="139" t="s">
        <v>307</v>
      </c>
      <c r="K21" s="5">
        <f>Summary!H104</f>
        <v>22.122405384810769</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Summary!H103</f>
        <v>16.31240538481077</v>
      </c>
      <c r="L22" t="s">
        <v>289</v>
      </c>
    </row>
    <row r="23" spans="1:26" x14ac:dyDescent="0.35">
      <c r="B23" s="171" t="s">
        <v>313</v>
      </c>
      <c r="C23" s="171"/>
      <c r="D23" t="s">
        <v>314</v>
      </c>
      <c r="E23" s="175"/>
      <c r="F23" t="str">
        <f>IF(F22="",IF(OR(AND(E19&lt;=(R3-N7), Summary!H37="relative"),AND(E19&lt;=(R3-N7)/(J2+J2*Summary!H17), Summary!H37="absolute")),IF(OR(G19&gt;V3,I19&gt;W3), IF(N2=MIN(AH2:AH5), "failed max rise/fall time spec, recommendations:" &amp; CHAR(10) &amp; "-reduce MB trace length" &amp; CHAR(10) &amp; "-increase trace width (reduce MB trace resistance per length)", "failed max rise/fall time spec, recommendations:" &amp; CHAR(10) &amp; IF(OR(Summary!H24&gt;Summary!H22,Summary!H24&lt;Summary!H21),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Summary!H13</f>
        <v>0</v>
      </c>
      <c r="L24" t="s">
        <v>305</v>
      </c>
    </row>
    <row r="25" spans="1:26" x14ac:dyDescent="0.35">
      <c r="A25" t="s">
        <v>318</v>
      </c>
      <c r="B25" s="11">
        <f>C2*(1-D2)</f>
        <v>900000000000</v>
      </c>
      <c r="C25" s="11">
        <f>C2*(1-D2)</f>
        <v>900000000000</v>
      </c>
      <c r="K25" s="18">
        <f>Summary!H14</f>
        <v>1</v>
      </c>
      <c r="L25" t="s">
        <v>274</v>
      </c>
      <c r="N25" s="72" t="s">
        <v>319</v>
      </c>
    </row>
    <row r="26" spans="1:26" x14ac:dyDescent="0.35">
      <c r="A26" t="s">
        <v>320</v>
      </c>
      <c r="B26" s="11">
        <f>F11*(1-H11)</f>
        <v>864.5</v>
      </c>
      <c r="C26" s="11">
        <f>F11*(1-H11)</f>
        <v>864.5</v>
      </c>
      <c r="Q26" t="s">
        <v>321</v>
      </c>
    </row>
    <row r="27" spans="1:26" x14ac:dyDescent="0.35">
      <c r="A27" t="s">
        <v>322</v>
      </c>
      <c r="B27" s="11">
        <f>C3*(1-D3)</f>
        <v>900000000000</v>
      </c>
      <c r="C27" s="11">
        <f>C3*(1-D3)</f>
        <v>900000000000</v>
      </c>
      <c r="Q27" t="s">
        <v>323</v>
      </c>
    </row>
    <row r="28" spans="1:26" x14ac:dyDescent="0.35">
      <c r="A28" t="s">
        <v>324</v>
      </c>
      <c r="B28" s="1">
        <f>K21</f>
        <v>22.122405384810769</v>
      </c>
      <c r="C28">
        <v>0</v>
      </c>
      <c r="Q28" t="s">
        <v>325</v>
      </c>
      <c r="V28" t="s">
        <v>305</v>
      </c>
      <c r="W28" t="s">
        <v>274</v>
      </c>
      <c r="X28" t="s">
        <v>326</v>
      </c>
    </row>
    <row r="29" spans="1:26" x14ac:dyDescent="0.35">
      <c r="A29" t="s">
        <v>327</v>
      </c>
      <c r="B29">
        <v>0</v>
      </c>
      <c r="C29" s="1">
        <f>K21</f>
        <v>22.122405384810769</v>
      </c>
      <c r="F29" s="11"/>
      <c r="T29" t="s">
        <v>328</v>
      </c>
      <c r="U29">
        <f>IF(IF(ISBLANK(Summary!H25),IF(U30=W82,L30,U30),IF(Summary!H25=5%,L30,U30))=N130,"no solution",IF(ISBLANK(Summary!H25),IF(U30=W82,L30,U30),IF(Summary!H25=5%,L30,U30)))</f>
        <v>680</v>
      </c>
      <c r="V29">
        <f>IFERROR(IF(X29=5%,VLOOKUP(1,M34:N129,2,FALSE),VLOOKUP(1,V34:W81,2,FALSE)),"no solution")</f>
        <v>430</v>
      </c>
      <c r="W29">
        <f>IF(U29="no solution","no solution",IF(X29=5%,VLOOKUP(MAX(M34:M129)-1,M34:N129,2,FALSE),VLOOKUP(MAX(V34:V81)-1,V34:W81,2,FALSE)))</f>
        <v>1000</v>
      </c>
      <c r="X29" s="64">
        <f>Summary!H25</f>
        <v>0.05</v>
      </c>
    </row>
    <row r="30" spans="1:26" x14ac:dyDescent="0.35">
      <c r="A30" t="s">
        <v>329</v>
      </c>
      <c r="B30" s="11">
        <f>F2*(1+H2)</f>
        <v>1100000000000</v>
      </c>
      <c r="C30" s="11">
        <f>F2*(1+H2)</f>
        <v>1100000000000</v>
      </c>
      <c r="K30" t="s">
        <v>330</v>
      </c>
      <c r="L30">
        <f>VLOOKUP(Q31,M34:Q154,2)</f>
        <v>680</v>
      </c>
      <c r="T30" t="s">
        <v>331</v>
      </c>
      <c r="U30">
        <f>VLOOKUP(Z31,V34:W82,2)</f>
        <v>680</v>
      </c>
    </row>
    <row r="31" spans="1:26" x14ac:dyDescent="0.35">
      <c r="A31" t="s">
        <v>332</v>
      </c>
      <c r="B31" s="11">
        <f>F12*(1+H12)</f>
        <v>1100000000</v>
      </c>
      <c r="C31" s="11">
        <f>F12*(1+H12)</f>
        <v>1100000000</v>
      </c>
      <c r="Q31" cm="1">
        <f t="array" ref="Q31">MAX(M34:M129+1)/2</f>
        <v>6</v>
      </c>
      <c r="Z31" cm="1">
        <f t="array" ref="Z31">MAX(V34:V81+1)/2</f>
        <v>3</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4.7907358629788475E-9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 t="shared" ref="AA34:AA65" si="7">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(LN(1-$T$3/_xlpm.VCC)-LN(1-_xlpm.Vspec_abs/_xlpm.VCC))*$K$19*_xlpm.Rbus
)</f>
        <v>1.2498320205986047E-9</v>
      </c>
      <c r="AB34" s="126">
        <f t="shared" ref="AB34:AB65" si="8">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(LN(1-$T$3/_xlpm.VCC)-LN(1-_xlpm.Vspec_abs/_xlpm.VCC))*$K$18*_xlpm.Rbus
)</f>
        <v>4.7907358629788475E-9</v>
      </c>
      <c r="AC34" s="126" t="str">
        <f t="shared" ref="AC34:AC65" si="9">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10">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11">IF(AND(Q34=1,Q35=0),Q35+M34+1, Q35+M34)</f>
        <v>0</v>
      </c>
      <c r="N35">
        <f t="shared" si="0"/>
        <v>11</v>
      </c>
      <c r="O35">
        <f t="shared" si="1"/>
        <v>10.45</v>
      </c>
      <c r="P35">
        <f t="shared" si="2"/>
        <v>11.55</v>
      </c>
      <c r="Q35">
        <f t="shared" ref="Q35:Q98" si="12">IF($Q$2="N/A",IF(AND((O35&gt;=MAX($H$7:$I$7)),(P35&lt;=MIN($F$7:$G$7)),(P35&lt;=MIN($B$7:$C$7)),(O35&gt;=MAX($D$7:$E$7))),1,0),IF(AND((O35&gt;=MAX($I$7)),(P35&lt;=MIN($G$7)),(P35&lt;=MIN($C$7)),(O35&gt;=MAX($E$7))),1,0))</f>
        <v>0</v>
      </c>
      <c r="R35" s="126">
        <f t="shared" si="3"/>
        <v>1.1744628837115299E-9</v>
      </c>
      <c r="S35" s="126">
        <f t="shared" si="4"/>
        <v>4.9449327284909522E-9</v>
      </c>
      <c r="T35">
        <v>1</v>
      </c>
      <c r="U35">
        <v>12</v>
      </c>
      <c r="V35">
        <f t="shared" ref="V35:V82" si="13">IF(AND(Z34=1,Z35=0),Z35+V34+1, Z35+V34)</f>
        <v>0</v>
      </c>
      <c r="W35">
        <f t="shared" ref="W35:W79" si="14">U35*T35</f>
        <v>12</v>
      </c>
      <c r="X35">
        <f t="shared" si="5"/>
        <v>10.8</v>
      </c>
      <c r="Y35">
        <f t="shared" si="6"/>
        <v>13.200000000000001</v>
      </c>
      <c r="Z35">
        <f t="shared" ref="Z35:Z81" si="15">IF($Q$2="N/A",IF(AND((X35&gt;=MAX($H$7:$I$7)),(Y35&lt;=MIN($F$7:$G$7)),(Y35&lt;=MIN($B$7:$C$7)),(X35&gt;=MAX($D$7:$E$7))),1,0),IF(AND((X35&gt;=MAX($I$7)),(Y35&lt;=MIN($G$7)),(Y35&lt;=MIN($C$7)),(X35&gt;=MAX($E$7))),1,0))</f>
        <v>0</v>
      </c>
      <c r="AA35" s="126">
        <f t="shared" si="7"/>
        <v>1.3748152226541114E-9</v>
      </c>
      <c r="AB35" s="126">
        <f t="shared" si="8"/>
        <v>4.9449327284909522E-9</v>
      </c>
      <c r="AC35" s="126" t="str">
        <f t="shared" si="9"/>
        <v>Vlow exceeds VIL spec</v>
      </c>
      <c r="AD35" s="126" t="str">
        <f t="shared" si="10"/>
        <v>Vlow exceeds VIL spec</v>
      </c>
    </row>
    <row r="36" spans="1:30" x14ac:dyDescent="0.35">
      <c r="A36" t="s">
        <v>346</v>
      </c>
      <c r="B36">
        <v>1</v>
      </c>
      <c r="C36">
        <v>1</v>
      </c>
      <c r="K36">
        <v>1</v>
      </c>
      <c r="L36">
        <v>12</v>
      </c>
      <c r="M36">
        <f t="shared" si="11"/>
        <v>0</v>
      </c>
      <c r="N36">
        <f t="shared" si="0"/>
        <v>12</v>
      </c>
      <c r="O36">
        <f t="shared" si="1"/>
        <v>11.399999999999999</v>
      </c>
      <c r="P36">
        <f t="shared" si="2"/>
        <v>12.600000000000001</v>
      </c>
      <c r="Q36">
        <f t="shared" si="12"/>
        <v>0</v>
      </c>
      <c r="R36" s="126">
        <f t="shared" si="3"/>
        <v>1.281232236772157E-9</v>
      </c>
      <c r="S36" s="126">
        <f t="shared" si="4"/>
        <v>5.0991295940021736E-9</v>
      </c>
      <c r="T36">
        <v>1</v>
      </c>
      <c r="U36">
        <v>15</v>
      </c>
      <c r="V36">
        <f t="shared" si="13"/>
        <v>0</v>
      </c>
      <c r="W36">
        <f t="shared" si="14"/>
        <v>15</v>
      </c>
      <c r="X36">
        <f t="shared" si="5"/>
        <v>13.5</v>
      </c>
      <c r="Y36">
        <f t="shared" si="6"/>
        <v>16.5</v>
      </c>
      <c r="Z36">
        <f t="shared" si="15"/>
        <v>0</v>
      </c>
      <c r="AA36" s="126">
        <f t="shared" si="7"/>
        <v>1.4997984247088265E-9</v>
      </c>
      <c r="AB36" s="126">
        <f t="shared" si="8"/>
        <v>5.0991295940021736E-9</v>
      </c>
      <c r="AC36" s="126" t="str">
        <f t="shared" si="9"/>
        <v>Vlow exceeds VIL spec</v>
      </c>
      <c r="AD36" s="126" t="str">
        <f t="shared" si="10"/>
        <v>Vlow exceeds VIL spec</v>
      </c>
    </row>
    <row r="37" spans="1:30" x14ac:dyDescent="0.35">
      <c r="K37">
        <v>1</v>
      </c>
      <c r="L37">
        <v>13</v>
      </c>
      <c r="M37">
        <f t="shared" si="11"/>
        <v>0</v>
      </c>
      <c r="N37">
        <f t="shared" si="0"/>
        <v>13</v>
      </c>
      <c r="O37">
        <f t="shared" si="1"/>
        <v>12.35</v>
      </c>
      <c r="P37">
        <f t="shared" si="2"/>
        <v>13.65</v>
      </c>
      <c r="Q37">
        <f t="shared" si="12"/>
        <v>0</v>
      </c>
      <c r="R37" s="126">
        <f t="shared" si="3"/>
        <v>1.3880015898321084E-9</v>
      </c>
      <c r="S37" s="126">
        <f t="shared" si="4"/>
        <v>5.2533264595125131E-9</v>
      </c>
      <c r="T37">
        <v>1</v>
      </c>
      <c r="U37">
        <v>18</v>
      </c>
      <c r="V37">
        <f t="shared" si="13"/>
        <v>0</v>
      </c>
      <c r="W37">
        <f t="shared" si="14"/>
        <v>18</v>
      </c>
      <c r="X37">
        <f t="shared" si="5"/>
        <v>16.2</v>
      </c>
      <c r="Y37">
        <f t="shared" si="6"/>
        <v>19.8</v>
      </c>
      <c r="Z37">
        <f t="shared" si="15"/>
        <v>0</v>
      </c>
      <c r="AA37" s="126">
        <f t="shared" si="7"/>
        <v>1.6247816267627504E-9</v>
      </c>
      <c r="AB37" s="126">
        <f t="shared" si="8"/>
        <v>5.2533264595125131E-9</v>
      </c>
      <c r="AC37" s="126" t="str">
        <f t="shared" si="9"/>
        <v>Vlow exceeds VIL spec</v>
      </c>
      <c r="AD37" s="126" t="str">
        <f t="shared" si="10"/>
        <v>Vlow exceeds VIL spec</v>
      </c>
    </row>
    <row r="38" spans="1:30" x14ac:dyDescent="0.35">
      <c r="A38" t="s">
        <v>347</v>
      </c>
      <c r="B38" s="125">
        <f>IF(Summary!H50="absolute",(S2+N7)/(J3-J3*Summary!H18),S2+N7)</f>
        <v>0.72</v>
      </c>
      <c r="K38">
        <v>1</v>
      </c>
      <c r="L38">
        <v>15</v>
      </c>
      <c r="M38">
        <f t="shared" si="11"/>
        <v>0</v>
      </c>
      <c r="N38">
        <f t="shared" si="0"/>
        <v>15</v>
      </c>
      <c r="O38">
        <f t="shared" si="1"/>
        <v>14.25</v>
      </c>
      <c r="P38">
        <f t="shared" si="2"/>
        <v>15.75</v>
      </c>
      <c r="Q38">
        <f t="shared" si="12"/>
        <v>0</v>
      </c>
      <c r="R38" s="126">
        <f t="shared" si="3"/>
        <v>1.601540295949982E-9</v>
      </c>
      <c r="S38" s="126">
        <f t="shared" si="4"/>
        <v>5.5617201905305428E-9</v>
      </c>
      <c r="T38">
        <v>1</v>
      </c>
      <c r="U38">
        <v>22</v>
      </c>
      <c r="V38">
        <f t="shared" si="13"/>
        <v>0</v>
      </c>
      <c r="W38">
        <f t="shared" si="14"/>
        <v>22</v>
      </c>
      <c r="X38">
        <f t="shared" si="5"/>
        <v>19.8</v>
      </c>
      <c r="Y38">
        <f t="shared" si="6"/>
        <v>24.200000000000003</v>
      </c>
      <c r="Z38">
        <f t="shared" si="15"/>
        <v>0</v>
      </c>
      <c r="AA38" s="126">
        <f t="shared" si="7"/>
        <v>1.8747480308682233E-9</v>
      </c>
      <c r="AB38" s="126">
        <f t="shared" si="8"/>
        <v>5.5617201905305428E-9</v>
      </c>
      <c r="AC38" s="126" t="str">
        <f t="shared" si="9"/>
        <v>Vlow exceeds VIL spec</v>
      </c>
      <c r="AD38" s="126" t="str">
        <f t="shared" si="10"/>
        <v>Vlow exceeds VIL spec</v>
      </c>
    </row>
    <row r="39" spans="1:30" x14ac:dyDescent="0.35">
      <c r="A39" t="s">
        <v>348</v>
      </c>
      <c r="K39">
        <v>1</v>
      </c>
      <c r="L39">
        <v>16</v>
      </c>
      <c r="M39">
        <f t="shared" si="11"/>
        <v>0</v>
      </c>
      <c r="N39">
        <f t="shared" si="0"/>
        <v>16</v>
      </c>
      <c r="O39">
        <f t="shared" si="1"/>
        <v>15.2</v>
      </c>
      <c r="P39">
        <f t="shared" si="2"/>
        <v>16.8</v>
      </c>
      <c r="Q39">
        <f t="shared" si="12"/>
        <v>0</v>
      </c>
      <c r="R39" s="126">
        <f t="shared" si="3"/>
        <v>1.7083096490079043E-9</v>
      </c>
      <c r="S39" s="126">
        <f t="shared" si="4"/>
        <v>5.7159170560382321E-9</v>
      </c>
      <c r="T39">
        <v>1</v>
      </c>
      <c r="U39">
        <v>27</v>
      </c>
      <c r="V39">
        <f t="shared" si="13"/>
        <v>0</v>
      </c>
      <c r="W39">
        <f t="shared" si="14"/>
        <v>27</v>
      </c>
      <c r="X39">
        <f t="shared" si="5"/>
        <v>24.3</v>
      </c>
      <c r="Y39">
        <f t="shared" si="6"/>
        <v>29.700000000000003</v>
      </c>
      <c r="Z39">
        <f t="shared" si="15"/>
        <v>0</v>
      </c>
      <c r="AA39" s="126">
        <f t="shared" si="7"/>
        <v>1.9997312329197722E-9</v>
      </c>
      <c r="AB39" s="126">
        <f t="shared" si="8"/>
        <v>5.7159170560382321E-9</v>
      </c>
      <c r="AC39" s="126" t="str">
        <f t="shared" si="9"/>
        <v>Vlow exceeds VIL spec</v>
      </c>
      <c r="AD39" s="126" t="str">
        <f t="shared" si="10"/>
        <v>Vlow exceeds VIL spec</v>
      </c>
    </row>
    <row r="40" spans="1:30" x14ac:dyDescent="0.35">
      <c r="A40" t="s">
        <v>349</v>
      </c>
      <c r="C40" s="125">
        <f>IF(Summary!H37="absolute",(S3+N7)/(J2-J2*Summary!H17),S3+N7)</f>
        <v>0.72</v>
      </c>
      <c r="K40">
        <v>1</v>
      </c>
      <c r="L40">
        <v>18</v>
      </c>
      <c r="M40">
        <f t="shared" si="11"/>
        <v>0</v>
      </c>
      <c r="N40">
        <f t="shared" si="0"/>
        <v>18</v>
      </c>
      <c r="O40">
        <f t="shared" si="1"/>
        <v>17.099999999999998</v>
      </c>
      <c r="P40">
        <f t="shared" si="2"/>
        <v>18.900000000000002</v>
      </c>
      <c r="Q40">
        <f t="shared" si="12"/>
        <v>0</v>
      </c>
      <c r="R40" s="126">
        <f t="shared" si="3"/>
        <v>1.9218483551217202E-9</v>
      </c>
      <c r="S40" s="126">
        <f t="shared" si="4"/>
        <v>6.0243107870509612E-9</v>
      </c>
      <c r="T40">
        <v>1</v>
      </c>
      <c r="U40">
        <v>33</v>
      </c>
      <c r="V40">
        <f t="shared" si="13"/>
        <v>0</v>
      </c>
      <c r="W40">
        <f t="shared" si="14"/>
        <v>33</v>
      </c>
      <c r="X40">
        <f t="shared" si="5"/>
        <v>29.7</v>
      </c>
      <c r="Y40">
        <f t="shared" si="6"/>
        <v>36.300000000000004</v>
      </c>
      <c r="Z40">
        <f t="shared" si="15"/>
        <v>0</v>
      </c>
      <c r="AA40" s="126">
        <f t="shared" si="7"/>
        <v>2.2496976370204955E-9</v>
      </c>
      <c r="AB40" s="126">
        <f t="shared" si="8"/>
        <v>6.0243107870509612E-9</v>
      </c>
      <c r="AC40" s="126" t="str">
        <f t="shared" si="9"/>
        <v>Vlow exceeds VIL spec</v>
      </c>
      <c r="AD40" s="126" t="str">
        <f t="shared" si="10"/>
        <v>Vlow exceeds VIL spec</v>
      </c>
    </row>
    <row r="41" spans="1:30" x14ac:dyDescent="0.35">
      <c r="C41" s="1"/>
      <c r="K41">
        <v>1</v>
      </c>
      <c r="L41">
        <v>20</v>
      </c>
      <c r="M41">
        <f t="shared" si="11"/>
        <v>0</v>
      </c>
      <c r="N41">
        <f t="shared" si="0"/>
        <v>20</v>
      </c>
      <c r="O41">
        <f t="shared" si="1"/>
        <v>19</v>
      </c>
      <c r="P41">
        <f t="shared" si="2"/>
        <v>21</v>
      </c>
      <c r="Q41">
        <f t="shared" si="12"/>
        <v>0</v>
      </c>
      <c r="R41" s="126">
        <f t="shared" si="3"/>
        <v>2.1353870612328322E-9</v>
      </c>
      <c r="S41" s="126">
        <f t="shared" si="4"/>
        <v>6.332704518060159E-9</v>
      </c>
      <c r="T41">
        <v>1</v>
      </c>
      <c r="U41">
        <v>39</v>
      </c>
      <c r="V41">
        <f t="shared" si="13"/>
        <v>0</v>
      </c>
      <c r="W41">
        <f t="shared" si="14"/>
        <v>39</v>
      </c>
      <c r="X41">
        <f t="shared" si="5"/>
        <v>35.1</v>
      </c>
      <c r="Y41">
        <f t="shared" si="6"/>
        <v>42.900000000000006</v>
      </c>
      <c r="Z41">
        <f t="shared" si="15"/>
        <v>0</v>
      </c>
      <c r="AA41" s="126">
        <f t="shared" si="7"/>
        <v>2.4996640411180531E-9</v>
      </c>
      <c r="AB41" s="126">
        <f t="shared" si="8"/>
        <v>6.332704518060159E-9</v>
      </c>
      <c r="AC41" s="126" t="str">
        <f t="shared" si="9"/>
        <v>Vlow exceeds VIL spec</v>
      </c>
      <c r="AD41" s="126" t="str">
        <f t="shared" si="10"/>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0.99999921249960133</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0.99999921251971258</v>
      </c>
      <c r="K42">
        <v>1</v>
      </c>
      <c r="L42">
        <v>22</v>
      </c>
      <c r="M42">
        <f t="shared" si="11"/>
        <v>0</v>
      </c>
      <c r="N42">
        <f t="shared" si="0"/>
        <v>22</v>
      </c>
      <c r="O42">
        <f t="shared" si="1"/>
        <v>20.9</v>
      </c>
      <c r="P42">
        <f t="shared" si="2"/>
        <v>23.1</v>
      </c>
      <c r="Q42">
        <f t="shared" si="12"/>
        <v>0</v>
      </c>
      <c r="R42" s="126">
        <f t="shared" si="3"/>
        <v>2.3489257673412385E-9</v>
      </c>
      <c r="S42" s="126">
        <f t="shared" si="4"/>
        <v>6.6410982490658232E-9</v>
      </c>
      <c r="T42">
        <v>1</v>
      </c>
      <c r="U42">
        <v>47</v>
      </c>
      <c r="V42">
        <f t="shared" si="13"/>
        <v>0</v>
      </c>
      <c r="W42">
        <f t="shared" si="14"/>
        <v>47</v>
      </c>
      <c r="X42">
        <f t="shared" si="5"/>
        <v>42.300000000000004</v>
      </c>
      <c r="Y42">
        <f t="shared" si="6"/>
        <v>51.7</v>
      </c>
      <c r="Z42">
        <f t="shared" si="15"/>
        <v>0</v>
      </c>
      <c r="AA42" s="126">
        <f t="shared" si="7"/>
        <v>2.7496304452124435E-9</v>
      </c>
      <c r="AB42" s="126">
        <f t="shared" si="8"/>
        <v>6.6410982490658232E-9</v>
      </c>
      <c r="AC42" s="126" t="str">
        <f t="shared" si="9"/>
        <v>Vlow exceeds VIL spec</v>
      </c>
      <c r="AD42" s="126" t="str">
        <f t="shared" si="10"/>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0.99999921251971258</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0.99999921251971258</v>
      </c>
      <c r="K43">
        <v>1</v>
      </c>
      <c r="L43">
        <v>24</v>
      </c>
      <c r="M43">
        <f t="shared" si="11"/>
        <v>0</v>
      </c>
      <c r="N43">
        <f t="shared" si="0"/>
        <v>24</v>
      </c>
      <c r="O43">
        <f t="shared" si="1"/>
        <v>22.799999999999997</v>
      </c>
      <c r="P43">
        <f t="shared" si="2"/>
        <v>25.200000000000003</v>
      </c>
      <c r="Q43">
        <f t="shared" si="12"/>
        <v>0</v>
      </c>
      <c r="R43" s="126">
        <f t="shared" si="3"/>
        <v>2.5624644734469403E-9</v>
      </c>
      <c r="S43" s="126">
        <f t="shared" si="4"/>
        <v>6.9494919800679569E-9</v>
      </c>
      <c r="T43">
        <v>1</v>
      </c>
      <c r="U43">
        <v>56</v>
      </c>
      <c r="V43">
        <f t="shared" si="13"/>
        <v>0</v>
      </c>
      <c r="W43">
        <f t="shared" si="14"/>
        <v>56</v>
      </c>
      <c r="X43">
        <f t="shared" si="5"/>
        <v>50.4</v>
      </c>
      <c r="Y43">
        <f t="shared" si="6"/>
        <v>61.600000000000009</v>
      </c>
      <c r="Z43">
        <f t="shared" si="15"/>
        <v>0</v>
      </c>
      <c r="AA43" s="126">
        <f t="shared" si="7"/>
        <v>2.9995968493036683E-9</v>
      </c>
      <c r="AB43" s="126">
        <f t="shared" si="8"/>
        <v>6.9494919800679569E-9</v>
      </c>
      <c r="AC43" s="126" t="str">
        <f t="shared" si="9"/>
        <v>Vlow exceeds VIL spec</v>
      </c>
      <c r="AD43" s="126" t="str">
        <f t="shared" si="10"/>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0.99999921251971258</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0.99999921249960133</v>
      </c>
      <c r="K44">
        <v>1</v>
      </c>
      <c r="L44">
        <v>27</v>
      </c>
      <c r="M44">
        <f t="shared" si="11"/>
        <v>0</v>
      </c>
      <c r="N44">
        <f t="shared" si="0"/>
        <v>27</v>
      </c>
      <c r="O44">
        <f t="shared" si="1"/>
        <v>25.65</v>
      </c>
      <c r="P44">
        <f t="shared" si="2"/>
        <v>28.35</v>
      </c>
      <c r="Q44">
        <f t="shared" si="12"/>
        <v>0</v>
      </c>
      <c r="R44" s="126">
        <f t="shared" si="3"/>
        <v>2.8827725326004216E-9</v>
      </c>
      <c r="S44" s="126">
        <f t="shared" si="4"/>
        <v>7.412082576564531E-9</v>
      </c>
      <c r="T44">
        <v>1</v>
      </c>
      <c r="U44">
        <v>68</v>
      </c>
      <c r="V44">
        <f t="shared" si="13"/>
        <v>0</v>
      </c>
      <c r="W44">
        <f t="shared" si="14"/>
        <v>68</v>
      </c>
      <c r="X44">
        <f t="shared" si="5"/>
        <v>61.2</v>
      </c>
      <c r="Y44">
        <f t="shared" si="6"/>
        <v>74.800000000000011</v>
      </c>
      <c r="Z44">
        <f t="shared" si="15"/>
        <v>0</v>
      </c>
      <c r="AA44" s="126">
        <f t="shared" si="7"/>
        <v>3.3745464554345686E-9</v>
      </c>
      <c r="AB44" s="126">
        <f t="shared" si="8"/>
        <v>7.412082576564531E-9</v>
      </c>
      <c r="AC44" s="126" t="str">
        <f t="shared" si="9"/>
        <v>Vlow exceeds VIL spec</v>
      </c>
      <c r="AD44" s="126" t="str">
        <f t="shared" si="10"/>
        <v>Vlow exceeds VIL spec</v>
      </c>
    </row>
    <row r="45" spans="1:30" x14ac:dyDescent="0.35">
      <c r="K45">
        <v>1</v>
      </c>
      <c r="L45">
        <v>30</v>
      </c>
      <c r="M45">
        <f t="shared" si="11"/>
        <v>0</v>
      </c>
      <c r="N45">
        <f t="shared" si="0"/>
        <v>30</v>
      </c>
      <c r="O45">
        <f t="shared" si="1"/>
        <v>28.5</v>
      </c>
      <c r="P45">
        <f t="shared" si="2"/>
        <v>31.5</v>
      </c>
      <c r="Q45">
        <f t="shared" si="12"/>
        <v>0</v>
      </c>
      <c r="R45" s="126">
        <f t="shared" si="3"/>
        <v>3.2030805917478173E-9</v>
      </c>
      <c r="S45" s="126">
        <f t="shared" si="4"/>
        <v>7.8746731730531583E-9</v>
      </c>
      <c r="T45">
        <v>1</v>
      </c>
      <c r="U45">
        <v>82</v>
      </c>
      <c r="V45">
        <f t="shared" si="13"/>
        <v>0</v>
      </c>
      <c r="W45">
        <f t="shared" si="14"/>
        <v>82</v>
      </c>
      <c r="X45">
        <f t="shared" si="5"/>
        <v>73.8</v>
      </c>
      <c r="Y45">
        <f t="shared" si="6"/>
        <v>90.2</v>
      </c>
      <c r="Z45">
        <f t="shared" si="15"/>
        <v>0</v>
      </c>
      <c r="AA45" s="126">
        <f t="shared" si="7"/>
        <v>3.7494960615583456E-9</v>
      </c>
      <c r="AB45" s="126">
        <f t="shared" si="8"/>
        <v>7.8746731730531583E-9</v>
      </c>
      <c r="AC45" s="126" t="str">
        <f t="shared" si="9"/>
        <v>Vlow exceeds VIL spec</v>
      </c>
      <c r="AD45" s="126" t="str">
        <f t="shared" si="10"/>
        <v>Vlow exceeds VIL spec</v>
      </c>
    </row>
    <row r="46" spans="1:30" x14ac:dyDescent="0.35">
      <c r="K46">
        <v>1</v>
      </c>
      <c r="L46">
        <v>33</v>
      </c>
      <c r="M46">
        <f t="shared" si="11"/>
        <v>0</v>
      </c>
      <c r="N46">
        <f t="shared" si="0"/>
        <v>33</v>
      </c>
      <c r="O46">
        <f t="shared" si="1"/>
        <v>31.349999999999998</v>
      </c>
      <c r="P46">
        <f t="shared" si="2"/>
        <v>34.65</v>
      </c>
      <c r="Q46">
        <f t="shared" si="12"/>
        <v>0</v>
      </c>
      <c r="R46" s="126">
        <f t="shared" si="3"/>
        <v>3.5233886508891263E-9</v>
      </c>
      <c r="S46" s="126">
        <f t="shared" si="4"/>
        <v>8.3372637695338381E-9</v>
      </c>
      <c r="T46">
        <v>10</v>
      </c>
      <c r="U46">
        <v>10</v>
      </c>
      <c r="V46">
        <f t="shared" si="13"/>
        <v>0</v>
      </c>
      <c r="W46">
        <f t="shared" si="14"/>
        <v>100</v>
      </c>
      <c r="X46">
        <f t="shared" si="5"/>
        <v>90</v>
      </c>
      <c r="Y46">
        <f t="shared" si="6"/>
        <v>110.00000000000001</v>
      </c>
      <c r="Z46">
        <f t="shared" si="15"/>
        <v>0</v>
      </c>
      <c r="AA46" s="126">
        <f t="shared" si="7"/>
        <v>4.1244456676749968E-9</v>
      </c>
      <c r="AB46" s="126">
        <f t="shared" si="8"/>
        <v>8.3372637695338381E-9</v>
      </c>
      <c r="AC46" s="126" t="str">
        <f t="shared" si="9"/>
        <v>Vlow exceeds VIL spec</v>
      </c>
      <c r="AD46" s="126" t="str">
        <f t="shared" si="10"/>
        <v>Vlow exceeds VIL spec</v>
      </c>
    </row>
    <row r="47" spans="1:30" x14ac:dyDescent="0.35">
      <c r="B47" s="171" t="s">
        <v>353</v>
      </c>
      <c r="C47" s="171"/>
      <c r="K47">
        <v>1</v>
      </c>
      <c r="L47">
        <v>36</v>
      </c>
      <c r="M47">
        <f t="shared" si="11"/>
        <v>0</v>
      </c>
      <c r="N47">
        <f t="shared" si="0"/>
        <v>36</v>
      </c>
      <c r="O47">
        <f t="shared" si="1"/>
        <v>34.199999999999996</v>
      </c>
      <c r="P47">
        <f t="shared" si="2"/>
        <v>37.800000000000004</v>
      </c>
      <c r="Q47">
        <f t="shared" si="12"/>
        <v>0</v>
      </c>
      <c r="R47" s="126">
        <f t="shared" si="3"/>
        <v>3.8436967100243492E-9</v>
      </c>
      <c r="S47" s="126">
        <f t="shared" si="4"/>
        <v>8.7998543660065687E-9</v>
      </c>
      <c r="T47">
        <v>10</v>
      </c>
      <c r="U47">
        <v>12</v>
      </c>
      <c r="V47">
        <f t="shared" si="13"/>
        <v>0</v>
      </c>
      <c r="W47">
        <f>U47*T47</f>
        <v>120</v>
      </c>
      <c r="X47">
        <f t="shared" si="5"/>
        <v>108</v>
      </c>
      <c r="Y47">
        <f t="shared" si="6"/>
        <v>132</v>
      </c>
      <c r="Z47">
        <f t="shared" si="15"/>
        <v>0</v>
      </c>
      <c r="AA47" s="126">
        <f t="shared" si="7"/>
        <v>4.4993952737845244E-9</v>
      </c>
      <c r="AB47" s="126">
        <f t="shared" si="8"/>
        <v>8.7998543660065687E-9</v>
      </c>
      <c r="AC47" s="126" t="str">
        <f t="shared" si="9"/>
        <v>Vlow exceeds VIL spec</v>
      </c>
      <c r="AD47" s="126" t="str">
        <f t="shared" si="10"/>
        <v>Vlow exceeds VIL spec</v>
      </c>
    </row>
    <row r="48" spans="1:30" x14ac:dyDescent="0.35">
      <c r="B48" t="s">
        <v>316</v>
      </c>
      <c r="C48" t="s">
        <v>317</v>
      </c>
      <c r="K48">
        <v>1</v>
      </c>
      <c r="L48">
        <v>39</v>
      </c>
      <c r="M48">
        <f t="shared" si="11"/>
        <v>0</v>
      </c>
      <c r="N48">
        <f t="shared" si="0"/>
        <v>39</v>
      </c>
      <c r="O48">
        <f t="shared" si="1"/>
        <v>37.049999999999997</v>
      </c>
      <c r="P48">
        <f t="shared" si="2"/>
        <v>40.950000000000003</v>
      </c>
      <c r="Q48">
        <f t="shared" si="12"/>
        <v>0</v>
      </c>
      <c r="R48" s="126">
        <f t="shared" si="3"/>
        <v>4.164004769153487E-9</v>
      </c>
      <c r="S48" s="126">
        <f t="shared" si="4"/>
        <v>9.2624449624713517E-9</v>
      </c>
      <c r="T48">
        <v>10</v>
      </c>
      <c r="U48">
        <v>15</v>
      </c>
      <c r="V48">
        <f t="shared" si="13"/>
        <v>0</v>
      </c>
      <c r="W48">
        <f t="shared" si="14"/>
        <v>150</v>
      </c>
      <c r="X48">
        <f t="shared" si="5"/>
        <v>135</v>
      </c>
      <c r="Y48">
        <f t="shared" si="6"/>
        <v>165</v>
      </c>
      <c r="Z48">
        <f t="shared" si="15"/>
        <v>0</v>
      </c>
      <c r="AA48" s="126">
        <f t="shared" si="7"/>
        <v>4.8743448798869291E-9</v>
      </c>
      <c r="AB48" s="126">
        <f t="shared" si="8"/>
        <v>9.2624449624713517E-9</v>
      </c>
      <c r="AC48" s="126" t="str">
        <f t="shared" si="9"/>
        <v>Vlow exceeds VIL spec</v>
      </c>
      <c r="AD48" s="126" t="str">
        <f t="shared" si="10"/>
        <v>Vlow exceeds VIL spec</v>
      </c>
    </row>
    <row r="49" spans="1:30" x14ac:dyDescent="0.35">
      <c r="A49" t="s">
        <v>318</v>
      </c>
      <c r="B49" s="11">
        <f>C2*(1+E2)</f>
        <v>1100000000000</v>
      </c>
      <c r="C49" s="11">
        <f>C2*(1+E2)</f>
        <v>1100000000000</v>
      </c>
      <c r="K49">
        <v>1</v>
      </c>
      <c r="L49">
        <v>43</v>
      </c>
      <c r="M49">
        <f t="shared" si="11"/>
        <v>0</v>
      </c>
      <c r="N49">
        <f t="shared" si="0"/>
        <v>43</v>
      </c>
      <c r="O49">
        <f t="shared" si="1"/>
        <v>40.85</v>
      </c>
      <c r="P49">
        <f t="shared" si="2"/>
        <v>45.15</v>
      </c>
      <c r="Q49">
        <f t="shared" si="12"/>
        <v>0</v>
      </c>
      <c r="R49" s="126">
        <f t="shared" si="3"/>
        <v>4.5910821813162061E-9</v>
      </c>
      <c r="S49" s="126">
        <f t="shared" si="4"/>
        <v>9.8792324244120321E-9</v>
      </c>
      <c r="T49">
        <v>10</v>
      </c>
      <c r="U49">
        <v>18</v>
      </c>
      <c r="V49">
        <f t="shared" si="13"/>
        <v>0</v>
      </c>
      <c r="W49">
        <f t="shared" si="14"/>
        <v>180</v>
      </c>
      <c r="X49">
        <f t="shared" si="5"/>
        <v>162</v>
      </c>
      <c r="Y49">
        <f t="shared" si="6"/>
        <v>198.00000000000003</v>
      </c>
      <c r="Z49">
        <f t="shared" si="15"/>
        <v>0</v>
      </c>
      <c r="AA49" s="126">
        <f t="shared" si="7"/>
        <v>5.3742776880123876E-9</v>
      </c>
      <c r="AB49" s="126">
        <f t="shared" si="8"/>
        <v>9.8792324244120321E-9</v>
      </c>
      <c r="AC49" s="126" t="str">
        <f t="shared" si="9"/>
        <v>Vlow exceeds VIL spec</v>
      </c>
      <c r="AD49" s="126" t="str">
        <f t="shared" si="10"/>
        <v>Vlow exceeds VIL spec</v>
      </c>
    </row>
    <row r="50" spans="1:30" x14ac:dyDescent="0.35">
      <c r="A50" t="s">
        <v>320</v>
      </c>
      <c r="B50" s="11">
        <f>F11*(1+H11)</f>
        <v>955.5</v>
      </c>
      <c r="C50" s="11">
        <f>F11*(1+H11)</f>
        <v>955.5</v>
      </c>
      <c r="K50">
        <v>1</v>
      </c>
      <c r="L50">
        <v>47</v>
      </c>
      <c r="M50">
        <f t="shared" si="11"/>
        <v>0</v>
      </c>
      <c r="N50">
        <f t="shared" si="0"/>
        <v>47</v>
      </c>
      <c r="O50">
        <f t="shared" si="1"/>
        <v>44.65</v>
      </c>
      <c r="P50">
        <f t="shared" si="2"/>
        <v>49.35</v>
      </c>
      <c r="Q50">
        <f t="shared" si="12"/>
        <v>0</v>
      </c>
      <c r="R50" s="126">
        <f t="shared" si="3"/>
        <v>5.0181595934681032E-9</v>
      </c>
      <c r="S50" s="126">
        <f t="shared" si="4"/>
        <v>1.0496019886338583E-8</v>
      </c>
      <c r="T50">
        <v>10</v>
      </c>
      <c r="U50">
        <v>22</v>
      </c>
      <c r="V50">
        <f t="shared" si="13"/>
        <v>0</v>
      </c>
      <c r="W50">
        <f t="shared" si="14"/>
        <v>220</v>
      </c>
      <c r="X50">
        <f t="shared" si="5"/>
        <v>198</v>
      </c>
      <c r="Y50">
        <f t="shared" si="6"/>
        <v>242.00000000000003</v>
      </c>
      <c r="Z50">
        <f t="shared" si="15"/>
        <v>0</v>
      </c>
      <c r="AA50" s="126">
        <f t="shared" si="7"/>
        <v>5.8742104961251794E-9</v>
      </c>
      <c r="AB50" s="126">
        <f t="shared" si="8"/>
        <v>1.0496019886338583E-8</v>
      </c>
      <c r="AC50" s="126" t="str">
        <f t="shared" si="9"/>
        <v>Vlow exceeds VIL spec</v>
      </c>
      <c r="AD50" s="126" t="str">
        <f t="shared" si="10"/>
        <v>Vlow exceeds VIL spec</v>
      </c>
    </row>
    <row r="51" spans="1:30" x14ac:dyDescent="0.35">
      <c r="A51" t="s">
        <v>322</v>
      </c>
      <c r="B51" s="11">
        <f>C3*(1+E3)</f>
        <v>1100000000000</v>
      </c>
      <c r="C51" s="11">
        <f>C3*(1+E3)</f>
        <v>1100000000000</v>
      </c>
      <c r="K51">
        <v>1</v>
      </c>
      <c r="L51">
        <v>51</v>
      </c>
      <c r="M51">
        <f t="shared" si="11"/>
        <v>0</v>
      </c>
      <c r="N51">
        <f t="shared" si="0"/>
        <v>51</v>
      </c>
      <c r="O51">
        <f t="shared" si="1"/>
        <v>48.449999999999996</v>
      </c>
      <c r="P51">
        <f t="shared" si="2"/>
        <v>53.550000000000004</v>
      </c>
      <c r="Q51">
        <f t="shared" si="12"/>
        <v>0</v>
      </c>
      <c r="R51" s="126">
        <f t="shared" si="3"/>
        <v>5.44523700560918E-9</v>
      </c>
      <c r="S51" s="126">
        <f t="shared" si="4"/>
        <v>1.1112807348251003E-8</v>
      </c>
      <c r="T51">
        <v>10</v>
      </c>
      <c r="U51">
        <v>27</v>
      </c>
      <c r="V51">
        <f t="shared" si="13"/>
        <v>0</v>
      </c>
      <c r="W51">
        <f t="shared" si="14"/>
        <v>270</v>
      </c>
      <c r="X51">
        <f t="shared" si="5"/>
        <v>243</v>
      </c>
      <c r="Y51">
        <f t="shared" si="6"/>
        <v>297</v>
      </c>
      <c r="Z51">
        <f t="shared" si="15"/>
        <v>0</v>
      </c>
      <c r="AA51" s="126">
        <f t="shared" si="7"/>
        <v>6.3741433042253055E-9</v>
      </c>
      <c r="AB51" s="126">
        <f t="shared" si="8"/>
        <v>1.1112807348251003E-8</v>
      </c>
      <c r="AC51" s="126" t="str">
        <f t="shared" si="9"/>
        <v>Vlow exceeds VIL spec</v>
      </c>
      <c r="AD51" s="126" t="str">
        <f t="shared" si="10"/>
        <v>Vlow exceeds VIL spec</v>
      </c>
    </row>
    <row r="52" spans="1:30" x14ac:dyDescent="0.35">
      <c r="A52" t="s">
        <v>324</v>
      </c>
      <c r="B52" s="1">
        <f>K21</f>
        <v>22.122405384810769</v>
      </c>
      <c r="C52">
        <v>0</v>
      </c>
      <c r="K52">
        <v>1</v>
      </c>
      <c r="L52">
        <v>56</v>
      </c>
      <c r="M52">
        <f t="shared" si="11"/>
        <v>0</v>
      </c>
      <c r="N52">
        <f t="shared" si="0"/>
        <v>56</v>
      </c>
      <c r="O52">
        <f t="shared" si="1"/>
        <v>53.199999999999996</v>
      </c>
      <c r="P52">
        <f t="shared" si="2"/>
        <v>58.800000000000004</v>
      </c>
      <c r="Q52">
        <f t="shared" si="12"/>
        <v>0</v>
      </c>
      <c r="R52" s="126">
        <f t="shared" si="3"/>
        <v>5.9790837707703136E-9</v>
      </c>
      <c r="S52" s="126">
        <f t="shared" si="4"/>
        <v>1.1883791675621658E-8</v>
      </c>
      <c r="T52">
        <v>10</v>
      </c>
      <c r="U52">
        <v>33</v>
      </c>
      <c r="V52">
        <f t="shared" si="13"/>
        <v>0</v>
      </c>
      <c r="W52">
        <f t="shared" si="14"/>
        <v>330</v>
      </c>
      <c r="X52">
        <f t="shared" si="5"/>
        <v>297</v>
      </c>
      <c r="Y52">
        <f t="shared" si="6"/>
        <v>363.00000000000006</v>
      </c>
      <c r="Z52">
        <f t="shared" si="15"/>
        <v>0</v>
      </c>
      <c r="AA52" s="126">
        <f t="shared" si="7"/>
        <v>6.9990593143326538E-9</v>
      </c>
      <c r="AB52" s="126">
        <f t="shared" si="8"/>
        <v>1.1883791675621658E-8</v>
      </c>
      <c r="AC52" s="126" t="str">
        <f t="shared" si="9"/>
        <v>Vlow exceeds VIL spec</v>
      </c>
      <c r="AD52" s="126" t="str">
        <f t="shared" si="10"/>
        <v>Vlow exceeds VIL spec</v>
      </c>
    </row>
    <row r="53" spans="1:30" x14ac:dyDescent="0.35">
      <c r="A53" t="s">
        <v>327</v>
      </c>
      <c r="B53">
        <v>0</v>
      </c>
      <c r="C53" s="1">
        <f>K21</f>
        <v>22.122405384810769</v>
      </c>
      <c r="K53">
        <v>1</v>
      </c>
      <c r="L53">
        <v>62</v>
      </c>
      <c r="M53">
        <f t="shared" si="11"/>
        <v>0</v>
      </c>
      <c r="N53">
        <f t="shared" si="0"/>
        <v>62</v>
      </c>
      <c r="O53">
        <f t="shared" si="1"/>
        <v>58.9</v>
      </c>
      <c r="P53">
        <f t="shared" si="2"/>
        <v>65.100000000000009</v>
      </c>
      <c r="Q53">
        <f t="shared" si="12"/>
        <v>0</v>
      </c>
      <c r="R53" s="126">
        <f t="shared" si="3"/>
        <v>6.6196998889413597E-9</v>
      </c>
      <c r="S53" s="126">
        <f t="shared" si="4"/>
        <v>1.2808972868437298E-8</v>
      </c>
      <c r="T53">
        <v>10</v>
      </c>
      <c r="U53">
        <v>39</v>
      </c>
      <c r="V53">
        <f t="shared" si="13"/>
        <v>0</v>
      </c>
      <c r="W53">
        <f t="shared" si="14"/>
        <v>390</v>
      </c>
      <c r="X53">
        <f t="shared" si="5"/>
        <v>351</v>
      </c>
      <c r="Y53">
        <f t="shared" si="6"/>
        <v>429.00000000000006</v>
      </c>
      <c r="Z53">
        <f t="shared" si="15"/>
        <v>0</v>
      </c>
      <c r="AA53" s="126">
        <f t="shared" si="7"/>
        <v>7.7489585264353528E-9</v>
      </c>
      <c r="AB53" s="126">
        <f t="shared" si="8"/>
        <v>1.2808972868437298E-8</v>
      </c>
      <c r="AC53" s="126" t="str">
        <f t="shared" si="9"/>
        <v>Vlow exceeds VIL spec</v>
      </c>
      <c r="AD53" s="126" t="str">
        <f t="shared" si="10"/>
        <v>Vlow exceeds VIL spec</v>
      </c>
    </row>
    <row r="54" spans="1:30" x14ac:dyDescent="0.35">
      <c r="A54" t="s">
        <v>329</v>
      </c>
      <c r="B54" s="11">
        <f>F2*(1-G2)</f>
        <v>900000000000</v>
      </c>
      <c r="C54" s="11">
        <f>F2*(1-G2)</f>
        <v>900000000000</v>
      </c>
      <c r="K54">
        <v>1</v>
      </c>
      <c r="L54">
        <v>68</v>
      </c>
      <c r="M54">
        <f t="shared" si="11"/>
        <v>0</v>
      </c>
      <c r="N54">
        <f t="shared" si="0"/>
        <v>68</v>
      </c>
      <c r="O54">
        <f t="shared" si="1"/>
        <v>64.599999999999994</v>
      </c>
      <c r="P54">
        <f t="shared" si="2"/>
        <v>71.400000000000006</v>
      </c>
      <c r="Q54">
        <f t="shared" si="12"/>
        <v>0</v>
      </c>
      <c r="R54" s="126">
        <f t="shared" si="3"/>
        <v>7.2603160070880602E-9</v>
      </c>
      <c r="S54" s="126">
        <f t="shared" si="4"/>
        <v>1.3734154061221149E-8</v>
      </c>
      <c r="T54">
        <v>10</v>
      </c>
      <c r="U54">
        <v>47</v>
      </c>
      <c r="V54">
        <f t="shared" si="13"/>
        <v>1</v>
      </c>
      <c r="W54">
        <f t="shared" si="14"/>
        <v>470</v>
      </c>
      <c r="X54">
        <f t="shared" si="5"/>
        <v>423</v>
      </c>
      <c r="Y54">
        <f t="shared" si="6"/>
        <v>517</v>
      </c>
      <c r="Z54">
        <f t="shared" si="15"/>
        <v>1</v>
      </c>
      <c r="AA54" s="126">
        <f t="shared" si="7"/>
        <v>8.4988577385095521E-9</v>
      </c>
      <c r="AB54" s="126">
        <f t="shared" si="8"/>
        <v>1.3734154061221149E-8</v>
      </c>
      <c r="AC54" s="126" t="str">
        <f t="shared" si="9"/>
        <v>Vlow exceeds VIL spec</v>
      </c>
      <c r="AD54" s="126" t="str">
        <f t="shared" si="10"/>
        <v>Vlow exceeds VIL spec</v>
      </c>
    </row>
    <row r="55" spans="1:30" x14ac:dyDescent="0.35">
      <c r="A55" t="s">
        <v>332</v>
      </c>
      <c r="B55" s="11">
        <f>F12*(1-H12)</f>
        <v>900000000</v>
      </c>
      <c r="C55" s="11">
        <f>F12*(1-H12)</f>
        <v>900000000</v>
      </c>
      <c r="K55">
        <v>1</v>
      </c>
      <c r="L55">
        <v>75</v>
      </c>
      <c r="M55">
        <f t="shared" si="11"/>
        <v>0</v>
      </c>
      <c r="N55">
        <f t="shared" si="0"/>
        <v>75</v>
      </c>
      <c r="O55">
        <f t="shared" si="1"/>
        <v>71.25</v>
      </c>
      <c r="P55">
        <f t="shared" si="2"/>
        <v>78.75</v>
      </c>
      <c r="Q55">
        <f t="shared" si="12"/>
        <v>0</v>
      </c>
      <c r="R55" s="126">
        <f t="shared" si="3"/>
        <v>8.0077014782284446E-9</v>
      </c>
      <c r="S55" s="126">
        <f t="shared" si="4"/>
        <v>1.4813532119428789E-8</v>
      </c>
      <c r="T55">
        <v>10</v>
      </c>
      <c r="U55">
        <v>56</v>
      </c>
      <c r="V55">
        <f t="shared" si="13"/>
        <v>2</v>
      </c>
      <c r="W55">
        <f t="shared" si="14"/>
        <v>560</v>
      </c>
      <c r="X55">
        <f t="shared" si="5"/>
        <v>504</v>
      </c>
      <c r="Y55">
        <f t="shared" si="6"/>
        <v>616</v>
      </c>
      <c r="Z55">
        <f t="shared" si="15"/>
        <v>1</v>
      </c>
      <c r="AA55" s="126">
        <f t="shared" si="7"/>
        <v>9.3737401525601033E-9</v>
      </c>
      <c r="AB55" s="126">
        <f t="shared" si="8"/>
        <v>1.4813532119428789E-8</v>
      </c>
      <c r="AC55" s="126" t="str">
        <f t="shared" si="9"/>
        <v>Vlow exceeds VIL spec</v>
      </c>
      <c r="AD55" s="126" t="str">
        <f t="shared" si="10"/>
        <v>Vlow exceeds VIL spec</v>
      </c>
    </row>
    <row r="56" spans="1:30" x14ac:dyDescent="0.35">
      <c r="A56" t="s">
        <v>333</v>
      </c>
      <c r="B56" s="11">
        <f>F3*(1-G3)</f>
        <v>900000000000</v>
      </c>
      <c r="C56" s="11">
        <f>F3*(1-G3)</f>
        <v>900000000000</v>
      </c>
      <c r="K56">
        <v>1</v>
      </c>
      <c r="L56">
        <v>82</v>
      </c>
      <c r="M56">
        <f t="shared" si="11"/>
        <v>0</v>
      </c>
      <c r="N56">
        <f t="shared" si="0"/>
        <v>82</v>
      </c>
      <c r="O56">
        <f t="shared" si="1"/>
        <v>77.899999999999991</v>
      </c>
      <c r="P56">
        <f t="shared" si="2"/>
        <v>86.100000000000009</v>
      </c>
      <c r="Q56">
        <f t="shared" si="12"/>
        <v>0</v>
      </c>
      <c r="R56" s="126">
        <f t="shared" si="3"/>
        <v>8.7550869493356963E-9</v>
      </c>
      <c r="S56" s="126">
        <f t="shared" si="4"/>
        <v>1.5892910177593163E-8</v>
      </c>
      <c r="T56">
        <v>10</v>
      </c>
      <c r="U56">
        <v>68</v>
      </c>
      <c r="V56">
        <f t="shared" si="13"/>
        <v>3</v>
      </c>
      <c r="W56">
        <f t="shared" si="14"/>
        <v>680</v>
      </c>
      <c r="X56">
        <f t="shared" si="5"/>
        <v>612</v>
      </c>
      <c r="Y56">
        <f t="shared" si="6"/>
        <v>748.00000000000011</v>
      </c>
      <c r="Z56">
        <f t="shared" si="15"/>
        <v>1</v>
      </c>
      <c r="AA56" s="126">
        <f t="shared" si="7"/>
        <v>1.024862256657187E-8</v>
      </c>
      <c r="AB56" s="126">
        <f t="shared" si="8"/>
        <v>1.5892910177593163E-8</v>
      </c>
      <c r="AC56" s="126" t="str">
        <f t="shared" si="9"/>
        <v>Vlow exceeds VIL spec</v>
      </c>
      <c r="AD56" s="126" t="str">
        <f t="shared" si="10"/>
        <v>Vlow exceeds VIL spec</v>
      </c>
    </row>
    <row r="57" spans="1:30" x14ac:dyDescent="0.35">
      <c r="K57">
        <v>1</v>
      </c>
      <c r="L57">
        <v>91</v>
      </c>
      <c r="M57">
        <f t="shared" si="11"/>
        <v>0</v>
      </c>
      <c r="N57">
        <f t="shared" si="0"/>
        <v>91</v>
      </c>
      <c r="O57">
        <f t="shared" si="1"/>
        <v>86.45</v>
      </c>
      <c r="P57">
        <f t="shared" si="2"/>
        <v>95.55</v>
      </c>
      <c r="Q57">
        <f t="shared" si="12"/>
        <v>0</v>
      </c>
      <c r="R57" s="126">
        <f t="shared" si="3"/>
        <v>9.7160111264249028E-9</v>
      </c>
      <c r="S57" s="126">
        <f t="shared" si="4"/>
        <v>1.7280681966598049E-8</v>
      </c>
      <c r="T57">
        <v>10</v>
      </c>
      <c r="U57">
        <v>82</v>
      </c>
      <c r="V57">
        <f t="shared" si="13"/>
        <v>4</v>
      </c>
      <c r="W57">
        <f t="shared" si="14"/>
        <v>820</v>
      </c>
      <c r="X57">
        <f t="shared" si="5"/>
        <v>738</v>
      </c>
      <c r="Y57">
        <f t="shared" si="6"/>
        <v>902.00000000000011</v>
      </c>
      <c r="Z57">
        <f t="shared" si="15"/>
        <v>1</v>
      </c>
      <c r="AA57" s="126">
        <f t="shared" si="7"/>
        <v>1.1373471384530005E-8</v>
      </c>
      <c r="AB57" s="126">
        <f t="shared" si="8"/>
        <v>1.7280681966598049E-8</v>
      </c>
      <c r="AC57" s="126" t="str">
        <f t="shared" si="9"/>
        <v>Vlow exceeds VIL spec</v>
      </c>
      <c r="AD57" s="126" t="str">
        <f t="shared" si="10"/>
        <v>Vlow exceeds VIL spec</v>
      </c>
    </row>
    <row r="58" spans="1:30" x14ac:dyDescent="0.35">
      <c r="A58" t="s">
        <v>344</v>
      </c>
      <c r="B58">
        <v>1</v>
      </c>
      <c r="C58">
        <v>1</v>
      </c>
      <c r="K58">
        <v>10</v>
      </c>
      <c r="L58">
        <v>10</v>
      </c>
      <c r="M58">
        <f t="shared" si="11"/>
        <v>0</v>
      </c>
      <c r="N58">
        <f t="shared" si="0"/>
        <v>100</v>
      </c>
      <c r="O58">
        <f t="shared" si="1"/>
        <v>95</v>
      </c>
      <c r="P58">
        <f t="shared" si="2"/>
        <v>105</v>
      </c>
      <c r="Q58">
        <f t="shared" si="12"/>
        <v>0</v>
      </c>
      <c r="R58" s="126">
        <f t="shared" si="3"/>
        <v>1.0676935303459338E-8</v>
      </c>
      <c r="S58" s="126">
        <f t="shared" si="4"/>
        <v>1.8668453755531403E-8</v>
      </c>
      <c r="T58">
        <v>100</v>
      </c>
      <c r="U58">
        <v>10</v>
      </c>
      <c r="V58">
        <f t="shared" si="13"/>
        <v>5</v>
      </c>
      <c r="W58">
        <f t="shared" si="14"/>
        <v>1000</v>
      </c>
      <c r="X58">
        <f t="shared" si="5"/>
        <v>900</v>
      </c>
      <c r="Y58">
        <f t="shared" si="6"/>
        <v>1100</v>
      </c>
      <c r="Z58">
        <f t="shared" si="15"/>
        <v>0</v>
      </c>
      <c r="AA58" s="126">
        <f t="shared" si="7"/>
        <v>1.2498320202424025E-8</v>
      </c>
      <c r="AB58" s="126">
        <f t="shared" si="8"/>
        <v>1.8668453755531403E-8</v>
      </c>
      <c r="AC58" s="126" t="str">
        <f t="shared" si="9"/>
        <v>Vlow exceeds VIL spec</v>
      </c>
      <c r="AD58" s="126" t="str">
        <f t="shared" si="10"/>
        <v>Vlow exceeds VIL spec</v>
      </c>
    </row>
    <row r="59" spans="1:30" x14ac:dyDescent="0.35">
      <c r="A59" t="s">
        <v>345</v>
      </c>
      <c r="B59">
        <v>1</v>
      </c>
      <c r="C59">
        <v>1</v>
      </c>
      <c r="K59">
        <v>10</v>
      </c>
      <c r="L59">
        <v>11</v>
      </c>
      <c r="M59">
        <f t="shared" si="11"/>
        <v>0</v>
      </c>
      <c r="N59">
        <f t="shared" si="0"/>
        <v>110</v>
      </c>
      <c r="O59">
        <f t="shared" si="1"/>
        <v>104.5</v>
      </c>
      <c r="P59">
        <f t="shared" si="2"/>
        <v>115.5</v>
      </c>
      <c r="Q59">
        <f t="shared" si="12"/>
        <v>0</v>
      </c>
      <c r="R59" s="126">
        <f t="shared" si="3"/>
        <v>1.1744628833433358E-8</v>
      </c>
      <c r="S59" s="126">
        <f t="shared" si="4"/>
        <v>2.0210422409817902E-8</v>
      </c>
      <c r="T59">
        <v>100</v>
      </c>
      <c r="U59">
        <v>12</v>
      </c>
      <c r="V59">
        <f t="shared" si="13"/>
        <v>5</v>
      </c>
      <c r="W59">
        <f t="shared" si="14"/>
        <v>1200</v>
      </c>
      <c r="X59">
        <f t="shared" si="5"/>
        <v>1080</v>
      </c>
      <c r="Y59">
        <f t="shared" si="6"/>
        <v>1320</v>
      </c>
      <c r="Z59">
        <f t="shared" si="15"/>
        <v>0</v>
      </c>
      <c r="AA59" s="126">
        <f t="shared" si="7"/>
        <v>1.3748152222231067E-8</v>
      </c>
      <c r="AB59" s="126">
        <f t="shared" si="8"/>
        <v>2.0210422409817902E-8</v>
      </c>
      <c r="AC59" s="126" t="str">
        <f t="shared" si="9"/>
        <v>Vlow exceeds VIL spec</v>
      </c>
      <c r="AD59" s="126" t="str">
        <f t="shared" si="10"/>
        <v>Vlow exceeds VIL spec</v>
      </c>
    </row>
    <row r="60" spans="1:30" x14ac:dyDescent="0.35">
      <c r="A60" t="s">
        <v>346</v>
      </c>
      <c r="B60">
        <v>1</v>
      </c>
      <c r="C60">
        <v>1</v>
      </c>
      <c r="K60">
        <v>10</v>
      </c>
      <c r="L60">
        <v>12</v>
      </c>
      <c r="M60">
        <f t="shared" si="11"/>
        <v>0</v>
      </c>
      <c r="N60">
        <f t="shared" si="0"/>
        <v>120</v>
      </c>
      <c r="O60">
        <f t="shared" si="1"/>
        <v>114</v>
      </c>
      <c r="P60">
        <f t="shared" si="2"/>
        <v>126</v>
      </c>
      <c r="Q60">
        <f t="shared" si="12"/>
        <v>0</v>
      </c>
      <c r="R60" s="126">
        <f t="shared" si="3"/>
        <v>1.2812322363339758E-8</v>
      </c>
      <c r="S60" s="126">
        <f t="shared" si="4"/>
        <v>2.1752391064016091E-8</v>
      </c>
      <c r="T60">
        <v>100</v>
      </c>
      <c r="U60">
        <v>15</v>
      </c>
      <c r="V60">
        <f t="shared" si="13"/>
        <v>5</v>
      </c>
      <c r="W60">
        <f t="shared" si="14"/>
        <v>1500</v>
      </c>
      <c r="X60">
        <f t="shared" si="5"/>
        <v>1350</v>
      </c>
      <c r="Y60">
        <f t="shared" si="6"/>
        <v>1650.0000000000002</v>
      </c>
      <c r="Z60">
        <f t="shared" si="15"/>
        <v>0</v>
      </c>
      <c r="AA60" s="126">
        <f t="shared" si="7"/>
        <v>1.4997984241958956E-8</v>
      </c>
      <c r="AB60" s="126">
        <f t="shared" si="8"/>
        <v>2.1752391064016091E-8</v>
      </c>
      <c r="AC60" s="126" t="str">
        <f t="shared" si="9"/>
        <v>Vlow exceeds VIL spec</v>
      </c>
      <c r="AD60" s="126" t="str">
        <f t="shared" si="10"/>
        <v>Vlow exceeds VIL spec</v>
      </c>
    </row>
    <row r="61" spans="1:30" x14ac:dyDescent="0.35">
      <c r="K61">
        <v>10</v>
      </c>
      <c r="L61">
        <v>13</v>
      </c>
      <c r="M61">
        <f t="shared" si="11"/>
        <v>0</v>
      </c>
      <c r="N61">
        <f t="shared" si="0"/>
        <v>130</v>
      </c>
      <c r="O61">
        <f t="shared" si="1"/>
        <v>123.5</v>
      </c>
      <c r="P61">
        <f t="shared" si="2"/>
        <v>136.5</v>
      </c>
      <c r="Q61">
        <f t="shared" si="12"/>
        <v>0</v>
      </c>
      <c r="R61" s="126">
        <f t="shared" si="3"/>
        <v>1.3880015893178537E-8</v>
      </c>
      <c r="S61" s="126">
        <f t="shared" si="4"/>
        <v>2.329435971812596E-8</v>
      </c>
      <c r="T61">
        <v>100</v>
      </c>
      <c r="U61">
        <v>18</v>
      </c>
      <c r="V61">
        <f t="shared" si="13"/>
        <v>5</v>
      </c>
      <c r="W61">
        <f t="shared" si="14"/>
        <v>1800</v>
      </c>
      <c r="X61">
        <f t="shared" si="5"/>
        <v>1620</v>
      </c>
      <c r="Y61">
        <f t="shared" si="6"/>
        <v>1980.0000000000002</v>
      </c>
      <c r="Z61">
        <f t="shared" si="15"/>
        <v>0</v>
      </c>
      <c r="AA61" s="126">
        <f t="shared" si="7"/>
        <v>1.6247816261607686E-8</v>
      </c>
      <c r="AB61" s="126">
        <f t="shared" si="8"/>
        <v>2.329435971812596E-8</v>
      </c>
      <c r="AC61" s="126" t="str">
        <f t="shared" si="9"/>
        <v>Vlow exceeds VIL spec</v>
      </c>
      <c r="AD61" s="126" t="str">
        <f t="shared" si="10"/>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0.99999893618655311</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0.99999893621113367</v>
      </c>
      <c r="K62">
        <v>10</v>
      </c>
      <c r="L62">
        <v>15</v>
      </c>
      <c r="M62">
        <f t="shared" si="11"/>
        <v>0</v>
      </c>
      <c r="N62">
        <f t="shared" si="0"/>
        <v>150</v>
      </c>
      <c r="O62">
        <f t="shared" si="1"/>
        <v>142.5</v>
      </c>
      <c r="P62">
        <f t="shared" si="2"/>
        <v>157.5</v>
      </c>
      <c r="Q62">
        <f t="shared" si="12"/>
        <v>0</v>
      </c>
      <c r="R62" s="126">
        <f t="shared" si="3"/>
        <v>1.6015402952653235E-8</v>
      </c>
      <c r="S62" s="126">
        <f t="shared" si="4"/>
        <v>2.6378297026080768E-8</v>
      </c>
      <c r="T62">
        <v>100</v>
      </c>
      <c r="U62">
        <v>22</v>
      </c>
      <c r="V62">
        <f t="shared" si="13"/>
        <v>5</v>
      </c>
      <c r="W62">
        <f t="shared" si="14"/>
        <v>2200</v>
      </c>
      <c r="X62">
        <f t="shared" si="5"/>
        <v>1980</v>
      </c>
      <c r="Y62">
        <f t="shared" si="6"/>
        <v>2420</v>
      </c>
      <c r="Z62">
        <f t="shared" si="15"/>
        <v>0</v>
      </c>
      <c r="AA62" s="126">
        <f t="shared" si="7"/>
        <v>1.8747480300667685E-8</v>
      </c>
      <c r="AB62" s="126">
        <f t="shared" si="8"/>
        <v>2.6378297026080768E-8</v>
      </c>
      <c r="AC62" s="126" t="str">
        <f t="shared" si="9"/>
        <v>Vlow exceeds VIL spec</v>
      </c>
      <c r="AD62" s="126" t="str">
        <f t="shared" si="10"/>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0.99999893621113367</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0.99999893621113367</v>
      </c>
      <c r="K63">
        <v>10</v>
      </c>
      <c r="L63">
        <v>16</v>
      </c>
      <c r="M63">
        <f t="shared" si="11"/>
        <v>0</v>
      </c>
      <c r="N63">
        <f t="shared" si="0"/>
        <v>160</v>
      </c>
      <c r="O63">
        <f t="shared" si="1"/>
        <v>152</v>
      </c>
      <c r="P63">
        <f t="shared" si="2"/>
        <v>168</v>
      </c>
      <c r="Q63">
        <f t="shared" si="12"/>
        <v>0</v>
      </c>
      <c r="R63" s="126">
        <f t="shared" si="3"/>
        <v>1.7083096482289151E-8</v>
      </c>
      <c r="S63" s="126">
        <f t="shared" si="4"/>
        <v>2.7920265679925704E-8</v>
      </c>
      <c r="T63">
        <v>100</v>
      </c>
      <c r="U63">
        <v>27</v>
      </c>
      <c r="V63">
        <f t="shared" si="13"/>
        <v>5</v>
      </c>
      <c r="W63">
        <f t="shared" si="14"/>
        <v>2700</v>
      </c>
      <c r="X63">
        <f t="shared" si="5"/>
        <v>2430</v>
      </c>
      <c r="Y63">
        <f t="shared" si="6"/>
        <v>2970.0000000000005</v>
      </c>
      <c r="Z63">
        <f t="shared" si="15"/>
        <v>0</v>
      </c>
      <c r="AA63" s="126">
        <f t="shared" si="7"/>
        <v>1.9997312320078948E-8</v>
      </c>
      <c r="AB63" s="126">
        <f t="shared" si="8"/>
        <v>2.7920265679925704E-8</v>
      </c>
      <c r="AC63" s="126" t="str">
        <f t="shared" si="9"/>
        <v>Vlow exceeds VIL spec</v>
      </c>
      <c r="AD63" s="126" t="str">
        <f t="shared" si="10"/>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0.99999893621113367</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0.99999893618655311</v>
      </c>
      <c r="K64">
        <v>10</v>
      </c>
      <c r="L64">
        <v>18</v>
      </c>
      <c r="M64">
        <f t="shared" si="11"/>
        <v>0</v>
      </c>
      <c r="N64">
        <f t="shared" si="0"/>
        <v>180</v>
      </c>
      <c r="O64">
        <f t="shared" si="1"/>
        <v>171</v>
      </c>
      <c r="P64">
        <f t="shared" si="2"/>
        <v>189</v>
      </c>
      <c r="Q64">
        <f t="shared" si="12"/>
        <v>0</v>
      </c>
      <c r="R64" s="126">
        <f t="shared" si="3"/>
        <v>1.9218483541358125E-8</v>
      </c>
      <c r="S64" s="126">
        <f t="shared" si="4"/>
        <v>3.1004202987350634E-8</v>
      </c>
      <c r="T64">
        <v>100</v>
      </c>
      <c r="U64">
        <v>33</v>
      </c>
      <c r="V64">
        <f t="shared" si="13"/>
        <v>5</v>
      </c>
      <c r="W64">
        <f t="shared" si="14"/>
        <v>3300</v>
      </c>
      <c r="X64">
        <f t="shared" si="5"/>
        <v>2970</v>
      </c>
      <c r="Y64">
        <f t="shared" si="6"/>
        <v>3630.0000000000005</v>
      </c>
      <c r="Z64">
        <f t="shared" si="15"/>
        <v>0</v>
      </c>
      <c r="AA64" s="126">
        <f t="shared" si="7"/>
        <v>2.2496976358664007E-8</v>
      </c>
      <c r="AB64" s="126">
        <f t="shared" si="8"/>
        <v>3.1004202987350634E-8</v>
      </c>
      <c r="AC64" s="126" t="str">
        <f t="shared" si="9"/>
        <v>Vlow exceeds VIL spec</v>
      </c>
      <c r="AD64" s="126" t="str">
        <f t="shared" si="10"/>
        <v>Vlow exceeds VIL spec</v>
      </c>
    </row>
    <row r="65" spans="1:31" x14ac:dyDescent="0.35">
      <c r="K65">
        <v>10</v>
      </c>
      <c r="L65">
        <v>20</v>
      </c>
      <c r="M65">
        <f t="shared" si="11"/>
        <v>0</v>
      </c>
      <c r="N65">
        <f t="shared" si="0"/>
        <v>200</v>
      </c>
      <c r="O65">
        <f t="shared" si="1"/>
        <v>190</v>
      </c>
      <c r="P65">
        <f t="shared" si="2"/>
        <v>210</v>
      </c>
      <c r="Q65">
        <f t="shared" si="12"/>
        <v>0</v>
      </c>
      <c r="R65" s="126">
        <f t="shared" si="3"/>
        <v>2.1353870600156614E-8</v>
      </c>
      <c r="S65" s="126">
        <f t="shared" si="4"/>
        <v>3.4088140294422305E-8</v>
      </c>
      <c r="T65">
        <v>100</v>
      </c>
      <c r="U65">
        <v>39</v>
      </c>
      <c r="V65">
        <f t="shared" si="13"/>
        <v>5</v>
      </c>
      <c r="W65">
        <f t="shared" si="14"/>
        <v>3900</v>
      </c>
      <c r="X65">
        <f t="shared" si="5"/>
        <v>3510</v>
      </c>
      <c r="Y65">
        <f t="shared" si="6"/>
        <v>4290</v>
      </c>
      <c r="Z65">
        <f t="shared" si="15"/>
        <v>0</v>
      </c>
      <c r="AA65" s="126">
        <f t="shared" si="7"/>
        <v>2.4996640396932444E-8</v>
      </c>
      <c r="AB65" s="126">
        <f t="shared" si="8"/>
        <v>3.4088140294422305E-8</v>
      </c>
      <c r="AC65" s="126" t="str">
        <f t="shared" si="9"/>
        <v>Vlow exceeds VIL spec</v>
      </c>
      <c r="AD65" s="126">
        <f t="shared" si="10"/>
        <v>5.4151332106312269E-8</v>
      </c>
    </row>
    <row r="66" spans="1:31" x14ac:dyDescent="0.35">
      <c r="I66" s="128"/>
      <c r="J66" s="128"/>
      <c r="K66">
        <v>10</v>
      </c>
      <c r="L66">
        <v>22</v>
      </c>
      <c r="M66">
        <f t="shared" si="11"/>
        <v>0</v>
      </c>
      <c r="N66">
        <f t="shared" si="0"/>
        <v>220</v>
      </c>
      <c r="O66">
        <f t="shared" si="1"/>
        <v>209</v>
      </c>
      <c r="P66">
        <f t="shared" si="2"/>
        <v>231</v>
      </c>
      <c r="Q66">
        <f t="shared" si="12"/>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2.3489257658684622E-8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3.7172077601140743E-8</v>
      </c>
      <c r="T66">
        <v>100</v>
      </c>
      <c r="U66">
        <v>47</v>
      </c>
      <c r="V66">
        <f t="shared" si="13"/>
        <v>5</v>
      </c>
      <c r="W66">
        <f t="shared" si="14"/>
        <v>4700</v>
      </c>
      <c r="X66">
        <f t="shared" si="5"/>
        <v>4230</v>
      </c>
      <c r="Y66">
        <f t="shared" si="6"/>
        <v>5170</v>
      </c>
      <c r="Z66">
        <f t="shared" si="15"/>
        <v>0</v>
      </c>
      <c r="AA66" s="126">
        <f t="shared" ref="AA66:AA97" si="18">_xlfn.LET(
_xlpm.PU,O66,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(LN(1-$T$3/_xlpm.VCC)-LN(1-_xlpm.Vspec_abs/_xlpm.VCC))*$K$19*_xlpm.Rbus
)</f>
        <v>2.7496304434884256E-8</v>
      </c>
      <c r="AB66" s="126">
        <f t="shared" ref="AB66:AB97" si="19">_xlfn.LET(
_xlpm.PU,P66,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(LN(1-$T$3/_xlpm.VCC)-LN(1-_xlpm.Vspec_abs/_xlpm.VCC))*$K$18*_xlpm.Rbus
)</f>
        <v>3.7172077601140743E-8</v>
      </c>
      <c r="AC66" s="126" t="str">
        <f t="shared" ref="AC66:AC97" si="20">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f t="shared" ref="AD66:AD97" si="21">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3.6527138653053572E-8</v>
      </c>
    </row>
    <row r="67" spans="1:31" x14ac:dyDescent="0.35">
      <c r="B67" s="171" t="s">
        <v>354</v>
      </c>
      <c r="C67" s="171"/>
      <c r="I67" s="128"/>
      <c r="K67">
        <v>10</v>
      </c>
      <c r="L67">
        <v>24</v>
      </c>
      <c r="M67">
        <f t="shared" si="11"/>
        <v>0</v>
      </c>
      <c r="N67">
        <f t="shared" si="0"/>
        <v>240</v>
      </c>
      <c r="O67">
        <f t="shared" si="1"/>
        <v>228</v>
      </c>
      <c r="P67">
        <f t="shared" si="2"/>
        <v>252</v>
      </c>
      <c r="Q67">
        <f t="shared" si="12"/>
        <v>0</v>
      </c>
      <c r="R67" s="126">
        <f t="shared" si="16"/>
        <v>2.5624644716942152E-8</v>
      </c>
      <c r="S67" s="126">
        <f t="shared" si="17"/>
        <v>4.0256014907505916E-8</v>
      </c>
      <c r="T67">
        <v>100</v>
      </c>
      <c r="U67">
        <v>56</v>
      </c>
      <c r="V67">
        <f t="shared" si="13"/>
        <v>5</v>
      </c>
      <c r="W67">
        <f t="shared" si="14"/>
        <v>5600</v>
      </c>
      <c r="X67">
        <f t="shared" si="5"/>
        <v>5040</v>
      </c>
      <c r="Y67">
        <f t="shared" si="6"/>
        <v>6160.0000000000009</v>
      </c>
      <c r="Z67">
        <f t="shared" si="15"/>
        <v>0</v>
      </c>
      <c r="AA67" s="126">
        <f t="shared" si="18"/>
        <v>2.9995968472519443E-8</v>
      </c>
      <c r="AB67" s="126">
        <f t="shared" si="19"/>
        <v>4.0256014907505916E-8</v>
      </c>
      <c r="AC67" s="126" t="str">
        <f t="shared" si="20"/>
        <v>Vlow exceeds VIL spec</v>
      </c>
      <c r="AD67" s="126">
        <f t="shared" si="21"/>
        <v>3.0943230362270223E-8</v>
      </c>
    </row>
    <row r="68" spans="1:31" ht="28.4" customHeight="1" x14ac:dyDescent="0.35">
      <c r="B68" s="32" t="s">
        <v>355</v>
      </c>
      <c r="C68" s="32" t="s">
        <v>356</v>
      </c>
      <c r="D68" s="32" t="s">
        <v>357</v>
      </c>
      <c r="E68" s="32" t="str">
        <f>IF(Summary!H37="absolute","find min R2, so that max (Vz) = " &amp; TRUNC(R3/J2,3),"find min R2, so that max (Vz) = " &amp; R3)</f>
        <v>find min R2, so that max (Vz) = 0.3</v>
      </c>
      <c r="F68" s="32" t="s">
        <v>358</v>
      </c>
      <c r="G68" s="32" t="s">
        <v>359</v>
      </c>
      <c r="H68" s="32" t="s">
        <v>360</v>
      </c>
      <c r="I68" s="49"/>
      <c r="J68" s="49"/>
      <c r="K68">
        <v>10</v>
      </c>
      <c r="L68">
        <v>27</v>
      </c>
      <c r="M68">
        <f t="shared" si="11"/>
        <v>0</v>
      </c>
      <c r="N68">
        <f t="shared" si="0"/>
        <v>270</v>
      </c>
      <c r="O68">
        <f t="shared" si="1"/>
        <v>256.5</v>
      </c>
      <c r="P68">
        <f t="shared" si="2"/>
        <v>283.5</v>
      </c>
      <c r="Q68">
        <f t="shared" si="12"/>
        <v>0</v>
      </c>
      <c r="R68" s="126">
        <f t="shared" si="16"/>
        <v>2.8827725303821282E-8</v>
      </c>
      <c r="S68" s="126">
        <f t="shared" si="17"/>
        <v>4.4881920866391328E-8</v>
      </c>
      <c r="T68">
        <v>100</v>
      </c>
      <c r="U68">
        <v>68</v>
      </c>
      <c r="V68">
        <f t="shared" si="13"/>
        <v>5</v>
      </c>
      <c r="W68">
        <f t="shared" si="14"/>
        <v>6800</v>
      </c>
      <c r="X68">
        <f t="shared" si="5"/>
        <v>6120</v>
      </c>
      <c r="Y68">
        <f t="shared" si="6"/>
        <v>7480.0000000000009</v>
      </c>
      <c r="Z68">
        <f t="shared" si="15"/>
        <v>0</v>
      </c>
      <c r="AA68" s="126">
        <f t="shared" si="18"/>
        <v>3.3745464528378548E-8</v>
      </c>
      <c r="AB68" s="126">
        <f t="shared" si="19"/>
        <v>4.4881920866391328E-8</v>
      </c>
      <c r="AC68" s="126" t="str">
        <f t="shared" si="20"/>
        <v>Vlow exceeds VIL spec</v>
      </c>
      <c r="AD68" s="126">
        <f t="shared" si="21"/>
        <v>2.6690316286708236E-8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11"/>
        <v>0</v>
      </c>
      <c r="N69">
        <f t="shared" si="0"/>
        <v>300</v>
      </c>
      <c r="O69">
        <f t="shared" si="1"/>
        <v>285</v>
      </c>
      <c r="P69">
        <f t="shared" si="2"/>
        <v>315</v>
      </c>
      <c r="Q69">
        <f t="shared" si="12"/>
        <v>0</v>
      </c>
      <c r="R69" s="126">
        <f t="shared" si="16"/>
        <v>3.2030805890091832E-8</v>
      </c>
      <c r="S69" s="126">
        <f t="shared" si="17"/>
        <v>4.9507826824481939E-8</v>
      </c>
      <c r="T69">
        <v>100</v>
      </c>
      <c r="U69">
        <v>82</v>
      </c>
      <c r="V69">
        <f t="shared" si="13"/>
        <v>5</v>
      </c>
      <c r="W69">
        <f t="shared" si="14"/>
        <v>8200</v>
      </c>
      <c r="X69">
        <f t="shared" si="5"/>
        <v>7380</v>
      </c>
      <c r="Y69">
        <f t="shared" si="6"/>
        <v>9020</v>
      </c>
      <c r="Z69">
        <f t="shared" si="15"/>
        <v>0</v>
      </c>
      <c r="AA69" s="126">
        <f t="shared" si="18"/>
        <v>3.7494960583525259E-8</v>
      </c>
      <c r="AB69" s="126">
        <f t="shared" si="19"/>
        <v>4.9507826824481939E-8</v>
      </c>
      <c r="AC69" s="126" t="str">
        <f t="shared" si="20"/>
        <v>Vlow exceeds VIL spec</v>
      </c>
      <c r="AD69" s="126">
        <f t="shared" si="21"/>
        <v>2.4265742757087072E-8</v>
      </c>
    </row>
    <row r="70" spans="1:31" x14ac:dyDescent="0.35">
      <c r="A70" t="s">
        <v>320</v>
      </c>
      <c r="B70" s="11">
        <f>F11*(1+H11)</f>
        <v>955.5</v>
      </c>
      <c r="C70" s="11">
        <f>F11*(1-H11)</f>
        <v>864.5</v>
      </c>
      <c r="D70" s="11">
        <f>F11*(1+H11)</f>
        <v>955.5</v>
      </c>
      <c r="E70" s="11"/>
      <c r="F70" s="11">
        <f>F11*(1-H11)</f>
        <v>864.5</v>
      </c>
      <c r="G70" s="11">
        <f>F11*(1-H11)</f>
        <v>864.5</v>
      </c>
      <c r="H70" s="11">
        <f>F11*(1+H11)</f>
        <v>955.5</v>
      </c>
      <c r="K70">
        <v>10</v>
      </c>
      <c r="L70">
        <v>33</v>
      </c>
      <c r="M70">
        <f t="shared" si="11"/>
        <v>0</v>
      </c>
      <c r="N70">
        <f t="shared" si="0"/>
        <v>330</v>
      </c>
      <c r="O70">
        <f t="shared" si="1"/>
        <v>313.5</v>
      </c>
      <c r="P70">
        <f t="shared" si="2"/>
        <v>346.5</v>
      </c>
      <c r="Q70">
        <f t="shared" si="12"/>
        <v>0</v>
      </c>
      <c r="R70" s="126">
        <f t="shared" si="16"/>
        <v>3.5233886475753796E-8</v>
      </c>
      <c r="S70" s="126">
        <f t="shared" si="17"/>
        <v>5.4133732781777735E-8</v>
      </c>
      <c r="T70">
        <v>1000</v>
      </c>
      <c r="U70">
        <v>10</v>
      </c>
      <c r="V70">
        <f t="shared" si="13"/>
        <v>5</v>
      </c>
      <c r="W70">
        <f t="shared" si="14"/>
        <v>10000</v>
      </c>
      <c r="X70">
        <f t="shared" si="5"/>
        <v>9000</v>
      </c>
      <c r="Y70">
        <f t="shared" si="6"/>
        <v>11000</v>
      </c>
      <c r="Z70">
        <f t="shared" si="15"/>
        <v>0</v>
      </c>
      <c r="AA70" s="126">
        <f t="shared" si="18"/>
        <v>4.1244456637959562E-8</v>
      </c>
      <c r="AB70" s="126">
        <f t="shared" si="19"/>
        <v>5.4133732781777735E-8</v>
      </c>
      <c r="AC70" s="126" t="str">
        <f t="shared" si="20"/>
        <v>Vlow exceeds VIL spec</v>
      </c>
      <c r="AD70" s="126">
        <f t="shared" si="21"/>
        <v>2.2671313065476638E-8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11"/>
        <v>0</v>
      </c>
      <c r="N71">
        <f t="shared" si="0"/>
        <v>360</v>
      </c>
      <c r="O71">
        <f t="shared" si="1"/>
        <v>342</v>
      </c>
      <c r="P71">
        <f t="shared" si="2"/>
        <v>378</v>
      </c>
      <c r="Q71">
        <f t="shared" si="12"/>
        <v>0</v>
      </c>
      <c r="R71" s="126">
        <f t="shared" si="16"/>
        <v>3.8436967060807173E-8</v>
      </c>
      <c r="S71" s="126">
        <f t="shared" si="17"/>
        <v>5.8759638738278703E-8</v>
      </c>
      <c r="T71">
        <v>1000</v>
      </c>
      <c r="U71">
        <v>12</v>
      </c>
      <c r="V71">
        <f t="shared" si="13"/>
        <v>5</v>
      </c>
      <c r="W71">
        <f t="shared" si="14"/>
        <v>12000</v>
      </c>
      <c r="X71">
        <f t="shared" si="5"/>
        <v>10800</v>
      </c>
      <c r="Y71">
        <f t="shared" si="6"/>
        <v>13200.000000000002</v>
      </c>
      <c r="Z71">
        <f t="shared" si="15"/>
        <v>0</v>
      </c>
      <c r="AA71" s="126">
        <f t="shared" si="18"/>
        <v>4.4993952691681457E-8</v>
      </c>
      <c r="AB71" s="126">
        <f t="shared" si="19"/>
        <v>5.8759638738278703E-8</v>
      </c>
      <c r="AC71" s="126" t="str">
        <f t="shared" si="20"/>
        <v>Vlow exceeds VIL spec</v>
      </c>
      <c r="AD71" s="126">
        <f t="shared" si="21"/>
        <v>2.1535684703096814E-8</v>
      </c>
    </row>
    <row r="72" spans="1:31" x14ac:dyDescent="0.35">
      <c r="A72" t="s">
        <v>324</v>
      </c>
      <c r="B72" s="1">
        <f>K21*MIN(K25,K24)</f>
        <v>0</v>
      </c>
      <c r="C72" s="1">
        <f>K21*MAX(K25,K24)</f>
        <v>22.122405384810769</v>
      </c>
      <c r="D72" s="1">
        <f>K21*MIN(K25,K24)</f>
        <v>0</v>
      </c>
      <c r="E72" s="1">
        <f>K21*MAX(K25,K24)</f>
        <v>22.122405384810769</v>
      </c>
      <c r="F72" s="125">
        <f>K21*MAX(K25,K24)</f>
        <v>22.122405384810769</v>
      </c>
      <c r="G72" s="125">
        <f>K22*MAX(K25,K24)</f>
        <v>16.31240538481077</v>
      </c>
      <c r="H72" s="1">
        <f>K22*MIN(K25,K24)</f>
        <v>0</v>
      </c>
      <c r="K72">
        <v>10</v>
      </c>
      <c r="L72">
        <v>39</v>
      </c>
      <c r="M72">
        <f t="shared" si="11"/>
        <v>0</v>
      </c>
      <c r="N72">
        <f t="shared" si="0"/>
        <v>390</v>
      </c>
      <c r="O72">
        <f t="shared" si="1"/>
        <v>370.5</v>
      </c>
      <c r="P72">
        <f t="shared" si="2"/>
        <v>409.5</v>
      </c>
      <c r="Q72">
        <f t="shared" si="12"/>
        <v>0</v>
      </c>
      <c r="R72" s="126">
        <f t="shared" si="16"/>
        <v>4.164004764525197E-8</v>
      </c>
      <c r="S72" s="126">
        <f t="shared" si="17"/>
        <v>6.338554469398485E-8</v>
      </c>
      <c r="T72">
        <v>1000</v>
      </c>
      <c r="U72">
        <v>15</v>
      </c>
      <c r="V72">
        <f t="shared" si="13"/>
        <v>5</v>
      </c>
      <c r="W72">
        <f t="shared" si="14"/>
        <v>15000</v>
      </c>
      <c r="X72">
        <f t="shared" si="5"/>
        <v>13500</v>
      </c>
      <c r="Y72">
        <f t="shared" si="6"/>
        <v>16500</v>
      </c>
      <c r="Z72">
        <f t="shared" si="15"/>
        <v>0</v>
      </c>
      <c r="AA72" s="126">
        <f t="shared" si="18"/>
        <v>4.8743448744690958E-8</v>
      </c>
      <c r="AB72" s="126">
        <f t="shared" si="19"/>
        <v>6.338554469398485E-8</v>
      </c>
      <c r="AC72" s="126" t="str">
        <f t="shared" si="20"/>
        <v>Vlow exceeds VIL spec</v>
      </c>
      <c r="AD72" s="126">
        <f t="shared" si="21"/>
        <v>2.0683455846165533E-8</v>
      </c>
    </row>
    <row r="73" spans="1:31" x14ac:dyDescent="0.35">
      <c r="A73" t="s">
        <v>327</v>
      </c>
      <c r="B73" s="1">
        <f>K21-B72</f>
        <v>22.122405384810769</v>
      </c>
      <c r="C73" s="1">
        <f>K21-C72</f>
        <v>0</v>
      </c>
      <c r="D73" s="1">
        <f>K21-D72</f>
        <v>22.122405384810769</v>
      </c>
      <c r="E73" s="1">
        <f>K21-E72</f>
        <v>0</v>
      </c>
      <c r="F73" s="1">
        <f>K21-F72</f>
        <v>0</v>
      </c>
      <c r="G73" s="1">
        <f>K22-G72</f>
        <v>0</v>
      </c>
      <c r="H73" s="1">
        <f>K22-H72</f>
        <v>16.31240538481077</v>
      </c>
      <c r="K73">
        <v>10</v>
      </c>
      <c r="L73">
        <v>43</v>
      </c>
      <c r="M73">
        <f t="shared" si="11"/>
        <v>1</v>
      </c>
      <c r="N73">
        <f t="shared" si="0"/>
        <v>430</v>
      </c>
      <c r="O73">
        <f t="shared" si="1"/>
        <v>408.5</v>
      </c>
      <c r="P73">
        <f t="shared" si="2"/>
        <v>451.5</v>
      </c>
      <c r="Q73">
        <f t="shared" si="12"/>
        <v>1</v>
      </c>
      <c r="R73" s="126">
        <f t="shared" si="16"/>
        <v>4.5910821756898344E-8</v>
      </c>
      <c r="S73" s="126">
        <f t="shared" si="17"/>
        <v>6.9553419300356691E-8</v>
      </c>
      <c r="T73">
        <v>1000</v>
      </c>
      <c r="U73">
        <v>18</v>
      </c>
      <c r="V73">
        <f t="shared" si="13"/>
        <v>5</v>
      </c>
      <c r="W73">
        <f t="shared" si="14"/>
        <v>18000</v>
      </c>
      <c r="X73">
        <f t="shared" si="5"/>
        <v>16200</v>
      </c>
      <c r="Y73">
        <f t="shared" si="6"/>
        <v>19800</v>
      </c>
      <c r="Z73">
        <f t="shared" si="15"/>
        <v>0</v>
      </c>
      <c r="AA73" s="126">
        <f t="shared" si="18"/>
        <v>5.3742776814262104E-8</v>
      </c>
      <c r="AB73" s="126">
        <f t="shared" si="19"/>
        <v>6.9553419300356691E-8</v>
      </c>
      <c r="AC73" s="126">
        <f t="shared" si="20"/>
        <v>8.4190148252708504E-8</v>
      </c>
      <c r="AD73" s="126">
        <f t="shared" si="21"/>
        <v>1.9829646563212839E-8</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11"/>
        <v>2</v>
      </c>
      <c r="N74">
        <f t="shared" si="0"/>
        <v>470</v>
      </c>
      <c r="O74">
        <f t="shared" si="1"/>
        <v>446.5</v>
      </c>
      <c r="P74">
        <f t="shared" si="2"/>
        <v>493.5</v>
      </c>
      <c r="Q74">
        <f t="shared" si="12"/>
        <v>1</v>
      </c>
      <c r="R74" s="126">
        <f t="shared" si="16"/>
        <v>5.0181595867462772E-8</v>
      </c>
      <c r="S74" s="126">
        <f t="shared" si="17"/>
        <v>7.5721293905315535E-8</v>
      </c>
      <c r="T74">
        <v>1000</v>
      </c>
      <c r="U74">
        <v>22</v>
      </c>
      <c r="V74">
        <f t="shared" si="13"/>
        <v>5</v>
      </c>
      <c r="W74">
        <f t="shared" si="14"/>
        <v>22000</v>
      </c>
      <c r="X74">
        <f t="shared" si="5"/>
        <v>19800</v>
      </c>
      <c r="Y74">
        <f t="shared" si="6"/>
        <v>24200.000000000004</v>
      </c>
      <c r="Z74">
        <f t="shared" si="15"/>
        <v>0</v>
      </c>
      <c r="AA74" s="126">
        <f t="shared" si="18"/>
        <v>5.8742104882566738E-8</v>
      </c>
      <c r="AB74" s="126">
        <f t="shared" si="19"/>
        <v>7.5721293905315535E-8</v>
      </c>
      <c r="AC74" s="126">
        <f t="shared" si="20"/>
        <v>6.7610720323399918E-8</v>
      </c>
      <c r="AD74" s="126">
        <f t="shared" si="21"/>
        <v>1.9187885425723761E-8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11"/>
        <v>3</v>
      </c>
      <c r="N75">
        <f t="shared" si="0"/>
        <v>510</v>
      </c>
      <c r="O75">
        <f t="shared" si="1"/>
        <v>484.5</v>
      </c>
      <c r="P75">
        <f t="shared" si="2"/>
        <v>535.5</v>
      </c>
      <c r="Q75">
        <f t="shared" si="12"/>
        <v>1</v>
      </c>
      <c r="R75" s="126">
        <f t="shared" si="16"/>
        <v>5.4452369976945294E-8</v>
      </c>
      <c r="S75" s="126">
        <f t="shared" si="17"/>
        <v>8.1889168508861356E-8</v>
      </c>
      <c r="T75">
        <v>1000</v>
      </c>
      <c r="U75">
        <v>27</v>
      </c>
      <c r="V75">
        <f t="shared" si="13"/>
        <v>5</v>
      </c>
      <c r="W75">
        <f t="shared" si="14"/>
        <v>27000</v>
      </c>
      <c r="X75">
        <f t="shared" si="5"/>
        <v>24300</v>
      </c>
      <c r="Y75">
        <f t="shared" si="6"/>
        <v>29700.000000000004</v>
      </c>
      <c r="Z75">
        <f t="shared" si="15"/>
        <v>0</v>
      </c>
      <c r="AA75" s="126">
        <f t="shared" si="18"/>
        <v>6.3741432949604899E-8</v>
      </c>
      <c r="AB75" s="126">
        <f t="shared" si="19"/>
        <v>8.1889168508861356E-8</v>
      </c>
      <c r="AC75" s="126">
        <f t="shared" si="20"/>
        <v>5.9554862378797278E-8</v>
      </c>
      <c r="AD75" s="126">
        <f t="shared" si="21"/>
        <v>1.8687868968531809E-8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11"/>
        <v>4</v>
      </c>
      <c r="N76">
        <f t="shared" si="0"/>
        <v>560</v>
      </c>
      <c r="O76">
        <f t="shared" si="1"/>
        <v>532</v>
      </c>
      <c r="P76">
        <f t="shared" si="2"/>
        <v>588</v>
      </c>
      <c r="Q76">
        <f t="shared" si="12"/>
        <v>1</v>
      </c>
      <c r="R76" s="126">
        <f t="shared" si="16"/>
        <v>5.9790837612276972E-8</v>
      </c>
      <c r="S76" s="126">
        <f t="shared" si="17"/>
        <v>8.9599011761306616E-8</v>
      </c>
      <c r="T76">
        <v>1000</v>
      </c>
      <c r="U76">
        <v>33</v>
      </c>
      <c r="V76">
        <f t="shared" si="13"/>
        <v>5</v>
      </c>
      <c r="W76">
        <f t="shared" si="14"/>
        <v>33000</v>
      </c>
      <c r="X76">
        <f t="shared" si="5"/>
        <v>29700</v>
      </c>
      <c r="Y76">
        <f t="shared" si="6"/>
        <v>36300</v>
      </c>
      <c r="Z76">
        <f t="shared" si="15"/>
        <v>0</v>
      </c>
      <c r="AA76" s="126">
        <f t="shared" si="18"/>
        <v>6.999059303162158E-8</v>
      </c>
      <c r="AB76" s="126">
        <f t="shared" si="19"/>
        <v>8.9599011761306616E-8</v>
      </c>
      <c r="AC76" s="126">
        <f t="shared" si="20"/>
        <v>5.3537913093956813E-8</v>
      </c>
      <c r="AD76" s="126">
        <f t="shared" si="21"/>
        <v>1.8199412315461452E-8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11"/>
        <v>5</v>
      </c>
      <c r="N77">
        <f t="shared" si="0"/>
        <v>620</v>
      </c>
      <c r="O77">
        <f t="shared" si="1"/>
        <v>589</v>
      </c>
      <c r="P77">
        <f t="shared" si="2"/>
        <v>651</v>
      </c>
      <c r="Q77">
        <f t="shared" si="12"/>
        <v>1</v>
      </c>
      <c r="R77" s="126">
        <f t="shared" si="16"/>
        <v>6.6196998772443504E-8</v>
      </c>
      <c r="S77" s="126">
        <f t="shared" si="17"/>
        <v>9.8850823661326581E-8</v>
      </c>
      <c r="T77">
        <v>1000</v>
      </c>
      <c r="U77">
        <v>39</v>
      </c>
      <c r="V77">
        <f t="shared" si="13"/>
        <v>5</v>
      </c>
      <c r="W77">
        <f t="shared" si="14"/>
        <v>39000</v>
      </c>
      <c r="X77">
        <f t="shared" si="5"/>
        <v>35100</v>
      </c>
      <c r="Y77">
        <f t="shared" si="6"/>
        <v>42900</v>
      </c>
      <c r="Z77">
        <f t="shared" si="15"/>
        <v>0</v>
      </c>
      <c r="AA77" s="126">
        <f t="shared" si="18"/>
        <v>7.7489585127429428E-8</v>
      </c>
      <c r="AB77" s="126">
        <f t="shared" si="19"/>
        <v>9.8850823661326581E-8</v>
      </c>
      <c r="AC77" s="126">
        <f t="shared" si="20"/>
        <v>4.8999168283289449E-8</v>
      </c>
      <c r="AD77" s="126">
        <f t="shared" si="21"/>
        <v>1.775007457304864E-8</v>
      </c>
    </row>
    <row r="78" spans="1:31" x14ac:dyDescent="0.35">
      <c r="A78" t="s">
        <v>344</v>
      </c>
      <c r="B78">
        <v>1</v>
      </c>
      <c r="C78">
        <v>1</v>
      </c>
      <c r="D78">
        <v>1</v>
      </c>
      <c r="E78">
        <v>1</v>
      </c>
      <c r="F78">
        <v>1</v>
      </c>
      <c r="G78">
        <v>1</v>
      </c>
      <c r="H78">
        <v>1</v>
      </c>
      <c r="K78">
        <v>10</v>
      </c>
      <c r="L78">
        <v>68</v>
      </c>
      <c r="M78">
        <f t="shared" si="11"/>
        <v>6</v>
      </c>
      <c r="N78">
        <f t="shared" si="0"/>
        <v>680</v>
      </c>
      <c r="O78">
        <f t="shared" si="1"/>
        <v>646</v>
      </c>
      <c r="P78">
        <f t="shared" si="2"/>
        <v>714</v>
      </c>
      <c r="Q78">
        <f t="shared" si="12"/>
        <v>1</v>
      </c>
      <c r="R78" s="126">
        <f t="shared" si="16"/>
        <v>7.2603159930175676E-8</v>
      </c>
      <c r="S78" s="126">
        <f t="shared" si="17"/>
        <v>1.081026355581673E-7</v>
      </c>
      <c r="T78">
        <v>1000</v>
      </c>
      <c r="U78">
        <v>47</v>
      </c>
      <c r="V78">
        <f t="shared" si="13"/>
        <v>5</v>
      </c>
      <c r="W78">
        <f t="shared" si="14"/>
        <v>47000</v>
      </c>
      <c r="X78">
        <f t="shared" si="5"/>
        <v>42300</v>
      </c>
      <c r="Y78">
        <f t="shared" si="6"/>
        <v>51700.000000000007</v>
      </c>
      <c r="Z78">
        <f t="shared" si="15"/>
        <v>0</v>
      </c>
      <c r="AA78" s="126">
        <f t="shared" si="18"/>
        <v>8.4988577220387671E-8</v>
      </c>
      <c r="AB78" s="126">
        <f t="shared" si="19"/>
        <v>1.081026355581673E-7</v>
      </c>
      <c r="AC78" s="126">
        <f t="shared" si="20"/>
        <v>4.5950807606016552E-8</v>
      </c>
      <c r="AD78" s="126">
        <f t="shared" si="21"/>
        <v>1.7402403653908517E-8</v>
      </c>
    </row>
    <row r="79" spans="1:31" x14ac:dyDescent="0.35">
      <c r="A79" t="s">
        <v>345</v>
      </c>
      <c r="B79">
        <v>1</v>
      </c>
      <c r="C79">
        <v>1</v>
      </c>
      <c r="D79">
        <v>1</v>
      </c>
      <c r="E79">
        <v>1</v>
      </c>
      <c r="F79">
        <v>1</v>
      </c>
      <c r="G79">
        <v>1</v>
      </c>
      <c r="H79">
        <v>1</v>
      </c>
      <c r="K79">
        <v>10</v>
      </c>
      <c r="L79">
        <v>75</v>
      </c>
      <c r="M79">
        <f t="shared" si="11"/>
        <v>7</v>
      </c>
      <c r="N79">
        <f t="shared" si="0"/>
        <v>750</v>
      </c>
      <c r="O79">
        <f t="shared" si="1"/>
        <v>712.5</v>
      </c>
      <c r="P79">
        <f t="shared" si="2"/>
        <v>787.5</v>
      </c>
      <c r="Q79">
        <f t="shared" si="12"/>
        <v>1</v>
      </c>
      <c r="R79" s="126">
        <f t="shared" si="16"/>
        <v>8.0077014611119853E-8</v>
      </c>
      <c r="S79" s="126">
        <f t="shared" si="17"/>
        <v>1.1889641610046324E-7</v>
      </c>
      <c r="T79">
        <v>1000</v>
      </c>
      <c r="U79">
        <v>56</v>
      </c>
      <c r="V79">
        <f t="shared" si="13"/>
        <v>5</v>
      </c>
      <c r="W79">
        <f t="shared" si="14"/>
        <v>56000</v>
      </c>
      <c r="X79">
        <f t="shared" si="5"/>
        <v>50400</v>
      </c>
      <c r="Y79">
        <f t="shared" si="6"/>
        <v>61600.000000000007</v>
      </c>
      <c r="Z79">
        <f t="shared" si="15"/>
        <v>0</v>
      </c>
      <c r="AA79" s="126">
        <f t="shared" si="18"/>
        <v>9.3737401325237371E-8</v>
      </c>
      <c r="AB79" s="126">
        <f t="shared" si="19"/>
        <v>1.1889641610046324E-7</v>
      </c>
      <c r="AC79" s="126">
        <f t="shared" si="20"/>
        <v>4.3441059470388253E-8</v>
      </c>
      <c r="AD79" s="126">
        <f t="shared" si="21"/>
        <v>1.7084785636074907E-8</v>
      </c>
      <c r="AE79" s="128"/>
    </row>
    <row r="80" spans="1:31" x14ac:dyDescent="0.35">
      <c r="A80" t="s">
        <v>346</v>
      </c>
      <c r="B80">
        <v>1</v>
      </c>
      <c r="C80">
        <v>1</v>
      </c>
      <c r="D80">
        <v>1</v>
      </c>
      <c r="E80">
        <v>1</v>
      </c>
      <c r="F80">
        <v>1</v>
      </c>
      <c r="G80">
        <v>1</v>
      </c>
      <c r="H80">
        <v>1</v>
      </c>
      <c r="K80">
        <v>10</v>
      </c>
      <c r="L80">
        <v>82</v>
      </c>
      <c r="M80">
        <f t="shared" si="11"/>
        <v>8</v>
      </c>
      <c r="N80">
        <f t="shared" si="0"/>
        <v>820</v>
      </c>
      <c r="O80">
        <f t="shared" si="1"/>
        <v>779</v>
      </c>
      <c r="P80">
        <f t="shared" si="2"/>
        <v>861</v>
      </c>
      <c r="Q80">
        <f t="shared" si="12"/>
        <v>1</v>
      </c>
      <c r="R80" s="126">
        <f t="shared" si="16"/>
        <v>8.7550869288750583E-8</v>
      </c>
      <c r="S80" s="126">
        <f t="shared" si="17"/>
        <v>1.2969019663843186E-7</v>
      </c>
      <c r="T80">
        <v>1000</v>
      </c>
      <c r="U80">
        <v>68</v>
      </c>
      <c r="V80">
        <f t="shared" si="13"/>
        <v>5</v>
      </c>
      <c r="W80">
        <f>U80*T80</f>
        <v>68000</v>
      </c>
      <c r="X80">
        <f t="shared" si="5"/>
        <v>61200</v>
      </c>
      <c r="Y80">
        <f t="shared" si="6"/>
        <v>74800</v>
      </c>
      <c r="Z80">
        <f t="shared" si="15"/>
        <v>0</v>
      </c>
      <c r="AA80" s="126">
        <f t="shared" si="18"/>
        <v>1.024862254262084E-7</v>
      </c>
      <c r="AB80" s="126">
        <f t="shared" si="19"/>
        <v>1.2969019663843186E-7</v>
      </c>
      <c r="AC80" s="126">
        <f t="shared" si="20"/>
        <v>4.1612915136414278E-8</v>
      </c>
      <c r="AD80" s="126">
        <f t="shared" si="21"/>
        <v>1.6833737052347949E-8</v>
      </c>
      <c r="AE80" s="128"/>
    </row>
    <row r="81" spans="1:31" x14ac:dyDescent="0.35">
      <c r="K81">
        <v>10</v>
      </c>
      <c r="L81">
        <v>91</v>
      </c>
      <c r="M81">
        <f t="shared" si="11"/>
        <v>9</v>
      </c>
      <c r="N81">
        <f t="shared" si="0"/>
        <v>910</v>
      </c>
      <c r="O81">
        <f t="shared" si="1"/>
        <v>864.5</v>
      </c>
      <c r="P81">
        <f t="shared" si="2"/>
        <v>955.5</v>
      </c>
      <c r="Q81">
        <f t="shared" si="12"/>
        <v>1</v>
      </c>
      <c r="R81" s="126">
        <f t="shared" si="16"/>
        <v>9.716011101226428E-8</v>
      </c>
      <c r="S81" s="126">
        <f t="shared" si="17"/>
        <v>1.4356791446660439E-7</v>
      </c>
      <c r="T81">
        <v>1000</v>
      </c>
      <c r="U81">
        <v>82</v>
      </c>
      <c r="V81">
        <f t="shared" si="13"/>
        <v>5</v>
      </c>
      <c r="W81">
        <f t="shared" ref="W81" si="22">U81*T81</f>
        <v>82000</v>
      </c>
      <c r="X81">
        <f t="shared" si="5"/>
        <v>73800</v>
      </c>
      <c r="Y81">
        <f t="shared" si="6"/>
        <v>90200.000000000015</v>
      </c>
      <c r="Z81">
        <f t="shared" si="15"/>
        <v>0</v>
      </c>
      <c r="AA81" s="126">
        <f t="shared" si="18"/>
        <v>1.1373471355032908E-7</v>
      </c>
      <c r="AB81" s="126">
        <f t="shared" si="19"/>
        <v>1.4356791446660439E-7</v>
      </c>
      <c r="AC81" s="126">
        <f t="shared" si="20"/>
        <v>3.9881313882558894E-8</v>
      </c>
      <c r="AD81" s="126">
        <f t="shared" si="21"/>
        <v>1.657922175198829E-8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0.99999893621113456</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0.12356387643391067</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7.2780198325575182E-2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0.84963265568815516</v>
      </c>
      <c r="F82" s="13"/>
      <c r="K82">
        <v>100</v>
      </c>
      <c r="L82">
        <v>10</v>
      </c>
      <c r="M82">
        <f>IF(AND(Q81=1,Q82=0),Q82+M81+1, Q82+M81)</f>
        <v>10</v>
      </c>
      <c r="N82">
        <f t="shared" si="0"/>
        <v>1000</v>
      </c>
      <c r="O82">
        <f t="shared" si="1"/>
        <v>950</v>
      </c>
      <c r="P82">
        <f t="shared" si="2"/>
        <v>1050</v>
      </c>
      <c r="Q82">
        <f t="shared" si="12"/>
        <v>1</v>
      </c>
      <c r="R82" s="126">
        <f t="shared" si="16"/>
        <v>1.0676935273030072E-7</v>
      </c>
      <c r="S82" s="126">
        <f t="shared" si="17"/>
        <v>1.5744563228762362E-7</v>
      </c>
      <c r="V82">
        <f t="shared" si="13"/>
        <v>5</v>
      </c>
      <c r="W82">
        <v>9999999</v>
      </c>
      <c r="AA82" s="126">
        <f t="shared" si="18"/>
        <v>1.2498320166803812E-7</v>
      </c>
      <c r="AB82" s="126">
        <f t="shared" si="19"/>
        <v>1.5744563228762362E-7</v>
      </c>
      <c r="AC82" s="126">
        <f t="shared" si="20"/>
        <v>3.8595936909729925E-8</v>
      </c>
      <c r="AD82" s="126">
        <f t="shared" si="21"/>
        <v>1.637891609430807E-8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0.99999893621113456</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0.14543211773796963</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7.2780198325575182E-2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3">IF(AND(Q82=1,Q83=0),Q83+M82+1, Q83+M82)</f>
        <v>11</v>
      </c>
      <c r="N83">
        <f t="shared" si="0"/>
        <v>1100</v>
      </c>
      <c r="O83">
        <f t="shared" si="1"/>
        <v>1045</v>
      </c>
      <c r="P83">
        <f t="shared" si="2"/>
        <v>1155</v>
      </c>
      <c r="Q83">
        <f t="shared" si="12"/>
        <v>0</v>
      </c>
      <c r="R83" s="126">
        <f t="shared" si="16"/>
        <v>1.1744628796613945E-7</v>
      </c>
      <c r="S83" s="126">
        <f t="shared" si="17"/>
        <v>1.7286531874703305E-7</v>
      </c>
      <c r="AA83" s="126">
        <f t="shared" si="18"/>
        <v>1.3748152179130609E-7</v>
      </c>
      <c r="AB83" s="126">
        <f t="shared" si="19"/>
        <v>1.7286531874703305E-7</v>
      </c>
      <c r="AC83" s="126">
        <f t="shared" si="20"/>
        <v>3.7507665805761482E-8</v>
      </c>
      <c r="AD83" s="126">
        <f t="shared" si="21"/>
        <v>1.6201170486295514E-8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0.999998936186554</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0.14543211773796963</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7.2780198342433794E-2</v>
      </c>
      <c r="E84" s="12">
        <f>IF(Summary!H37="absolute",(R3-N7)/(J2+J2*Summary!H17),R3-N7)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0.14543211784199375</v>
      </c>
      <c r="G84" s="12">
        <f t="shared" ref="G84" si="24"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0.14049577170070673</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7.2780198338006238E-2</v>
      </c>
      <c r="K84">
        <v>100</v>
      </c>
      <c r="L84">
        <v>12</v>
      </c>
      <c r="M84">
        <f t="shared" si="23"/>
        <v>11</v>
      </c>
      <c r="N84">
        <f t="shared" si="0"/>
        <v>1200</v>
      </c>
      <c r="O84">
        <f t="shared" si="1"/>
        <v>1140</v>
      </c>
      <c r="P84">
        <f t="shared" si="2"/>
        <v>1260</v>
      </c>
      <c r="Q84">
        <f t="shared" si="12"/>
        <v>0</v>
      </c>
      <c r="R84" s="126">
        <f t="shared" si="16"/>
        <v>1.2812322319521616E-7</v>
      </c>
      <c r="S84" s="126">
        <f t="shared" si="17"/>
        <v>1.8828500519761124E-7</v>
      </c>
      <c r="AA84" s="126">
        <f t="shared" si="18"/>
        <v>1.4997984190665851E-7</v>
      </c>
      <c r="AB84" s="126">
        <f t="shared" si="19"/>
        <v>1.8828500519761124E-7</v>
      </c>
      <c r="AC84" s="126">
        <f t="shared" si="20"/>
        <v>3.6661960238025617E-8</v>
      </c>
      <c r="AD84" s="126">
        <f t="shared" si="21"/>
        <v>1.6057538236195672E-8</v>
      </c>
      <c r="AE84" s="128"/>
    </row>
    <row r="85" spans="1:31" x14ac:dyDescent="0.35">
      <c r="E85" s="73"/>
      <c r="K85">
        <v>100</v>
      </c>
      <c r="L85">
        <v>13</v>
      </c>
      <c r="M85">
        <f t="shared" si="23"/>
        <v>11</v>
      </c>
      <c r="N85">
        <f t="shared" si="0"/>
        <v>1300</v>
      </c>
      <c r="O85">
        <f t="shared" si="1"/>
        <v>1235</v>
      </c>
      <c r="P85">
        <f t="shared" si="2"/>
        <v>1365</v>
      </c>
      <c r="Q85">
        <f t="shared" si="12"/>
        <v>0</v>
      </c>
      <c r="R85" s="126">
        <f t="shared" si="16"/>
        <v>1.388001584175308E-7</v>
      </c>
      <c r="S85" s="126">
        <f t="shared" si="17"/>
        <v>2.037046916393581E-7</v>
      </c>
      <c r="AA85" s="126">
        <f t="shared" si="18"/>
        <v>1.6247816201409533E-7</v>
      </c>
      <c r="AB85" s="126">
        <f t="shared" si="19"/>
        <v>2.037046916393581E-7</v>
      </c>
      <c r="AC85" s="126">
        <f t="shared" si="20"/>
        <v>3.5986105577203891E-8</v>
      </c>
      <c r="AD85" s="126">
        <f t="shared" si="21"/>
        <v>1.5939089352843644E-8</v>
      </c>
      <c r="AE85" s="128"/>
    </row>
    <row r="86" spans="1:31" x14ac:dyDescent="0.35">
      <c r="K86">
        <v>100</v>
      </c>
      <c r="L86">
        <v>15</v>
      </c>
      <c r="M86">
        <f t="shared" si="23"/>
        <v>11</v>
      </c>
      <c r="N86">
        <f t="shared" si="0"/>
        <v>1500</v>
      </c>
      <c r="O86">
        <f t="shared" si="1"/>
        <v>1425</v>
      </c>
      <c r="P86">
        <f t="shared" si="2"/>
        <v>1575</v>
      </c>
      <c r="Q86">
        <f t="shared" si="12"/>
        <v>0</v>
      </c>
      <c r="R86" s="126">
        <f t="shared" si="16"/>
        <v>1.601540288418739E-7</v>
      </c>
      <c r="S86" s="126">
        <f t="shared" si="17"/>
        <v>2.3454406449635806E-7</v>
      </c>
      <c r="AA86" s="126">
        <f t="shared" si="18"/>
        <v>1.8747480220522211E-7</v>
      </c>
      <c r="AB86" s="126">
        <f t="shared" si="19"/>
        <v>2.3454406449635806E-7</v>
      </c>
      <c r="AC86" s="126">
        <f t="shared" si="20"/>
        <v>3.4974138721038468E-8</v>
      </c>
      <c r="AD86" s="126">
        <f t="shared" si="21"/>
        <v>1.5755264092316343E-8</v>
      </c>
      <c r="AE86" s="128"/>
    </row>
    <row r="87" spans="1:31" x14ac:dyDescent="0.35">
      <c r="B87" s="171" t="s">
        <v>362</v>
      </c>
      <c r="C87" s="171"/>
      <c r="K87">
        <v>100</v>
      </c>
      <c r="L87">
        <v>16</v>
      </c>
      <c r="M87">
        <f t="shared" si="23"/>
        <v>11</v>
      </c>
      <c r="N87">
        <f t="shared" si="0"/>
        <v>1600</v>
      </c>
      <c r="O87">
        <f t="shared" si="1"/>
        <v>1520</v>
      </c>
      <c r="P87">
        <f t="shared" si="2"/>
        <v>1680</v>
      </c>
      <c r="Q87">
        <f t="shared" si="12"/>
        <v>0</v>
      </c>
      <c r="R87" s="126">
        <f t="shared" si="16"/>
        <v>1.7083096404390233E-7</v>
      </c>
      <c r="S87" s="126">
        <f t="shared" si="17"/>
        <v>2.4996375091161105E-7</v>
      </c>
      <c r="AA87" s="126">
        <f t="shared" si="18"/>
        <v>1.9997312228891207E-7</v>
      </c>
      <c r="AB87" s="126">
        <f t="shared" si="19"/>
        <v>2.4996375091161105E-7</v>
      </c>
      <c r="AC87" s="126">
        <f t="shared" si="20"/>
        <v>3.4585725268123519E-8</v>
      </c>
      <c r="AD87" s="126">
        <f t="shared" si="21"/>
        <v>1.5682531610549281E-8</v>
      </c>
      <c r="AE87" s="128"/>
    </row>
    <row r="88" spans="1:31" ht="29" x14ac:dyDescent="0.35">
      <c r="B88" t="s">
        <v>355</v>
      </c>
      <c r="C88" t="s">
        <v>363</v>
      </c>
      <c r="D88" t="s">
        <v>364</v>
      </c>
      <c r="E88" s="32" t="str">
        <f>IF(Summary!H37="absolute","find min R2, so that max (Vx) = " &amp; TRUNC(R2/J3,3),"find min R2, so that max (Vx) = " &amp; R2)</f>
        <v>find min R2, so that max (Vx) = 0.3</v>
      </c>
      <c r="F88" s="32" t="s">
        <v>365</v>
      </c>
      <c r="G88" s="32" t="s">
        <v>366</v>
      </c>
      <c r="H88" s="32" t="s">
        <v>367</v>
      </c>
      <c r="K88">
        <v>100</v>
      </c>
      <c r="L88">
        <v>18</v>
      </c>
      <c r="M88">
        <f t="shared" si="23"/>
        <v>11</v>
      </c>
      <c r="N88">
        <f t="shared" si="0"/>
        <v>1800</v>
      </c>
      <c r="O88">
        <f t="shared" si="1"/>
        <v>1710</v>
      </c>
      <c r="P88">
        <f t="shared" si="2"/>
        <v>1890</v>
      </c>
      <c r="Q88">
        <f t="shared" si="12"/>
        <v>0</v>
      </c>
      <c r="R88" s="126">
        <f t="shared" si="16"/>
        <v>1.9218483442767305E-7</v>
      </c>
      <c r="S88" s="126">
        <f t="shared" si="17"/>
        <v>2.8080312371562333E-7</v>
      </c>
      <c r="AA88" s="126">
        <f t="shared" si="18"/>
        <v>2.249697624325452E-7</v>
      </c>
      <c r="AB88" s="126">
        <f t="shared" si="19"/>
        <v>2.8080312371562333E-7</v>
      </c>
      <c r="AC88" s="126">
        <f t="shared" si="20"/>
        <v>3.3965520991020482E-8</v>
      </c>
      <c r="AD88" s="126">
        <f t="shared" si="21"/>
        <v>1.556374122951575E-8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3"/>
        <v>11</v>
      </c>
      <c r="N89">
        <f t="shared" si="0"/>
        <v>2000</v>
      </c>
      <c r="O89">
        <f t="shared" si="1"/>
        <v>1900</v>
      </c>
      <c r="P89">
        <f t="shared" si="2"/>
        <v>2100</v>
      </c>
      <c r="Q89">
        <f t="shared" si="12"/>
        <v>0</v>
      </c>
      <c r="R89" s="126">
        <f t="shared" si="16"/>
        <v>2.1353870478439558E-7</v>
      </c>
      <c r="S89" s="126">
        <f t="shared" si="17"/>
        <v>3.1164249648431063E-7</v>
      </c>
      <c r="AA89" s="126">
        <f t="shared" si="18"/>
        <v>2.4996640254451601E-7</v>
      </c>
      <c r="AB89" s="126">
        <f t="shared" si="19"/>
        <v>3.1164249648431063E-7</v>
      </c>
      <c r="AC89" s="126">
        <f t="shared" si="20"/>
        <v>3.3492541633142335E-8</v>
      </c>
      <c r="AD89" s="126">
        <f t="shared" si="21"/>
        <v>1.5470850211923698E-8</v>
      </c>
      <c r="AE89" s="128"/>
    </row>
    <row r="90" spans="1:31" x14ac:dyDescent="0.35">
      <c r="A90" t="s">
        <v>320</v>
      </c>
      <c r="B90" s="11">
        <f>F11*(1+H11)</f>
        <v>955.5</v>
      </c>
      <c r="C90" s="11">
        <f>F11*(1-H11)</f>
        <v>864.5</v>
      </c>
      <c r="D90" s="11">
        <f>F11*(1+H11)</f>
        <v>955.5</v>
      </c>
      <c r="E90" s="11"/>
      <c r="F90" s="11">
        <f>F11*(1-H11)</f>
        <v>864.5</v>
      </c>
      <c r="G90">
        <f>F11*(1-H11)</f>
        <v>864.5</v>
      </c>
      <c r="H90">
        <f>F11*(1+H11)</f>
        <v>955.5</v>
      </c>
      <c r="K90">
        <v>100</v>
      </c>
      <c r="L90">
        <v>22</v>
      </c>
      <c r="M90">
        <f t="shared" si="23"/>
        <v>11</v>
      </c>
      <c r="N90">
        <f t="shared" si="0"/>
        <v>2200</v>
      </c>
      <c r="O90">
        <f t="shared" si="1"/>
        <v>2090</v>
      </c>
      <c r="P90">
        <f t="shared" si="2"/>
        <v>2310</v>
      </c>
      <c r="Q90">
        <f t="shared" si="12"/>
        <v>0</v>
      </c>
      <c r="R90" s="126">
        <f t="shared" si="16"/>
        <v>2.3489257511406977E-7</v>
      </c>
      <c r="S90" s="126">
        <f t="shared" si="17"/>
        <v>3.4248186921767268E-7</v>
      </c>
      <c r="AA90" s="126">
        <f t="shared" si="18"/>
        <v>2.7496304262482427E-7</v>
      </c>
      <c r="AB90" s="126">
        <f t="shared" si="19"/>
        <v>3.4248186921767268E-7</v>
      </c>
      <c r="AC90" s="126">
        <f t="shared" si="20"/>
        <v>3.3120108223604472E-8</v>
      </c>
      <c r="AD90" s="126">
        <f t="shared" si="21"/>
        <v>1.5396234151890649E-8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3"/>
        <v>11</v>
      </c>
      <c r="N91">
        <f t="shared" si="0"/>
        <v>2400</v>
      </c>
      <c r="O91">
        <f t="shared" si="1"/>
        <v>2280</v>
      </c>
      <c r="P91">
        <f t="shared" si="2"/>
        <v>2520</v>
      </c>
      <c r="Q91">
        <f t="shared" si="12"/>
        <v>0</v>
      </c>
      <c r="R91" s="126">
        <f t="shared" si="16"/>
        <v>2.562464454166958E-7</v>
      </c>
      <c r="S91" s="126">
        <f t="shared" si="17"/>
        <v>3.733212419157097E-7</v>
      </c>
      <c r="AA91" s="126">
        <f t="shared" si="18"/>
        <v>2.9995968267347018E-7</v>
      </c>
      <c r="AB91" s="126">
        <f t="shared" si="19"/>
        <v>3.733212419157097E-7</v>
      </c>
      <c r="AC91" s="126">
        <f t="shared" si="20"/>
        <v>3.2819347708776847E-8</v>
      </c>
      <c r="AD91" s="126">
        <f t="shared" si="21"/>
        <v>1.5334990518060443E-8</v>
      </c>
      <c r="AE91" s="128"/>
    </row>
    <row r="92" spans="1:31" x14ac:dyDescent="0.35">
      <c r="A92" t="s">
        <v>324</v>
      </c>
      <c r="B92" s="1">
        <f>K21-B93</f>
        <v>22.122405384810769</v>
      </c>
      <c r="C92" s="1">
        <f>K21-C93</f>
        <v>0</v>
      </c>
      <c r="D92" s="1">
        <f>K21-D93</f>
        <v>22.122405384810769</v>
      </c>
      <c r="E92" s="1">
        <f>K21-E93</f>
        <v>0</v>
      </c>
      <c r="F92" s="1">
        <f>K21-F93</f>
        <v>0</v>
      </c>
      <c r="G92" s="1">
        <f>K22-G93</f>
        <v>0</v>
      </c>
      <c r="H92" s="1">
        <f>K22-H93</f>
        <v>16.31240538481077</v>
      </c>
      <c r="K92">
        <v>100</v>
      </c>
      <c r="L92">
        <v>27</v>
      </c>
      <c r="M92">
        <f t="shared" si="23"/>
        <v>11</v>
      </c>
      <c r="N92">
        <f t="shared" si="0"/>
        <v>2700</v>
      </c>
      <c r="O92">
        <f t="shared" si="1"/>
        <v>2565</v>
      </c>
      <c r="P92">
        <f t="shared" si="2"/>
        <v>2835</v>
      </c>
      <c r="Q92">
        <f t="shared" si="12"/>
        <v>0</v>
      </c>
      <c r="R92" s="126">
        <f t="shared" si="16"/>
        <v>2.8827725081991944E-7</v>
      </c>
      <c r="S92" s="126">
        <f t="shared" si="17"/>
        <v>4.1958030089653062E-7</v>
      </c>
      <c r="AA92" s="126">
        <f t="shared" si="18"/>
        <v>3.3745464268707215E-7</v>
      </c>
      <c r="AB92" s="126">
        <f t="shared" si="19"/>
        <v>4.1958030089653062E-7</v>
      </c>
      <c r="AC92" s="126">
        <f t="shared" si="20"/>
        <v>3.2463172093753682E-8</v>
      </c>
      <c r="AD92" s="126">
        <f t="shared" si="21"/>
        <v>1.5261275124321535E-8</v>
      </c>
      <c r="AE92" s="128"/>
    </row>
    <row r="93" spans="1:31" x14ac:dyDescent="0.35">
      <c r="A93" t="s">
        <v>327</v>
      </c>
      <c r="B93" s="1">
        <f>K21*(1-MAX(K25,K24))</f>
        <v>0</v>
      </c>
      <c r="C93" s="1">
        <f>K21*(1-MIN(K25,K24))</f>
        <v>22.122405384810769</v>
      </c>
      <c r="D93" s="1">
        <f>K21*(1-MAX(K25,K24))</f>
        <v>0</v>
      </c>
      <c r="E93" s="1">
        <f>K21*(1-MIN(K25,K24))</f>
        <v>22.122405384810769</v>
      </c>
      <c r="F93" s="125">
        <f>K21*(1-MIN(K25,K24))</f>
        <v>22.122405384810769</v>
      </c>
      <c r="G93" s="125">
        <f>K22*(1-MIN(K25,K24))</f>
        <v>16.31240538481077</v>
      </c>
      <c r="H93" s="1">
        <f>K22*(1-MAX(K25,K24))</f>
        <v>0</v>
      </c>
      <c r="K93">
        <v>100</v>
      </c>
      <c r="L93">
        <v>30</v>
      </c>
      <c r="M93">
        <f t="shared" si="23"/>
        <v>11</v>
      </c>
      <c r="N93">
        <f t="shared" si="0"/>
        <v>3000</v>
      </c>
      <c r="O93">
        <f t="shared" si="1"/>
        <v>2850</v>
      </c>
      <c r="P93">
        <f t="shared" si="2"/>
        <v>3150</v>
      </c>
      <c r="Q93">
        <f t="shared" si="12"/>
        <v>0</v>
      </c>
      <c r="R93" s="126">
        <f t="shared" si="16"/>
        <v>3.2030805616228445E-7</v>
      </c>
      <c r="S93" s="126">
        <f t="shared" si="17"/>
        <v>4.6583935979787004E-7</v>
      </c>
      <c r="AA93" s="126">
        <f t="shared" si="18"/>
        <v>3.7494960262943351E-7</v>
      </c>
      <c r="AB93" s="126">
        <f t="shared" si="19"/>
        <v>4.6583935979787004E-7</v>
      </c>
      <c r="AC93" s="126">
        <f t="shared" si="20"/>
        <v>3.2186975922973326E-8</v>
      </c>
      <c r="AD93" s="126">
        <f t="shared" si="21"/>
        <v>1.5203190998635637E-8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3"/>
        <v>11</v>
      </c>
      <c r="N94">
        <f t="shared" si="0"/>
        <v>3300</v>
      </c>
      <c r="O94">
        <f t="shared" si="1"/>
        <v>3135</v>
      </c>
      <c r="P94">
        <f t="shared" si="2"/>
        <v>3465</v>
      </c>
      <c r="Q94">
        <f t="shared" si="12"/>
        <v>0</v>
      </c>
      <c r="R94" s="126">
        <f t="shared" si="16"/>
        <v>3.5233886144379104E-7</v>
      </c>
      <c r="S94" s="126">
        <f t="shared" si="17"/>
        <v>5.1209841861972807E-7</v>
      </c>
      <c r="AA94" s="126">
        <f t="shared" si="18"/>
        <v>4.1244456250055458E-7</v>
      </c>
      <c r="AB94" s="126">
        <f t="shared" si="19"/>
        <v>5.1209841861972807E-7</v>
      </c>
      <c r="AC94" s="126">
        <f t="shared" si="20"/>
        <v>3.1966602243382036E-8</v>
      </c>
      <c r="AD94" s="126">
        <f t="shared" si="21"/>
        <v>1.515624696589075E-8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3"/>
        <v>11</v>
      </c>
      <c r="N95">
        <f t="shared" si="0"/>
        <v>3600</v>
      </c>
      <c r="O95">
        <f t="shared" si="1"/>
        <v>3420</v>
      </c>
      <c r="P95">
        <f t="shared" si="2"/>
        <v>3780</v>
      </c>
      <c r="Q95">
        <f t="shared" si="12"/>
        <v>0</v>
      </c>
      <c r="R95" s="126">
        <f t="shared" si="16"/>
        <v>3.8436966666443901E-7</v>
      </c>
      <c r="S95" s="126">
        <f t="shared" si="17"/>
        <v>5.5835747736210461E-7</v>
      </c>
      <c r="AA95" s="126">
        <f t="shared" si="18"/>
        <v>4.4993952230043515E-7</v>
      </c>
      <c r="AB95" s="126">
        <f t="shared" si="19"/>
        <v>5.5835747736210461E-7</v>
      </c>
      <c r="AC95" s="126">
        <f t="shared" si="20"/>
        <v>3.1786716997634453E-8</v>
      </c>
      <c r="AD95" s="126">
        <f t="shared" si="21"/>
        <v>1.511752091831426E-8</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3"/>
        <v>11</v>
      </c>
      <c r="N96">
        <f t="shared" si="0"/>
        <v>3900</v>
      </c>
      <c r="O96">
        <f t="shared" si="1"/>
        <v>3705</v>
      </c>
      <c r="P96">
        <f t="shared" si="2"/>
        <v>4095</v>
      </c>
      <c r="Q96">
        <f t="shared" si="12"/>
        <v>0</v>
      </c>
      <c r="R96" s="126">
        <f t="shared" si="16"/>
        <v>4.164004718242285E-7</v>
      </c>
      <c r="S96" s="126">
        <f t="shared" si="17"/>
        <v>6.0461653602499949E-7</v>
      </c>
      <c r="AA96" s="126">
        <f t="shared" si="18"/>
        <v>4.8743448202907528E-7</v>
      </c>
      <c r="AB96" s="126">
        <f t="shared" si="19"/>
        <v>6.0461653602499949E-7</v>
      </c>
      <c r="AC96" s="126">
        <f t="shared" si="20"/>
        <v>3.1637122651877972E-8</v>
      </c>
      <c r="AD96" s="126">
        <f t="shared" si="21"/>
        <v>1.5085029973415413E-8</v>
      </c>
      <c r="AE96" s="128"/>
    </row>
    <row r="97" spans="1:31" x14ac:dyDescent="0.35">
      <c r="K97">
        <v>100</v>
      </c>
      <c r="L97">
        <v>43</v>
      </c>
      <c r="M97">
        <f t="shared" si="23"/>
        <v>11</v>
      </c>
      <c r="N97">
        <f t="shared" si="0"/>
        <v>4300</v>
      </c>
      <c r="O97">
        <f t="shared" si="1"/>
        <v>4085</v>
      </c>
      <c r="P97">
        <f t="shared" si="2"/>
        <v>4515</v>
      </c>
      <c r="Q97">
        <f t="shared" si="12"/>
        <v>0</v>
      </c>
      <c r="R97" s="126">
        <f t="shared" si="16"/>
        <v>4.5910821194261226E-7</v>
      </c>
      <c r="S97" s="126">
        <f t="shared" si="17"/>
        <v>6.6629528078522168E-7</v>
      </c>
      <c r="AA97" s="126">
        <f t="shared" si="18"/>
        <v>5.3742776155644373E-7</v>
      </c>
      <c r="AB97" s="126">
        <f t="shared" si="19"/>
        <v>6.6629528078522168E-7</v>
      </c>
      <c r="AC97" s="126">
        <f t="shared" si="20"/>
        <v>3.1472915413094768E-8</v>
      </c>
      <c r="AD97" s="126">
        <f t="shared" si="21"/>
        <v>1.5049058763916241E-8</v>
      </c>
      <c r="AE97" s="128"/>
    </row>
    <row r="98" spans="1:31" x14ac:dyDescent="0.35">
      <c r="A98" t="s">
        <v>344</v>
      </c>
      <c r="B98">
        <v>1</v>
      </c>
      <c r="C98">
        <v>1</v>
      </c>
      <c r="D98">
        <v>1</v>
      </c>
      <c r="E98">
        <v>1</v>
      </c>
      <c r="F98">
        <v>1</v>
      </c>
      <c r="G98">
        <v>1</v>
      </c>
      <c r="H98">
        <v>1</v>
      </c>
      <c r="K98">
        <v>100</v>
      </c>
      <c r="L98">
        <v>47</v>
      </c>
      <c r="M98">
        <f t="shared" si="23"/>
        <v>11</v>
      </c>
      <c r="N98">
        <f t="shared" ref="N98:N129" si="25">L98*K98</f>
        <v>4700</v>
      </c>
      <c r="O98">
        <f t="shared" ref="O98:O129" si="26">N98*(1-$M$32)</f>
        <v>4465</v>
      </c>
      <c r="P98">
        <f t="shared" ref="P98:P129" si="27">N98*(1+$M$32)</f>
        <v>4935</v>
      </c>
      <c r="Q98">
        <f t="shared" si="12"/>
        <v>0</v>
      </c>
      <c r="R98" s="126">
        <f t="shared" ref="R98:R129" si="28">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5.0181595195280307E-7</v>
      </c>
      <c r="S98" s="126">
        <f t="shared" ref="S98:S129" si="29">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7.2797402540414363E-7</v>
      </c>
      <c r="AA98" s="126">
        <f t="shared" ref="AA98:AA129" si="30">_xlfn.LET(
_xlpm.PU,O98,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(LN(1-$T$3/_xlpm.VCC)-LN(1-_xlpm.Vspec_abs/_xlpm.VCC))*$K$19*_xlpm.Rbus
)</f>
        <v>5.8742104095716255E-7</v>
      </c>
      <c r="AB98" s="126">
        <f t="shared" ref="AB98:AB129" si="31">_xlfn.LET(
_xlpm.PU,P98,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(LN(1-$T$3/_xlpm.VCC)-LN(1-_xlpm.Vspec_abs/_xlpm.VCC))*$K$18*_xlpm.Rbus
)</f>
        <v>7.2797402540414363E-7</v>
      </c>
      <c r="AC98" s="126">
        <f t="shared" ref="AC98:AC129" si="32">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3.1338849766472949E-8</v>
      </c>
      <c r="AD98" s="126">
        <f t="shared" ref="AD98:AD129" si="33">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1.5019447002028022E-8</v>
      </c>
      <c r="AE98" s="128"/>
    </row>
    <row r="99" spans="1:31" x14ac:dyDescent="0.35">
      <c r="A99" t="s">
        <v>345</v>
      </c>
      <c r="B99">
        <v>1</v>
      </c>
      <c r="C99">
        <v>1</v>
      </c>
      <c r="D99">
        <v>1</v>
      </c>
      <c r="E99">
        <v>1</v>
      </c>
      <c r="F99">
        <v>1</v>
      </c>
      <c r="G99">
        <v>1</v>
      </c>
      <c r="H99">
        <v>1</v>
      </c>
      <c r="K99">
        <v>100</v>
      </c>
      <c r="L99">
        <v>51</v>
      </c>
      <c r="M99">
        <f t="shared" si="23"/>
        <v>11</v>
      </c>
      <c r="N99">
        <f t="shared" si="25"/>
        <v>5100</v>
      </c>
      <c r="O99">
        <f t="shared" si="26"/>
        <v>4845</v>
      </c>
      <c r="P99">
        <f t="shared" si="27"/>
        <v>5355</v>
      </c>
      <c r="Q99">
        <f t="shared" ref="Q99:Q129" si="34">IF($Q$2="N/A",IF(AND((O99&gt;=MAX($H$7:$I$7)),(P99&lt;=MIN($F$7:$G$7)),(P99&lt;=MIN($B$7:$C$7)),(O99&gt;=MAX($D$7:$E$7))),1,0),IF(AND((O99&gt;=MAX($I$7)),(P99&lt;=MIN($G$7)),(P99&lt;=MIN($C$7)),(O99&gt;=MAX($E$7))),1,0))</f>
        <v>0</v>
      </c>
      <c r="R99" s="126">
        <f t="shared" si="28"/>
        <v>5.445236918548012E-7</v>
      </c>
      <c r="S99" s="126">
        <f t="shared" si="29"/>
        <v>7.8965276988176502E-7</v>
      </c>
      <c r="AA99" s="126">
        <f t="shared" si="30"/>
        <v>6.3741432023123194E-7</v>
      </c>
      <c r="AB99" s="126">
        <f t="shared" si="31"/>
        <v>7.8965276988176502E-7</v>
      </c>
      <c r="AC99" s="126">
        <f t="shared" si="32"/>
        <v>3.1227335207466926E-8</v>
      </c>
      <c r="AD99" s="126">
        <f t="shared" si="33"/>
        <v>1.4994645878204169E-8</v>
      </c>
      <c r="AE99" s="128"/>
    </row>
    <row r="100" spans="1:31" x14ac:dyDescent="0.35">
      <c r="A100" t="s">
        <v>346</v>
      </c>
      <c r="B100">
        <v>1</v>
      </c>
      <c r="C100">
        <v>1</v>
      </c>
      <c r="D100">
        <v>1</v>
      </c>
      <c r="E100">
        <v>1</v>
      </c>
      <c r="F100">
        <v>1</v>
      </c>
      <c r="G100">
        <v>1</v>
      </c>
      <c r="H100">
        <v>1</v>
      </c>
      <c r="K100">
        <v>100</v>
      </c>
      <c r="L100">
        <v>56</v>
      </c>
      <c r="M100">
        <f t="shared" si="23"/>
        <v>11</v>
      </c>
      <c r="N100">
        <f t="shared" si="25"/>
        <v>5600</v>
      </c>
      <c r="O100">
        <f t="shared" si="26"/>
        <v>5320</v>
      </c>
      <c r="P100">
        <f t="shared" si="27"/>
        <v>5880</v>
      </c>
      <c r="Q100">
        <f t="shared" si="34"/>
        <v>0</v>
      </c>
      <c r="R100" s="126">
        <f t="shared" si="28"/>
        <v>5.9790836658015212E-7</v>
      </c>
      <c r="S100" s="126">
        <f t="shared" si="29"/>
        <v>8.6675120028008819E-7</v>
      </c>
      <c r="AA100" s="126">
        <f t="shared" si="30"/>
        <v>6.9990591914571713E-7</v>
      </c>
      <c r="AB100" s="126">
        <f t="shared" si="31"/>
        <v>8.6675120028008819E-7</v>
      </c>
      <c r="AC100" s="126">
        <f t="shared" si="32"/>
        <v>3.1111820546087498E-8</v>
      </c>
      <c r="AD100" s="126">
        <f t="shared" si="33"/>
        <v>1.4968788750856179E-8</v>
      </c>
      <c r="AE100" s="128"/>
    </row>
    <row r="101" spans="1:31" x14ac:dyDescent="0.35">
      <c r="K101">
        <v>100</v>
      </c>
      <c r="L101">
        <v>62</v>
      </c>
      <c r="M101">
        <f t="shared" si="23"/>
        <v>11</v>
      </c>
      <c r="N101">
        <f t="shared" si="25"/>
        <v>6200</v>
      </c>
      <c r="O101">
        <f t="shared" si="26"/>
        <v>5890</v>
      </c>
      <c r="P101">
        <f t="shared" si="27"/>
        <v>6510</v>
      </c>
      <c r="Q101">
        <f t="shared" si="34"/>
        <v>0</v>
      </c>
      <c r="R101" s="126">
        <f t="shared" si="28"/>
        <v>6.6196997602742545E-7</v>
      </c>
      <c r="S101" s="126">
        <f t="shared" si="29"/>
        <v>9.5926931646664373E-7</v>
      </c>
      <c r="AA101" s="126">
        <f t="shared" si="30"/>
        <v>7.7489583758188487E-7</v>
      </c>
      <c r="AB101" s="126">
        <f t="shared" si="31"/>
        <v>9.5926931646664373E-7</v>
      </c>
      <c r="AC101" s="126">
        <f t="shared" si="32"/>
        <v>3.0999260150449286E-8</v>
      </c>
      <c r="AD101" s="126">
        <f t="shared" si="33"/>
        <v>1.4943426915909005E-8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0.999998936186554</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7.7002643443583499E-2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2.5497194700659802E-2</v>
      </c>
      <c r="E102" s="12">
        <f>IF(Summary!H50="absolute",(R2-N7)/(J3+J3*Summary!H18),R2-N7)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7.7002643492123768E-2</v>
      </c>
      <c r="G102" s="12">
        <f t="shared" ref="G102:H102" si="35"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7.124142462287375E-2</v>
      </c>
      <c r="H102" s="12">
        <f t="shared" si="35"/>
        <v>2.5497194695677253E-2</v>
      </c>
      <c r="K102">
        <v>100</v>
      </c>
      <c r="L102">
        <v>68</v>
      </c>
      <c r="M102">
        <f t="shared" si="23"/>
        <v>11</v>
      </c>
      <c r="N102">
        <f t="shared" si="25"/>
        <v>6800</v>
      </c>
      <c r="O102">
        <f t="shared" si="26"/>
        <v>6460</v>
      </c>
      <c r="P102">
        <f t="shared" si="27"/>
        <v>7140</v>
      </c>
      <c r="Q102">
        <f t="shared" si="34"/>
        <v>0</v>
      </c>
      <c r="R102" s="126">
        <f t="shared" si="28"/>
        <v>7.2603158523126469E-7</v>
      </c>
      <c r="S102" s="126">
        <f t="shared" si="29"/>
        <v>1.0517874323352736E-6</v>
      </c>
      <c r="AA102" s="126">
        <f t="shared" si="30"/>
        <v>8.4988575573309071E-7</v>
      </c>
      <c r="AB102" s="126">
        <f t="shared" si="31"/>
        <v>1.0517874323352736E-6</v>
      </c>
      <c r="AC102" s="126">
        <f t="shared" si="32"/>
        <v>3.0907642412472004E-8</v>
      </c>
      <c r="AD102" s="126">
        <f t="shared" si="33"/>
        <v>1.492266062758627E-8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0.99999893621113456</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7.7002643443583499E-2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2.5497194681688037E-2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7.7002643492123768E-2</v>
      </c>
      <c r="K103">
        <v>100</v>
      </c>
      <c r="L103">
        <v>75</v>
      </c>
      <c r="M103">
        <f t="shared" si="23"/>
        <v>11</v>
      </c>
      <c r="N103">
        <f t="shared" si="25"/>
        <v>7500</v>
      </c>
      <c r="O103">
        <f t="shared" si="26"/>
        <v>7125</v>
      </c>
      <c r="P103">
        <f t="shared" si="27"/>
        <v>7875</v>
      </c>
      <c r="Q103">
        <f t="shared" si="34"/>
        <v>0</v>
      </c>
      <c r="R103" s="126">
        <f t="shared" si="28"/>
        <v>8.0077012899473694E-7</v>
      </c>
      <c r="S103" s="126">
        <f t="shared" si="29"/>
        <v>1.1597252337801854E-6</v>
      </c>
      <c r="AA103" s="126">
        <f t="shared" si="30"/>
        <v>9.3737399321600453E-7</v>
      </c>
      <c r="AB103" s="126">
        <f t="shared" si="31"/>
        <v>1.1597252337801854E-6</v>
      </c>
      <c r="AC103" s="126">
        <f t="shared" si="32"/>
        <v>3.0820195502428545E-8</v>
      </c>
      <c r="AD103" s="126">
        <f t="shared" si="33"/>
        <v>1.4902734792702794E-8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0.99999893621113456</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5.3383302355855138E-2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2.5497194681688037E-2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0.69326584066218677</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5.3383302405637545E-2</v>
      </c>
      <c r="K104">
        <v>100</v>
      </c>
      <c r="L104">
        <v>82</v>
      </c>
      <c r="M104">
        <f t="shared" si="23"/>
        <v>11</v>
      </c>
      <c r="N104">
        <f t="shared" si="25"/>
        <v>8200</v>
      </c>
      <c r="O104">
        <f t="shared" si="26"/>
        <v>7790</v>
      </c>
      <c r="P104">
        <f t="shared" si="27"/>
        <v>8610</v>
      </c>
      <c r="Q104">
        <f t="shared" si="34"/>
        <v>0</v>
      </c>
      <c r="R104" s="126">
        <f t="shared" si="28"/>
        <v>8.7550867242686811E-7</v>
      </c>
      <c r="S104" s="126">
        <f t="shared" si="29"/>
        <v>1.2676630347923645E-6</v>
      </c>
      <c r="AA104" s="126">
        <f t="shared" si="30"/>
        <v>1.0248622303110535E-6</v>
      </c>
      <c r="AB104" s="126">
        <f t="shared" si="31"/>
        <v>1.2676630347923645E-6</v>
      </c>
      <c r="AC104" s="126">
        <f t="shared" si="32"/>
        <v>3.0748352409646711E-8</v>
      </c>
      <c r="AD104" s="126">
        <f t="shared" si="33"/>
        <v>1.4886286633869506E-8</v>
      </c>
      <c r="AE104" s="128"/>
    </row>
    <row r="105" spans="1:31" x14ac:dyDescent="0.35">
      <c r="K105">
        <v>100</v>
      </c>
      <c r="L105">
        <v>91</v>
      </c>
      <c r="M105">
        <f t="shared" si="23"/>
        <v>11</v>
      </c>
      <c r="N105">
        <f t="shared" si="25"/>
        <v>9100</v>
      </c>
      <c r="O105">
        <f t="shared" si="26"/>
        <v>8645</v>
      </c>
      <c r="P105">
        <f t="shared" si="27"/>
        <v>9555</v>
      </c>
      <c r="Q105">
        <f t="shared" si="34"/>
        <v>0</v>
      </c>
      <c r="R105" s="126">
        <f t="shared" si="28"/>
        <v>9.7160108492416891E-7</v>
      </c>
      <c r="S105" s="126">
        <f t="shared" si="29"/>
        <v>1.4064402068864574E-6</v>
      </c>
      <c r="AA105" s="126">
        <f t="shared" si="30"/>
        <v>1.1373471060061936E-6</v>
      </c>
      <c r="AB105" s="126">
        <f t="shared" si="31"/>
        <v>1.4064402068864574E-6</v>
      </c>
      <c r="AC105" s="126">
        <f t="shared" si="32"/>
        <v>3.0672884450215967E-8</v>
      </c>
      <c r="AD105" s="126">
        <f t="shared" si="33"/>
        <v>1.4868931860911255E-8</v>
      </c>
      <c r="AE105" s="128"/>
    </row>
    <row r="106" spans="1:31" x14ac:dyDescent="0.35">
      <c r="K106">
        <v>1000</v>
      </c>
      <c r="L106">
        <v>10</v>
      </c>
      <c r="M106">
        <f t="shared" si="23"/>
        <v>11</v>
      </c>
      <c r="N106">
        <f t="shared" si="25"/>
        <v>10000</v>
      </c>
      <c r="O106">
        <f t="shared" si="26"/>
        <v>9500</v>
      </c>
      <c r="P106">
        <f t="shared" si="27"/>
        <v>10500</v>
      </c>
      <c r="Q106">
        <f t="shared" si="34"/>
        <v>0</v>
      </c>
      <c r="R106" s="126">
        <f t="shared" si="28"/>
        <v>1.0676934968737427E-6</v>
      </c>
      <c r="S106" s="126">
        <f t="shared" si="29"/>
        <v>1.5452173782652172E-6</v>
      </c>
      <c r="AA106" s="126">
        <f t="shared" si="30"/>
        <v>1.24983198106017E-6</v>
      </c>
      <c r="AB106" s="126">
        <f t="shared" si="31"/>
        <v>1.5452173782652172E-6</v>
      </c>
      <c r="AC106" s="126">
        <f t="shared" si="32"/>
        <v>3.0611504234779696E-8</v>
      </c>
      <c r="AD106" s="126">
        <f t="shared" si="33"/>
        <v>1.4854758011486457E-8</v>
      </c>
      <c r="AE106" s="128"/>
    </row>
    <row r="107" spans="1:31" x14ac:dyDescent="0.35">
      <c r="K107">
        <v>1000</v>
      </c>
      <c r="L107">
        <v>11</v>
      </c>
      <c r="M107">
        <f t="shared" si="23"/>
        <v>11</v>
      </c>
      <c r="N107">
        <f t="shared" si="25"/>
        <v>11000</v>
      </c>
      <c r="O107">
        <f t="shared" si="26"/>
        <v>10450</v>
      </c>
      <c r="P107">
        <f t="shared" si="27"/>
        <v>11550</v>
      </c>
      <c r="Q107">
        <f t="shared" si="34"/>
        <v>0</v>
      </c>
      <c r="R107" s="126">
        <f t="shared" si="28"/>
        <v>1.1744628428419847E-6</v>
      </c>
      <c r="S107" s="126">
        <f t="shared" si="29"/>
        <v>1.6994142345137572E-6</v>
      </c>
      <c r="AA107" s="126">
        <f t="shared" si="30"/>
        <v>1.3748151748126057E-6</v>
      </c>
      <c r="AB107" s="126">
        <f t="shared" si="31"/>
        <v>1.6994142345137572E-6</v>
      </c>
      <c r="AC107" s="126">
        <f t="shared" si="32"/>
        <v>3.0555481360047285E-8</v>
      </c>
      <c r="AD107" s="126">
        <f t="shared" si="33"/>
        <v>1.4841774724736908E-8</v>
      </c>
      <c r="AE107" s="128"/>
    </row>
    <row r="108" spans="1:31" x14ac:dyDescent="0.35">
      <c r="K108">
        <v>1000</v>
      </c>
      <c r="L108">
        <v>12</v>
      </c>
      <c r="M108">
        <f t="shared" si="23"/>
        <v>11</v>
      </c>
      <c r="N108">
        <f t="shared" si="25"/>
        <v>12000</v>
      </c>
      <c r="O108">
        <f t="shared" si="26"/>
        <v>11400</v>
      </c>
      <c r="P108">
        <f t="shared" si="27"/>
        <v>12600</v>
      </c>
      <c r="Q108">
        <f t="shared" si="34"/>
        <v>0</v>
      </c>
      <c r="R108" s="126">
        <f t="shared" si="28"/>
        <v>1.2812321881340211E-6</v>
      </c>
      <c r="S108" s="126">
        <f t="shared" si="29"/>
        <v>1.8536110898791696E-6</v>
      </c>
      <c r="AA108" s="126">
        <f t="shared" si="30"/>
        <v>1.4997983677734814E-6</v>
      </c>
      <c r="AB108" s="126">
        <f t="shared" si="31"/>
        <v>1.8536110898791696E-6</v>
      </c>
      <c r="AC108" s="126">
        <f t="shared" si="32"/>
        <v>3.0509084585246806E-8</v>
      </c>
      <c r="AD108" s="126">
        <f t="shared" si="33"/>
        <v>1.4830988297693147E-8</v>
      </c>
      <c r="AE108" s="128"/>
    </row>
    <row r="109" spans="1:31" x14ac:dyDescent="0.35">
      <c r="K109">
        <v>1000</v>
      </c>
      <c r="L109">
        <v>13</v>
      </c>
      <c r="M109">
        <f t="shared" si="23"/>
        <v>11</v>
      </c>
      <c r="N109">
        <f t="shared" si="25"/>
        <v>13000</v>
      </c>
      <c r="O109">
        <f t="shared" si="26"/>
        <v>12350</v>
      </c>
      <c r="P109">
        <f t="shared" si="27"/>
        <v>13650</v>
      </c>
      <c r="Q109">
        <f t="shared" si="34"/>
        <v>0</v>
      </c>
      <c r="R109" s="126">
        <f t="shared" si="28"/>
        <v>1.3880015327498513E-6</v>
      </c>
      <c r="S109" s="126">
        <f t="shared" si="29"/>
        <v>2.0078079443614545E-6</v>
      </c>
      <c r="AA109" s="126">
        <f t="shared" si="30"/>
        <v>1.6247815599427966E-6</v>
      </c>
      <c r="AB109" s="126">
        <f t="shared" si="31"/>
        <v>2.0078079443614545E-6</v>
      </c>
      <c r="AC109" s="126">
        <f t="shared" si="32"/>
        <v>3.0470029865676632E-8</v>
      </c>
      <c r="AD109" s="126">
        <f t="shared" si="33"/>
        <v>1.4821884678661887E-8</v>
      </c>
      <c r="AE109" s="128"/>
    </row>
    <row r="110" spans="1:31" x14ac:dyDescent="0.35">
      <c r="K110">
        <v>1000</v>
      </c>
      <c r="L110">
        <v>15</v>
      </c>
      <c r="M110">
        <f t="shared" si="23"/>
        <v>11</v>
      </c>
      <c r="N110">
        <f t="shared" si="25"/>
        <v>15000</v>
      </c>
      <c r="O110">
        <f t="shared" si="26"/>
        <v>14250</v>
      </c>
      <c r="P110">
        <f t="shared" si="27"/>
        <v>15750</v>
      </c>
      <c r="Q110">
        <f t="shared" si="34"/>
        <v>0</v>
      </c>
      <c r="R110" s="126">
        <f t="shared" si="28"/>
        <v>1.6015402199528948E-6</v>
      </c>
      <c r="S110" s="126">
        <f t="shared" si="29"/>
        <v>2.3162016506766423E-6</v>
      </c>
      <c r="AA110" s="126">
        <f t="shared" si="30"/>
        <v>1.874747941906747E-6</v>
      </c>
      <c r="AB110" s="126">
        <f t="shared" si="31"/>
        <v>2.3162016506766423E-6</v>
      </c>
      <c r="AC110" s="126">
        <f t="shared" si="32"/>
        <v>3.0407929297081021E-8</v>
      </c>
      <c r="AD110" s="126">
        <f t="shared" si="33"/>
        <v>1.48073633059219E-8</v>
      </c>
      <c r="AE110" s="128"/>
    </row>
    <row r="111" spans="1:31" x14ac:dyDescent="0.35">
      <c r="K111">
        <v>1000</v>
      </c>
      <c r="L111">
        <v>16</v>
      </c>
      <c r="M111">
        <f t="shared" si="23"/>
        <v>11</v>
      </c>
      <c r="N111">
        <f t="shared" si="25"/>
        <v>16000</v>
      </c>
      <c r="O111">
        <f t="shared" si="26"/>
        <v>15200</v>
      </c>
      <c r="P111">
        <f t="shared" si="27"/>
        <v>16800</v>
      </c>
      <c r="Q111">
        <f t="shared" si="34"/>
        <v>0</v>
      </c>
      <c r="R111" s="126">
        <f t="shared" si="28"/>
        <v>1.7083095625401078E-6</v>
      </c>
      <c r="S111" s="126">
        <f t="shared" si="29"/>
        <v>2.4703985025095445E-6</v>
      </c>
      <c r="AA111" s="126">
        <f t="shared" si="30"/>
        <v>1.9997311317013815E-6</v>
      </c>
      <c r="AB111" s="126">
        <f t="shared" si="31"/>
        <v>2.4703985025095445E-6</v>
      </c>
      <c r="AC111" s="126">
        <f t="shared" si="32"/>
        <v>3.0382836346620919E-8</v>
      </c>
      <c r="AD111" s="126">
        <f t="shared" si="33"/>
        <v>1.4801479578469142E-8</v>
      </c>
      <c r="AE111" s="128"/>
    </row>
    <row r="112" spans="1:31" x14ac:dyDescent="0.35">
      <c r="K112">
        <v>1000</v>
      </c>
      <c r="L112">
        <v>18</v>
      </c>
      <c r="M112">
        <f t="shared" si="23"/>
        <v>11</v>
      </c>
      <c r="N112">
        <f t="shared" si="25"/>
        <v>18000</v>
      </c>
      <c r="O112">
        <f t="shared" si="26"/>
        <v>17100</v>
      </c>
      <c r="P112">
        <f t="shared" si="27"/>
        <v>18900</v>
      </c>
      <c r="Q112">
        <f t="shared" si="34"/>
        <v>0</v>
      </c>
      <c r="R112" s="126">
        <f t="shared" si="28"/>
        <v>1.9218482456859162E-6</v>
      </c>
      <c r="S112" s="126">
        <f t="shared" si="29"/>
        <v>2.7787922035259678E-6</v>
      </c>
      <c r="AA112" s="126">
        <f t="shared" si="30"/>
        <v>2.2496975089159709E-6</v>
      </c>
      <c r="AB112" s="126">
        <f t="shared" si="31"/>
        <v>2.7787922035259678E-6</v>
      </c>
      <c r="AC112" s="126">
        <f t="shared" si="32"/>
        <v>3.0341187777422274E-8</v>
      </c>
      <c r="AD112" s="126">
        <f t="shared" si="33"/>
        <v>1.4791693323903155E-8</v>
      </c>
      <c r="AE112" s="128"/>
    </row>
    <row r="113" spans="11:31" x14ac:dyDescent="0.35">
      <c r="K113">
        <v>1000</v>
      </c>
      <c r="L113">
        <v>20</v>
      </c>
      <c r="M113">
        <f t="shared" si="23"/>
        <v>11</v>
      </c>
      <c r="N113">
        <f t="shared" si="25"/>
        <v>20000</v>
      </c>
      <c r="O113">
        <f t="shared" si="26"/>
        <v>19000</v>
      </c>
      <c r="P113">
        <f t="shared" si="27"/>
        <v>21000</v>
      </c>
      <c r="Q113">
        <f t="shared" si="34"/>
        <v>0</v>
      </c>
      <c r="R113" s="126">
        <f t="shared" si="28"/>
        <v>2.1353869261269018E-6</v>
      </c>
      <c r="S113" s="126">
        <f t="shared" si="29"/>
        <v>3.0871859010098822E-6</v>
      </c>
      <c r="AA113" s="126">
        <f t="shared" si="30"/>
        <v>2.4996638829643195E-6</v>
      </c>
      <c r="AB113" s="126">
        <f t="shared" si="31"/>
        <v>3.0871859010098822E-6</v>
      </c>
      <c r="AC113" s="126">
        <f t="shared" si="32"/>
        <v>3.0308024051626165E-8</v>
      </c>
      <c r="AD113" s="126">
        <f t="shared" si="33"/>
        <v>1.4783882249900581E-8</v>
      </c>
      <c r="AE113" s="128"/>
    </row>
    <row r="114" spans="11:31" x14ac:dyDescent="0.35">
      <c r="K114">
        <v>1000</v>
      </c>
      <c r="L114">
        <v>22</v>
      </c>
      <c r="M114">
        <f t="shared" si="23"/>
        <v>11</v>
      </c>
      <c r="N114">
        <f t="shared" si="25"/>
        <v>22000</v>
      </c>
      <c r="O114">
        <f t="shared" si="26"/>
        <v>20900</v>
      </c>
      <c r="P114">
        <f t="shared" si="27"/>
        <v>23100</v>
      </c>
      <c r="Q114">
        <f t="shared" si="34"/>
        <v>0</v>
      </c>
      <c r="R114" s="126">
        <f t="shared" si="28"/>
        <v>2.3489256038630638E-6</v>
      </c>
      <c r="S114" s="126">
        <f t="shared" si="29"/>
        <v>3.3955795949612871E-6</v>
      </c>
      <c r="AA114" s="126">
        <f t="shared" si="30"/>
        <v>2.7496302538464272E-6</v>
      </c>
      <c r="AB114" s="126">
        <f t="shared" si="31"/>
        <v>3.3955795949612871E-6</v>
      </c>
      <c r="AC114" s="126">
        <f t="shared" si="32"/>
        <v>3.028099226711615E-8</v>
      </c>
      <c r="AD114" s="126">
        <f t="shared" si="33"/>
        <v>1.477750320363823E-8</v>
      </c>
      <c r="AE114" s="128"/>
    </row>
    <row r="115" spans="11:31" x14ac:dyDescent="0.35">
      <c r="K115">
        <v>1000</v>
      </c>
      <c r="L115">
        <v>24</v>
      </c>
      <c r="M115">
        <f t="shared" si="23"/>
        <v>11</v>
      </c>
      <c r="N115">
        <f t="shared" si="25"/>
        <v>24000</v>
      </c>
      <c r="O115">
        <f t="shared" si="26"/>
        <v>22800</v>
      </c>
      <c r="P115">
        <f t="shared" si="27"/>
        <v>25200</v>
      </c>
      <c r="Q115">
        <f t="shared" si="34"/>
        <v>0</v>
      </c>
      <c r="R115" s="126">
        <f t="shared" si="28"/>
        <v>2.5624642788944031E-6</v>
      </c>
      <c r="S115" s="126">
        <f t="shared" si="29"/>
        <v>3.7039732853801823E-6</v>
      </c>
      <c r="AA115" s="126">
        <f t="shared" si="30"/>
        <v>2.9995966215622952E-6</v>
      </c>
      <c r="AB115" s="126">
        <f t="shared" si="31"/>
        <v>3.7039732853801823E-6</v>
      </c>
      <c r="AC115" s="126">
        <f t="shared" si="32"/>
        <v>3.025853580581874E-8</v>
      </c>
      <c r="AD115" s="126">
        <f t="shared" si="33"/>
        <v>1.4772195454376332E-8</v>
      </c>
      <c r="AE115" s="128"/>
    </row>
    <row r="116" spans="11:31" x14ac:dyDescent="0.35">
      <c r="K116">
        <v>1000</v>
      </c>
      <c r="L116">
        <v>27</v>
      </c>
      <c r="M116">
        <f t="shared" si="23"/>
        <v>11</v>
      </c>
      <c r="N116">
        <f t="shared" si="25"/>
        <v>27000</v>
      </c>
      <c r="O116">
        <f t="shared" si="26"/>
        <v>25650</v>
      </c>
      <c r="P116">
        <f t="shared" si="27"/>
        <v>28350</v>
      </c>
      <c r="Q116">
        <f t="shared" si="34"/>
        <v>0</v>
      </c>
      <c r="R116" s="126">
        <f t="shared" si="28"/>
        <v>2.8827722863698686E-6</v>
      </c>
      <c r="S116" s="126">
        <f t="shared" si="29"/>
        <v>4.1665638143850708E-6</v>
      </c>
      <c r="AA116" s="126">
        <f t="shared" si="30"/>
        <v>3.3745461671993957E-6</v>
      </c>
      <c r="AB116" s="126">
        <f t="shared" si="31"/>
        <v>4.1665638143850708E-6</v>
      </c>
      <c r="AC116" s="126">
        <f t="shared" si="32"/>
        <v>3.0231175221584084E-8</v>
      </c>
      <c r="AD116" s="126">
        <f t="shared" si="33"/>
        <v>1.4765718219195198E-8</v>
      </c>
      <c r="AE116" s="128"/>
    </row>
    <row r="117" spans="11:31" x14ac:dyDescent="0.35">
      <c r="K117">
        <v>1000</v>
      </c>
      <c r="L117">
        <v>30</v>
      </c>
      <c r="M117">
        <f t="shared" si="23"/>
        <v>11</v>
      </c>
      <c r="N117">
        <f t="shared" si="25"/>
        <v>30000</v>
      </c>
      <c r="O117">
        <f t="shared" si="26"/>
        <v>28500</v>
      </c>
      <c r="P117">
        <f t="shared" si="27"/>
        <v>31500</v>
      </c>
      <c r="Q117">
        <f t="shared" si="34"/>
        <v>0</v>
      </c>
      <c r="R117" s="126">
        <f t="shared" si="28"/>
        <v>3.2030802877594832E-6</v>
      </c>
      <c r="S117" s="126">
        <f t="shared" si="29"/>
        <v>4.6291543354418129E-6</v>
      </c>
      <c r="AA117" s="126">
        <f t="shared" si="30"/>
        <v>3.7494957057124562E-6</v>
      </c>
      <c r="AB117" s="126">
        <f t="shared" si="31"/>
        <v>4.6291543354418129E-6</v>
      </c>
      <c r="AC117" s="126">
        <f t="shared" si="32"/>
        <v>3.0209354842030592E-8</v>
      </c>
      <c r="AD117" s="126">
        <f t="shared" si="33"/>
        <v>1.4760544351722083E-8</v>
      </c>
      <c r="AE117" s="128"/>
    </row>
    <row r="118" spans="11:31" x14ac:dyDescent="0.35">
      <c r="K118">
        <v>1000</v>
      </c>
      <c r="L118">
        <v>33</v>
      </c>
      <c r="M118">
        <f t="shared" si="23"/>
        <v>11</v>
      </c>
      <c r="N118">
        <f t="shared" si="25"/>
        <v>33000</v>
      </c>
      <c r="O118">
        <f t="shared" si="26"/>
        <v>31350</v>
      </c>
      <c r="P118">
        <f t="shared" si="27"/>
        <v>34650</v>
      </c>
      <c r="Q118">
        <f t="shared" si="34"/>
        <v>0</v>
      </c>
      <c r="R118" s="126">
        <f t="shared" si="28"/>
        <v>3.5233882830632454E-6</v>
      </c>
      <c r="S118" s="126">
        <f t="shared" si="29"/>
        <v>5.0917448485504104E-6</v>
      </c>
      <c r="AA118" s="126">
        <f t="shared" si="30"/>
        <v>4.1244452371014749E-6</v>
      </c>
      <c r="AB118" s="126">
        <f t="shared" si="31"/>
        <v>5.0917448485504104E-6</v>
      </c>
      <c r="AC118" s="126">
        <f t="shared" si="32"/>
        <v>3.0191546707486828E-8</v>
      </c>
      <c r="AD118" s="126">
        <f t="shared" si="33"/>
        <v>1.4756316417833757E-8</v>
      </c>
      <c r="AE118" s="128"/>
    </row>
    <row r="119" spans="11:31" x14ac:dyDescent="0.35">
      <c r="K119">
        <v>1000</v>
      </c>
      <c r="L119">
        <v>36</v>
      </c>
      <c r="M119">
        <f t="shared" si="23"/>
        <v>11</v>
      </c>
      <c r="N119">
        <f t="shared" si="25"/>
        <v>36000</v>
      </c>
      <c r="O119">
        <f t="shared" si="26"/>
        <v>34200</v>
      </c>
      <c r="P119">
        <f t="shared" si="27"/>
        <v>37800</v>
      </c>
      <c r="Q119">
        <f t="shared" si="34"/>
        <v>0</v>
      </c>
      <c r="R119" s="126">
        <f t="shared" si="28"/>
        <v>3.8436962722811567E-6</v>
      </c>
      <c r="S119" s="126">
        <f t="shared" si="29"/>
        <v>5.5543353537108607E-6</v>
      </c>
      <c r="AA119" s="126">
        <f t="shared" si="30"/>
        <v>4.499394761366454E-6</v>
      </c>
      <c r="AB119" s="126">
        <f t="shared" si="31"/>
        <v>5.5543353537108607E-6</v>
      </c>
      <c r="AC119" s="126">
        <f t="shared" si="32"/>
        <v>3.0176737403087262E-8</v>
      </c>
      <c r="AD119" s="126">
        <f t="shared" si="33"/>
        <v>1.4752796731921687E-8</v>
      </c>
      <c r="AE119" s="128"/>
    </row>
    <row r="120" spans="11:31" x14ac:dyDescent="0.35">
      <c r="K120">
        <v>1000</v>
      </c>
      <c r="L120">
        <v>39</v>
      </c>
      <c r="M120">
        <f t="shared" si="23"/>
        <v>11</v>
      </c>
      <c r="N120">
        <f t="shared" si="25"/>
        <v>39000</v>
      </c>
      <c r="O120">
        <f t="shared" si="26"/>
        <v>37050</v>
      </c>
      <c r="P120">
        <f t="shared" si="27"/>
        <v>40950</v>
      </c>
      <c r="Q120">
        <f t="shared" si="34"/>
        <v>0</v>
      </c>
      <c r="R120" s="126">
        <f t="shared" si="28"/>
        <v>4.1640042554132176E-6</v>
      </c>
      <c r="S120" s="126">
        <f t="shared" si="29"/>
        <v>6.0169258509231688E-6</v>
      </c>
      <c r="AA120" s="126">
        <f t="shared" si="30"/>
        <v>4.874344278507393E-6</v>
      </c>
      <c r="AB120" s="126">
        <f t="shared" si="31"/>
        <v>6.0169258509231688E-6</v>
      </c>
      <c r="AC120" s="126">
        <f t="shared" si="32"/>
        <v>3.0164228291325499E-8</v>
      </c>
      <c r="AD120" s="126">
        <f t="shared" si="33"/>
        <v>1.4749821084809183E-8</v>
      </c>
      <c r="AE120" s="128"/>
    </row>
    <row r="121" spans="11:31" x14ac:dyDescent="0.35">
      <c r="K121">
        <v>1000</v>
      </c>
      <c r="L121">
        <v>43</v>
      </c>
      <c r="M121">
        <f t="shared" si="23"/>
        <v>11</v>
      </c>
      <c r="N121">
        <f t="shared" si="25"/>
        <v>43000</v>
      </c>
      <c r="O121">
        <f t="shared" si="26"/>
        <v>40850</v>
      </c>
      <c r="P121">
        <f t="shared" si="27"/>
        <v>45150</v>
      </c>
      <c r="Q121">
        <f t="shared" si="34"/>
        <v>0</v>
      </c>
      <c r="R121" s="126">
        <f t="shared" si="28"/>
        <v>4.5910815567890853E-6</v>
      </c>
      <c r="S121" s="126">
        <f t="shared" si="29"/>
        <v>6.6337131681757958E-6</v>
      </c>
      <c r="AA121" s="126">
        <f t="shared" si="30"/>
        <v>5.374276956946806E-6</v>
      </c>
      <c r="AB121" s="126">
        <f t="shared" si="31"/>
        <v>6.6337131681757958E-6</v>
      </c>
      <c r="AC121" s="126">
        <f t="shared" si="32"/>
        <v>3.015028824007848E-8</v>
      </c>
      <c r="AD121" s="126">
        <f t="shared" si="33"/>
        <v>1.4746502189686715E-8</v>
      </c>
      <c r="AE121" s="128"/>
    </row>
    <row r="122" spans="11:31" x14ac:dyDescent="0.35">
      <c r="K122">
        <v>1000</v>
      </c>
      <c r="L122">
        <v>47</v>
      </c>
      <c r="M122">
        <f t="shared" si="23"/>
        <v>11</v>
      </c>
      <c r="N122">
        <f t="shared" si="25"/>
        <v>47000</v>
      </c>
      <c r="O122">
        <f t="shared" si="26"/>
        <v>44650</v>
      </c>
      <c r="P122">
        <f t="shared" si="27"/>
        <v>49350</v>
      </c>
      <c r="Q122">
        <f t="shared" si="34"/>
        <v>0</v>
      </c>
      <c r="R122" s="126">
        <f t="shared" si="28"/>
        <v>5.0181588473456631E-6</v>
      </c>
      <c r="S122" s="126">
        <f t="shared" si="29"/>
        <v>7.2505004712983902E-6</v>
      </c>
      <c r="AA122" s="126">
        <f t="shared" si="30"/>
        <v>5.8742096227212579E-6</v>
      </c>
      <c r="AB122" s="126">
        <f t="shared" si="31"/>
        <v>7.2505004712983902E-6</v>
      </c>
      <c r="AC122" s="126">
        <f t="shared" si="32"/>
        <v>3.0138739843905406E-8</v>
      </c>
      <c r="AD122" s="126">
        <f t="shared" si="33"/>
        <v>1.4743750419743828E-8</v>
      </c>
      <c r="AE122" s="128"/>
    </row>
    <row r="123" spans="11:31" x14ac:dyDescent="0.35">
      <c r="K123">
        <v>1000</v>
      </c>
      <c r="L123">
        <v>51</v>
      </c>
      <c r="M123">
        <f t="shared" si="23"/>
        <v>11</v>
      </c>
      <c r="N123">
        <f t="shared" si="25"/>
        <v>51000</v>
      </c>
      <c r="O123">
        <f t="shared" si="26"/>
        <v>48450</v>
      </c>
      <c r="P123">
        <f t="shared" si="27"/>
        <v>53550</v>
      </c>
      <c r="Q123">
        <f t="shared" si="34"/>
        <v>0</v>
      </c>
      <c r="R123" s="126">
        <f t="shared" si="28"/>
        <v>5.4452361270829519E-6</v>
      </c>
      <c r="S123" s="126">
        <f t="shared" si="29"/>
        <v>7.867287760290947E-6</v>
      </c>
      <c r="AA123" s="126">
        <f t="shared" si="30"/>
        <v>6.3741422758307528E-6</v>
      </c>
      <c r="AB123" s="126">
        <f t="shared" si="31"/>
        <v>7.867287760290947E-6</v>
      </c>
      <c r="AC123" s="126">
        <f t="shared" si="32"/>
        <v>3.0129016248750723E-8</v>
      </c>
      <c r="AD123" s="126">
        <f t="shared" si="33"/>
        <v>1.4741431854221613E-8</v>
      </c>
      <c r="AE123" s="128"/>
    </row>
    <row r="124" spans="11:31" x14ac:dyDescent="0.35">
      <c r="K124">
        <v>1000</v>
      </c>
      <c r="L124">
        <v>56</v>
      </c>
      <c r="M124">
        <f t="shared" si="23"/>
        <v>11</v>
      </c>
      <c r="N124">
        <f t="shared" si="25"/>
        <v>56000</v>
      </c>
      <c r="O124">
        <f t="shared" si="26"/>
        <v>53200</v>
      </c>
      <c r="P124">
        <f t="shared" si="27"/>
        <v>58800</v>
      </c>
      <c r="Q124">
        <f t="shared" si="34"/>
        <v>0</v>
      </c>
      <c r="R124" s="126">
        <f t="shared" si="28"/>
        <v>5.9790827115399383E-6</v>
      </c>
      <c r="S124" s="126">
        <f t="shared" si="29"/>
        <v>8.6382718516612867E-6</v>
      </c>
      <c r="AA124" s="126">
        <f t="shared" si="30"/>
        <v>6.9990580744075234E-6</v>
      </c>
      <c r="AB124" s="126">
        <f t="shared" si="31"/>
        <v>8.6382718516612867E-6</v>
      </c>
      <c r="AC124" s="126">
        <f t="shared" si="32"/>
        <v>3.0118828207274009E-8</v>
      </c>
      <c r="AD124" s="126">
        <f t="shared" si="33"/>
        <v>1.4739000958103015E-8</v>
      </c>
      <c r="AE124" s="128"/>
    </row>
    <row r="125" spans="11:31" x14ac:dyDescent="0.35">
      <c r="K125">
        <v>1000</v>
      </c>
      <c r="L125">
        <v>62</v>
      </c>
      <c r="M125">
        <f t="shared" si="23"/>
        <v>11</v>
      </c>
      <c r="N125">
        <f t="shared" si="25"/>
        <v>62000</v>
      </c>
      <c r="O125">
        <f t="shared" si="26"/>
        <v>58900</v>
      </c>
      <c r="P125">
        <f t="shared" si="27"/>
        <v>65100</v>
      </c>
      <c r="Q125">
        <f t="shared" si="34"/>
        <v>0</v>
      </c>
      <c r="R125" s="126">
        <f t="shared" si="28"/>
        <v>6.6196985905735367E-6</v>
      </c>
      <c r="S125" s="126">
        <f t="shared" si="29"/>
        <v>9.5634527321624991E-6</v>
      </c>
      <c r="AA125" s="126">
        <f t="shared" si="30"/>
        <v>7.7489570065781719E-6</v>
      </c>
      <c r="AB125" s="126">
        <f t="shared" si="31"/>
        <v>9.5634527321624991E-6</v>
      </c>
      <c r="AC125" s="126">
        <f t="shared" si="32"/>
        <v>3.0108784716468515E-8</v>
      </c>
      <c r="AD125" s="126">
        <f t="shared" si="33"/>
        <v>1.4736602961537007E-8</v>
      </c>
      <c r="AE125" s="128"/>
    </row>
    <row r="126" spans="11:31" x14ac:dyDescent="0.35">
      <c r="K126">
        <v>1000</v>
      </c>
      <c r="L126">
        <v>68</v>
      </c>
      <c r="M126">
        <f t="shared" si="23"/>
        <v>11</v>
      </c>
      <c r="N126">
        <f t="shared" si="25"/>
        <v>68000</v>
      </c>
      <c r="O126">
        <f t="shared" si="26"/>
        <v>64600</v>
      </c>
      <c r="P126">
        <f t="shared" si="27"/>
        <v>71400</v>
      </c>
      <c r="Q126">
        <f t="shared" si="34"/>
        <v>0</v>
      </c>
      <c r="R126" s="126">
        <f t="shared" si="28"/>
        <v>7.2603144452637376E-6</v>
      </c>
      <c r="S126" s="126">
        <f t="shared" si="29"/>
        <v>1.0488633580871136E-5</v>
      </c>
      <c r="AA126" s="126">
        <f t="shared" si="30"/>
        <v>8.498855910252667E-6</v>
      </c>
      <c r="AB126" s="126">
        <f t="shared" si="31"/>
        <v>1.0488633580871136E-5</v>
      </c>
      <c r="AC126" s="126">
        <f t="shared" si="32"/>
        <v>3.0100523362437778E-8</v>
      </c>
      <c r="AD126" s="126">
        <f t="shared" si="33"/>
        <v>1.4734629283950278E-8</v>
      </c>
      <c r="AE126" s="128"/>
    </row>
    <row r="127" spans="11:31" x14ac:dyDescent="0.35">
      <c r="K127">
        <v>1000</v>
      </c>
      <c r="L127">
        <v>75</v>
      </c>
      <c r="M127">
        <f t="shared" si="23"/>
        <v>11</v>
      </c>
      <c r="N127">
        <f t="shared" si="25"/>
        <v>75000</v>
      </c>
      <c r="O127">
        <f t="shared" si="26"/>
        <v>71250</v>
      </c>
      <c r="P127">
        <f t="shared" si="27"/>
        <v>78750</v>
      </c>
      <c r="Q127">
        <f t="shared" si="34"/>
        <v>0</v>
      </c>
      <c r="R127" s="126">
        <f t="shared" si="28"/>
        <v>8.0076995783016263E-6</v>
      </c>
      <c r="S127" s="126">
        <f t="shared" si="29"/>
        <v>1.1568011197515605E-5</v>
      </c>
      <c r="AA127" s="126">
        <f t="shared" si="30"/>
        <v>9.3737379285236113E-6</v>
      </c>
      <c r="AB127" s="126">
        <f t="shared" si="31"/>
        <v>1.1568011197515605E-5</v>
      </c>
      <c r="AC127" s="126">
        <f t="shared" si="32"/>
        <v>3.0092564084676895E-8</v>
      </c>
      <c r="AD127" s="126">
        <f t="shared" si="33"/>
        <v>1.4732726759170779E-8</v>
      </c>
      <c r="AE127" s="128"/>
    </row>
    <row r="128" spans="11:31" x14ac:dyDescent="0.35">
      <c r="K128">
        <v>1000</v>
      </c>
      <c r="L128">
        <v>82</v>
      </c>
      <c r="M128">
        <f t="shared" si="23"/>
        <v>11</v>
      </c>
      <c r="N128">
        <f t="shared" si="25"/>
        <v>82000</v>
      </c>
      <c r="O128">
        <f t="shared" si="26"/>
        <v>77900</v>
      </c>
      <c r="P128">
        <f t="shared" si="27"/>
        <v>86100</v>
      </c>
      <c r="Q128">
        <f t="shared" si="34"/>
        <v>0</v>
      </c>
      <c r="R128" s="126">
        <f t="shared" si="28"/>
        <v>8.7550846782054452E-6</v>
      </c>
      <c r="S128" s="126">
        <f t="shared" si="29"/>
        <v>1.2647388770886854E-5</v>
      </c>
      <c r="AA128" s="126">
        <f t="shared" si="30"/>
        <v>1.0248619908008128E-5</v>
      </c>
      <c r="AB128" s="126">
        <f t="shared" si="31"/>
        <v>1.2647388770886854E-5</v>
      </c>
      <c r="AC128" s="126">
        <f t="shared" si="32"/>
        <v>3.00859699132869E-8</v>
      </c>
      <c r="AD128" s="126">
        <f t="shared" si="33"/>
        <v>1.4731149783458778E-8</v>
      </c>
      <c r="AE128" s="128"/>
    </row>
    <row r="129" spans="11:31" x14ac:dyDescent="0.35">
      <c r="K129">
        <v>1000</v>
      </c>
      <c r="L129">
        <v>91</v>
      </c>
      <c r="M129">
        <f t="shared" si="23"/>
        <v>11</v>
      </c>
      <c r="N129">
        <f t="shared" si="25"/>
        <v>91000</v>
      </c>
      <c r="O129">
        <f t="shared" si="26"/>
        <v>86450</v>
      </c>
      <c r="P129">
        <f t="shared" si="27"/>
        <v>95550</v>
      </c>
      <c r="Q129">
        <f t="shared" si="34"/>
        <v>0</v>
      </c>
      <c r="R129" s="126">
        <f t="shared" si="28"/>
        <v>9.7160083293949993E-6</v>
      </c>
      <c r="S129" s="126">
        <f t="shared" si="29"/>
        <v>1.4035159873064752E-5</v>
      </c>
      <c r="AA129" s="126">
        <f t="shared" si="30"/>
        <v>1.1373468110353066E-5</v>
      </c>
      <c r="AB129" s="126">
        <f t="shared" si="31"/>
        <v>1.4035159873064752E-5</v>
      </c>
      <c r="AC129" s="126">
        <f t="shared" si="32"/>
        <v>3.007898850362033E-8</v>
      </c>
      <c r="AD129" s="126">
        <f t="shared" si="33"/>
        <v>1.4729479453613405E-8</v>
      </c>
      <c r="AE129" s="128"/>
    </row>
    <row r="130" spans="11:31" x14ac:dyDescent="0.35">
      <c r="M130">
        <f t="shared" si="23"/>
        <v>11</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989" priority="34" stopIfTrue="1">
      <formula>AND($B$11="need resistor",$C$11&gt;0)</formula>
    </cfRule>
    <cfRule type="containsText" dxfId="988" priority="38" operator="containsText" text="need resistor">
      <formula>NOT(ISERROR(SEARCH("need resistor",B11)))</formula>
    </cfRule>
  </conditionalFormatting>
  <conditionalFormatting sqref="B11:B12">
    <cfRule type="containsText" dxfId="987" priority="36" operator="containsText" text="no need">
      <formula>NOT(ISERROR(SEARCH("no need",B11)))</formula>
    </cfRule>
  </conditionalFormatting>
  <conditionalFormatting sqref="B12">
    <cfRule type="expression" dxfId="986" priority="33" stopIfTrue="1">
      <formula>AND($B$12="need resistor",$C$12&gt;0)</formula>
    </cfRule>
    <cfRule type="containsText" dxfId="985" priority="35" operator="containsText" text="need resistor">
      <formula>NOT(ISERROR(SEARCH("need resistor",B12)))</formula>
    </cfRule>
  </conditionalFormatting>
  <conditionalFormatting sqref="B42">
    <cfRule type="expression" dxfId="984" priority="61">
      <formula>AND($B$42&gt;$S$2,$B$2=1)</formula>
    </cfRule>
    <cfRule type="expression" dxfId="983" priority="60">
      <formula>AND($B$42&lt;$R$2,$B$2=0)</formula>
    </cfRule>
    <cfRule type="expression" dxfId="982" priority="59" stopIfTrue="1">
      <formula>AND($B$42&lt;=$S$2,$B$2=1)</formula>
    </cfRule>
    <cfRule type="expression" dxfId="981" priority="58" stopIfTrue="1">
      <formula>AND($B$42&gt;=$R$2,$B$2=0)</formula>
    </cfRule>
  </conditionalFormatting>
  <conditionalFormatting sqref="B62">
    <cfRule type="expression" dxfId="980" priority="69">
      <formula>AND($B$62&gt;$S$2,$B$2=1)</formula>
    </cfRule>
    <cfRule type="expression" dxfId="979" priority="68">
      <formula>AND($B$62&lt;$R$2,$B$2=0)</formula>
    </cfRule>
    <cfRule type="expression" dxfId="978" priority="67" stopIfTrue="1">
      <formula>AND($B$62&lt;=$S$2,$B$2=1)</formula>
    </cfRule>
    <cfRule type="expression" dxfId="977" priority="66" stopIfTrue="1">
      <formula>AND($B$62&gt;=$R$2,$B$2=0)</formula>
    </cfRule>
  </conditionalFormatting>
  <conditionalFormatting sqref="B84">
    <cfRule type="cellIs" dxfId="976" priority="47" operator="greaterThan">
      <formula>$S$3</formula>
    </cfRule>
    <cfRule type="cellIs" dxfId="975" priority="46" operator="lessThanOrEqual">
      <formula>$S$3</formula>
    </cfRule>
  </conditionalFormatting>
  <conditionalFormatting sqref="B102">
    <cfRule type="cellIs" dxfId="974" priority="50" operator="lessThanOrEqual">
      <formula>$S$2</formula>
    </cfRule>
    <cfRule type="cellIs" dxfId="973" priority="51" operator="greaterThan">
      <formula>$S$2</formula>
    </cfRule>
  </conditionalFormatting>
  <conditionalFormatting sqref="B18:C18">
    <cfRule type="expression" dxfId="972" priority="55">
      <formula>OR(AND($B$2=0,$C$18&lt;$R$2),AND($B$2=1,$C$18&gt;$S$2))</formula>
    </cfRule>
    <cfRule type="expression" dxfId="971" priority="54" stopIfTrue="1">
      <formula>OR(AND($B$2=0,$C$18&gt;=$R$2),AND($B$2=1,$C$18&lt;=$S$2))</formula>
    </cfRule>
  </conditionalFormatting>
  <conditionalFormatting sqref="B19:C19">
    <cfRule type="expression" dxfId="970" priority="57">
      <formula>OR(AND($B$3=0,$C$19&lt;$R$3),AND($B$3=1,$C$19&gt;$S$3))</formula>
    </cfRule>
    <cfRule type="expression" dxfId="969" priority="56" stopIfTrue="1">
      <formula>OR(AND($B$3=0,$C$19&gt;=$R$3),AND($B$3=1,$C$19&lt;=$S$3))</formula>
    </cfRule>
  </conditionalFormatting>
  <conditionalFormatting sqref="C14">
    <cfRule type="cellIs" dxfId="968" priority="28" operator="equal">
      <formula>"no solution"</formula>
    </cfRule>
  </conditionalFormatting>
  <conditionalFormatting sqref="C44">
    <cfRule type="expression" dxfId="967" priority="65">
      <formula>AND($B$44&gt;$S$3,$B$3=1)</formula>
    </cfRule>
    <cfRule type="expression" dxfId="966" priority="64">
      <formula>AND($B$44&lt;$R$3,$B$3=0)</formula>
    </cfRule>
    <cfRule type="expression" dxfId="965" priority="63" stopIfTrue="1">
      <formula>AND($C$44&lt;=$S$3,$B$3=1)</formula>
    </cfRule>
    <cfRule type="expression" dxfId="964" priority="62" stopIfTrue="1">
      <formula>AND($C$44&gt;=$R$3,$B$3=0)</formula>
    </cfRule>
  </conditionalFormatting>
  <conditionalFormatting sqref="C64">
    <cfRule type="expression" dxfId="963" priority="71" stopIfTrue="1">
      <formula>AND($C$64&lt;=$S$3,$B$3=1)</formula>
    </cfRule>
    <cfRule type="expression" dxfId="962" priority="72">
      <formula>AND($B$64&lt;$R$3,$B$3=0)</formula>
    </cfRule>
    <cfRule type="expression" dxfId="961" priority="73">
      <formula>AND($B$64&gt;$S$3,$B$3=1)</formula>
    </cfRule>
    <cfRule type="expression" dxfId="960" priority="70" stopIfTrue="1">
      <formula>AND($C$64&gt;=$R$3,$B$3=0)</formula>
    </cfRule>
  </conditionalFormatting>
  <conditionalFormatting sqref="C102:D102">
    <cfRule type="cellIs" dxfId="959" priority="30" operator="lessThan">
      <formula>$R$2</formula>
    </cfRule>
    <cfRule type="cellIs" dxfId="958" priority="29" operator="greaterThanOrEqual">
      <formula>$R$2</formula>
    </cfRule>
  </conditionalFormatting>
  <conditionalFormatting sqref="C84:H84">
    <cfRule type="cellIs" dxfId="957" priority="15" operator="lessThan">
      <formula>$R$3</formula>
    </cfRule>
    <cfRule type="cellIs" dxfId="956" priority="14" operator="greaterThanOrEqual">
      <formula>$R$3</formula>
    </cfRule>
  </conditionalFormatting>
  <conditionalFormatting sqref="D11">
    <cfRule type="containsText" dxfId="955" priority="41" stopIfTrue="1" operator="containsText" text="please remove resistor">
      <formula>NOT(ISERROR(SEARCH("please remove resistor",D11)))</formula>
    </cfRule>
    <cfRule type="cellIs" dxfId="954" priority="43" operator="greaterThan">
      <formula>$S$2</formula>
    </cfRule>
    <cfRule type="cellIs" dxfId="953" priority="42" operator="lessThan">
      <formula>$S$2</formula>
    </cfRule>
  </conditionalFormatting>
  <conditionalFormatting sqref="D11:D12">
    <cfRule type="cellIs" priority="26" stopIfTrue="1" operator="equal">
      <formula>""</formula>
    </cfRule>
  </conditionalFormatting>
  <conditionalFormatting sqref="D12 E18:E19">
    <cfRule type="cellIs" dxfId="952" priority="40" operator="lessThan">
      <formula>$R$2-$N$7</formula>
    </cfRule>
    <cfRule type="cellIs" dxfId="951" priority="39" operator="greaterThanOrEqual">
      <formula>$R$2-$N$7</formula>
    </cfRule>
  </conditionalFormatting>
  <conditionalFormatting sqref="D18:D19">
    <cfRule type="cellIs" dxfId="950" priority="44" operator="lessThanOrEqual">
      <formula>$S$2+$N$7</formula>
    </cfRule>
    <cfRule type="cellIs" dxfId="949" priority="45" operator="greaterThan">
      <formula>$S$2+$N$7</formula>
    </cfRule>
  </conditionalFormatting>
  <conditionalFormatting sqref="E102">
    <cfRule type="cellIs" dxfId="948" priority="13" operator="lessThan">
      <formula>$R$3</formula>
    </cfRule>
    <cfRule type="cellIs" dxfId="947" priority="12" operator="greaterThanOrEqual">
      <formula>$R$3</formula>
    </cfRule>
  </conditionalFormatting>
  <conditionalFormatting sqref="F21">
    <cfRule type="containsText" dxfId="946" priority="11" operator="containsText" text="failed">
      <formula>NOT(ISERROR(SEARCH("failed",F21)))</formula>
    </cfRule>
  </conditionalFormatting>
  <conditionalFormatting sqref="F22">
    <cfRule type="containsText" dxfId="945" priority="10" operator="containsText" text="fail">
      <formula>NOT(ISERROR(SEARCH("fail",F22)))</formula>
    </cfRule>
  </conditionalFormatting>
  <conditionalFormatting sqref="F23">
    <cfRule type="containsText" dxfId="944" priority="9" operator="containsText" text="failed">
      <formula>NOT(ISERROR(SEARCH("failed",F23)))</formula>
    </cfRule>
  </conditionalFormatting>
  <conditionalFormatting sqref="F102:H102">
    <cfRule type="cellIs" dxfId="943" priority="22" operator="greaterThanOrEqual">
      <formula>$R$2</formula>
    </cfRule>
    <cfRule type="cellIs" dxfId="942" priority="23" operator="lessThan">
      <formula>$R$2</formula>
    </cfRule>
  </conditionalFormatting>
  <conditionalFormatting sqref="G18">
    <cfRule type="cellIs" dxfId="941" priority="3" operator="greaterThan">
      <formula>$V$2</formula>
    </cfRule>
    <cfRule type="cellIs" dxfId="940" priority="4" operator="lessThan">
      <formula>$V$2</formula>
    </cfRule>
  </conditionalFormatting>
  <conditionalFormatting sqref="G19">
    <cfRule type="cellIs" dxfId="939" priority="6" operator="lessThan">
      <formula>$V$3</formula>
    </cfRule>
    <cfRule type="cellIs" dxfId="938" priority="5" operator="greaterThan">
      <formula>$V$3</formula>
    </cfRule>
  </conditionalFormatting>
  <conditionalFormatting sqref="I18:I19">
    <cfRule type="cellIs" dxfId="937" priority="2" operator="lessThan">
      <formula>$W$2</formula>
    </cfRule>
    <cfRule type="cellIs" dxfId="936" priority="1" operator="greaterThan">
      <formula>$W$2</formula>
    </cfRule>
  </conditionalFormatting>
  <conditionalFormatting sqref="K12">
    <cfRule type="expression" dxfId="935" priority="74">
      <formula>SEARCH("reduce",$F$23)</formula>
    </cfRule>
    <cfRule type="expression" dxfId="934" priority="75">
      <formula>SEARCH("reduce",$F$21)</formula>
    </cfRule>
  </conditionalFormatting>
  <conditionalFormatting sqref="N2">
    <cfRule type="expression" dxfId="933" priority="76">
      <formula>SEARCH("strength",$F$21)</formula>
    </cfRule>
    <cfRule type="expression" dxfId="932" priority="77">
      <formula>SEARCH("strength",$F$23)</formula>
    </cfRule>
  </conditionalFormatting>
  <hyperlinks>
    <hyperlink ref="N25" location="Summary!A1" display="Link to summary" xr:uid="{F8E6505D-FA78-4F07-8270-719D9F6B33E2}"/>
  </hyperlinks>
  <pageMargins left="0.7" right="0.7" top="0.75" bottom="0.75" header="0.3" footer="0.3"/>
  <pageSetup paperSize="9"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05E61-5C6D-4269-AFD7-B90D366FD8AD}">
  <dimension ref="A1:AK130"/>
  <sheetViews>
    <sheetView topLeftCell="N1"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Summary!I16</f>
        <v>1.8</v>
      </c>
      <c r="K2" s="10">
        <v>1000000000000</v>
      </c>
      <c r="L2" s="15">
        <v>0.1</v>
      </c>
      <c r="M2" s="15">
        <v>0.1</v>
      </c>
      <c r="N2" s="66">
        <f>Summary!I26</f>
        <v>100</v>
      </c>
      <c r="O2" s="15">
        <f>Summary!I88</f>
        <v>0.25</v>
      </c>
      <c r="P2" s="15">
        <f>Summary!I89</f>
        <v>0.25</v>
      </c>
      <c r="Q2" s="5" t="str">
        <f>Summary!I27</f>
        <v>N/A</v>
      </c>
      <c r="R2" s="5">
        <f>Summary!I51</f>
        <v>0.3</v>
      </c>
      <c r="S2" s="5">
        <f>Summary!I52</f>
        <v>0.7</v>
      </c>
      <c r="T2" s="5">
        <f>Summary!I53</f>
        <v>0.3</v>
      </c>
      <c r="U2" s="5">
        <f>Summary!I54</f>
        <v>0.7</v>
      </c>
      <c r="V2" s="130">
        <f>Summary!I55</f>
        <v>9.9999999999999995E-7</v>
      </c>
      <c r="W2" s="130">
        <f>Summary!I56</f>
        <v>2.9999999999999999E-7</v>
      </c>
      <c r="X2" s="131">
        <f>V2</f>
        <v>9.9999999999999995E-7</v>
      </c>
      <c r="Y2" s="132" t="str">
        <f>IF(Summary!I57="","",Summary!I57)</f>
        <v/>
      </c>
      <c r="Z2" s="132" t="str">
        <f>IF(Summary!I58="","",Summary!I58)</f>
        <v/>
      </c>
      <c r="AA2" s="4">
        <f>Summary!I59</f>
        <v>1E-10</v>
      </c>
      <c r="AB2" s="41">
        <f>Summary!I81</f>
        <v>4.9999999999999997E-12</v>
      </c>
      <c r="AC2" s="41">
        <f>Summary!I83</f>
        <v>8.1900000000000013E-12</v>
      </c>
      <c r="AD2" s="3">
        <f>Summary!I84</f>
        <v>0.69</v>
      </c>
      <c r="AE2" s="41">
        <f>Summary!I86</f>
        <v>4.9999999999999997E-12</v>
      </c>
      <c r="AF2" s="5">
        <f>Summary!I87</f>
        <v>2.93</v>
      </c>
      <c r="AG2" s="127" t="str">
        <f>Summary!I50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Summary!I16</f>
        <v>1.8</v>
      </c>
      <c r="K3" s="10">
        <v>1000000000000</v>
      </c>
      <c r="L3" s="15">
        <v>0.1</v>
      </c>
      <c r="M3" s="15">
        <v>0.1</v>
      </c>
      <c r="N3">
        <f>Summary!I97</f>
        <v>50</v>
      </c>
      <c r="O3" s="15">
        <f>Summary!I98</f>
        <v>0.5</v>
      </c>
      <c r="P3" s="15">
        <f>Summary!I99</f>
        <v>0</v>
      </c>
      <c r="Q3"/>
      <c r="R3" s="5">
        <f>Summary!I38</f>
        <v>0.3</v>
      </c>
      <c r="S3" s="5">
        <f>Summary!I39</f>
        <v>0.7</v>
      </c>
      <c r="T3" s="5">
        <f>Summary!I42</f>
        <v>0.3</v>
      </c>
      <c r="U3" s="5">
        <f>Summary!I43</f>
        <v>0.7</v>
      </c>
      <c r="V3" s="130">
        <f>Summary!I44</f>
        <v>9.9999999999999995E-7</v>
      </c>
      <c r="W3" s="130">
        <f>Summary!I45</f>
        <v>2.9999999999999999E-7</v>
      </c>
      <c r="X3" s="131">
        <f>V3</f>
        <v>9.9999999999999995E-7</v>
      </c>
      <c r="Y3" s="132" t="str">
        <f>IF(Summary!I46="","",Summary!I46)</f>
        <v/>
      </c>
      <c r="Z3" s="132" t="str">
        <f>IF(Summary!I47="","",Summary!I47)</f>
        <v/>
      </c>
      <c r="AA3" s="4">
        <f>Summary!I59</f>
        <v>1E-10</v>
      </c>
      <c r="AB3" s="41">
        <f>Summary!I96</f>
        <v>9.9999999999999994E-12</v>
      </c>
      <c r="AG3" s="127" t="str">
        <f>Summary!I37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427329345.73217905</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427329345.73217905</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185.45760173684255</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378.31470632001259</v>
      </c>
      <c r="F7" s="123">
        <f>_xlfn.IFNA(_xlfn.XLOOKUP($X$2,AB34:AB129,P34:P129,,-1), "Out of support PU range")</f>
        <v>6510</v>
      </c>
      <c r="G7" s="124">
        <f>_xlfn.IFNA(_xlfn.XLOOKUP($X$3,S34:S129,P34:P129,,-1), "Out of support PU range")</f>
        <v>6510</v>
      </c>
      <c r="H7" s="124">
        <f>_xlfn.IFNA(MAX(_xlfn.XLOOKUP(MAX($Y$2:$AA$2),AA34:AA129,O34:O129,,1), _xlfn.XLOOKUP($W$2,AD34:AD129,O34:O129,,-1)), "Fail AC VIL")</f>
        <v>190</v>
      </c>
      <c r="I7" s="129">
        <f>_xlfn.IFNA(MAX(_xlfn.XLOOKUP(MAX($Y$3:$AA$3),R34:R129,O34:O129,,1), _xlfn.XLOOKUP($W$3,AC34:AC129,O34:O129,,-1)), "Fail AC VIL")</f>
        <v>408.5</v>
      </c>
      <c r="J7" s="21">
        <v>20000</v>
      </c>
      <c r="K7" s="2">
        <f>MIN(
MIN(FLOOR(B7,10^(LEN(ROUND(B7,0))-1))/10,
FLOOR(C7,10^(LEN(ROUND(C7,0))-1))/10,
IF(F7*10&gt;=J7,FLOOR(F7,10^(LEN(ROUND(F7,0))-1))/10,FLOOR(F7,10^(LEN(ROUND(F7,0))-1))),
FLOOR(G7,10^(LEN(ROUND(G7,0))-1))/10),
MAX(I7,J7)
)</f>
        <v>600</v>
      </c>
      <c r="L7" s="1"/>
      <c r="N7" s="71">
        <f>Summary!I62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191.35714272367039</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191.35714272367039</v>
      </c>
      <c r="E8">
        <f>X2/(1.204*K18)</f>
        <v>5182.276253199745</v>
      </c>
      <c r="F8">
        <f>X3/(1.204*K18)</f>
        <v>5182.276253199745</v>
      </c>
      <c r="H8">
        <f>AA2/(1.204*K18)</f>
        <v>0.51822762531997457</v>
      </c>
      <c r="I8" s="2">
        <f>AA3/(1.204*K18)</f>
        <v>0.51822762531997457</v>
      </c>
      <c r="J8" s="8">
        <v>20000</v>
      </c>
      <c r="K8">
        <f>MIN(MIN(FLOOR(B8,10^(LEN(ROUND(B8,0))-1))/10,FLOOR(C8,10^(LEN(ROUND(C8,0))-1))/10,FLOOR(E8,10^(LEN(ROUND(E8,0))-1))/10,FLOOR(F8,10^(LEN(ROUND(F8,0))-1))/10),MAX(I8,J8))</f>
        <v>10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Summary!I24</f>
        <v>470</v>
      </c>
      <c r="D11" s="1">
        <f>IF(AND(B11="no need", C11=""), "",IF(AND(B11="no need", C11&gt;0), "please remove resistor",   IF(AND(B11="need resistor", ISBLANK(C11)), "please enter resistor",  (1/(1/F2+1/F3))/(1/(1/(1/(1/C2+1/C3))+1/C11)+(1/(1/F2+1/F3))) ) ))</f>
        <v>0.99999999906000003</v>
      </c>
      <c r="F11" s="7">
        <f>IF(B11="no need", 1000000000, C11)</f>
        <v>470</v>
      </c>
      <c r="G11" s="7" t="s">
        <v>281</v>
      </c>
      <c r="H11" s="62">
        <f>Summary!I25</f>
        <v>0.05</v>
      </c>
      <c r="K11" s="6" t="s">
        <v>282</v>
      </c>
      <c r="N11" s="19" t="s">
        <v>283</v>
      </c>
      <c r="P11" s="19" t="s">
        <v>284</v>
      </c>
      <c r="R11" s="127" t="s">
        <v>285</v>
      </c>
      <c r="S11" s="127">
        <f>($J$2+$J$2*Summary!$I$17)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Summary!I10</f>
        <v>25</v>
      </c>
      <c r="L12" t="s">
        <v>287</v>
      </c>
      <c r="N12" s="4">
        <f>SUM(AB2:AC3,AE2:AE3)</f>
        <v>2.8189999999999998E-11</v>
      </c>
      <c r="O12" t="s">
        <v>288</v>
      </c>
      <c r="P12" s="61">
        <f>Summary!I84+Summary!I87</f>
        <v>3.62</v>
      </c>
      <c r="Q12" t="s">
        <v>289</v>
      </c>
      <c r="R12" s="127" t="s">
        <v>290</v>
      </c>
      <c r="S12" s="127">
        <f>($J$2-$J$2*Summary!$I$17)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($J$3+$J$3*Summary!$I$18)</f>
        <v>1.8900000000000001</v>
      </c>
    </row>
    <row r="14" spans="1:37" x14ac:dyDescent="0.35">
      <c r="K14" s="6" t="s">
        <v>293</v>
      </c>
      <c r="N14" s="6" t="s">
        <v>294</v>
      </c>
      <c r="R14" s="127" t="s">
        <v>295</v>
      </c>
      <c r="S14" s="127">
        <f>($J$3-$J$3*Summary!$I$18)</f>
        <v>1.71</v>
      </c>
    </row>
    <row r="15" spans="1:37" x14ac:dyDescent="0.35">
      <c r="B15" s="2"/>
      <c r="C15" s="2"/>
      <c r="K15" s="3">
        <f>Summary!I8</f>
        <v>19.988</v>
      </c>
      <c r="L15" t="s">
        <v>296</v>
      </c>
      <c r="N15" s="41">
        <f>Summary!I9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0.99999945054572204</v>
      </c>
      <c r="C18">
        <f>B42</f>
        <v>0.99999959325914534</v>
      </c>
      <c r="D18">
        <f>B102</f>
        <v>0.99999945054572204</v>
      </c>
      <c r="E18">
        <f>C102</f>
        <v>0.13906534043266167</v>
      </c>
      <c r="F18" s="126">
        <f>_xlfn.LET(
_xlpm.Rbus, (1/(1/((1/(1/($G$91+$G$93)+1/$G$90))+$G$92)+1/($G$89))),
_xlpm.VCC, IF($AG$2="absolute",$S$13,1),
_xlpm.Vspec_abs, $U$2-$N$7,
(LN(1-$T$2/_xlpm.VCC)-LN(1-_xlpm.Vspec_abs/_xlpm.VCC))*$K$19*_xlpm.Rbus
)</f>
        <v>5.0181595867462772E-8</v>
      </c>
      <c r="G18" s="128">
        <f>_xlfn.LET(
_xlpm.Rbus, (1/(1/((1/(1/($D$91+$D$93)+1/$D$90))+$D$92)+1/($D$89))),
_xlpm.VCC, IF($AG$2="absolute",$S$14,1),
_xlpm.Vspec_abs, $U$2+$N$7,
(LN(1-$T$2/_xlpm.VCC)-LN(1-_xlpm.Vspec_abs/_xlpm.VCC))*$K$18*_xlpm.Rbus
)</f>
        <v>7.5721293905315535E-8</v>
      </c>
      <c r="H18" s="126">
        <f>_xlfn.LET(
_xlpm.Rbus, (1/(1/((1/(1/($H$96+$H$93)+1/$H$95))+$H$92)+1/($H$94))),
_xlpm.VCC, IF($AG$2="absolute",$S$14,1),
_xlpm.Vspec_abs, $T$2+$N$7,
_xlpm.Vspec_rel, _xlpm.Vspec_abs/_xlpm.VCC,
IFERROR((LN($U$2)-LN(_xlpm.Vspec_rel))*$K$19*_xlpm.Rbus, "Vlow exceeds VIL spec")
)</f>
        <v>4.6430512865409298E-9</v>
      </c>
      <c r="I18" s="128">
        <f>_xlfn.LET(
_xlpm.Rbus, (1/(1/((1/(1/($F$96+$F$93)+1/$F$95))+$F$92)+1/($F$94))),
_xlpm.VCC, IF($AG$2="absolute",$S$13,1),
_xlpm.Vspec_abs, $T$2-$N$7,
_xlpm.Vspec_rel, _xlpm.Vspec_abs/_xlpm.VCC,
IFERROR((LN($U$2)-LN(_xlpm.Vspec_rel))*$K$18*_xlpm.Rbus,"Vlow exceeds VIL spec")
)</f>
        <v>1.0591474394673357E-8</v>
      </c>
      <c r="J18" s="139" t="s">
        <v>307</v>
      </c>
      <c r="K18" s="4">
        <f>Summary!I102</f>
        <v>1.6027026416052833E-10</v>
      </c>
      <c r="L18" s="22" t="s">
        <v>288</v>
      </c>
      <c r="M18" s="10">
        <f>K18*1000000000000</f>
        <v>160.27026416052834</v>
      </c>
      <c r="N18" t="s">
        <v>308</v>
      </c>
      <c r="O18" s="49">
        <f>N12+K12/39.37*N15</f>
        <v>1.6027026416052833E-10</v>
      </c>
    </row>
    <row r="19" spans="1:26" x14ac:dyDescent="0.35">
      <c r="A19" t="s">
        <v>309</v>
      </c>
      <c r="B19">
        <f>C64</f>
        <v>0.99999945054572204</v>
      </c>
      <c r="C19">
        <f>C44</f>
        <v>0.99999959325914534</v>
      </c>
      <c r="D19">
        <f>B84</f>
        <v>0.99999945054572226</v>
      </c>
      <c r="E19">
        <f>C84</f>
        <v>0.24783833852652642</v>
      </c>
      <c r="F19" s="126">
        <f>_xlfn.LET(
_xlpm.Rbus,(1/(1/((1/(1/($G$77+$G$72)+1/$G$70))+$G$73)+1/($G$71))),
_xlpm.VCC,IF($AG$3="absolute",$S$11,1),
_xlpm.Vspec_abs,$U$3-$N$7,
(LN(1-($T$3/_xlpm.VCC))-LN(1-_xlpm.Vspec_abs/_xlpm.VCC))*$K$19*_xlpm.Rbus
)</f>
        <v>5.0181595867462772E-8</v>
      </c>
      <c r="G19" s="128">
        <f>_xlfn.LET(
_xlpm.Rbus, (1/(1/((1/(1/($D$77+$D$72)+1/$D$70))+$D$73)+1/($D$71))),
_xlpm.VCC, IF($AG$3="absolute",$S$12,1),
_xlpm.Vspec_abs, $U$3+$N$7,
(LN(1-$T$3/_xlpm.VCC)-LN(1-_xlpm.Vspec_abs/_xlpm.VCC))*$K$18*_xlpm.Rbus
)</f>
        <v>7.5721293905315535E-8</v>
      </c>
      <c r="H19" s="126">
        <f>_xlfn.LET(
_xlpm.Rbus, (1/(1/((1/(1/($H$74+$H$72)+1/$H$75))+$H$73)+1/($H$76))),
_xlpm.VCC, IF($AG$3="absolute",$S$12,1),
_xlpm.Vspec_abs, $T$3+$N$7,
_xlpm.Vspec_rel, _xlpm.Vspec_abs/_xlpm.VCC,
IFERROR((LN($U$3)-LN(_xlpm.Vspec_rel))*$K$19*_xlpm.Rbus, "Vlow exceeds VIL spec")
)</f>
        <v>1.0262490295885478E-8</v>
      </c>
      <c r="I19" s="128">
        <f>_xlfn.LET(
_xlpm.Rbus, (1/(1/((1/(1/($F$74+$F$72)+1/$F$75))+$F$73)+1/($F$76))),
_xlpm.VCC, IF($AG$3="absolute",$S$11,1),
_xlpm.Vspec_abs, $T$3-$N$7,
_xlpm.Vspec_rel, _xlpm.Vspec_abs/_xlpm.VCC,
IFERROR((LN($U$3)-LN(_xlpm.Vspec_rel))*$K$18*_xlpm.Rbus,"Vlow exceeds VIL spec")
)</f>
        <v>2.1605534018873997E-8</v>
      </c>
      <c r="J19" s="139" t="s">
        <v>310</v>
      </c>
      <c r="K19" s="122">
        <f>Summary!I101</f>
        <v>1.4358026416052834E-10</v>
      </c>
      <c r="L19" t="s">
        <v>288</v>
      </c>
    </row>
    <row r="20" spans="1:26" x14ac:dyDescent="0.35">
      <c r="J20" s="139"/>
      <c r="K20" s="6" t="s">
        <v>311</v>
      </c>
    </row>
    <row r="21" spans="1:26" x14ac:dyDescent="0.35">
      <c r="E21" s="120" t="s">
        <v>137</v>
      </c>
      <c r="F21" t="str">
        <f>IF(OR(AND(E18&gt;(R2-N7), Summary!I50="relative"), AND(E18&gt;(R2-N7)/(J3+J3*Summary!I18), Summary!I50="absolute")),IF(U29="no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IF(OR(Summary!I24&gt;Summary!I22,Summary!I24&lt;Summary!I21), "- ensure board PU is within recommended range" &amp; CHAR(10),) &amp; "- reduce MB trace length",""))</f>
        <v/>
      </c>
      <c r="J21" s="139" t="s">
        <v>307</v>
      </c>
      <c r="K21" s="5">
        <f>Summary!I104</f>
        <v>22.122405384810769</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Summary!I103</f>
        <v>16.31240538481077</v>
      </c>
      <c r="L22" t="s">
        <v>289</v>
      </c>
    </row>
    <row r="23" spans="1:26" x14ac:dyDescent="0.35">
      <c r="B23" s="171" t="s">
        <v>313</v>
      </c>
      <c r="C23" s="171"/>
      <c r="D23" t="s">
        <v>314</v>
      </c>
      <c r="E23" s="175"/>
      <c r="F23" t="str">
        <f>IF(F22="",IF(OR(AND(E19&lt;=(R3-N7), Summary!I37="relative"),AND(E19&lt;=(R3-N7)/(J2+J2*Summary!I17), Summary!I37="absolute")),IF(OR(G19&gt;V3,I19&gt;W3), IF(N2=MIN(AH2:AH5), "failed max rise/fall time spec, recommendations:" &amp; CHAR(10) &amp; "-reduce MB trace length" &amp; CHAR(10) &amp; "-increase trace width (reduce MB trace resistance per length)", "failed max rise/fall time spec, recommendations:" &amp; CHAR(10) &amp; IF(OR(Summary!I24&gt;Summary!I22,Summary!I24&lt;Summary!I21),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Summary!I13</f>
        <v>0</v>
      </c>
      <c r="L24" t="s">
        <v>305</v>
      </c>
    </row>
    <row r="25" spans="1:26" x14ac:dyDescent="0.35">
      <c r="A25" t="s">
        <v>318</v>
      </c>
      <c r="B25" s="11">
        <f>C2*(1-D2)</f>
        <v>900000000000</v>
      </c>
      <c r="C25" s="11">
        <f>C2*(1-D2)</f>
        <v>900000000000</v>
      </c>
      <c r="K25" s="18">
        <f>Summary!I14</f>
        <v>1</v>
      </c>
      <c r="L25" t="s">
        <v>274</v>
      </c>
      <c r="N25" s="72" t="s">
        <v>319</v>
      </c>
    </row>
    <row r="26" spans="1:26" x14ac:dyDescent="0.35">
      <c r="A26" t="s">
        <v>320</v>
      </c>
      <c r="B26" s="11">
        <f>F11*(1-H11)</f>
        <v>446.5</v>
      </c>
      <c r="C26" s="11">
        <f>F11*(1-H11)</f>
        <v>446.5</v>
      </c>
      <c r="Q26" t="s">
        <v>321</v>
      </c>
    </row>
    <row r="27" spans="1:26" x14ac:dyDescent="0.35">
      <c r="A27" t="s">
        <v>322</v>
      </c>
      <c r="B27" s="11">
        <f>C3*(1-D3)</f>
        <v>900000000000</v>
      </c>
      <c r="C27" s="11">
        <f>C3*(1-D3)</f>
        <v>900000000000</v>
      </c>
      <c r="Q27" t="s">
        <v>323</v>
      </c>
    </row>
    <row r="28" spans="1:26" x14ac:dyDescent="0.35">
      <c r="A28" t="s">
        <v>324</v>
      </c>
      <c r="B28" s="1">
        <f>K21</f>
        <v>22.122405384810769</v>
      </c>
      <c r="C28">
        <v>0</v>
      </c>
      <c r="Q28" t="s">
        <v>325</v>
      </c>
      <c r="V28" t="s">
        <v>305</v>
      </c>
      <c r="W28" t="s">
        <v>274</v>
      </c>
      <c r="X28" t="s">
        <v>326</v>
      </c>
    </row>
    <row r="29" spans="1:26" x14ac:dyDescent="0.35">
      <c r="A29" t="s">
        <v>327</v>
      </c>
      <c r="B29">
        <v>0</v>
      </c>
      <c r="C29" s="1">
        <f>K21</f>
        <v>22.122405384810769</v>
      </c>
      <c r="F29" s="11"/>
      <c r="T29" t="s">
        <v>328</v>
      </c>
      <c r="U29">
        <f>IF(IF(ISBLANK(Summary!I25),IF(U30=W82,L30,U30),IF(Summary!I25=5%,L30,U30))=N130,"no solution",IF(ISBLANK(Summary!I25),IF(U30=W82,L30,U30),IF(Summary!I25=5%,L30,U30)))</f>
        <v>1600</v>
      </c>
      <c r="V29">
        <f>IFERROR(IF(X29=5%,VLOOKUP(1,M34:N129,2,FALSE),VLOOKUP(1,V34:W81,2,FALSE)),"no solution")</f>
        <v>430</v>
      </c>
      <c r="W29">
        <f>IF(U29="no solution","no solution",IF(X29=5%,VLOOKUP(MAX(M34:M129)-1,M34:N129,2,FALSE),VLOOKUP(MAX(V34:V81)-1,V34:W81,2,FALSE)))</f>
        <v>6200</v>
      </c>
      <c r="X29" s="64">
        <f>Summary!I25</f>
        <v>0.05</v>
      </c>
    </row>
    <row r="30" spans="1:26" x14ac:dyDescent="0.35">
      <c r="A30" t="s">
        <v>329</v>
      </c>
      <c r="B30" s="11">
        <f>F2*(1+H2)</f>
        <v>1100000000000</v>
      </c>
      <c r="C30" s="11">
        <f>F2*(1+H2)</f>
        <v>1100000000000</v>
      </c>
      <c r="K30" t="s">
        <v>330</v>
      </c>
      <c r="L30">
        <f>VLOOKUP(Q31,M34:Q154,2)</f>
        <v>1600</v>
      </c>
      <c r="T30" t="s">
        <v>331</v>
      </c>
      <c r="U30">
        <f>VLOOKUP(Z31,V34:W82,2)</f>
        <v>1800</v>
      </c>
    </row>
    <row r="31" spans="1:26" x14ac:dyDescent="0.35">
      <c r="A31" t="s">
        <v>332</v>
      </c>
      <c r="B31" s="11">
        <f>F12*(1+H12)</f>
        <v>1100000000</v>
      </c>
      <c r="C31" s="11">
        <f>F12*(1+H12)</f>
        <v>1100000000</v>
      </c>
      <c r="Q31" cm="1">
        <f t="array" ref="Q31">MAX(M34:M129+1)/2</f>
        <v>15.5</v>
      </c>
      <c r="Z31" cm="1">
        <f t="array" ref="Z31">MAX(V34:V81+1)/2</f>
        <v>8</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4.7907358629788475E-9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4.7907358629788475E-9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1.1744628837115299E-9</v>
      </c>
      <c r="S35" s="126">
        <f t="shared" si="4"/>
        <v>4.9449327284909522E-9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4.9449327284909522E-9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1.281232236772157E-9</v>
      </c>
      <c r="S36" s="126">
        <f t="shared" si="4"/>
        <v>5.0991295940021736E-9</v>
      </c>
      <c r="T36">
        <v>1</v>
      </c>
      <c r="U36">
        <v>15</v>
      </c>
      <c r="V36">
        <f t="shared" si="11"/>
        <v>0</v>
      </c>
      <c r="W36">
        <f t="shared" si="12"/>
        <v>15</v>
      </c>
      <c r="X36">
        <f t="shared" si="5"/>
        <v>13.5</v>
      </c>
      <c r="Y36">
        <f t="shared" si="6"/>
        <v>16.5</v>
      </c>
      <c r="Z36">
        <f t="shared" si="13"/>
        <v>0</v>
      </c>
      <c r="AA36" s="126">
        <f t="shared" si="14"/>
        <v>1.281232236772157E-9</v>
      </c>
      <c r="AB36" s="126">
        <f t="shared" si="15"/>
        <v>5.0991295940021736E-9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1.3880015898321084E-9</v>
      </c>
      <c r="S37" s="126">
        <f t="shared" si="4"/>
        <v>5.2533264595125131E-9</v>
      </c>
      <c r="T37">
        <v>1</v>
      </c>
      <c r="U37">
        <v>18</v>
      </c>
      <c r="V37">
        <f t="shared" si="11"/>
        <v>0</v>
      </c>
      <c r="W37">
        <f t="shared" si="12"/>
        <v>18</v>
      </c>
      <c r="X37">
        <f t="shared" si="5"/>
        <v>16.2</v>
      </c>
      <c r="Y37">
        <f t="shared" si="6"/>
        <v>19.8</v>
      </c>
      <c r="Z37">
        <f t="shared" si="13"/>
        <v>0</v>
      </c>
      <c r="AA37" s="126">
        <f t="shared" si="14"/>
        <v>1.3880015898321084E-9</v>
      </c>
      <c r="AB37" s="126">
        <f t="shared" si="15"/>
        <v>5.2533264595125131E-9</v>
      </c>
      <c r="AC37" s="126" t="str">
        <f t="shared" si="7"/>
        <v>Vlow exceeds VIL spec</v>
      </c>
      <c r="AD37" s="126" t="str">
        <f t="shared" si="8"/>
        <v>Vlow exceeds VIL spec</v>
      </c>
    </row>
    <row r="38" spans="1:30" x14ac:dyDescent="0.35">
      <c r="A38" t="s">
        <v>347</v>
      </c>
      <c r="B38" s="125">
        <f>IF(Summary!I50="absolute",(S2+N7)/(J3-J3*Summary!I18),S2+N7)</f>
        <v>0.72</v>
      </c>
      <c r="K38">
        <v>1</v>
      </c>
      <c r="L38">
        <v>15</v>
      </c>
      <c r="M38">
        <f t="shared" si="9"/>
        <v>0</v>
      </c>
      <c r="N38">
        <f t="shared" si="0"/>
        <v>15</v>
      </c>
      <c r="O38">
        <f t="shared" si="1"/>
        <v>14.25</v>
      </c>
      <c r="P38">
        <f t="shared" si="2"/>
        <v>15.75</v>
      </c>
      <c r="Q38">
        <f t="shared" si="10"/>
        <v>0</v>
      </c>
      <c r="R38" s="126">
        <f t="shared" si="3"/>
        <v>1.601540295949982E-9</v>
      </c>
      <c r="S38" s="126">
        <f t="shared" si="4"/>
        <v>5.5617201905305428E-9</v>
      </c>
      <c r="T38">
        <v>1</v>
      </c>
      <c r="U38">
        <v>22</v>
      </c>
      <c r="V38">
        <f t="shared" si="11"/>
        <v>0</v>
      </c>
      <c r="W38">
        <f t="shared" si="12"/>
        <v>22</v>
      </c>
      <c r="X38">
        <f t="shared" si="5"/>
        <v>19.8</v>
      </c>
      <c r="Y38">
        <f t="shared" si="6"/>
        <v>24.200000000000003</v>
      </c>
      <c r="Z38">
        <f t="shared" si="13"/>
        <v>0</v>
      </c>
      <c r="AA38" s="126">
        <f t="shared" si="14"/>
        <v>1.601540295949982E-9</v>
      </c>
      <c r="AB38" s="126">
        <f t="shared" si="15"/>
        <v>5.5617201905305428E-9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1.7083096490079043E-9</v>
      </c>
      <c r="S39" s="126">
        <f t="shared" si="4"/>
        <v>5.7159170560382321E-9</v>
      </c>
      <c r="T39">
        <v>1</v>
      </c>
      <c r="U39">
        <v>27</v>
      </c>
      <c r="V39">
        <f t="shared" si="11"/>
        <v>0</v>
      </c>
      <c r="W39">
        <f t="shared" si="12"/>
        <v>27</v>
      </c>
      <c r="X39">
        <f t="shared" si="5"/>
        <v>24.3</v>
      </c>
      <c r="Y39">
        <f t="shared" si="6"/>
        <v>29.700000000000003</v>
      </c>
      <c r="Z39">
        <f t="shared" si="13"/>
        <v>0</v>
      </c>
      <c r="AA39" s="126">
        <f t="shared" si="14"/>
        <v>1.7083096490079043E-9</v>
      </c>
      <c r="AB39" s="126">
        <f t="shared" si="15"/>
        <v>5.7159170560382321E-9</v>
      </c>
      <c r="AC39" s="126" t="str">
        <f t="shared" si="7"/>
        <v>Vlow exceeds VIL spec</v>
      </c>
      <c r="AD39" s="126" t="str">
        <f t="shared" si="8"/>
        <v>Vlow exceeds VIL spec</v>
      </c>
    </row>
    <row r="40" spans="1:30" x14ac:dyDescent="0.35">
      <c r="A40" t="s">
        <v>349</v>
      </c>
      <c r="C40" s="125">
        <f>IF(Summary!I37="absolute",(S3+N7)/(J2-J2*Summary!I17),S3+N7)</f>
        <v>0.72</v>
      </c>
      <c r="K40">
        <v>1</v>
      </c>
      <c r="L40">
        <v>18</v>
      </c>
      <c r="M40">
        <f t="shared" si="9"/>
        <v>0</v>
      </c>
      <c r="N40">
        <f t="shared" si="0"/>
        <v>18</v>
      </c>
      <c r="O40">
        <f t="shared" si="1"/>
        <v>17.099999999999998</v>
      </c>
      <c r="P40">
        <f t="shared" si="2"/>
        <v>18.900000000000002</v>
      </c>
      <c r="Q40">
        <f t="shared" si="10"/>
        <v>0</v>
      </c>
      <c r="R40" s="126">
        <f t="shared" si="3"/>
        <v>1.9218483551217202E-9</v>
      </c>
      <c r="S40" s="126">
        <f t="shared" si="4"/>
        <v>6.0243107870509612E-9</v>
      </c>
      <c r="T40">
        <v>1</v>
      </c>
      <c r="U40">
        <v>33</v>
      </c>
      <c r="V40">
        <f t="shared" si="11"/>
        <v>0</v>
      </c>
      <c r="W40">
        <f t="shared" si="12"/>
        <v>33</v>
      </c>
      <c r="X40">
        <f t="shared" si="5"/>
        <v>29.7</v>
      </c>
      <c r="Y40">
        <f t="shared" si="6"/>
        <v>36.300000000000004</v>
      </c>
      <c r="Z40">
        <f t="shared" si="13"/>
        <v>0</v>
      </c>
      <c r="AA40" s="126">
        <f t="shared" si="14"/>
        <v>1.9218483551217202E-9</v>
      </c>
      <c r="AB40" s="126">
        <f t="shared" si="15"/>
        <v>6.0243107870509612E-9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2.1353870612328322E-9</v>
      </c>
      <c r="S41" s="126">
        <f t="shared" si="4"/>
        <v>6.332704518060159E-9</v>
      </c>
      <c r="T41">
        <v>1</v>
      </c>
      <c r="U41">
        <v>39</v>
      </c>
      <c r="V41">
        <f t="shared" si="11"/>
        <v>0</v>
      </c>
      <c r="W41">
        <f t="shared" si="12"/>
        <v>39</v>
      </c>
      <c r="X41">
        <f t="shared" si="5"/>
        <v>35.1</v>
      </c>
      <c r="Y41">
        <f t="shared" si="6"/>
        <v>42.900000000000006</v>
      </c>
      <c r="Z41">
        <f t="shared" si="13"/>
        <v>0</v>
      </c>
      <c r="AA41" s="126">
        <f t="shared" si="14"/>
        <v>2.1353870612328322E-9</v>
      </c>
      <c r="AB41" s="126">
        <f t="shared" si="15"/>
        <v>6.332704518060159E-9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0.99999959325914534</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0.99999959327925669</v>
      </c>
      <c r="K42">
        <v>1</v>
      </c>
      <c r="L42">
        <v>22</v>
      </c>
      <c r="M42">
        <f t="shared" si="9"/>
        <v>0</v>
      </c>
      <c r="N42">
        <f t="shared" si="0"/>
        <v>22</v>
      </c>
      <c r="O42">
        <f t="shared" si="1"/>
        <v>20.9</v>
      </c>
      <c r="P42">
        <f t="shared" si="2"/>
        <v>23.1</v>
      </c>
      <c r="Q42">
        <f t="shared" si="10"/>
        <v>0</v>
      </c>
      <c r="R42" s="126">
        <f t="shared" si="3"/>
        <v>2.3489257673412385E-9</v>
      </c>
      <c r="S42" s="126">
        <f t="shared" si="4"/>
        <v>6.6410982490658232E-9</v>
      </c>
      <c r="T42">
        <v>1</v>
      </c>
      <c r="U42">
        <v>47</v>
      </c>
      <c r="V42">
        <f t="shared" si="11"/>
        <v>0</v>
      </c>
      <c r="W42">
        <f t="shared" si="12"/>
        <v>47</v>
      </c>
      <c r="X42">
        <f t="shared" si="5"/>
        <v>42.300000000000004</v>
      </c>
      <c r="Y42">
        <f t="shared" si="6"/>
        <v>51.7</v>
      </c>
      <c r="Z42">
        <f t="shared" si="13"/>
        <v>0</v>
      </c>
      <c r="AA42" s="126">
        <f t="shared" si="14"/>
        <v>2.3489257673412385E-9</v>
      </c>
      <c r="AB42" s="126">
        <f t="shared" si="15"/>
        <v>6.6410982490658232E-9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0.99999959327925669</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0.99999959327925669</v>
      </c>
      <c r="K43">
        <v>1</v>
      </c>
      <c r="L43">
        <v>24</v>
      </c>
      <c r="M43">
        <f t="shared" si="9"/>
        <v>0</v>
      </c>
      <c r="N43">
        <f t="shared" si="0"/>
        <v>24</v>
      </c>
      <c r="O43">
        <f t="shared" si="1"/>
        <v>22.799999999999997</v>
      </c>
      <c r="P43">
        <f t="shared" si="2"/>
        <v>25.200000000000003</v>
      </c>
      <c r="Q43">
        <f t="shared" si="10"/>
        <v>0</v>
      </c>
      <c r="R43" s="126">
        <f t="shared" si="3"/>
        <v>2.5624644734469403E-9</v>
      </c>
      <c r="S43" s="126">
        <f t="shared" si="4"/>
        <v>6.9494919800679569E-9</v>
      </c>
      <c r="T43">
        <v>1</v>
      </c>
      <c r="U43">
        <v>56</v>
      </c>
      <c r="V43">
        <f t="shared" si="11"/>
        <v>0</v>
      </c>
      <c r="W43">
        <f t="shared" si="12"/>
        <v>56</v>
      </c>
      <c r="X43">
        <f t="shared" si="5"/>
        <v>50.4</v>
      </c>
      <c r="Y43">
        <f t="shared" si="6"/>
        <v>61.600000000000009</v>
      </c>
      <c r="Z43">
        <f t="shared" si="13"/>
        <v>0</v>
      </c>
      <c r="AA43" s="126">
        <f t="shared" si="14"/>
        <v>2.5624644734469403E-9</v>
      </c>
      <c r="AB43" s="126">
        <f t="shared" si="15"/>
        <v>6.9494919800679569E-9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0.99999959327925669</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0.99999959325914534</v>
      </c>
      <c r="K44">
        <v>1</v>
      </c>
      <c r="L44">
        <v>27</v>
      </c>
      <c r="M44">
        <f t="shared" si="9"/>
        <v>0</v>
      </c>
      <c r="N44">
        <f t="shared" si="0"/>
        <v>27</v>
      </c>
      <c r="O44">
        <f t="shared" si="1"/>
        <v>25.65</v>
      </c>
      <c r="P44">
        <f t="shared" si="2"/>
        <v>28.35</v>
      </c>
      <c r="Q44">
        <f t="shared" si="10"/>
        <v>0</v>
      </c>
      <c r="R44" s="126">
        <f t="shared" si="3"/>
        <v>2.8827725326004216E-9</v>
      </c>
      <c r="S44" s="126">
        <f t="shared" si="4"/>
        <v>7.412082576564531E-9</v>
      </c>
      <c r="T44">
        <v>1</v>
      </c>
      <c r="U44">
        <v>68</v>
      </c>
      <c r="V44">
        <f t="shared" si="11"/>
        <v>0</v>
      </c>
      <c r="W44">
        <f t="shared" si="12"/>
        <v>68</v>
      </c>
      <c r="X44">
        <f t="shared" si="5"/>
        <v>61.2</v>
      </c>
      <c r="Y44">
        <f t="shared" si="6"/>
        <v>74.800000000000011</v>
      </c>
      <c r="Z44">
        <f t="shared" si="13"/>
        <v>0</v>
      </c>
      <c r="AA44" s="126">
        <f t="shared" si="14"/>
        <v>2.8827725326004216E-9</v>
      </c>
      <c r="AB44" s="126">
        <f t="shared" si="15"/>
        <v>7.412082576564531E-9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3.2030805917478173E-9</v>
      </c>
      <c r="S45" s="126">
        <f t="shared" si="4"/>
        <v>7.8746731730531583E-9</v>
      </c>
      <c r="T45">
        <v>1</v>
      </c>
      <c r="U45">
        <v>82</v>
      </c>
      <c r="V45">
        <f t="shared" si="11"/>
        <v>0</v>
      </c>
      <c r="W45">
        <f t="shared" si="12"/>
        <v>82</v>
      </c>
      <c r="X45">
        <f t="shared" si="5"/>
        <v>73.8</v>
      </c>
      <c r="Y45">
        <f t="shared" si="6"/>
        <v>90.2</v>
      </c>
      <c r="Z45">
        <f t="shared" si="13"/>
        <v>0</v>
      </c>
      <c r="AA45" s="126">
        <f t="shared" si="14"/>
        <v>3.2030805917478173E-9</v>
      </c>
      <c r="AB45" s="126">
        <f t="shared" si="15"/>
        <v>7.8746731730531583E-9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3.5233886508891263E-9</v>
      </c>
      <c r="S46" s="126">
        <f t="shared" si="4"/>
        <v>8.3372637695338381E-9</v>
      </c>
      <c r="T46">
        <v>10</v>
      </c>
      <c r="U46">
        <v>10</v>
      </c>
      <c r="V46">
        <f t="shared" si="11"/>
        <v>0</v>
      </c>
      <c r="W46">
        <f t="shared" si="12"/>
        <v>100</v>
      </c>
      <c r="X46">
        <f t="shared" si="5"/>
        <v>90</v>
      </c>
      <c r="Y46">
        <f t="shared" si="6"/>
        <v>110.00000000000001</v>
      </c>
      <c r="Z46">
        <f t="shared" si="13"/>
        <v>0</v>
      </c>
      <c r="AA46" s="126">
        <f t="shared" si="14"/>
        <v>3.5233886508891263E-9</v>
      </c>
      <c r="AB46" s="126">
        <f t="shared" si="15"/>
        <v>8.3372637695338381E-9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3.8436967100243492E-9</v>
      </c>
      <c r="S47" s="126">
        <f t="shared" si="4"/>
        <v>8.7998543660065687E-9</v>
      </c>
      <c r="T47">
        <v>10</v>
      </c>
      <c r="U47">
        <v>12</v>
      </c>
      <c r="V47">
        <f t="shared" si="11"/>
        <v>0</v>
      </c>
      <c r="W47">
        <f>U47*T47</f>
        <v>120</v>
      </c>
      <c r="X47">
        <f t="shared" si="5"/>
        <v>108</v>
      </c>
      <c r="Y47">
        <f t="shared" si="6"/>
        <v>132</v>
      </c>
      <c r="Z47">
        <f t="shared" si="13"/>
        <v>0</v>
      </c>
      <c r="AA47" s="126">
        <f t="shared" si="14"/>
        <v>3.8436967100243492E-9</v>
      </c>
      <c r="AB47" s="126">
        <f t="shared" si="15"/>
        <v>8.7998543660065687E-9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4.164004769153487E-9</v>
      </c>
      <c r="S48" s="126">
        <f t="shared" si="4"/>
        <v>9.2624449624713517E-9</v>
      </c>
      <c r="T48">
        <v>10</v>
      </c>
      <c r="U48">
        <v>15</v>
      </c>
      <c r="V48">
        <f t="shared" si="11"/>
        <v>0</v>
      </c>
      <c r="W48">
        <f t="shared" si="12"/>
        <v>150</v>
      </c>
      <c r="X48">
        <f t="shared" si="5"/>
        <v>135</v>
      </c>
      <c r="Y48">
        <f t="shared" si="6"/>
        <v>165</v>
      </c>
      <c r="Z48">
        <f t="shared" si="13"/>
        <v>0</v>
      </c>
      <c r="AA48" s="126">
        <f t="shared" si="14"/>
        <v>4.164004769153487E-9</v>
      </c>
      <c r="AB48" s="126">
        <f t="shared" si="15"/>
        <v>9.2624449624713517E-9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4.5910821813162061E-9</v>
      </c>
      <c r="S49" s="126">
        <f t="shared" si="4"/>
        <v>9.8792324244120321E-9</v>
      </c>
      <c r="T49">
        <v>10</v>
      </c>
      <c r="U49">
        <v>18</v>
      </c>
      <c r="V49">
        <f t="shared" si="11"/>
        <v>0</v>
      </c>
      <c r="W49">
        <f t="shared" si="12"/>
        <v>180</v>
      </c>
      <c r="X49">
        <f t="shared" si="5"/>
        <v>162</v>
      </c>
      <c r="Y49">
        <f t="shared" si="6"/>
        <v>198.00000000000003</v>
      </c>
      <c r="Z49">
        <f t="shared" si="13"/>
        <v>0</v>
      </c>
      <c r="AA49" s="126">
        <f t="shared" si="14"/>
        <v>4.5910821813162061E-9</v>
      </c>
      <c r="AB49" s="126">
        <f t="shared" si="15"/>
        <v>9.8792324244120321E-9</v>
      </c>
      <c r="AC49" s="126" t="str">
        <f t="shared" si="7"/>
        <v>Vlow exceeds VIL spec</v>
      </c>
      <c r="AD49" s="126" t="str">
        <f t="shared" si="8"/>
        <v>Vlow exceeds VIL spec</v>
      </c>
    </row>
    <row r="50" spans="1:30" x14ac:dyDescent="0.35">
      <c r="A50" t="s">
        <v>320</v>
      </c>
      <c r="B50" s="11">
        <f>F11*(1+H11)</f>
        <v>493.5</v>
      </c>
      <c r="C50" s="11">
        <f>F11*(1+H11)</f>
        <v>493.5</v>
      </c>
      <c r="K50">
        <v>1</v>
      </c>
      <c r="L50">
        <v>47</v>
      </c>
      <c r="M50">
        <f t="shared" si="9"/>
        <v>0</v>
      </c>
      <c r="N50">
        <f t="shared" si="0"/>
        <v>47</v>
      </c>
      <c r="O50">
        <f t="shared" si="1"/>
        <v>44.65</v>
      </c>
      <c r="P50">
        <f t="shared" si="2"/>
        <v>49.35</v>
      </c>
      <c r="Q50">
        <f t="shared" si="10"/>
        <v>0</v>
      </c>
      <c r="R50" s="126">
        <f t="shared" si="3"/>
        <v>5.0181595934681032E-9</v>
      </c>
      <c r="S50" s="126">
        <f t="shared" si="4"/>
        <v>1.0496019886338583E-8</v>
      </c>
      <c r="T50">
        <v>10</v>
      </c>
      <c r="U50">
        <v>22</v>
      </c>
      <c r="V50">
        <f t="shared" si="11"/>
        <v>0</v>
      </c>
      <c r="W50">
        <f t="shared" si="12"/>
        <v>220</v>
      </c>
      <c r="X50">
        <f t="shared" si="5"/>
        <v>198</v>
      </c>
      <c r="Y50">
        <f t="shared" si="6"/>
        <v>242.00000000000003</v>
      </c>
      <c r="Z50">
        <f t="shared" si="13"/>
        <v>0</v>
      </c>
      <c r="AA50" s="126">
        <f t="shared" si="14"/>
        <v>5.0181595934681032E-9</v>
      </c>
      <c r="AB50" s="126">
        <f t="shared" si="15"/>
        <v>1.0496019886338583E-8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5.44523700560918E-9</v>
      </c>
      <c r="S51" s="126">
        <f t="shared" si="4"/>
        <v>1.1112807348251003E-8</v>
      </c>
      <c r="T51">
        <v>10</v>
      </c>
      <c r="U51">
        <v>27</v>
      </c>
      <c r="V51">
        <f t="shared" si="11"/>
        <v>0</v>
      </c>
      <c r="W51">
        <f t="shared" si="12"/>
        <v>270</v>
      </c>
      <c r="X51">
        <f t="shared" si="5"/>
        <v>243</v>
      </c>
      <c r="Y51">
        <f t="shared" si="6"/>
        <v>297</v>
      </c>
      <c r="Z51">
        <f t="shared" si="13"/>
        <v>0</v>
      </c>
      <c r="AA51" s="126">
        <f t="shared" si="14"/>
        <v>5.44523700560918E-9</v>
      </c>
      <c r="AB51" s="126">
        <f t="shared" si="15"/>
        <v>1.1112807348251003E-8</v>
      </c>
      <c r="AC51" s="126" t="str">
        <f t="shared" si="7"/>
        <v>Vlow exceeds VIL spec</v>
      </c>
      <c r="AD51" s="126" t="str">
        <f t="shared" si="8"/>
        <v>Vlow exceeds VIL spec</v>
      </c>
    </row>
    <row r="52" spans="1:30" x14ac:dyDescent="0.35">
      <c r="A52" t="s">
        <v>324</v>
      </c>
      <c r="B52" s="1">
        <f>K21</f>
        <v>22.122405384810769</v>
      </c>
      <c r="C52">
        <v>0</v>
      </c>
      <c r="K52">
        <v>1</v>
      </c>
      <c r="L52">
        <v>56</v>
      </c>
      <c r="M52">
        <f t="shared" si="9"/>
        <v>0</v>
      </c>
      <c r="N52">
        <f t="shared" si="0"/>
        <v>56</v>
      </c>
      <c r="O52">
        <f t="shared" si="1"/>
        <v>53.199999999999996</v>
      </c>
      <c r="P52">
        <f t="shared" si="2"/>
        <v>58.800000000000004</v>
      </c>
      <c r="Q52">
        <f t="shared" si="10"/>
        <v>0</v>
      </c>
      <c r="R52" s="126">
        <f t="shared" si="3"/>
        <v>5.9790837707703136E-9</v>
      </c>
      <c r="S52" s="126">
        <f t="shared" si="4"/>
        <v>1.1883791675621658E-8</v>
      </c>
      <c r="T52">
        <v>10</v>
      </c>
      <c r="U52">
        <v>33</v>
      </c>
      <c r="V52">
        <f t="shared" si="11"/>
        <v>0</v>
      </c>
      <c r="W52">
        <f t="shared" si="12"/>
        <v>330</v>
      </c>
      <c r="X52">
        <f t="shared" si="5"/>
        <v>297</v>
      </c>
      <c r="Y52">
        <f t="shared" si="6"/>
        <v>363.00000000000006</v>
      </c>
      <c r="Z52">
        <f t="shared" si="13"/>
        <v>0</v>
      </c>
      <c r="AA52" s="126">
        <f t="shared" si="14"/>
        <v>5.9790837707703136E-9</v>
      </c>
      <c r="AB52" s="126">
        <f t="shared" si="15"/>
        <v>1.1883791675621658E-8</v>
      </c>
      <c r="AC52" s="126" t="str">
        <f t="shared" si="7"/>
        <v>Vlow exceeds VIL spec</v>
      </c>
      <c r="AD52" s="126" t="str">
        <f t="shared" si="8"/>
        <v>Vlow exceeds VIL spec</v>
      </c>
    </row>
    <row r="53" spans="1:30" x14ac:dyDescent="0.35">
      <c r="A53" t="s">
        <v>327</v>
      </c>
      <c r="B53">
        <v>0</v>
      </c>
      <c r="C53" s="1">
        <f>K21</f>
        <v>22.122405384810769</v>
      </c>
      <c r="K53">
        <v>1</v>
      </c>
      <c r="L53">
        <v>62</v>
      </c>
      <c r="M53">
        <f t="shared" si="9"/>
        <v>0</v>
      </c>
      <c r="N53">
        <f t="shared" si="0"/>
        <v>62</v>
      </c>
      <c r="O53">
        <f t="shared" si="1"/>
        <v>58.9</v>
      </c>
      <c r="P53">
        <f t="shared" si="2"/>
        <v>65.100000000000009</v>
      </c>
      <c r="Q53">
        <f t="shared" si="10"/>
        <v>0</v>
      </c>
      <c r="R53" s="126">
        <f t="shared" si="3"/>
        <v>6.6196998889413597E-9</v>
      </c>
      <c r="S53" s="126">
        <f t="shared" si="4"/>
        <v>1.2808972868437298E-8</v>
      </c>
      <c r="T53">
        <v>10</v>
      </c>
      <c r="U53">
        <v>39</v>
      </c>
      <c r="V53">
        <f t="shared" si="11"/>
        <v>0</v>
      </c>
      <c r="W53">
        <f t="shared" si="12"/>
        <v>390</v>
      </c>
      <c r="X53">
        <f t="shared" si="5"/>
        <v>351</v>
      </c>
      <c r="Y53">
        <f t="shared" si="6"/>
        <v>429.00000000000006</v>
      </c>
      <c r="Z53">
        <f t="shared" si="13"/>
        <v>0</v>
      </c>
      <c r="AA53" s="126">
        <f t="shared" si="14"/>
        <v>6.6196998889413597E-9</v>
      </c>
      <c r="AB53" s="126">
        <f t="shared" si="15"/>
        <v>1.2808972868437298E-8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7.2603160070880602E-9</v>
      </c>
      <c r="S54" s="126">
        <f t="shared" si="4"/>
        <v>1.3734154061221149E-8</v>
      </c>
      <c r="T54">
        <v>10</v>
      </c>
      <c r="U54">
        <v>47</v>
      </c>
      <c r="V54">
        <f t="shared" si="11"/>
        <v>1</v>
      </c>
      <c r="W54">
        <f t="shared" si="12"/>
        <v>470</v>
      </c>
      <c r="X54">
        <f t="shared" si="5"/>
        <v>423</v>
      </c>
      <c r="Y54">
        <f t="shared" si="6"/>
        <v>517</v>
      </c>
      <c r="Z54">
        <f t="shared" si="13"/>
        <v>1</v>
      </c>
      <c r="AA54" s="126">
        <f t="shared" si="14"/>
        <v>7.2603160070880602E-9</v>
      </c>
      <c r="AB54" s="126">
        <f t="shared" si="15"/>
        <v>1.3734154061221149E-8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8.0077014782284446E-9</v>
      </c>
      <c r="S55" s="126">
        <f t="shared" si="4"/>
        <v>1.4813532119428789E-8</v>
      </c>
      <c r="T55">
        <v>10</v>
      </c>
      <c r="U55">
        <v>56</v>
      </c>
      <c r="V55">
        <f t="shared" si="11"/>
        <v>2</v>
      </c>
      <c r="W55">
        <f t="shared" si="12"/>
        <v>560</v>
      </c>
      <c r="X55">
        <f t="shared" si="5"/>
        <v>504</v>
      </c>
      <c r="Y55">
        <f t="shared" si="6"/>
        <v>616</v>
      </c>
      <c r="Z55">
        <f t="shared" si="13"/>
        <v>1</v>
      </c>
      <c r="AA55" s="126">
        <f t="shared" si="14"/>
        <v>8.0077014782284446E-9</v>
      </c>
      <c r="AB55" s="126">
        <f t="shared" si="15"/>
        <v>1.4813532119428789E-8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8.7550869493356963E-9</v>
      </c>
      <c r="S56" s="126">
        <f t="shared" si="4"/>
        <v>1.5892910177593163E-8</v>
      </c>
      <c r="T56">
        <v>10</v>
      </c>
      <c r="U56">
        <v>68</v>
      </c>
      <c r="V56">
        <f t="shared" si="11"/>
        <v>3</v>
      </c>
      <c r="W56">
        <f t="shared" si="12"/>
        <v>680</v>
      </c>
      <c r="X56">
        <f t="shared" si="5"/>
        <v>612</v>
      </c>
      <c r="Y56">
        <f t="shared" si="6"/>
        <v>748.00000000000011</v>
      </c>
      <c r="Z56">
        <f t="shared" si="13"/>
        <v>1</v>
      </c>
      <c r="AA56" s="126">
        <f t="shared" si="14"/>
        <v>8.7550869493356963E-9</v>
      </c>
      <c r="AB56" s="126">
        <f t="shared" si="15"/>
        <v>1.5892910177593163E-8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9.7160111264249028E-9</v>
      </c>
      <c r="S57" s="126">
        <f t="shared" si="4"/>
        <v>1.7280681966598049E-8</v>
      </c>
      <c r="T57">
        <v>10</v>
      </c>
      <c r="U57">
        <v>82</v>
      </c>
      <c r="V57">
        <f t="shared" si="11"/>
        <v>4</v>
      </c>
      <c r="W57">
        <f t="shared" si="12"/>
        <v>820</v>
      </c>
      <c r="X57">
        <f t="shared" si="5"/>
        <v>738</v>
      </c>
      <c r="Y57">
        <f t="shared" si="6"/>
        <v>902.00000000000011</v>
      </c>
      <c r="Z57">
        <f t="shared" si="13"/>
        <v>1</v>
      </c>
      <c r="AA57" s="126">
        <f t="shared" si="14"/>
        <v>9.7160111264249028E-9</v>
      </c>
      <c r="AB57" s="126">
        <f t="shared" si="15"/>
        <v>1.7280681966598049E-8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1.0676935303459338E-8</v>
      </c>
      <c r="S58" s="126">
        <f t="shared" si="4"/>
        <v>1.8668453755531403E-8</v>
      </c>
      <c r="T58">
        <v>100</v>
      </c>
      <c r="U58">
        <v>10</v>
      </c>
      <c r="V58">
        <f t="shared" si="11"/>
        <v>5</v>
      </c>
      <c r="W58">
        <f t="shared" si="12"/>
        <v>1000</v>
      </c>
      <c r="X58">
        <f t="shared" si="5"/>
        <v>900</v>
      </c>
      <c r="Y58">
        <f t="shared" si="6"/>
        <v>1100</v>
      </c>
      <c r="Z58">
        <f t="shared" si="13"/>
        <v>1</v>
      </c>
      <c r="AA58" s="126">
        <f t="shared" si="14"/>
        <v>1.0676935303459338E-8</v>
      </c>
      <c r="AB58" s="126">
        <f t="shared" si="15"/>
        <v>1.8668453755531403E-8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1.1744628833433358E-8</v>
      </c>
      <c r="S59" s="126">
        <f t="shared" si="4"/>
        <v>2.0210422409817902E-8</v>
      </c>
      <c r="T59">
        <v>100</v>
      </c>
      <c r="U59">
        <v>12</v>
      </c>
      <c r="V59">
        <f t="shared" si="11"/>
        <v>6</v>
      </c>
      <c r="W59">
        <f t="shared" si="12"/>
        <v>1200</v>
      </c>
      <c r="X59">
        <f t="shared" si="5"/>
        <v>1080</v>
      </c>
      <c r="Y59">
        <f t="shared" si="6"/>
        <v>1320</v>
      </c>
      <c r="Z59">
        <f t="shared" si="13"/>
        <v>1</v>
      </c>
      <c r="AA59" s="126">
        <f t="shared" si="14"/>
        <v>1.1744628833433358E-8</v>
      </c>
      <c r="AB59" s="126">
        <f t="shared" si="15"/>
        <v>2.0210422409817902E-8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1.2812322363339758E-8</v>
      </c>
      <c r="S60" s="126">
        <f t="shared" si="4"/>
        <v>2.1752391064016091E-8</v>
      </c>
      <c r="T60">
        <v>100</v>
      </c>
      <c r="U60">
        <v>15</v>
      </c>
      <c r="V60">
        <f t="shared" si="11"/>
        <v>7</v>
      </c>
      <c r="W60">
        <f t="shared" si="12"/>
        <v>1500</v>
      </c>
      <c r="X60">
        <f t="shared" si="5"/>
        <v>1350</v>
      </c>
      <c r="Y60">
        <f t="shared" si="6"/>
        <v>1650.0000000000002</v>
      </c>
      <c r="Z60">
        <f t="shared" si="13"/>
        <v>1</v>
      </c>
      <c r="AA60" s="126">
        <f t="shared" si="14"/>
        <v>1.2812322363339758E-8</v>
      </c>
      <c r="AB60" s="126">
        <f t="shared" si="15"/>
        <v>2.1752391064016091E-8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1.3880015893178537E-8</v>
      </c>
      <c r="S61" s="126">
        <f t="shared" si="4"/>
        <v>2.329435971812596E-8</v>
      </c>
      <c r="T61">
        <v>100</v>
      </c>
      <c r="U61">
        <v>18</v>
      </c>
      <c r="V61">
        <f t="shared" si="11"/>
        <v>8</v>
      </c>
      <c r="W61">
        <f t="shared" si="12"/>
        <v>1800</v>
      </c>
      <c r="X61">
        <f t="shared" si="5"/>
        <v>1620</v>
      </c>
      <c r="Y61">
        <f t="shared" si="6"/>
        <v>1980.0000000000002</v>
      </c>
      <c r="Z61">
        <f t="shared" si="13"/>
        <v>1</v>
      </c>
      <c r="AA61" s="126">
        <f t="shared" si="14"/>
        <v>1.3880015893178537E-8</v>
      </c>
      <c r="AB61" s="126">
        <f t="shared" si="15"/>
        <v>2.329435971812596E-8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0.99999945054572204</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0.99999945057030237</v>
      </c>
      <c r="K62">
        <v>10</v>
      </c>
      <c r="L62">
        <v>15</v>
      </c>
      <c r="M62">
        <f t="shared" si="9"/>
        <v>0</v>
      </c>
      <c r="N62">
        <f t="shared" si="0"/>
        <v>150</v>
      </c>
      <c r="O62">
        <f t="shared" si="1"/>
        <v>142.5</v>
      </c>
      <c r="P62">
        <f t="shared" si="2"/>
        <v>157.5</v>
      </c>
      <c r="Q62">
        <f t="shared" si="10"/>
        <v>0</v>
      </c>
      <c r="R62" s="126">
        <f t="shared" si="3"/>
        <v>1.6015402952653235E-8</v>
      </c>
      <c r="S62" s="126">
        <f t="shared" si="4"/>
        <v>2.6378297026080768E-8</v>
      </c>
      <c r="T62">
        <v>100</v>
      </c>
      <c r="U62">
        <v>22</v>
      </c>
      <c r="V62">
        <f t="shared" si="11"/>
        <v>9</v>
      </c>
      <c r="W62">
        <f t="shared" si="12"/>
        <v>2200</v>
      </c>
      <c r="X62">
        <f t="shared" si="5"/>
        <v>1980</v>
      </c>
      <c r="Y62">
        <f t="shared" si="6"/>
        <v>2420</v>
      </c>
      <c r="Z62">
        <f t="shared" si="13"/>
        <v>1</v>
      </c>
      <c r="AA62" s="126">
        <f t="shared" si="14"/>
        <v>1.6015402952653235E-8</v>
      </c>
      <c r="AB62" s="126">
        <f t="shared" si="15"/>
        <v>2.6378297026080768E-8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0.99999945057030237</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0.99999945057030237</v>
      </c>
      <c r="K63">
        <v>10</v>
      </c>
      <c r="L63">
        <v>16</v>
      </c>
      <c r="M63">
        <f t="shared" si="9"/>
        <v>0</v>
      </c>
      <c r="N63">
        <f t="shared" si="0"/>
        <v>160</v>
      </c>
      <c r="O63">
        <f t="shared" si="1"/>
        <v>152</v>
      </c>
      <c r="P63">
        <f t="shared" si="2"/>
        <v>168</v>
      </c>
      <c r="Q63">
        <f t="shared" si="10"/>
        <v>0</v>
      </c>
      <c r="R63" s="126">
        <f t="shared" si="3"/>
        <v>1.7083096482289151E-8</v>
      </c>
      <c r="S63" s="126">
        <f t="shared" si="4"/>
        <v>2.7920265679925704E-8</v>
      </c>
      <c r="T63">
        <v>100</v>
      </c>
      <c r="U63">
        <v>27</v>
      </c>
      <c r="V63">
        <f t="shared" si="11"/>
        <v>10</v>
      </c>
      <c r="W63">
        <f t="shared" si="12"/>
        <v>2700</v>
      </c>
      <c r="X63">
        <f t="shared" si="5"/>
        <v>2430</v>
      </c>
      <c r="Y63">
        <f t="shared" si="6"/>
        <v>2970.0000000000005</v>
      </c>
      <c r="Z63">
        <f t="shared" si="13"/>
        <v>1</v>
      </c>
      <c r="AA63" s="126">
        <f t="shared" si="14"/>
        <v>1.7083096482289151E-8</v>
      </c>
      <c r="AB63" s="126">
        <f t="shared" si="15"/>
        <v>2.7920265679925704E-8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0.99999945057030237</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0.99999945054572204</v>
      </c>
      <c r="K64">
        <v>10</v>
      </c>
      <c r="L64">
        <v>18</v>
      </c>
      <c r="M64">
        <f t="shared" si="9"/>
        <v>0</v>
      </c>
      <c r="N64">
        <f t="shared" si="0"/>
        <v>180</v>
      </c>
      <c r="O64">
        <f t="shared" si="1"/>
        <v>171</v>
      </c>
      <c r="P64">
        <f t="shared" si="2"/>
        <v>189</v>
      </c>
      <c r="Q64">
        <f t="shared" si="10"/>
        <v>0</v>
      </c>
      <c r="R64" s="126">
        <f t="shared" si="3"/>
        <v>1.9218483541358125E-8</v>
      </c>
      <c r="S64" s="126">
        <f t="shared" si="4"/>
        <v>3.1004202987350634E-8</v>
      </c>
      <c r="T64">
        <v>100</v>
      </c>
      <c r="U64">
        <v>33</v>
      </c>
      <c r="V64">
        <f t="shared" si="11"/>
        <v>11</v>
      </c>
      <c r="W64">
        <f t="shared" si="12"/>
        <v>3300</v>
      </c>
      <c r="X64">
        <f t="shared" si="5"/>
        <v>2970</v>
      </c>
      <c r="Y64">
        <f t="shared" si="6"/>
        <v>3630.0000000000005</v>
      </c>
      <c r="Z64">
        <f t="shared" si="13"/>
        <v>1</v>
      </c>
      <c r="AA64" s="126">
        <f t="shared" si="14"/>
        <v>1.9218483541358125E-8</v>
      </c>
      <c r="AB64" s="126">
        <f t="shared" si="15"/>
        <v>3.1004202987350634E-8</v>
      </c>
      <c r="AC64" s="126" t="str">
        <f t="shared" si="7"/>
        <v>Vlow exceeds VIL spec</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2.1353870600156614E-8</v>
      </c>
      <c r="S65" s="126">
        <f t="shared" si="4"/>
        <v>3.4088140294422305E-8</v>
      </c>
      <c r="T65">
        <v>100</v>
      </c>
      <c r="U65">
        <v>39</v>
      </c>
      <c r="V65">
        <f t="shared" si="11"/>
        <v>12</v>
      </c>
      <c r="W65">
        <f t="shared" si="12"/>
        <v>3900</v>
      </c>
      <c r="X65">
        <f t="shared" si="5"/>
        <v>3510</v>
      </c>
      <c r="Y65">
        <f t="shared" si="6"/>
        <v>4290</v>
      </c>
      <c r="Z65">
        <f t="shared" si="13"/>
        <v>1</v>
      </c>
      <c r="AA65" s="126">
        <f t="shared" si="14"/>
        <v>2.1353870600156614E-8</v>
      </c>
      <c r="AB65" s="126">
        <f t="shared" si="15"/>
        <v>3.4088140294422305E-8</v>
      </c>
      <c r="AC65" s="126" t="str">
        <f t="shared" si="7"/>
        <v>Vlow exceeds VIL spec</v>
      </c>
      <c r="AD65" s="126">
        <f t="shared" si="8"/>
        <v>5.4151340308706354E-8</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2.3489257658684622E-8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3.7172077601140743E-8</v>
      </c>
      <c r="T66">
        <v>100</v>
      </c>
      <c r="U66">
        <v>47</v>
      </c>
      <c r="V66">
        <f t="shared" si="11"/>
        <v>13</v>
      </c>
      <c r="W66">
        <f t="shared" si="12"/>
        <v>4700</v>
      </c>
      <c r="X66">
        <f t="shared" si="5"/>
        <v>4230</v>
      </c>
      <c r="Y66">
        <f t="shared" si="6"/>
        <v>5170</v>
      </c>
      <c r="Z66">
        <f t="shared" si="13"/>
        <v>1</v>
      </c>
      <c r="AA66" s="126">
        <f t="shared" si="14"/>
        <v>2.3489257658684622E-8</v>
      </c>
      <c r="AB66" s="126">
        <f t="shared" si="15"/>
        <v>3.7172077601140743E-8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3.6527146650277372E-8</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2.5624644716942152E-8</v>
      </c>
      <c r="S67" s="126">
        <f t="shared" si="17"/>
        <v>4.0256014907505916E-8</v>
      </c>
      <c r="T67">
        <v>100</v>
      </c>
      <c r="U67">
        <v>56</v>
      </c>
      <c r="V67">
        <f t="shared" si="11"/>
        <v>14</v>
      </c>
      <c r="W67">
        <f t="shared" si="12"/>
        <v>5600</v>
      </c>
      <c r="X67">
        <f t="shared" si="5"/>
        <v>5040</v>
      </c>
      <c r="Y67">
        <f t="shared" si="6"/>
        <v>6160.0000000000009</v>
      </c>
      <c r="Z67">
        <f t="shared" si="13"/>
        <v>1</v>
      </c>
      <c r="AA67" s="126">
        <f t="shared" si="14"/>
        <v>2.5624644716942152E-8</v>
      </c>
      <c r="AB67" s="126">
        <f t="shared" si="15"/>
        <v>4.0256014907505916E-8</v>
      </c>
      <c r="AC67" s="126" t="str">
        <f t="shared" si="18"/>
        <v>Vlow exceeds VIL spec</v>
      </c>
      <c r="AD67" s="126">
        <f t="shared" si="19"/>
        <v>3.09432381885188E-8</v>
      </c>
    </row>
    <row r="68" spans="1:31" ht="28.4" customHeight="1" x14ac:dyDescent="0.35">
      <c r="B68" s="32" t="s">
        <v>355</v>
      </c>
      <c r="C68" s="32" t="s">
        <v>356</v>
      </c>
      <c r="D68" s="32" t="s">
        <v>357</v>
      </c>
      <c r="E68" s="32" t="str">
        <f>IF(Summary!I37="absolute","find min R2, so that max (Vz) = " &amp; TRUNC(R3/J2,3),"find min R2, so that max (Vz) = " &amp; R3)</f>
        <v>find min R2, so that max (Vz) = 0.3</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2.8827725303821282E-8</v>
      </c>
      <c r="S68" s="126">
        <f t="shared" si="17"/>
        <v>4.4881920866391328E-8</v>
      </c>
      <c r="T68">
        <v>100</v>
      </c>
      <c r="U68">
        <v>68</v>
      </c>
      <c r="V68">
        <f t="shared" si="11"/>
        <v>15</v>
      </c>
      <c r="W68">
        <f t="shared" si="12"/>
        <v>6800</v>
      </c>
      <c r="X68">
        <f t="shared" si="5"/>
        <v>6120</v>
      </c>
      <c r="Y68">
        <f t="shared" si="6"/>
        <v>7480.0000000000009</v>
      </c>
      <c r="Z68">
        <f t="shared" si="13"/>
        <v>0</v>
      </c>
      <c r="AA68" s="126">
        <f t="shared" si="14"/>
        <v>2.8827725303821282E-8</v>
      </c>
      <c r="AB68" s="126">
        <f t="shared" si="15"/>
        <v>4.4881920866391328E-8</v>
      </c>
      <c r="AC68" s="126" t="str">
        <f t="shared" si="18"/>
        <v>Vlow exceeds VIL spec</v>
      </c>
      <c r="AD68" s="126">
        <f t="shared" si="19"/>
        <v>2.6690323903987102E-8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3.2030805890091832E-8</v>
      </c>
      <c r="S69" s="126">
        <f t="shared" si="17"/>
        <v>4.9507826824481939E-8</v>
      </c>
      <c r="T69">
        <v>100</v>
      </c>
      <c r="U69">
        <v>82</v>
      </c>
      <c r="V69">
        <f t="shared" si="11"/>
        <v>15</v>
      </c>
      <c r="W69">
        <f t="shared" si="12"/>
        <v>8200</v>
      </c>
      <c r="X69">
        <f t="shared" si="5"/>
        <v>7380</v>
      </c>
      <c r="Y69">
        <f t="shared" si="6"/>
        <v>9020</v>
      </c>
      <c r="Z69">
        <f t="shared" si="13"/>
        <v>0</v>
      </c>
      <c r="AA69" s="126">
        <f t="shared" si="14"/>
        <v>3.2030805890091832E-8</v>
      </c>
      <c r="AB69" s="126">
        <f t="shared" si="15"/>
        <v>4.9507826824481939E-8</v>
      </c>
      <c r="AC69" s="126" t="str">
        <f t="shared" si="18"/>
        <v>Vlow exceeds VIL spec</v>
      </c>
      <c r="AD69" s="126">
        <f t="shared" si="19"/>
        <v>2.4265750207190182E-8</v>
      </c>
    </row>
    <row r="70" spans="1:31" x14ac:dyDescent="0.35">
      <c r="A70" t="s">
        <v>320</v>
      </c>
      <c r="B70" s="11">
        <f>F11*(1+H11)</f>
        <v>493.5</v>
      </c>
      <c r="C70" s="11">
        <f>F11*(1-H11)</f>
        <v>446.5</v>
      </c>
      <c r="D70" s="11">
        <f>F11*(1+H11)</f>
        <v>493.5</v>
      </c>
      <c r="E70" s="11"/>
      <c r="F70" s="11">
        <f>F11*(1-H11)</f>
        <v>446.5</v>
      </c>
      <c r="G70" s="11">
        <f>F11*(1-H11)</f>
        <v>446.5</v>
      </c>
      <c r="H70" s="11">
        <f>F11*(1+H11)</f>
        <v>493.5</v>
      </c>
      <c r="K70">
        <v>10</v>
      </c>
      <c r="L70">
        <v>33</v>
      </c>
      <c r="M70">
        <f t="shared" si="9"/>
        <v>0</v>
      </c>
      <c r="N70">
        <f t="shared" si="0"/>
        <v>330</v>
      </c>
      <c r="O70">
        <f t="shared" si="1"/>
        <v>313.5</v>
      </c>
      <c r="P70">
        <f t="shared" si="2"/>
        <v>346.5</v>
      </c>
      <c r="Q70">
        <f t="shared" si="10"/>
        <v>0</v>
      </c>
      <c r="R70" s="126">
        <f t="shared" si="16"/>
        <v>3.5233886475753796E-8</v>
      </c>
      <c r="S70" s="126">
        <f t="shared" si="17"/>
        <v>5.4133732781777735E-8</v>
      </c>
      <c r="T70">
        <v>1000</v>
      </c>
      <c r="U70">
        <v>10</v>
      </c>
      <c r="V70">
        <f t="shared" si="11"/>
        <v>15</v>
      </c>
      <c r="W70">
        <f t="shared" si="12"/>
        <v>10000</v>
      </c>
      <c r="X70">
        <f t="shared" si="5"/>
        <v>9000</v>
      </c>
      <c r="Y70">
        <f t="shared" si="6"/>
        <v>11000</v>
      </c>
      <c r="Z70">
        <f t="shared" si="13"/>
        <v>0</v>
      </c>
      <c r="AA70" s="126">
        <f t="shared" si="14"/>
        <v>3.5233886475753796E-8</v>
      </c>
      <c r="AB70" s="126">
        <f t="shared" si="15"/>
        <v>5.4133732781777735E-8</v>
      </c>
      <c r="AC70" s="126" t="str">
        <f t="shared" si="18"/>
        <v>Vlow exceeds VIL spec</v>
      </c>
      <c r="AD70" s="126">
        <f t="shared" si="19"/>
        <v>2.267132037879959E-8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3.8436967060807173E-8</v>
      </c>
      <c r="S71" s="126">
        <f t="shared" si="17"/>
        <v>5.8759638738278703E-8</v>
      </c>
      <c r="T71">
        <v>1000</v>
      </c>
      <c r="U71">
        <v>12</v>
      </c>
      <c r="V71">
        <f t="shared" si="11"/>
        <v>15</v>
      </c>
      <c r="W71">
        <f t="shared" si="12"/>
        <v>12000</v>
      </c>
      <c r="X71">
        <f t="shared" si="5"/>
        <v>10800</v>
      </c>
      <c r="Y71">
        <f t="shared" si="6"/>
        <v>13200.000000000002</v>
      </c>
      <c r="Z71">
        <f t="shared" si="13"/>
        <v>0</v>
      </c>
      <c r="AA71" s="126">
        <f t="shared" si="14"/>
        <v>3.8436967060807173E-8</v>
      </c>
      <c r="AB71" s="126">
        <f t="shared" si="15"/>
        <v>5.8759638738278703E-8</v>
      </c>
      <c r="AC71" s="126" t="str">
        <f t="shared" si="18"/>
        <v>Vlow exceeds VIL spec</v>
      </c>
      <c r="AD71" s="126">
        <f t="shared" si="19"/>
        <v>2.1535691902436299E-8</v>
      </c>
    </row>
    <row r="72" spans="1:31" x14ac:dyDescent="0.35">
      <c r="A72" t="s">
        <v>324</v>
      </c>
      <c r="B72" s="1">
        <f>K21*MIN(K25,K24)</f>
        <v>0</v>
      </c>
      <c r="C72" s="1">
        <f>K21*MAX(K25,K24)</f>
        <v>22.122405384810769</v>
      </c>
      <c r="D72" s="1">
        <f>K21*MIN(K25,K24)</f>
        <v>0</v>
      </c>
      <c r="E72" s="1">
        <f>K21*MAX(K25,K24)</f>
        <v>22.122405384810769</v>
      </c>
      <c r="F72" s="125">
        <f>K21*MAX(K25,K24)</f>
        <v>22.122405384810769</v>
      </c>
      <c r="G72" s="125">
        <f>K22*MAX(K25,K24)</f>
        <v>16.31240538481077</v>
      </c>
      <c r="H72" s="1">
        <f>K22*MIN(K25,K24)</f>
        <v>0</v>
      </c>
      <c r="K72">
        <v>10</v>
      </c>
      <c r="L72">
        <v>39</v>
      </c>
      <c r="M72">
        <f t="shared" si="9"/>
        <v>0</v>
      </c>
      <c r="N72">
        <f t="shared" si="0"/>
        <v>390</v>
      </c>
      <c r="O72">
        <f t="shared" si="1"/>
        <v>370.5</v>
      </c>
      <c r="P72">
        <f t="shared" si="2"/>
        <v>409.5</v>
      </c>
      <c r="Q72">
        <f t="shared" si="10"/>
        <v>0</v>
      </c>
      <c r="R72" s="126">
        <f t="shared" si="16"/>
        <v>4.164004764525197E-8</v>
      </c>
      <c r="S72" s="126">
        <f t="shared" si="17"/>
        <v>6.338554469398485E-8</v>
      </c>
      <c r="T72">
        <v>1000</v>
      </c>
      <c r="U72">
        <v>15</v>
      </c>
      <c r="V72">
        <f t="shared" si="11"/>
        <v>15</v>
      </c>
      <c r="W72">
        <f t="shared" si="12"/>
        <v>15000</v>
      </c>
      <c r="X72">
        <f t="shared" si="5"/>
        <v>13500</v>
      </c>
      <c r="Y72">
        <f t="shared" si="6"/>
        <v>16500</v>
      </c>
      <c r="Z72">
        <f t="shared" si="13"/>
        <v>0</v>
      </c>
      <c r="AA72" s="126">
        <f t="shared" si="14"/>
        <v>4.164004764525197E-8</v>
      </c>
      <c r="AB72" s="126">
        <f t="shared" si="15"/>
        <v>6.338554469398485E-8</v>
      </c>
      <c r="AC72" s="126" t="str">
        <f t="shared" si="18"/>
        <v>Vlow exceeds VIL spec</v>
      </c>
      <c r="AD72" s="126">
        <f t="shared" si="19"/>
        <v>2.0683462949057473E-8</v>
      </c>
    </row>
    <row r="73" spans="1:31" x14ac:dyDescent="0.35">
      <c r="A73" t="s">
        <v>327</v>
      </c>
      <c r="B73" s="1">
        <f>K21-B72</f>
        <v>22.122405384810769</v>
      </c>
      <c r="C73" s="1">
        <f>K21-C72</f>
        <v>0</v>
      </c>
      <c r="D73" s="1">
        <f>K21-D72</f>
        <v>22.122405384810769</v>
      </c>
      <c r="E73" s="1">
        <f>K21-E72</f>
        <v>0</v>
      </c>
      <c r="F73" s="1">
        <f>K21-F72</f>
        <v>0</v>
      </c>
      <c r="G73" s="1">
        <f>K22-G72</f>
        <v>0</v>
      </c>
      <c r="H73" s="1">
        <f>K22-H72</f>
        <v>16.31240538481077</v>
      </c>
      <c r="K73">
        <v>10</v>
      </c>
      <c r="L73">
        <v>43</v>
      </c>
      <c r="M73">
        <f t="shared" si="9"/>
        <v>1</v>
      </c>
      <c r="N73">
        <f t="shared" si="0"/>
        <v>430</v>
      </c>
      <c r="O73">
        <f t="shared" si="1"/>
        <v>408.5</v>
      </c>
      <c r="P73">
        <f t="shared" si="2"/>
        <v>451.5</v>
      </c>
      <c r="Q73">
        <f t="shared" si="10"/>
        <v>1</v>
      </c>
      <c r="R73" s="126">
        <f t="shared" si="16"/>
        <v>4.5910821756898344E-8</v>
      </c>
      <c r="S73" s="126">
        <f t="shared" si="17"/>
        <v>6.9553419300356691E-8</v>
      </c>
      <c r="T73">
        <v>1000</v>
      </c>
      <c r="U73">
        <v>18</v>
      </c>
      <c r="V73">
        <f t="shared" si="11"/>
        <v>15</v>
      </c>
      <c r="W73">
        <f t="shared" si="12"/>
        <v>18000</v>
      </c>
      <c r="X73">
        <f t="shared" si="5"/>
        <v>16200</v>
      </c>
      <c r="Y73">
        <f t="shared" si="6"/>
        <v>19800</v>
      </c>
      <c r="Z73">
        <f t="shared" si="13"/>
        <v>0</v>
      </c>
      <c r="AA73" s="126">
        <f t="shared" si="14"/>
        <v>4.5910821756898344E-8</v>
      </c>
      <c r="AB73" s="126">
        <f t="shared" si="15"/>
        <v>6.9553419300356691E-8</v>
      </c>
      <c r="AC73" s="126">
        <f t="shared" si="18"/>
        <v>8.4190164749000968E-8</v>
      </c>
      <c r="AD73" s="126">
        <f t="shared" si="19"/>
        <v>1.9829653558442411E-8</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9"/>
        <v>2</v>
      </c>
      <c r="N74">
        <f t="shared" si="0"/>
        <v>470</v>
      </c>
      <c r="O74">
        <f t="shared" si="1"/>
        <v>446.5</v>
      </c>
      <c r="P74">
        <f t="shared" si="2"/>
        <v>493.5</v>
      </c>
      <c r="Q74">
        <f t="shared" si="10"/>
        <v>1</v>
      </c>
      <c r="R74" s="126">
        <f t="shared" si="16"/>
        <v>5.0181595867462772E-8</v>
      </c>
      <c r="S74" s="126">
        <f t="shared" si="17"/>
        <v>7.5721293905315535E-8</v>
      </c>
      <c r="T74">
        <v>1000</v>
      </c>
      <c r="U74">
        <v>22</v>
      </c>
      <c r="V74">
        <f t="shared" si="11"/>
        <v>15</v>
      </c>
      <c r="W74">
        <f t="shared" si="12"/>
        <v>22000</v>
      </c>
      <c r="X74">
        <f t="shared" si="5"/>
        <v>19800</v>
      </c>
      <c r="Y74">
        <f t="shared" si="6"/>
        <v>24200.000000000004</v>
      </c>
      <c r="Z74">
        <f t="shared" si="13"/>
        <v>0</v>
      </c>
      <c r="AA74" s="126">
        <f t="shared" si="14"/>
        <v>5.0181595867462772E-8</v>
      </c>
      <c r="AB74" s="126">
        <f t="shared" si="15"/>
        <v>7.5721293905315535E-8</v>
      </c>
      <c r="AC74" s="126">
        <f t="shared" si="18"/>
        <v>6.7610736447944935E-8</v>
      </c>
      <c r="AD74" s="126">
        <f t="shared" si="19"/>
        <v>1.9187892331616471E-8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3</v>
      </c>
      <c r="N75">
        <f t="shared" si="0"/>
        <v>510</v>
      </c>
      <c r="O75">
        <f t="shared" si="1"/>
        <v>484.5</v>
      </c>
      <c r="P75">
        <f t="shared" si="2"/>
        <v>535.5</v>
      </c>
      <c r="Q75">
        <f t="shared" si="10"/>
        <v>1</v>
      </c>
      <c r="R75" s="126">
        <f t="shared" si="16"/>
        <v>5.4452369976945294E-8</v>
      </c>
      <c r="S75" s="126">
        <f t="shared" si="17"/>
        <v>8.1889168508861356E-8</v>
      </c>
      <c r="T75">
        <v>1000</v>
      </c>
      <c r="U75">
        <v>27</v>
      </c>
      <c r="V75">
        <f t="shared" si="11"/>
        <v>15</v>
      </c>
      <c r="W75">
        <f t="shared" si="12"/>
        <v>27000</v>
      </c>
      <c r="X75">
        <f t="shared" si="5"/>
        <v>24300</v>
      </c>
      <c r="Y75">
        <f t="shared" si="6"/>
        <v>29700.000000000004</v>
      </c>
      <c r="Z75">
        <f t="shared" si="13"/>
        <v>0</v>
      </c>
      <c r="AA75" s="126">
        <f t="shared" si="14"/>
        <v>5.4452369976945294E-8</v>
      </c>
      <c r="AB75" s="126">
        <f t="shared" si="15"/>
        <v>8.1889168508861356E-8</v>
      </c>
      <c r="AC75" s="126">
        <f t="shared" si="18"/>
        <v>5.9554878189908215E-8</v>
      </c>
      <c r="AD75" s="126">
        <f t="shared" si="19"/>
        <v>1.8687875799101287E-8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4</v>
      </c>
      <c r="N76">
        <f t="shared" si="0"/>
        <v>560</v>
      </c>
      <c r="O76">
        <f t="shared" si="1"/>
        <v>532</v>
      </c>
      <c r="P76">
        <f t="shared" si="2"/>
        <v>588</v>
      </c>
      <c r="Q76">
        <f t="shared" si="10"/>
        <v>1</v>
      </c>
      <c r="R76" s="126">
        <f t="shared" si="16"/>
        <v>5.9790837612276972E-8</v>
      </c>
      <c r="S76" s="126">
        <f t="shared" si="17"/>
        <v>8.9599011761306616E-8</v>
      </c>
      <c r="T76">
        <v>1000</v>
      </c>
      <c r="U76">
        <v>33</v>
      </c>
      <c r="V76">
        <f t="shared" si="11"/>
        <v>15</v>
      </c>
      <c r="W76">
        <f t="shared" si="12"/>
        <v>33000</v>
      </c>
      <c r="X76">
        <f t="shared" si="5"/>
        <v>29700</v>
      </c>
      <c r="Y76">
        <f t="shared" si="6"/>
        <v>36300</v>
      </c>
      <c r="Z76">
        <f t="shared" si="13"/>
        <v>0</v>
      </c>
      <c r="AA76" s="126">
        <f t="shared" si="14"/>
        <v>5.9790837612276972E-8</v>
      </c>
      <c r="AB76" s="126">
        <f t="shared" si="15"/>
        <v>8.9599011761306616E-8</v>
      </c>
      <c r="AC76" s="126">
        <f t="shared" si="18"/>
        <v>5.3537928576241831E-8</v>
      </c>
      <c r="AD76" s="126">
        <f t="shared" si="19"/>
        <v>1.8199419067008791E-8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5</v>
      </c>
      <c r="N77">
        <f t="shared" si="0"/>
        <v>620</v>
      </c>
      <c r="O77">
        <f t="shared" si="1"/>
        <v>589</v>
      </c>
      <c r="P77">
        <f t="shared" si="2"/>
        <v>651</v>
      </c>
      <c r="Q77">
        <f t="shared" si="10"/>
        <v>1</v>
      </c>
      <c r="R77" s="126">
        <f t="shared" si="16"/>
        <v>6.6196998772443504E-8</v>
      </c>
      <c r="S77" s="126">
        <f t="shared" si="17"/>
        <v>9.8850823661326581E-8</v>
      </c>
      <c r="T77">
        <v>1000</v>
      </c>
      <c r="U77">
        <v>39</v>
      </c>
      <c r="V77">
        <f t="shared" si="11"/>
        <v>15</v>
      </c>
      <c r="W77">
        <f t="shared" si="12"/>
        <v>39000</v>
      </c>
      <c r="X77">
        <f t="shared" si="5"/>
        <v>35100</v>
      </c>
      <c r="Y77">
        <f t="shared" si="6"/>
        <v>42900</v>
      </c>
      <c r="Z77">
        <f t="shared" si="13"/>
        <v>0</v>
      </c>
      <c r="AA77" s="126">
        <f t="shared" si="14"/>
        <v>6.6196998772443504E-8</v>
      </c>
      <c r="AB77" s="126">
        <f t="shared" si="15"/>
        <v>9.8850823661326581E-8</v>
      </c>
      <c r="AC77" s="126">
        <f t="shared" si="18"/>
        <v>4.8999183440991455E-8</v>
      </c>
      <c r="AD77" s="126">
        <f t="shared" si="19"/>
        <v>1.7750081246593485E-8</v>
      </c>
    </row>
    <row r="78" spans="1:31" x14ac:dyDescent="0.35">
      <c r="A78" t="s">
        <v>344</v>
      </c>
      <c r="B78">
        <v>1</v>
      </c>
      <c r="C78">
        <v>1</v>
      </c>
      <c r="D78">
        <v>1</v>
      </c>
      <c r="E78">
        <v>1</v>
      </c>
      <c r="F78">
        <v>1</v>
      </c>
      <c r="G78">
        <v>1</v>
      </c>
      <c r="H78">
        <v>1</v>
      </c>
      <c r="K78">
        <v>10</v>
      </c>
      <c r="L78">
        <v>68</v>
      </c>
      <c r="M78">
        <f t="shared" si="9"/>
        <v>6</v>
      </c>
      <c r="N78">
        <f t="shared" si="0"/>
        <v>680</v>
      </c>
      <c r="O78">
        <f t="shared" si="1"/>
        <v>646</v>
      </c>
      <c r="P78">
        <f t="shared" si="2"/>
        <v>714</v>
      </c>
      <c r="Q78">
        <f t="shared" si="10"/>
        <v>1</v>
      </c>
      <c r="R78" s="126">
        <f t="shared" si="16"/>
        <v>7.2603159930175676E-8</v>
      </c>
      <c r="S78" s="126">
        <f t="shared" si="17"/>
        <v>1.081026355581673E-7</v>
      </c>
      <c r="T78">
        <v>1000</v>
      </c>
      <c r="U78">
        <v>47</v>
      </c>
      <c r="V78">
        <f t="shared" si="11"/>
        <v>15</v>
      </c>
      <c r="W78">
        <f t="shared" si="12"/>
        <v>47000</v>
      </c>
      <c r="X78">
        <f t="shared" si="5"/>
        <v>42300</v>
      </c>
      <c r="Y78">
        <f t="shared" si="6"/>
        <v>51700.000000000007</v>
      </c>
      <c r="Z78">
        <f t="shared" si="13"/>
        <v>0</v>
      </c>
      <c r="AA78" s="126">
        <f t="shared" si="14"/>
        <v>7.2603159930175676E-8</v>
      </c>
      <c r="AB78" s="126">
        <f t="shared" si="15"/>
        <v>1.081026355581673E-7</v>
      </c>
      <c r="AC78" s="126">
        <f t="shared" si="18"/>
        <v>4.5950822496414923E-8</v>
      </c>
      <c r="AD78" s="126">
        <f t="shared" si="19"/>
        <v>1.7402410263216009E-8</v>
      </c>
    </row>
    <row r="79" spans="1:31" x14ac:dyDescent="0.35">
      <c r="A79" t="s">
        <v>345</v>
      </c>
      <c r="B79">
        <v>1</v>
      </c>
      <c r="C79">
        <v>1</v>
      </c>
      <c r="D79">
        <v>1</v>
      </c>
      <c r="E79">
        <v>1</v>
      </c>
      <c r="F79">
        <v>1</v>
      </c>
      <c r="G79">
        <v>1</v>
      </c>
      <c r="H79">
        <v>1</v>
      </c>
      <c r="K79">
        <v>10</v>
      </c>
      <c r="L79">
        <v>75</v>
      </c>
      <c r="M79">
        <f t="shared" si="9"/>
        <v>7</v>
      </c>
      <c r="N79">
        <f t="shared" si="0"/>
        <v>750</v>
      </c>
      <c r="O79">
        <f t="shared" si="1"/>
        <v>712.5</v>
      </c>
      <c r="P79">
        <f t="shared" si="2"/>
        <v>787.5</v>
      </c>
      <c r="Q79">
        <f t="shared" si="10"/>
        <v>1</v>
      </c>
      <c r="R79" s="126">
        <f t="shared" si="16"/>
        <v>8.0077014611119853E-8</v>
      </c>
      <c r="S79" s="126">
        <f t="shared" si="17"/>
        <v>1.1889641610046324E-7</v>
      </c>
      <c r="T79">
        <v>1000</v>
      </c>
      <c r="U79">
        <v>56</v>
      </c>
      <c r="V79">
        <f t="shared" si="11"/>
        <v>15</v>
      </c>
      <c r="W79">
        <f t="shared" si="12"/>
        <v>56000</v>
      </c>
      <c r="X79">
        <f t="shared" si="5"/>
        <v>50400</v>
      </c>
      <c r="Y79">
        <f t="shared" si="6"/>
        <v>61600.000000000007</v>
      </c>
      <c r="Z79">
        <f t="shared" si="13"/>
        <v>0</v>
      </c>
      <c r="AA79" s="126">
        <f t="shared" si="14"/>
        <v>8.0077014611119853E-8</v>
      </c>
      <c r="AB79" s="126">
        <f t="shared" si="15"/>
        <v>1.1889641610046324E-7</v>
      </c>
      <c r="AC79" s="126">
        <f t="shared" si="18"/>
        <v>4.3441074102987132E-8</v>
      </c>
      <c r="AD79" s="126">
        <f t="shared" si="19"/>
        <v>1.7084792183429048E-8</v>
      </c>
      <c r="AE79" s="128"/>
    </row>
    <row r="80" spans="1:31" x14ac:dyDescent="0.35">
      <c r="A80" t="s">
        <v>346</v>
      </c>
      <c r="B80">
        <v>1</v>
      </c>
      <c r="C80">
        <v>1</v>
      </c>
      <c r="D80">
        <v>1</v>
      </c>
      <c r="E80">
        <v>1</v>
      </c>
      <c r="F80">
        <v>1</v>
      </c>
      <c r="G80">
        <v>1</v>
      </c>
      <c r="H80">
        <v>1</v>
      </c>
      <c r="K80">
        <v>10</v>
      </c>
      <c r="L80">
        <v>82</v>
      </c>
      <c r="M80">
        <f t="shared" si="9"/>
        <v>8</v>
      </c>
      <c r="N80">
        <f t="shared" si="0"/>
        <v>820</v>
      </c>
      <c r="O80">
        <f t="shared" si="1"/>
        <v>779</v>
      </c>
      <c r="P80">
        <f t="shared" si="2"/>
        <v>861</v>
      </c>
      <c r="Q80">
        <f t="shared" si="10"/>
        <v>1</v>
      </c>
      <c r="R80" s="126">
        <f t="shared" si="16"/>
        <v>8.7550869288750583E-8</v>
      </c>
      <c r="S80" s="126">
        <f t="shared" si="17"/>
        <v>1.2969019663843186E-7</v>
      </c>
      <c r="T80">
        <v>1000</v>
      </c>
      <c r="U80">
        <v>68</v>
      </c>
      <c r="V80">
        <f t="shared" si="11"/>
        <v>15</v>
      </c>
      <c r="W80">
        <f>U80*T80</f>
        <v>68000</v>
      </c>
      <c r="X80">
        <f t="shared" si="5"/>
        <v>61200</v>
      </c>
      <c r="Y80">
        <f t="shared" si="6"/>
        <v>74800</v>
      </c>
      <c r="Z80">
        <f t="shared" si="13"/>
        <v>0</v>
      </c>
      <c r="AA80" s="126">
        <f t="shared" si="14"/>
        <v>8.7550869288750583E-8</v>
      </c>
      <c r="AB80" s="126">
        <f t="shared" si="15"/>
        <v>1.2969019663843186E-7</v>
      </c>
      <c r="AC80" s="126">
        <f t="shared" si="18"/>
        <v>4.1612929555228208E-8</v>
      </c>
      <c r="AD80" s="126">
        <f t="shared" si="19"/>
        <v>1.6833743548326138E-8</v>
      </c>
      <c r="AE80" s="128"/>
    </row>
    <row r="81" spans="1:31" x14ac:dyDescent="0.35">
      <c r="K81">
        <v>10</v>
      </c>
      <c r="L81">
        <v>91</v>
      </c>
      <c r="M81">
        <f t="shared" si="9"/>
        <v>9</v>
      </c>
      <c r="N81">
        <f t="shared" si="0"/>
        <v>910</v>
      </c>
      <c r="O81">
        <f t="shared" si="1"/>
        <v>864.5</v>
      </c>
      <c r="P81">
        <f t="shared" si="2"/>
        <v>955.5</v>
      </c>
      <c r="Q81">
        <f t="shared" si="10"/>
        <v>1</v>
      </c>
      <c r="R81" s="126">
        <f t="shared" si="16"/>
        <v>9.716011101226428E-8</v>
      </c>
      <c r="S81" s="126">
        <f t="shared" si="17"/>
        <v>1.4356791446660439E-7</v>
      </c>
      <c r="T81">
        <v>1000</v>
      </c>
      <c r="U81">
        <v>82</v>
      </c>
      <c r="V81">
        <f t="shared" si="11"/>
        <v>15</v>
      </c>
      <c r="W81">
        <f t="shared" ref="W81" si="20">U81*T81</f>
        <v>82000</v>
      </c>
      <c r="X81">
        <f t="shared" si="5"/>
        <v>73800</v>
      </c>
      <c r="Y81">
        <f t="shared" si="6"/>
        <v>90200.000000000015</v>
      </c>
      <c r="Z81">
        <f t="shared" si="13"/>
        <v>0</v>
      </c>
      <c r="AA81" s="126">
        <f t="shared" si="14"/>
        <v>9.716011101226428E-8</v>
      </c>
      <c r="AB81" s="126">
        <f t="shared" si="15"/>
        <v>1.4356791446660439E-7</v>
      </c>
      <c r="AC81" s="126">
        <f t="shared" si="18"/>
        <v>3.9881328074834623E-8</v>
      </c>
      <c r="AD81" s="126">
        <f t="shared" si="19"/>
        <v>1.6579228193525719E-8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0.99999945057030259</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0.21057154575934106</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0.13192611196361273</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0.84963265568815516</v>
      </c>
      <c r="F82" s="13"/>
      <c r="K82">
        <v>100</v>
      </c>
      <c r="L82">
        <v>10</v>
      </c>
      <c r="M82">
        <f>IF(AND(Q81=1,Q82=0),Q82+M81+1, Q82+M81)</f>
        <v>10</v>
      </c>
      <c r="N82">
        <f t="shared" si="0"/>
        <v>1000</v>
      </c>
      <c r="O82">
        <f t="shared" si="1"/>
        <v>950</v>
      </c>
      <c r="P82">
        <f t="shared" si="2"/>
        <v>1050</v>
      </c>
      <c r="Q82">
        <f t="shared" si="10"/>
        <v>1</v>
      </c>
      <c r="R82" s="126">
        <f t="shared" si="16"/>
        <v>1.0676935273030072E-7</v>
      </c>
      <c r="S82" s="126">
        <f t="shared" si="17"/>
        <v>1.5744563228762362E-7</v>
      </c>
      <c r="V82">
        <f t="shared" si="11"/>
        <v>15</v>
      </c>
      <c r="W82">
        <v>9999999</v>
      </c>
      <c r="AA82" s="126">
        <f t="shared" si="14"/>
        <v>1.0676935273030072E-7</v>
      </c>
      <c r="AB82" s="126">
        <f t="shared" si="15"/>
        <v>1.5744563228762362E-7</v>
      </c>
      <c r="AC82" s="126">
        <f t="shared" si="18"/>
        <v>3.8595950916244348E-8</v>
      </c>
      <c r="AD82" s="126">
        <f t="shared" si="19"/>
        <v>1.6378922491204073E-8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0.99999945057030259</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0.24783833852652642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0.13192611196361273</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11</v>
      </c>
      <c r="N83">
        <f t="shared" si="0"/>
        <v>1100</v>
      </c>
      <c r="O83">
        <f t="shared" si="1"/>
        <v>1045</v>
      </c>
      <c r="P83">
        <f t="shared" si="2"/>
        <v>1155</v>
      </c>
      <c r="Q83">
        <f t="shared" si="10"/>
        <v>1</v>
      </c>
      <c r="R83" s="126">
        <f t="shared" si="16"/>
        <v>1.1744628796613945E-7</v>
      </c>
      <c r="S83" s="126">
        <f t="shared" si="17"/>
        <v>1.7286531874703305E-7</v>
      </c>
      <c r="AA83" s="126">
        <f t="shared" si="14"/>
        <v>1.1744628796613945E-7</v>
      </c>
      <c r="AB83" s="126">
        <f t="shared" si="15"/>
        <v>1.7286531874703305E-7</v>
      </c>
      <c r="AC83" s="126">
        <f t="shared" si="18"/>
        <v>3.7507679641525603E-8</v>
      </c>
      <c r="AD83" s="126">
        <f t="shared" si="19"/>
        <v>1.6201176842157476E-8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0.99999945054572226</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0.24783833852652642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0.13192611197782803</v>
      </c>
      <c r="E84" s="12">
        <f>IF(Summary!I37="absolute",(R3-N7)/(J2+J2*Summary!I17),R3-N7)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0.24783833860899557</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0.24040389489408978</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0.13192611197409471</v>
      </c>
      <c r="K84">
        <v>100</v>
      </c>
      <c r="L84">
        <v>12</v>
      </c>
      <c r="M84">
        <f t="shared" si="21"/>
        <v>12</v>
      </c>
      <c r="N84">
        <f t="shared" si="0"/>
        <v>1200</v>
      </c>
      <c r="O84">
        <f t="shared" si="1"/>
        <v>1140</v>
      </c>
      <c r="P84">
        <f t="shared" si="2"/>
        <v>1260</v>
      </c>
      <c r="Q84">
        <f t="shared" si="10"/>
        <v>1</v>
      </c>
      <c r="R84" s="126">
        <f t="shared" si="16"/>
        <v>1.2812322319521616E-7</v>
      </c>
      <c r="S84" s="126">
        <f t="shared" si="17"/>
        <v>1.8828500519761124E-7</v>
      </c>
      <c r="AA84" s="126">
        <f t="shared" si="14"/>
        <v>1.2812322319521616E-7</v>
      </c>
      <c r="AB84" s="126">
        <f t="shared" si="15"/>
        <v>1.8828500519761124E-7</v>
      </c>
      <c r="AC84" s="126">
        <f t="shared" si="18"/>
        <v>3.6661973931497824E-8</v>
      </c>
      <c r="AD84" s="126">
        <f t="shared" si="19"/>
        <v>1.6057544557862603E-8</v>
      </c>
      <c r="AE84" s="128"/>
    </row>
    <row r="85" spans="1:31" x14ac:dyDescent="0.35">
      <c r="E85" s="73"/>
      <c r="K85">
        <v>100</v>
      </c>
      <c r="L85">
        <v>13</v>
      </c>
      <c r="M85">
        <f t="shared" si="21"/>
        <v>13</v>
      </c>
      <c r="N85">
        <f t="shared" si="0"/>
        <v>1300</v>
      </c>
      <c r="O85">
        <f t="shared" si="1"/>
        <v>1235</v>
      </c>
      <c r="P85">
        <f t="shared" si="2"/>
        <v>1365</v>
      </c>
      <c r="Q85">
        <f t="shared" si="10"/>
        <v>1</v>
      </c>
      <c r="R85" s="126">
        <f t="shared" si="16"/>
        <v>1.388001584175308E-7</v>
      </c>
      <c r="S85" s="126">
        <f t="shared" si="17"/>
        <v>2.037046916393581E-7</v>
      </c>
      <c r="AA85" s="126">
        <f t="shared" si="14"/>
        <v>1.388001584175308E-7</v>
      </c>
      <c r="AB85" s="126">
        <f t="shared" si="15"/>
        <v>2.037046916393581E-7</v>
      </c>
      <c r="AC85" s="126">
        <f t="shared" si="18"/>
        <v>3.5986119150275242E-8</v>
      </c>
      <c r="AD85" s="126">
        <f t="shared" si="19"/>
        <v>1.5939095645576317E-8</v>
      </c>
      <c r="AE85" s="128"/>
    </row>
    <row r="86" spans="1:31" x14ac:dyDescent="0.35">
      <c r="K86">
        <v>100</v>
      </c>
      <c r="L86">
        <v>15</v>
      </c>
      <c r="M86">
        <f t="shared" si="21"/>
        <v>14</v>
      </c>
      <c r="N86">
        <f t="shared" si="0"/>
        <v>1500</v>
      </c>
      <c r="O86">
        <f t="shared" si="1"/>
        <v>1425</v>
      </c>
      <c r="P86">
        <f t="shared" si="2"/>
        <v>1575</v>
      </c>
      <c r="Q86">
        <f t="shared" si="10"/>
        <v>1</v>
      </c>
      <c r="R86" s="126">
        <f t="shared" si="16"/>
        <v>1.601540288418739E-7</v>
      </c>
      <c r="S86" s="126">
        <f t="shared" si="17"/>
        <v>2.3454406449635806E-7</v>
      </c>
      <c r="AA86" s="126">
        <f t="shared" si="14"/>
        <v>1.601540288418739E-7</v>
      </c>
      <c r="AB86" s="126">
        <f t="shared" si="15"/>
        <v>2.3454406449635806E-7</v>
      </c>
      <c r="AC86" s="126">
        <f t="shared" si="18"/>
        <v>3.497415210146848E-8</v>
      </c>
      <c r="AD86" s="126">
        <f t="shared" si="19"/>
        <v>1.5755270338754209E-8</v>
      </c>
      <c r="AE86" s="128"/>
    </row>
    <row r="87" spans="1:31" x14ac:dyDescent="0.35">
      <c r="B87" s="171" t="s">
        <v>362</v>
      </c>
      <c r="C87" s="171"/>
      <c r="K87">
        <v>100</v>
      </c>
      <c r="L87">
        <v>16</v>
      </c>
      <c r="M87">
        <f t="shared" si="21"/>
        <v>15</v>
      </c>
      <c r="N87">
        <f t="shared" si="0"/>
        <v>1600</v>
      </c>
      <c r="O87">
        <f t="shared" si="1"/>
        <v>1520</v>
      </c>
      <c r="P87">
        <f t="shared" si="2"/>
        <v>1680</v>
      </c>
      <c r="Q87">
        <f t="shared" si="10"/>
        <v>1</v>
      </c>
      <c r="R87" s="126">
        <f t="shared" si="16"/>
        <v>1.7083096404390233E-7</v>
      </c>
      <c r="S87" s="126">
        <f t="shared" si="17"/>
        <v>2.4996375091161105E-7</v>
      </c>
      <c r="AA87" s="126">
        <f t="shared" si="14"/>
        <v>1.7083096404390233E-7</v>
      </c>
      <c r="AB87" s="126">
        <f t="shared" si="15"/>
        <v>2.4996375091161105E-7</v>
      </c>
      <c r="AC87" s="126">
        <f t="shared" si="18"/>
        <v>3.4585738570292988E-8</v>
      </c>
      <c r="AD87" s="126">
        <f t="shared" si="19"/>
        <v>1.5682537838179881E-8</v>
      </c>
      <c r="AE87" s="128"/>
    </row>
    <row r="88" spans="1:31" ht="29" x14ac:dyDescent="0.35">
      <c r="B88" t="s">
        <v>355</v>
      </c>
      <c r="C88" t="s">
        <v>363</v>
      </c>
      <c r="D88" t="s">
        <v>364</v>
      </c>
      <c r="E88" s="32" t="str">
        <f>IF(Summary!I37="absolute","find min R2, so that max (Vx) = " &amp; TRUNC(R2/J3,3),"find min R2, so that max (Vx) = " &amp; R2)</f>
        <v>find min R2, so that max (Vx) = 0.3</v>
      </c>
      <c r="F88" s="32" t="s">
        <v>365</v>
      </c>
      <c r="G88" s="32" t="s">
        <v>366</v>
      </c>
      <c r="H88" s="32" t="s">
        <v>367</v>
      </c>
      <c r="K88">
        <v>100</v>
      </c>
      <c r="L88">
        <v>18</v>
      </c>
      <c r="M88">
        <f t="shared" si="21"/>
        <v>16</v>
      </c>
      <c r="N88">
        <f t="shared" si="0"/>
        <v>1800</v>
      </c>
      <c r="O88">
        <f t="shared" si="1"/>
        <v>1710</v>
      </c>
      <c r="P88">
        <f t="shared" si="2"/>
        <v>1890</v>
      </c>
      <c r="Q88">
        <f t="shared" si="10"/>
        <v>1</v>
      </c>
      <c r="R88" s="126">
        <f t="shared" si="16"/>
        <v>1.9218483442767305E-7</v>
      </c>
      <c r="S88" s="126">
        <f t="shared" si="17"/>
        <v>2.8080312371562333E-7</v>
      </c>
      <c r="AA88" s="126">
        <f t="shared" si="14"/>
        <v>1.9218483442767305E-7</v>
      </c>
      <c r="AB88" s="126">
        <f t="shared" si="15"/>
        <v>2.8080312371562333E-7</v>
      </c>
      <c r="AC88" s="126">
        <f t="shared" si="18"/>
        <v>3.3965534162755705E-8</v>
      </c>
      <c r="AD88" s="126">
        <f t="shared" si="19"/>
        <v>1.556374742580091E-8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17</v>
      </c>
      <c r="N89">
        <f t="shared" si="0"/>
        <v>2000</v>
      </c>
      <c r="O89">
        <f t="shared" si="1"/>
        <v>1900</v>
      </c>
      <c r="P89">
        <f t="shared" si="2"/>
        <v>2100</v>
      </c>
      <c r="Q89">
        <f t="shared" si="10"/>
        <v>1</v>
      </c>
      <c r="R89" s="126">
        <f t="shared" si="16"/>
        <v>2.1353870478439558E-7</v>
      </c>
      <c r="S89" s="126">
        <f t="shared" si="17"/>
        <v>3.1164249648431063E-7</v>
      </c>
      <c r="AA89" s="126">
        <f t="shared" si="14"/>
        <v>2.1353870478439558E-7</v>
      </c>
      <c r="AB89" s="126">
        <f t="shared" si="15"/>
        <v>3.1164249648431063E-7</v>
      </c>
      <c r="AC89" s="126">
        <f t="shared" si="18"/>
        <v>3.3492554700530166E-8</v>
      </c>
      <c r="AD89" s="126">
        <f t="shared" si="19"/>
        <v>1.5470856383132501E-8</v>
      </c>
      <c r="AE89" s="128"/>
    </row>
    <row r="90" spans="1:31" x14ac:dyDescent="0.35">
      <c r="A90" t="s">
        <v>320</v>
      </c>
      <c r="B90" s="11">
        <f>F11*(1+H11)</f>
        <v>493.5</v>
      </c>
      <c r="C90" s="11">
        <f>F11*(1-H11)</f>
        <v>446.5</v>
      </c>
      <c r="D90" s="11">
        <f>F11*(1+H11)</f>
        <v>493.5</v>
      </c>
      <c r="E90" s="11"/>
      <c r="F90" s="11">
        <f>F11*(1-H11)</f>
        <v>446.5</v>
      </c>
      <c r="G90">
        <f>F11*(1-H11)</f>
        <v>446.5</v>
      </c>
      <c r="H90">
        <f>F11*(1+H11)</f>
        <v>493.5</v>
      </c>
      <c r="K90">
        <v>100</v>
      </c>
      <c r="L90">
        <v>22</v>
      </c>
      <c r="M90">
        <f t="shared" si="21"/>
        <v>18</v>
      </c>
      <c r="N90">
        <f t="shared" si="0"/>
        <v>2200</v>
      </c>
      <c r="O90">
        <f t="shared" si="1"/>
        <v>2090</v>
      </c>
      <c r="P90">
        <f t="shared" si="2"/>
        <v>2310</v>
      </c>
      <c r="Q90">
        <f t="shared" si="10"/>
        <v>1</v>
      </c>
      <c r="R90" s="126">
        <f t="shared" si="16"/>
        <v>2.3489257511406977E-7</v>
      </c>
      <c r="S90" s="126">
        <f t="shared" si="17"/>
        <v>3.4248186921767268E-7</v>
      </c>
      <c r="AA90" s="126">
        <f t="shared" si="14"/>
        <v>2.3489257511406977E-7</v>
      </c>
      <c r="AB90" s="126">
        <f t="shared" si="15"/>
        <v>3.4248186921767268E-7</v>
      </c>
      <c r="AC90" s="126">
        <f t="shared" si="18"/>
        <v>3.3120121205617166E-8</v>
      </c>
      <c r="AD90" s="126">
        <f t="shared" si="19"/>
        <v>1.5396240302582438E-8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19</v>
      </c>
      <c r="N91">
        <f t="shared" si="0"/>
        <v>2400</v>
      </c>
      <c r="O91">
        <f t="shared" si="1"/>
        <v>2280</v>
      </c>
      <c r="P91">
        <f t="shared" si="2"/>
        <v>2520</v>
      </c>
      <c r="Q91">
        <f t="shared" si="10"/>
        <v>1</v>
      </c>
      <c r="R91" s="126">
        <f t="shared" si="16"/>
        <v>2.562464454166958E-7</v>
      </c>
      <c r="S91" s="126">
        <f t="shared" si="17"/>
        <v>3.733212419157097E-7</v>
      </c>
      <c r="AA91" s="126">
        <f t="shared" si="14"/>
        <v>2.562464454166958E-7</v>
      </c>
      <c r="AB91" s="126">
        <f t="shared" si="15"/>
        <v>3.733212419157097E-7</v>
      </c>
      <c r="AC91" s="126">
        <f t="shared" si="18"/>
        <v>3.2819360619643584E-8</v>
      </c>
      <c r="AD91" s="126">
        <f t="shared" si="19"/>
        <v>1.5334996651654713E-8</v>
      </c>
      <c r="AE91" s="128"/>
    </row>
    <row r="92" spans="1:31" x14ac:dyDescent="0.35">
      <c r="A92" t="s">
        <v>324</v>
      </c>
      <c r="B92" s="1">
        <f>K21-B93</f>
        <v>22.122405384810769</v>
      </c>
      <c r="C92" s="1">
        <f>K21-C93</f>
        <v>0</v>
      </c>
      <c r="D92" s="1">
        <f>K21-D93</f>
        <v>22.122405384810769</v>
      </c>
      <c r="E92" s="1">
        <f>K21-E93</f>
        <v>0</v>
      </c>
      <c r="F92" s="1">
        <f>K21-F93</f>
        <v>0</v>
      </c>
      <c r="G92" s="1">
        <f>K22-G93</f>
        <v>0</v>
      </c>
      <c r="H92" s="1">
        <f>K22-H93</f>
        <v>16.31240538481077</v>
      </c>
      <c r="K92">
        <v>100</v>
      </c>
      <c r="L92">
        <v>27</v>
      </c>
      <c r="M92">
        <f t="shared" si="21"/>
        <v>20</v>
      </c>
      <c r="N92">
        <f t="shared" si="0"/>
        <v>2700</v>
      </c>
      <c r="O92">
        <f t="shared" si="1"/>
        <v>2565</v>
      </c>
      <c r="P92">
        <f t="shared" si="2"/>
        <v>2835</v>
      </c>
      <c r="Q92">
        <f t="shared" si="10"/>
        <v>1</v>
      </c>
      <c r="R92" s="126">
        <f t="shared" si="16"/>
        <v>2.8827725081991944E-7</v>
      </c>
      <c r="S92" s="126">
        <f t="shared" si="17"/>
        <v>4.1958030089653062E-7</v>
      </c>
      <c r="AA92" s="126">
        <f t="shared" si="14"/>
        <v>2.8827725081991944E-7</v>
      </c>
      <c r="AB92" s="126">
        <f t="shared" si="15"/>
        <v>4.1958030089653062E-7</v>
      </c>
      <c r="AC92" s="126">
        <f t="shared" si="18"/>
        <v>3.2463184917664269E-8</v>
      </c>
      <c r="AD92" s="126">
        <f t="shared" si="19"/>
        <v>1.5261281237018844E-8</v>
      </c>
      <c r="AE92" s="128"/>
    </row>
    <row r="93" spans="1:31" x14ac:dyDescent="0.35">
      <c r="A93" t="s">
        <v>327</v>
      </c>
      <c r="B93" s="1">
        <f>K21*(1-MAX(K25,K24))</f>
        <v>0</v>
      </c>
      <c r="C93" s="1">
        <f>K21*(1-MIN(K25,K24))</f>
        <v>22.122405384810769</v>
      </c>
      <c r="D93" s="1">
        <f>K21*(1-MAX(K25,K24))</f>
        <v>0</v>
      </c>
      <c r="E93" s="1">
        <f>K21*(1-MIN(K25,K24))</f>
        <v>22.122405384810769</v>
      </c>
      <c r="F93" s="125">
        <f>K21*(1-MIN(K25,K24))</f>
        <v>22.122405384810769</v>
      </c>
      <c r="G93" s="125">
        <f>K22*(1-MIN(K25,K24))</f>
        <v>16.31240538481077</v>
      </c>
      <c r="H93" s="1">
        <f>K22*(1-MAX(K25,K24))</f>
        <v>0</v>
      </c>
      <c r="K93">
        <v>100</v>
      </c>
      <c r="L93">
        <v>30</v>
      </c>
      <c r="M93">
        <f t="shared" si="21"/>
        <v>21</v>
      </c>
      <c r="N93">
        <f t="shared" si="0"/>
        <v>3000</v>
      </c>
      <c r="O93">
        <f t="shared" si="1"/>
        <v>2850</v>
      </c>
      <c r="P93">
        <f t="shared" si="2"/>
        <v>3150</v>
      </c>
      <c r="Q93">
        <f t="shared" si="10"/>
        <v>1</v>
      </c>
      <c r="R93" s="126">
        <f t="shared" si="16"/>
        <v>3.2030805616228445E-7</v>
      </c>
      <c r="S93" s="126">
        <f t="shared" si="17"/>
        <v>4.6583935979787004E-7</v>
      </c>
      <c r="AA93" s="126">
        <f t="shared" si="14"/>
        <v>3.2030805616228445E-7</v>
      </c>
      <c r="AB93" s="126">
        <f t="shared" si="15"/>
        <v>4.6583935979787004E-7</v>
      </c>
      <c r="AC93" s="126">
        <f t="shared" si="18"/>
        <v>3.2186988677318983E-8</v>
      </c>
      <c r="AD93" s="126">
        <f t="shared" si="19"/>
        <v>1.5203197094615374E-8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22</v>
      </c>
      <c r="N94">
        <f t="shared" si="0"/>
        <v>3300</v>
      </c>
      <c r="O94">
        <f t="shared" si="1"/>
        <v>3135</v>
      </c>
      <c r="P94">
        <f t="shared" si="2"/>
        <v>3465</v>
      </c>
      <c r="Q94">
        <f t="shared" si="10"/>
        <v>1</v>
      </c>
      <c r="R94" s="126">
        <f t="shared" si="16"/>
        <v>3.5233886144379104E-7</v>
      </c>
      <c r="S94" s="126">
        <f t="shared" si="17"/>
        <v>5.1209841861972807E-7</v>
      </c>
      <c r="AA94" s="126">
        <f t="shared" si="14"/>
        <v>3.5233886144379104E-7</v>
      </c>
      <c r="AB94" s="126">
        <f t="shared" si="15"/>
        <v>5.1209841861972807E-7</v>
      </c>
      <c r="AC94" s="126">
        <f t="shared" si="18"/>
        <v>3.1966614940810943E-8</v>
      </c>
      <c r="AD94" s="126">
        <f t="shared" si="19"/>
        <v>1.5156253048192477E-8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23</v>
      </c>
      <c r="N95">
        <f t="shared" si="0"/>
        <v>3600</v>
      </c>
      <c r="O95">
        <f t="shared" si="1"/>
        <v>3420</v>
      </c>
      <c r="P95">
        <f t="shared" si="2"/>
        <v>3780</v>
      </c>
      <c r="Q95">
        <f t="shared" si="10"/>
        <v>1</v>
      </c>
      <c r="R95" s="126">
        <f t="shared" si="16"/>
        <v>3.8436966666443901E-7</v>
      </c>
      <c r="S95" s="126">
        <f t="shared" si="17"/>
        <v>5.5835747736210461E-7</v>
      </c>
      <c r="AA95" s="126">
        <f t="shared" si="14"/>
        <v>3.8436966666443901E-7</v>
      </c>
      <c r="AB95" s="126">
        <f t="shared" si="15"/>
        <v>5.5835747736210461E-7</v>
      </c>
      <c r="AC95" s="126">
        <f t="shared" si="18"/>
        <v>3.1786729647632731E-8</v>
      </c>
      <c r="AD95" s="126">
        <f t="shared" si="19"/>
        <v>1.5117526989217646E-8</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1"/>
        <v>24</v>
      </c>
      <c r="N96">
        <f t="shared" si="0"/>
        <v>3900</v>
      </c>
      <c r="O96">
        <f t="shared" si="1"/>
        <v>3705</v>
      </c>
      <c r="P96">
        <f t="shared" si="2"/>
        <v>4095</v>
      </c>
      <c r="Q96">
        <f t="shared" si="10"/>
        <v>1</v>
      </c>
      <c r="R96" s="126">
        <f t="shared" si="16"/>
        <v>4.164004718242285E-7</v>
      </c>
      <c r="S96" s="126">
        <f t="shared" si="17"/>
        <v>6.0461653602499949E-7</v>
      </c>
      <c r="AA96" s="126">
        <f t="shared" si="14"/>
        <v>4.164004718242285E-7</v>
      </c>
      <c r="AB96" s="126">
        <f t="shared" si="15"/>
        <v>6.0461653602499949E-7</v>
      </c>
      <c r="AC96" s="126">
        <f t="shared" si="18"/>
        <v>3.1637135261742631E-8</v>
      </c>
      <c r="AD96" s="126">
        <f t="shared" si="19"/>
        <v>1.5085036034674045E-8</v>
      </c>
      <c r="AE96" s="128"/>
    </row>
    <row r="97" spans="1:31" x14ac:dyDescent="0.35">
      <c r="K97">
        <v>100</v>
      </c>
      <c r="L97">
        <v>43</v>
      </c>
      <c r="M97">
        <f t="shared" si="21"/>
        <v>25</v>
      </c>
      <c r="N97">
        <f t="shared" si="0"/>
        <v>4300</v>
      </c>
      <c r="O97">
        <f t="shared" si="1"/>
        <v>4085</v>
      </c>
      <c r="P97">
        <f t="shared" si="2"/>
        <v>4515</v>
      </c>
      <c r="Q97">
        <f t="shared" si="10"/>
        <v>1</v>
      </c>
      <c r="R97" s="126">
        <f t="shared" si="16"/>
        <v>4.5910821194261226E-7</v>
      </c>
      <c r="S97" s="126">
        <f t="shared" si="17"/>
        <v>6.6629528078522168E-7</v>
      </c>
      <c r="AA97" s="126">
        <f t="shared" si="14"/>
        <v>4.5910821194261226E-7</v>
      </c>
      <c r="AB97" s="126">
        <f t="shared" si="15"/>
        <v>6.6629528078522168E-7</v>
      </c>
      <c r="AC97" s="126">
        <f t="shared" si="18"/>
        <v>3.147292797815912E-8</v>
      </c>
      <c r="AD97" s="126">
        <f t="shared" si="19"/>
        <v>1.5049064814408641E-8</v>
      </c>
      <c r="AE97" s="128"/>
    </row>
    <row r="98" spans="1:31" x14ac:dyDescent="0.35">
      <c r="A98" t="s">
        <v>344</v>
      </c>
      <c r="B98">
        <v>1</v>
      </c>
      <c r="C98">
        <v>1</v>
      </c>
      <c r="D98">
        <v>1</v>
      </c>
      <c r="E98">
        <v>1</v>
      </c>
      <c r="F98">
        <v>1</v>
      </c>
      <c r="G98">
        <v>1</v>
      </c>
      <c r="H98">
        <v>1</v>
      </c>
      <c r="K98">
        <v>100</v>
      </c>
      <c r="L98">
        <v>47</v>
      </c>
      <c r="M98">
        <f t="shared" si="21"/>
        <v>26</v>
      </c>
      <c r="N98">
        <f t="shared" ref="N98:N129" si="23">L98*K98</f>
        <v>4700</v>
      </c>
      <c r="O98">
        <f t="shared" ref="O98:O129" si="24">N98*(1-$M$32)</f>
        <v>4465</v>
      </c>
      <c r="P98">
        <f t="shared" ref="P98:P129" si="25">N98*(1+$M$32)</f>
        <v>4935</v>
      </c>
      <c r="Q98">
        <f t="shared" si="10"/>
        <v>1</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5.0181595195280307E-7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7.2797402540414363E-7</v>
      </c>
      <c r="AA98" s="126">
        <f t="shared" si="14"/>
        <v>5.0181595195280307E-7</v>
      </c>
      <c r="AB98" s="126">
        <f t="shared" si="15"/>
        <v>7.2797402540414363E-7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3.133886229436258E-8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1.501945304358674E-8</v>
      </c>
      <c r="AE98" s="128"/>
    </row>
    <row r="99" spans="1:31" x14ac:dyDescent="0.35">
      <c r="A99" t="s">
        <v>345</v>
      </c>
      <c r="B99">
        <v>1</v>
      </c>
      <c r="C99">
        <v>1</v>
      </c>
      <c r="D99">
        <v>1</v>
      </c>
      <c r="E99">
        <v>1</v>
      </c>
      <c r="F99">
        <v>1</v>
      </c>
      <c r="G99">
        <v>1</v>
      </c>
      <c r="H99">
        <v>1</v>
      </c>
      <c r="K99">
        <v>100</v>
      </c>
      <c r="L99">
        <v>51</v>
      </c>
      <c r="M99">
        <f t="shared" si="21"/>
        <v>27</v>
      </c>
      <c r="N99">
        <f t="shared" si="23"/>
        <v>5100</v>
      </c>
      <c r="O99">
        <f t="shared" si="24"/>
        <v>4845</v>
      </c>
      <c r="P99">
        <f t="shared" si="25"/>
        <v>5355</v>
      </c>
      <c r="Q99">
        <f t="shared" ref="Q99:Q129" si="30">IF($Q$2="N/A",IF(AND((O99&gt;=MAX($H$7:$I$7)),(P99&lt;=MIN($F$7:$G$7)),(P99&lt;=MIN($B$7:$C$7)),(O99&gt;=MAX($D$7:$E$7))),1,0),IF(AND((O99&gt;=MAX($I$7)),(P99&lt;=MIN($G$7)),(P99&lt;=MIN($C$7)),(O99&gt;=MAX($E$7))),1,0))</f>
        <v>1</v>
      </c>
      <c r="R99" s="126">
        <f t="shared" si="26"/>
        <v>5.445236918548012E-7</v>
      </c>
      <c r="S99" s="126">
        <f t="shared" si="27"/>
        <v>7.8965276988176502E-7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7.8965276988176502E-7</v>
      </c>
      <c r="AC99" s="126">
        <f t="shared" si="28"/>
        <v>3.1227347704013168E-8</v>
      </c>
      <c r="AD99" s="126">
        <f t="shared" si="29"/>
        <v>1.4994651912230556E-8</v>
      </c>
      <c r="AE99" s="128"/>
    </row>
    <row r="100" spans="1:31" x14ac:dyDescent="0.35">
      <c r="A100" t="s">
        <v>346</v>
      </c>
      <c r="B100">
        <v>1</v>
      </c>
      <c r="C100">
        <v>1</v>
      </c>
      <c r="D100">
        <v>1</v>
      </c>
      <c r="E100">
        <v>1</v>
      </c>
      <c r="F100">
        <v>1</v>
      </c>
      <c r="G100">
        <v>1</v>
      </c>
      <c r="H100">
        <v>1</v>
      </c>
      <c r="K100">
        <v>100</v>
      </c>
      <c r="L100">
        <v>56</v>
      </c>
      <c r="M100">
        <f t="shared" si="21"/>
        <v>28</v>
      </c>
      <c r="N100">
        <f t="shared" si="23"/>
        <v>5600</v>
      </c>
      <c r="O100">
        <f t="shared" si="24"/>
        <v>5320</v>
      </c>
      <c r="P100">
        <f t="shared" si="25"/>
        <v>5880</v>
      </c>
      <c r="Q100">
        <f t="shared" si="30"/>
        <v>1</v>
      </c>
      <c r="R100" s="126">
        <f t="shared" si="26"/>
        <v>5.9790836658015212E-7</v>
      </c>
      <c r="S100" s="126">
        <f t="shared" si="27"/>
        <v>8.6675120028008819E-7</v>
      </c>
      <c r="AA100" s="126">
        <f t="shared" si="31"/>
        <v>5.9790836658015212E-7</v>
      </c>
      <c r="AB100" s="126">
        <f t="shared" si="32"/>
        <v>8.6675120028008819E-7</v>
      </c>
      <c r="AC100" s="126">
        <f t="shared" si="28"/>
        <v>3.111183300975116E-8</v>
      </c>
      <c r="AD100" s="126">
        <f t="shared" si="29"/>
        <v>1.4968794776980358E-8</v>
      </c>
      <c r="AE100" s="128"/>
    </row>
    <row r="101" spans="1:31" x14ac:dyDescent="0.35">
      <c r="K101">
        <v>100</v>
      </c>
      <c r="L101">
        <v>62</v>
      </c>
      <c r="M101">
        <f t="shared" si="21"/>
        <v>29</v>
      </c>
      <c r="N101">
        <f t="shared" si="23"/>
        <v>6200</v>
      </c>
      <c r="O101">
        <f t="shared" si="24"/>
        <v>5890</v>
      </c>
      <c r="P101">
        <f t="shared" si="25"/>
        <v>6510</v>
      </c>
      <c r="Q101">
        <f t="shared" si="30"/>
        <v>1</v>
      </c>
      <c r="R101" s="126">
        <f t="shared" si="26"/>
        <v>6.6196997602742545E-7</v>
      </c>
      <c r="S101" s="126">
        <f t="shared" si="27"/>
        <v>9.5926931646664373E-7</v>
      </c>
      <c r="AA101" s="126">
        <f t="shared" si="31"/>
        <v>6.6196997602742545E-7</v>
      </c>
      <c r="AB101" s="126">
        <f t="shared" si="32"/>
        <v>9.5926931646664373E-7</v>
      </c>
      <c r="AC101" s="126">
        <f t="shared" si="28"/>
        <v>3.0999272581654659E-8</v>
      </c>
      <c r="AD101" s="126">
        <f t="shared" si="29"/>
        <v>1.4943432934232937E-8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0.99999945054572204</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0.13906534043266167</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4.8216006516977349E-2</v>
      </c>
      <c r="E102" s="12">
        <f>IF(Summary!I50="absolute",(R2-N7)/(J3+J3*Summary!I18),R2-N7)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0.13906534047588012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0.12931122819145446</v>
      </c>
      <c r="H102" s="12">
        <f t="shared" si="33"/>
        <v>4.8216006512261475E-2</v>
      </c>
      <c r="K102">
        <v>100</v>
      </c>
      <c r="L102">
        <v>68</v>
      </c>
      <c r="M102">
        <f t="shared" si="21"/>
        <v>30</v>
      </c>
      <c r="N102">
        <f t="shared" si="23"/>
        <v>6800</v>
      </c>
      <c r="O102">
        <f t="shared" si="24"/>
        <v>6460</v>
      </c>
      <c r="P102">
        <f t="shared" si="25"/>
        <v>7140</v>
      </c>
      <c r="Q102">
        <f t="shared" si="30"/>
        <v>0</v>
      </c>
      <c r="R102" s="126">
        <f t="shared" si="26"/>
        <v>7.2603158523126469E-7</v>
      </c>
      <c r="S102" s="126">
        <f t="shared" si="27"/>
        <v>1.0517874323352736E-6</v>
      </c>
      <c r="AA102" s="126">
        <f t="shared" si="31"/>
        <v>7.2603158523126469E-7</v>
      </c>
      <c r="AB102" s="126">
        <f t="shared" si="32"/>
        <v>1.0517874323352736E-6</v>
      </c>
      <c r="AC102" s="126">
        <f t="shared" si="28"/>
        <v>3.0907654816947022E-8</v>
      </c>
      <c r="AD102" s="126">
        <f t="shared" si="29"/>
        <v>1.4922666639486469E-8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0.99999945057030259</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0.13906534043266167</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4.8216006499020928E-2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0.13906534047588012</v>
      </c>
      <c r="K103">
        <v>100</v>
      </c>
      <c r="L103">
        <v>75</v>
      </c>
      <c r="M103">
        <f t="shared" si="21"/>
        <v>30</v>
      </c>
      <c r="N103">
        <f t="shared" si="23"/>
        <v>7500</v>
      </c>
      <c r="O103">
        <f t="shared" si="24"/>
        <v>7125</v>
      </c>
      <c r="P103">
        <f t="shared" si="25"/>
        <v>7875</v>
      </c>
      <c r="Q103">
        <f t="shared" si="30"/>
        <v>0</v>
      </c>
      <c r="R103" s="126">
        <f t="shared" si="26"/>
        <v>8.0077012899473694E-7</v>
      </c>
      <c r="S103" s="126">
        <f t="shared" si="27"/>
        <v>1.1597252337801854E-6</v>
      </c>
      <c r="AA103" s="126">
        <f t="shared" si="31"/>
        <v>8.0077012899473694E-7</v>
      </c>
      <c r="AB103" s="126">
        <f t="shared" si="32"/>
        <v>1.1597252337801854E-6</v>
      </c>
      <c r="AC103" s="126">
        <f t="shared" si="28"/>
        <v>3.0820207881123618E-8</v>
      </c>
      <c r="AD103" s="126">
        <f t="shared" si="29"/>
        <v>1.4902740798407659E-8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0.99999945057030259</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9.6409250156693369E-2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4.8216006499020928E-2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0.69326584066218677</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9.6409250202053154E-2</v>
      </c>
      <c r="K104">
        <v>100</v>
      </c>
      <c r="L104">
        <v>82</v>
      </c>
      <c r="M104">
        <f t="shared" si="21"/>
        <v>30</v>
      </c>
      <c r="N104">
        <f t="shared" si="23"/>
        <v>8200</v>
      </c>
      <c r="O104">
        <f t="shared" si="24"/>
        <v>7790</v>
      </c>
      <c r="P104">
        <f t="shared" si="25"/>
        <v>8610</v>
      </c>
      <c r="Q104">
        <f t="shared" si="30"/>
        <v>0</v>
      </c>
      <c r="R104" s="126">
        <f t="shared" si="26"/>
        <v>8.7550867242686811E-7</v>
      </c>
      <c r="S104" s="126">
        <f t="shared" si="27"/>
        <v>1.2676630347923645E-6</v>
      </c>
      <c r="AA104" s="126">
        <f t="shared" si="31"/>
        <v>8.7550867242686811E-7</v>
      </c>
      <c r="AB104" s="126">
        <f t="shared" si="32"/>
        <v>1.2676630347923645E-6</v>
      </c>
      <c r="AC104" s="126">
        <f t="shared" si="28"/>
        <v>3.0748364766963295E-8</v>
      </c>
      <c r="AD104" s="126">
        <f t="shared" si="29"/>
        <v>1.4886292634436777E-8</v>
      </c>
      <c r="AE104" s="128"/>
    </row>
    <row r="105" spans="1:31" x14ac:dyDescent="0.35">
      <c r="K105">
        <v>100</v>
      </c>
      <c r="L105">
        <v>91</v>
      </c>
      <c r="M105">
        <f t="shared" si="21"/>
        <v>30</v>
      </c>
      <c r="N105">
        <f t="shared" si="23"/>
        <v>9100</v>
      </c>
      <c r="O105">
        <f t="shared" si="24"/>
        <v>8645</v>
      </c>
      <c r="P105">
        <f t="shared" si="25"/>
        <v>9555</v>
      </c>
      <c r="Q105">
        <f t="shared" si="30"/>
        <v>0</v>
      </c>
      <c r="R105" s="126">
        <f t="shared" si="26"/>
        <v>9.7160108492416891E-7</v>
      </c>
      <c r="S105" s="126">
        <f t="shared" si="27"/>
        <v>1.4064402068864574E-6</v>
      </c>
      <c r="AA105" s="126">
        <f t="shared" si="31"/>
        <v>9.7160108492416891E-7</v>
      </c>
      <c r="AB105" s="126">
        <f t="shared" si="32"/>
        <v>1.4064402068864574E-6</v>
      </c>
      <c r="AC105" s="126">
        <f t="shared" si="28"/>
        <v>3.0672896784878734E-8</v>
      </c>
      <c r="AD105" s="126">
        <f t="shared" si="29"/>
        <v>1.4868937856034448E-8</v>
      </c>
      <c r="AE105" s="128"/>
    </row>
    <row r="106" spans="1:31" x14ac:dyDescent="0.35">
      <c r="K106">
        <v>1000</v>
      </c>
      <c r="L106">
        <v>10</v>
      </c>
      <c r="M106">
        <f t="shared" si="21"/>
        <v>30</v>
      </c>
      <c r="N106">
        <f t="shared" si="23"/>
        <v>10000</v>
      </c>
      <c r="O106">
        <f t="shared" si="24"/>
        <v>9500</v>
      </c>
      <c r="P106">
        <f t="shared" si="25"/>
        <v>10500</v>
      </c>
      <c r="Q106">
        <f t="shared" si="30"/>
        <v>0</v>
      </c>
      <c r="R106" s="126">
        <f t="shared" si="26"/>
        <v>1.0676934968737427E-6</v>
      </c>
      <c r="S106" s="126">
        <f t="shared" si="27"/>
        <v>1.5452173782652172E-6</v>
      </c>
      <c r="AA106" s="126">
        <f t="shared" si="31"/>
        <v>1.0676934968737427E-6</v>
      </c>
      <c r="AB106" s="126">
        <f t="shared" si="32"/>
        <v>1.5452173782652172E-6</v>
      </c>
      <c r="AC106" s="126">
        <f t="shared" si="28"/>
        <v>3.0611516550866336E-8</v>
      </c>
      <c r="AD106" s="126">
        <f t="shared" si="29"/>
        <v>1.4854764002145509E-8</v>
      </c>
      <c r="AE106" s="128"/>
    </row>
    <row r="107" spans="1:31" x14ac:dyDescent="0.35">
      <c r="K107">
        <v>1000</v>
      </c>
      <c r="L107">
        <v>11</v>
      </c>
      <c r="M107">
        <f t="shared" si="21"/>
        <v>30</v>
      </c>
      <c r="N107">
        <f t="shared" si="23"/>
        <v>11000</v>
      </c>
      <c r="O107">
        <f t="shared" si="24"/>
        <v>10450</v>
      </c>
      <c r="P107">
        <f t="shared" si="25"/>
        <v>11550</v>
      </c>
      <c r="Q107">
        <f t="shared" si="30"/>
        <v>0</v>
      </c>
      <c r="R107" s="126">
        <f t="shared" si="26"/>
        <v>1.1744628428419847E-6</v>
      </c>
      <c r="S107" s="126">
        <f t="shared" si="27"/>
        <v>1.6994142345137572E-6</v>
      </c>
      <c r="AA107" s="126">
        <f t="shared" si="31"/>
        <v>1.1744628428419847E-6</v>
      </c>
      <c r="AB107" s="126">
        <f t="shared" si="32"/>
        <v>1.6994142345137572E-6</v>
      </c>
      <c r="AC107" s="126">
        <f t="shared" si="28"/>
        <v>3.0555493659058899E-8</v>
      </c>
      <c r="AD107" s="126">
        <f t="shared" si="29"/>
        <v>1.484178071129256E-8</v>
      </c>
      <c r="AE107" s="128"/>
    </row>
    <row r="108" spans="1:31" x14ac:dyDescent="0.35">
      <c r="K108">
        <v>1000</v>
      </c>
      <c r="L108">
        <v>12</v>
      </c>
      <c r="M108">
        <f t="shared" si="21"/>
        <v>30</v>
      </c>
      <c r="N108">
        <f t="shared" si="23"/>
        <v>12000</v>
      </c>
      <c r="O108">
        <f t="shared" si="24"/>
        <v>11400</v>
      </c>
      <c r="P108">
        <f t="shared" si="25"/>
        <v>12600</v>
      </c>
      <c r="Q108">
        <f t="shared" si="30"/>
        <v>0</v>
      </c>
      <c r="R108" s="126">
        <f t="shared" si="26"/>
        <v>1.2812321881340211E-6</v>
      </c>
      <c r="S108" s="126">
        <f t="shared" si="27"/>
        <v>1.8536110898791696E-6</v>
      </c>
      <c r="AA108" s="126">
        <f t="shared" si="31"/>
        <v>1.2812321881340211E-6</v>
      </c>
      <c r="AB108" s="126">
        <f t="shared" si="32"/>
        <v>1.8536110898791696E-6</v>
      </c>
      <c r="AC108" s="126">
        <f t="shared" si="28"/>
        <v>3.050909687002924E-8</v>
      </c>
      <c r="AD108" s="126">
        <f t="shared" si="29"/>
        <v>1.4830994280829292E-8</v>
      </c>
      <c r="AE108" s="128"/>
    </row>
    <row r="109" spans="1:31" x14ac:dyDescent="0.35">
      <c r="K109">
        <v>1000</v>
      </c>
      <c r="L109">
        <v>13</v>
      </c>
      <c r="M109">
        <f t="shared" si="21"/>
        <v>30</v>
      </c>
      <c r="N109">
        <f t="shared" si="23"/>
        <v>13000</v>
      </c>
      <c r="O109">
        <f t="shared" si="24"/>
        <v>12350</v>
      </c>
      <c r="P109">
        <f t="shared" si="25"/>
        <v>13650</v>
      </c>
      <c r="Q109">
        <f t="shared" si="30"/>
        <v>0</v>
      </c>
      <c r="R109" s="126">
        <f t="shared" si="26"/>
        <v>1.3880015327498513E-6</v>
      </c>
      <c r="S109" s="126">
        <f t="shared" si="27"/>
        <v>2.0078079443614545E-6</v>
      </c>
      <c r="AA109" s="126">
        <f t="shared" si="31"/>
        <v>1.3880015327498513E-6</v>
      </c>
      <c r="AB109" s="126">
        <f t="shared" si="32"/>
        <v>2.0078079443614545E-6</v>
      </c>
      <c r="AC109" s="126">
        <f t="shared" si="28"/>
        <v>3.0470042138418982E-8</v>
      </c>
      <c r="AD109" s="126">
        <f t="shared" si="29"/>
        <v>1.4821890658904607E-8</v>
      </c>
      <c r="AE109" s="128"/>
    </row>
    <row r="110" spans="1:31" x14ac:dyDescent="0.35">
      <c r="K110">
        <v>1000</v>
      </c>
      <c r="L110">
        <v>15</v>
      </c>
      <c r="M110">
        <f t="shared" si="21"/>
        <v>30</v>
      </c>
      <c r="N110">
        <f t="shared" si="23"/>
        <v>15000</v>
      </c>
      <c r="O110">
        <f t="shared" si="24"/>
        <v>14250</v>
      </c>
      <c r="P110">
        <f t="shared" si="25"/>
        <v>15750</v>
      </c>
      <c r="Q110">
        <f t="shared" si="30"/>
        <v>0</v>
      </c>
      <c r="R110" s="126">
        <f t="shared" si="26"/>
        <v>1.6015402199528948E-6</v>
      </c>
      <c r="S110" s="126">
        <f t="shared" si="27"/>
        <v>2.3162016506766423E-6</v>
      </c>
      <c r="AA110" s="126">
        <f t="shared" si="31"/>
        <v>1.6015402199528948E-6</v>
      </c>
      <c r="AB110" s="126">
        <f t="shared" si="32"/>
        <v>2.3162016506766423E-6</v>
      </c>
      <c r="AC110" s="126">
        <f t="shared" si="28"/>
        <v>3.0407941550559234E-8</v>
      </c>
      <c r="AD110" s="126">
        <f t="shared" si="29"/>
        <v>1.4807369281535142E-8</v>
      </c>
      <c r="AE110" s="128"/>
    </row>
    <row r="111" spans="1:31" x14ac:dyDescent="0.35">
      <c r="K111">
        <v>1000</v>
      </c>
      <c r="L111">
        <v>16</v>
      </c>
      <c r="M111">
        <f t="shared" si="21"/>
        <v>30</v>
      </c>
      <c r="N111">
        <f t="shared" si="23"/>
        <v>16000</v>
      </c>
      <c r="O111">
        <f t="shared" si="24"/>
        <v>15200</v>
      </c>
      <c r="P111">
        <f t="shared" si="25"/>
        <v>16800</v>
      </c>
      <c r="Q111">
        <f t="shared" si="30"/>
        <v>0</v>
      </c>
      <c r="R111" s="126">
        <f t="shared" si="26"/>
        <v>1.7083095625401078E-6</v>
      </c>
      <c r="S111" s="126">
        <f t="shared" si="27"/>
        <v>2.4703985025095445E-6</v>
      </c>
      <c r="AA111" s="126">
        <f t="shared" si="31"/>
        <v>1.7083095625401078E-6</v>
      </c>
      <c r="AB111" s="126">
        <f t="shared" si="32"/>
        <v>2.4703985025095445E-6</v>
      </c>
      <c r="AC111" s="126">
        <f t="shared" si="28"/>
        <v>3.0382848592273084E-8</v>
      </c>
      <c r="AD111" s="126">
        <f t="shared" si="29"/>
        <v>1.4801485552201655E-8</v>
      </c>
      <c r="AE111" s="128"/>
    </row>
    <row r="112" spans="1:31" x14ac:dyDescent="0.35">
      <c r="K112">
        <v>1000</v>
      </c>
      <c r="L112">
        <v>18</v>
      </c>
      <c r="M112">
        <f t="shared" si="21"/>
        <v>30</v>
      </c>
      <c r="N112">
        <f t="shared" si="23"/>
        <v>18000</v>
      </c>
      <c r="O112">
        <f t="shared" si="24"/>
        <v>17100</v>
      </c>
      <c r="P112">
        <f t="shared" si="25"/>
        <v>18900</v>
      </c>
      <c r="Q112">
        <f t="shared" si="30"/>
        <v>0</v>
      </c>
      <c r="R112" s="126">
        <f t="shared" si="26"/>
        <v>1.9218482456859162E-6</v>
      </c>
      <c r="S112" s="126">
        <f t="shared" si="27"/>
        <v>2.7787922035259678E-6</v>
      </c>
      <c r="AA112" s="126">
        <f t="shared" si="31"/>
        <v>1.9218482456859162E-6</v>
      </c>
      <c r="AB112" s="126">
        <f t="shared" si="32"/>
        <v>2.7787922035259678E-6</v>
      </c>
      <c r="AC112" s="126">
        <f t="shared" si="28"/>
        <v>3.0341200010031012E-8</v>
      </c>
      <c r="AD112" s="126">
        <f t="shared" si="29"/>
        <v>1.4791699294501124E-8</v>
      </c>
      <c r="AE112" s="128"/>
    </row>
    <row r="113" spans="11:31" x14ac:dyDescent="0.35">
      <c r="K113">
        <v>1000</v>
      </c>
      <c r="L113">
        <v>20</v>
      </c>
      <c r="M113">
        <f t="shared" si="21"/>
        <v>30</v>
      </c>
      <c r="N113">
        <f t="shared" si="23"/>
        <v>20000</v>
      </c>
      <c r="O113">
        <f t="shared" si="24"/>
        <v>19000</v>
      </c>
      <c r="P113">
        <f t="shared" si="25"/>
        <v>21000</v>
      </c>
      <c r="Q113">
        <f t="shared" si="30"/>
        <v>0</v>
      </c>
      <c r="R113" s="126">
        <f t="shared" si="26"/>
        <v>2.1353869261269018E-6</v>
      </c>
      <c r="S113" s="126">
        <f t="shared" si="27"/>
        <v>3.0871859010098822E-6</v>
      </c>
      <c r="AA113" s="126">
        <f t="shared" si="31"/>
        <v>2.1353869261269018E-6</v>
      </c>
      <c r="AB113" s="126">
        <f t="shared" si="32"/>
        <v>3.0871859010098822E-6</v>
      </c>
      <c r="AC113" s="126">
        <f t="shared" si="28"/>
        <v>3.0308036273800165E-8</v>
      </c>
      <c r="AD113" s="126">
        <f t="shared" si="29"/>
        <v>1.4783888217990918E-8</v>
      </c>
      <c r="AE113" s="128"/>
    </row>
    <row r="114" spans="11:31" x14ac:dyDescent="0.35">
      <c r="K114">
        <v>1000</v>
      </c>
      <c r="L114">
        <v>22</v>
      </c>
      <c r="M114">
        <f t="shared" si="21"/>
        <v>30</v>
      </c>
      <c r="N114">
        <f t="shared" si="23"/>
        <v>22000</v>
      </c>
      <c r="O114">
        <f t="shared" si="24"/>
        <v>20900</v>
      </c>
      <c r="P114">
        <f t="shared" si="25"/>
        <v>23100</v>
      </c>
      <c r="Q114">
        <f t="shared" si="30"/>
        <v>0</v>
      </c>
      <c r="R114" s="126">
        <f t="shared" si="26"/>
        <v>2.3489256038630638E-6</v>
      </c>
      <c r="S114" s="126">
        <f t="shared" si="27"/>
        <v>3.3955795949612871E-6</v>
      </c>
      <c r="AA114" s="126">
        <f t="shared" si="31"/>
        <v>2.3489256038630638E-6</v>
      </c>
      <c r="AB114" s="126">
        <f t="shared" si="32"/>
        <v>3.3955795949612871E-6</v>
      </c>
      <c r="AC114" s="126">
        <f t="shared" si="28"/>
        <v>3.0281004480752634E-8</v>
      </c>
      <c r="AD114" s="126">
        <f t="shared" si="29"/>
        <v>1.4777509169676865E-8</v>
      </c>
      <c r="AE114" s="128"/>
    </row>
    <row r="115" spans="11:31" x14ac:dyDescent="0.35">
      <c r="K115">
        <v>1000</v>
      </c>
      <c r="L115">
        <v>24</v>
      </c>
      <c r="M115">
        <f t="shared" si="21"/>
        <v>30</v>
      </c>
      <c r="N115">
        <f t="shared" si="23"/>
        <v>24000</v>
      </c>
      <c r="O115">
        <f t="shared" si="24"/>
        <v>22800</v>
      </c>
      <c r="P115">
        <f t="shared" si="25"/>
        <v>25200</v>
      </c>
      <c r="Q115">
        <f t="shared" si="30"/>
        <v>0</v>
      </c>
      <c r="R115" s="126">
        <f t="shared" si="26"/>
        <v>2.5624642788944031E-6</v>
      </c>
      <c r="S115" s="126">
        <f t="shared" si="27"/>
        <v>3.7039732853801823E-6</v>
      </c>
      <c r="AA115" s="126">
        <f t="shared" si="31"/>
        <v>2.5624642788944031E-6</v>
      </c>
      <c r="AB115" s="126">
        <f t="shared" si="32"/>
        <v>3.7039732853801823E-6</v>
      </c>
      <c r="AC115" s="126">
        <f t="shared" si="28"/>
        <v>3.0258548012340636E-8</v>
      </c>
      <c r="AD115" s="126">
        <f t="shared" si="29"/>
        <v>1.4772201418705212E-8</v>
      </c>
      <c r="AE115" s="128"/>
    </row>
    <row r="116" spans="11:31" x14ac:dyDescent="0.35">
      <c r="K116">
        <v>1000</v>
      </c>
      <c r="L116">
        <v>27</v>
      </c>
      <c r="M116">
        <f t="shared" si="21"/>
        <v>30</v>
      </c>
      <c r="N116">
        <f t="shared" si="23"/>
        <v>27000</v>
      </c>
      <c r="O116">
        <f t="shared" si="24"/>
        <v>25650</v>
      </c>
      <c r="P116">
        <f t="shared" si="25"/>
        <v>28350</v>
      </c>
      <c r="Q116">
        <f t="shared" si="30"/>
        <v>0</v>
      </c>
      <c r="R116" s="126">
        <f t="shared" si="26"/>
        <v>2.8827722863698686E-6</v>
      </c>
      <c r="S116" s="126">
        <f t="shared" si="27"/>
        <v>4.1665638143850708E-6</v>
      </c>
      <c r="AA116" s="126">
        <f t="shared" si="31"/>
        <v>2.8827722863698686E-6</v>
      </c>
      <c r="AB116" s="126">
        <f t="shared" si="32"/>
        <v>4.1665638143850708E-6</v>
      </c>
      <c r="AC116" s="126">
        <f t="shared" si="28"/>
        <v>3.0231187419410354E-8</v>
      </c>
      <c r="AD116" s="126">
        <f t="shared" si="29"/>
        <v>1.4765724181434381E-8</v>
      </c>
      <c r="AE116" s="128"/>
    </row>
    <row r="117" spans="11:31" x14ac:dyDescent="0.35">
      <c r="K117">
        <v>1000</v>
      </c>
      <c r="L117">
        <v>30</v>
      </c>
      <c r="M117">
        <f t="shared" si="21"/>
        <v>30</v>
      </c>
      <c r="N117">
        <f t="shared" si="23"/>
        <v>30000</v>
      </c>
      <c r="O117">
        <f t="shared" si="24"/>
        <v>28500</v>
      </c>
      <c r="P117">
        <f t="shared" si="25"/>
        <v>31500</v>
      </c>
      <c r="Q117">
        <f t="shared" si="30"/>
        <v>0</v>
      </c>
      <c r="R117" s="126">
        <f t="shared" si="26"/>
        <v>3.2030802877594832E-6</v>
      </c>
      <c r="S117" s="126">
        <f t="shared" si="27"/>
        <v>4.6291543354418129E-6</v>
      </c>
      <c r="AA117" s="126">
        <f t="shared" si="31"/>
        <v>3.2030802877594832E-6</v>
      </c>
      <c r="AB117" s="126">
        <f t="shared" si="32"/>
        <v>4.6291543354418129E-6</v>
      </c>
      <c r="AC117" s="126">
        <f t="shared" si="28"/>
        <v>3.0209367032900378E-8</v>
      </c>
      <c r="AD117" s="126">
        <f t="shared" si="29"/>
        <v>1.476055031228951E-8</v>
      </c>
      <c r="AE117" s="128"/>
    </row>
    <row r="118" spans="11:31" x14ac:dyDescent="0.35">
      <c r="K118">
        <v>1000</v>
      </c>
      <c r="L118">
        <v>33</v>
      </c>
      <c r="M118">
        <f t="shared" si="21"/>
        <v>30</v>
      </c>
      <c r="N118">
        <f t="shared" si="23"/>
        <v>33000</v>
      </c>
      <c r="O118">
        <f t="shared" si="24"/>
        <v>31350</v>
      </c>
      <c r="P118">
        <f t="shared" si="25"/>
        <v>34650</v>
      </c>
      <c r="Q118">
        <f t="shared" si="30"/>
        <v>0</v>
      </c>
      <c r="R118" s="126">
        <f t="shared" si="26"/>
        <v>3.5233882830632454E-6</v>
      </c>
      <c r="S118" s="126">
        <f t="shared" si="27"/>
        <v>5.0917448485504104E-6</v>
      </c>
      <c r="AA118" s="126">
        <f t="shared" si="31"/>
        <v>3.5233882830632454E-6</v>
      </c>
      <c r="AB118" s="126">
        <f t="shared" si="32"/>
        <v>5.0917448485504104E-6</v>
      </c>
      <c r="AC118" s="126">
        <f t="shared" si="28"/>
        <v>3.0191558892664936E-8</v>
      </c>
      <c r="AD118" s="126">
        <f t="shared" si="29"/>
        <v>1.4756322377033387E-8</v>
      </c>
      <c r="AE118" s="128"/>
    </row>
    <row r="119" spans="11:31" x14ac:dyDescent="0.35">
      <c r="K119">
        <v>1000</v>
      </c>
      <c r="L119">
        <v>36</v>
      </c>
      <c r="M119">
        <f t="shared" si="21"/>
        <v>30</v>
      </c>
      <c r="N119">
        <f t="shared" si="23"/>
        <v>36000</v>
      </c>
      <c r="O119">
        <f t="shared" si="24"/>
        <v>34200</v>
      </c>
      <c r="P119">
        <f t="shared" si="25"/>
        <v>37800</v>
      </c>
      <c r="Q119">
        <f t="shared" si="30"/>
        <v>0</v>
      </c>
      <c r="R119" s="126">
        <f t="shared" si="26"/>
        <v>3.8436962722811567E-6</v>
      </c>
      <c r="S119" s="126">
        <f t="shared" si="27"/>
        <v>5.5543353537108607E-6</v>
      </c>
      <c r="AA119" s="126">
        <f t="shared" si="31"/>
        <v>3.8436962722811567E-6</v>
      </c>
      <c r="AB119" s="126">
        <f t="shared" si="32"/>
        <v>5.5543353537108607E-6</v>
      </c>
      <c r="AC119" s="126">
        <f t="shared" si="28"/>
        <v>3.017674958352231E-8</v>
      </c>
      <c r="AD119" s="126">
        <f t="shared" si="29"/>
        <v>1.4752802689981479E-8</v>
      </c>
      <c r="AE119" s="128"/>
    </row>
    <row r="120" spans="11:31" x14ac:dyDescent="0.35">
      <c r="K120">
        <v>1000</v>
      </c>
      <c r="L120">
        <v>39</v>
      </c>
      <c r="M120">
        <f t="shared" si="21"/>
        <v>30</v>
      </c>
      <c r="N120">
        <f t="shared" si="23"/>
        <v>39000</v>
      </c>
      <c r="O120">
        <f t="shared" si="24"/>
        <v>37050</v>
      </c>
      <c r="P120">
        <f t="shared" si="25"/>
        <v>40950</v>
      </c>
      <c r="Q120">
        <f t="shared" si="30"/>
        <v>0</v>
      </c>
      <c r="R120" s="126">
        <f t="shared" si="26"/>
        <v>4.1640042554132176E-6</v>
      </c>
      <c r="S120" s="126">
        <f t="shared" si="27"/>
        <v>6.0169258509231688E-6</v>
      </c>
      <c r="AA120" s="126">
        <f t="shared" si="31"/>
        <v>4.1640042554132176E-6</v>
      </c>
      <c r="AB120" s="126">
        <f t="shared" si="32"/>
        <v>6.0169258509231688E-6</v>
      </c>
      <c r="AC120" s="126">
        <f t="shared" si="28"/>
        <v>3.0164240467747192E-8</v>
      </c>
      <c r="AD120" s="126">
        <f t="shared" si="29"/>
        <v>1.4749827041904498E-8</v>
      </c>
      <c r="AE120" s="128"/>
    </row>
    <row r="121" spans="11:31" x14ac:dyDescent="0.35">
      <c r="K121">
        <v>1000</v>
      </c>
      <c r="L121">
        <v>43</v>
      </c>
      <c r="M121">
        <f t="shared" si="21"/>
        <v>30</v>
      </c>
      <c r="N121">
        <f t="shared" si="23"/>
        <v>43000</v>
      </c>
      <c r="O121">
        <f t="shared" si="24"/>
        <v>40850</v>
      </c>
      <c r="P121">
        <f t="shared" si="25"/>
        <v>45150</v>
      </c>
      <c r="Q121">
        <f t="shared" si="30"/>
        <v>0</v>
      </c>
      <c r="R121" s="126">
        <f t="shared" si="26"/>
        <v>4.5910815567890853E-6</v>
      </c>
      <c r="S121" s="126">
        <f t="shared" si="27"/>
        <v>6.6337131681757958E-6</v>
      </c>
      <c r="AA121" s="126">
        <f t="shared" si="31"/>
        <v>4.5910815567890853E-6</v>
      </c>
      <c r="AB121" s="126">
        <f t="shared" si="32"/>
        <v>6.6337131681757958E-6</v>
      </c>
      <c r="AC121" s="126">
        <f t="shared" si="28"/>
        <v>3.0150300412020137E-8</v>
      </c>
      <c r="AD121" s="126">
        <f t="shared" si="29"/>
        <v>1.474650814570541E-8</v>
      </c>
      <c r="AE121" s="128"/>
    </row>
    <row r="122" spans="11:31" x14ac:dyDescent="0.35">
      <c r="K122">
        <v>1000</v>
      </c>
      <c r="L122">
        <v>47</v>
      </c>
      <c r="M122">
        <f t="shared" si="21"/>
        <v>30</v>
      </c>
      <c r="N122">
        <f t="shared" si="23"/>
        <v>47000</v>
      </c>
      <c r="O122">
        <f t="shared" si="24"/>
        <v>44650</v>
      </c>
      <c r="P122">
        <f t="shared" si="25"/>
        <v>49350</v>
      </c>
      <c r="Q122">
        <f t="shared" si="30"/>
        <v>0</v>
      </c>
      <c r="R122" s="126">
        <f t="shared" si="26"/>
        <v>5.0181588473456631E-6</v>
      </c>
      <c r="S122" s="126">
        <f t="shared" si="27"/>
        <v>7.2505004712983902E-6</v>
      </c>
      <c r="AA122" s="126">
        <f t="shared" si="31"/>
        <v>5.0181588473456631E-6</v>
      </c>
      <c r="AB122" s="126">
        <f t="shared" si="32"/>
        <v>7.2505004712983902E-6</v>
      </c>
      <c r="AC122" s="126">
        <f t="shared" si="28"/>
        <v>3.0138752012129588E-8</v>
      </c>
      <c r="AD122" s="126">
        <f t="shared" si="29"/>
        <v>1.4743756374869154E-8</v>
      </c>
      <c r="AE122" s="128"/>
    </row>
    <row r="123" spans="11:31" x14ac:dyDescent="0.35">
      <c r="K123">
        <v>1000</v>
      </c>
      <c r="L123">
        <v>51</v>
      </c>
      <c r="M123">
        <f t="shared" si="21"/>
        <v>30</v>
      </c>
      <c r="N123">
        <f t="shared" si="23"/>
        <v>51000</v>
      </c>
      <c r="O123">
        <f t="shared" si="24"/>
        <v>48450</v>
      </c>
      <c r="P123">
        <f t="shared" si="25"/>
        <v>53550</v>
      </c>
      <c r="Q123">
        <f t="shared" si="30"/>
        <v>0</v>
      </c>
      <c r="R123" s="126">
        <f t="shared" si="26"/>
        <v>5.4452361270829519E-6</v>
      </c>
      <c r="S123" s="126">
        <f t="shared" si="27"/>
        <v>7.867287760290947E-6</v>
      </c>
      <c r="AA123" s="126">
        <f t="shared" si="31"/>
        <v>5.4452361270829519E-6</v>
      </c>
      <c r="AB123" s="126">
        <f t="shared" si="32"/>
        <v>7.867287760290947E-6</v>
      </c>
      <c r="AC123" s="126">
        <f t="shared" si="28"/>
        <v>3.0129028413840572E-8</v>
      </c>
      <c r="AD123" s="126">
        <f t="shared" si="29"/>
        <v>1.4741437808593707E-8</v>
      </c>
      <c r="AE123" s="128"/>
    </row>
    <row r="124" spans="11:31" x14ac:dyDescent="0.35">
      <c r="K124">
        <v>1000</v>
      </c>
      <c r="L124">
        <v>56</v>
      </c>
      <c r="M124">
        <f t="shared" si="21"/>
        <v>30</v>
      </c>
      <c r="N124">
        <f t="shared" si="23"/>
        <v>56000</v>
      </c>
      <c r="O124">
        <f t="shared" si="24"/>
        <v>53200</v>
      </c>
      <c r="P124">
        <f t="shared" si="25"/>
        <v>58800</v>
      </c>
      <c r="Q124">
        <f t="shared" si="30"/>
        <v>0</v>
      </c>
      <c r="R124" s="126">
        <f t="shared" si="26"/>
        <v>5.9790827115399383E-6</v>
      </c>
      <c r="S124" s="126">
        <f t="shared" si="27"/>
        <v>8.6382718516612867E-6</v>
      </c>
      <c r="AA124" s="126">
        <f t="shared" si="31"/>
        <v>5.9790827115399383E-6</v>
      </c>
      <c r="AB124" s="126">
        <f t="shared" si="32"/>
        <v>8.6382718516612867E-6</v>
      </c>
      <c r="AC124" s="126">
        <f t="shared" si="28"/>
        <v>3.0118840369075597E-8</v>
      </c>
      <c r="AD124" s="126">
        <f t="shared" si="29"/>
        <v>1.4739006911684888E-8</v>
      </c>
      <c r="AE124" s="128"/>
    </row>
    <row r="125" spans="11:31" x14ac:dyDescent="0.35">
      <c r="K125">
        <v>1000</v>
      </c>
      <c r="L125">
        <v>62</v>
      </c>
      <c r="M125">
        <f t="shared" si="21"/>
        <v>30</v>
      </c>
      <c r="N125">
        <f t="shared" si="23"/>
        <v>62000</v>
      </c>
      <c r="O125">
        <f t="shared" si="24"/>
        <v>58900</v>
      </c>
      <c r="P125">
        <f t="shared" si="25"/>
        <v>65100</v>
      </c>
      <c r="Q125">
        <f t="shared" si="30"/>
        <v>0</v>
      </c>
      <c r="R125" s="126">
        <f t="shared" si="26"/>
        <v>6.6196985905735367E-6</v>
      </c>
      <c r="S125" s="126">
        <f t="shared" si="27"/>
        <v>9.5634527321624991E-6</v>
      </c>
      <c r="AA125" s="126">
        <f t="shared" si="31"/>
        <v>6.6196985905735367E-6</v>
      </c>
      <c r="AB125" s="126">
        <f t="shared" si="32"/>
        <v>9.5634527321624991E-6</v>
      </c>
      <c r="AC125" s="126">
        <f t="shared" si="28"/>
        <v>3.0108796875024272E-8</v>
      </c>
      <c r="AD125" s="126">
        <f t="shared" si="29"/>
        <v>1.4736608914338858E-8</v>
      </c>
      <c r="AE125" s="128"/>
    </row>
    <row r="126" spans="11:31" x14ac:dyDescent="0.35">
      <c r="K126">
        <v>1000</v>
      </c>
      <c r="L126">
        <v>68</v>
      </c>
      <c r="M126">
        <f t="shared" si="21"/>
        <v>30</v>
      </c>
      <c r="N126">
        <f t="shared" si="23"/>
        <v>68000</v>
      </c>
      <c r="O126">
        <f t="shared" si="24"/>
        <v>64600</v>
      </c>
      <c r="P126">
        <f t="shared" si="25"/>
        <v>71400</v>
      </c>
      <c r="Q126">
        <f t="shared" si="30"/>
        <v>0</v>
      </c>
      <c r="R126" s="126">
        <f t="shared" si="26"/>
        <v>7.2603144452637376E-6</v>
      </c>
      <c r="S126" s="126">
        <f t="shared" si="27"/>
        <v>1.0488633580871136E-5</v>
      </c>
      <c r="AA126" s="126">
        <f t="shared" si="31"/>
        <v>7.2603144452637376E-6</v>
      </c>
      <c r="AB126" s="126">
        <f t="shared" si="32"/>
        <v>1.0488633580871136E-5</v>
      </c>
      <c r="AC126" s="126">
        <f t="shared" si="28"/>
        <v>3.0100535518320504E-8</v>
      </c>
      <c r="AD126" s="126">
        <f t="shared" si="29"/>
        <v>1.4734635236109751E-8</v>
      </c>
      <c r="AE126" s="128"/>
    </row>
    <row r="127" spans="11:31" x14ac:dyDescent="0.35">
      <c r="K127">
        <v>1000</v>
      </c>
      <c r="L127">
        <v>75</v>
      </c>
      <c r="M127">
        <f t="shared" si="21"/>
        <v>30</v>
      </c>
      <c r="N127">
        <f t="shared" si="23"/>
        <v>75000</v>
      </c>
      <c r="O127">
        <f t="shared" si="24"/>
        <v>71250</v>
      </c>
      <c r="P127">
        <f t="shared" si="25"/>
        <v>78750</v>
      </c>
      <c r="Q127">
        <f t="shared" si="30"/>
        <v>0</v>
      </c>
      <c r="R127" s="126">
        <f t="shared" si="26"/>
        <v>8.0076995783016263E-6</v>
      </c>
      <c r="S127" s="126">
        <f t="shared" si="27"/>
        <v>1.1568011197515605E-5</v>
      </c>
      <c r="AA127" s="126">
        <f t="shared" si="31"/>
        <v>8.0076995783016263E-6</v>
      </c>
      <c r="AB127" s="126">
        <f t="shared" si="32"/>
        <v>1.1568011197515605E-5</v>
      </c>
      <c r="AC127" s="126">
        <f t="shared" si="28"/>
        <v>3.0092576237981623E-8</v>
      </c>
      <c r="AD127" s="126">
        <f t="shared" si="29"/>
        <v>1.4732732710710723E-8</v>
      </c>
      <c r="AE127" s="128"/>
    </row>
    <row r="128" spans="11:31" x14ac:dyDescent="0.35">
      <c r="K128">
        <v>1000</v>
      </c>
      <c r="L128">
        <v>82</v>
      </c>
      <c r="M128">
        <f t="shared" si="21"/>
        <v>30</v>
      </c>
      <c r="N128">
        <f t="shared" si="23"/>
        <v>82000</v>
      </c>
      <c r="O128">
        <f t="shared" si="24"/>
        <v>77900</v>
      </c>
      <c r="P128">
        <f t="shared" si="25"/>
        <v>86100</v>
      </c>
      <c r="Q128">
        <f t="shared" si="30"/>
        <v>0</v>
      </c>
      <c r="R128" s="126">
        <f t="shared" si="26"/>
        <v>8.7550846782054452E-6</v>
      </c>
      <c r="S128" s="126">
        <f t="shared" si="27"/>
        <v>1.2647388770886854E-5</v>
      </c>
      <c r="AA128" s="126">
        <f t="shared" si="31"/>
        <v>8.7550846782054452E-6</v>
      </c>
      <c r="AB128" s="126">
        <f t="shared" si="32"/>
        <v>1.2647388770886854E-5</v>
      </c>
      <c r="AC128" s="126">
        <f t="shared" si="28"/>
        <v>3.0085982064453777E-8</v>
      </c>
      <c r="AD128" s="126">
        <f t="shared" si="29"/>
        <v>1.4731155734484958E-8</v>
      </c>
      <c r="AE128" s="128"/>
    </row>
    <row r="129" spans="11:31" x14ac:dyDescent="0.35">
      <c r="K129">
        <v>1000</v>
      </c>
      <c r="L129">
        <v>91</v>
      </c>
      <c r="M129">
        <f t="shared" si="21"/>
        <v>30</v>
      </c>
      <c r="N129">
        <f t="shared" si="23"/>
        <v>91000</v>
      </c>
      <c r="O129">
        <f t="shared" si="24"/>
        <v>86450</v>
      </c>
      <c r="P129">
        <f t="shared" si="25"/>
        <v>95550</v>
      </c>
      <c r="Q129">
        <f t="shared" si="30"/>
        <v>0</v>
      </c>
      <c r="R129" s="126">
        <f t="shared" si="26"/>
        <v>9.7160083293949993E-6</v>
      </c>
      <c r="S129" s="126">
        <f t="shared" si="27"/>
        <v>1.4035159873064752E-5</v>
      </c>
      <c r="AA129" s="126">
        <f t="shared" si="31"/>
        <v>9.7160083293949993E-6</v>
      </c>
      <c r="AB129" s="126">
        <f t="shared" si="32"/>
        <v>1.4035159873064752E-5</v>
      </c>
      <c r="AC129" s="126">
        <f t="shared" si="28"/>
        <v>3.0079000652521831E-8</v>
      </c>
      <c r="AD129" s="126">
        <f t="shared" si="29"/>
        <v>1.4729485404095178E-8</v>
      </c>
      <c r="AE129" s="128"/>
    </row>
    <row r="130" spans="11:31" x14ac:dyDescent="0.35">
      <c r="M130">
        <f t="shared" si="21"/>
        <v>30</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931" priority="38" stopIfTrue="1">
      <formula>AND($B$11="need resistor",$C$11&gt;0)</formula>
    </cfRule>
    <cfRule type="containsText" dxfId="930" priority="42" operator="containsText" text="need resistor">
      <formula>NOT(ISERROR(SEARCH("need resistor",B11)))</formula>
    </cfRule>
  </conditionalFormatting>
  <conditionalFormatting sqref="B11:B12">
    <cfRule type="containsText" dxfId="929" priority="40" operator="containsText" text="no need">
      <formula>NOT(ISERROR(SEARCH("no need",B11)))</formula>
    </cfRule>
  </conditionalFormatting>
  <conditionalFormatting sqref="B12">
    <cfRule type="expression" dxfId="928" priority="37" stopIfTrue="1">
      <formula>AND($B$12="need resistor",$C$12&gt;0)</formula>
    </cfRule>
    <cfRule type="containsText" dxfId="927" priority="39" operator="containsText" text="need resistor">
      <formula>NOT(ISERROR(SEARCH("need resistor",B12)))</formula>
    </cfRule>
  </conditionalFormatting>
  <conditionalFormatting sqref="B42">
    <cfRule type="expression" dxfId="926" priority="65">
      <formula>AND($B$42&gt;$S$2,$B$2=1)</formula>
    </cfRule>
    <cfRule type="expression" dxfId="925" priority="64">
      <formula>AND($B$42&lt;$R$2,$B$2=0)</formula>
    </cfRule>
    <cfRule type="expression" dxfId="924" priority="63" stopIfTrue="1">
      <formula>AND($B$42&lt;=$S$2,$B$2=1)</formula>
    </cfRule>
    <cfRule type="expression" dxfId="923" priority="62" stopIfTrue="1">
      <formula>AND($B$42&gt;=$R$2,$B$2=0)</formula>
    </cfRule>
  </conditionalFormatting>
  <conditionalFormatting sqref="B62">
    <cfRule type="expression" dxfId="922" priority="73">
      <formula>AND($B$62&gt;$S$2,$B$2=1)</formula>
    </cfRule>
    <cfRule type="expression" dxfId="921" priority="72">
      <formula>AND($B$62&lt;$R$2,$B$2=0)</formula>
    </cfRule>
    <cfRule type="expression" dxfId="920" priority="71" stopIfTrue="1">
      <formula>AND($B$62&lt;=$S$2,$B$2=1)</formula>
    </cfRule>
    <cfRule type="expression" dxfId="919" priority="70" stopIfTrue="1">
      <formula>AND($B$62&gt;=$R$2,$B$2=0)</formula>
    </cfRule>
  </conditionalFormatting>
  <conditionalFormatting sqref="B84">
    <cfRule type="cellIs" dxfId="918" priority="51" operator="greaterThan">
      <formula>$S$3</formula>
    </cfRule>
    <cfRule type="cellIs" dxfId="917" priority="50" operator="lessThanOrEqual">
      <formula>$S$3</formula>
    </cfRule>
  </conditionalFormatting>
  <conditionalFormatting sqref="B102">
    <cfRule type="cellIs" dxfId="916" priority="54" operator="lessThanOrEqual">
      <formula>$S$2</formula>
    </cfRule>
    <cfRule type="cellIs" dxfId="915" priority="55" operator="greaterThan">
      <formula>$S$2</formula>
    </cfRule>
  </conditionalFormatting>
  <conditionalFormatting sqref="B18:C18">
    <cfRule type="expression" dxfId="914" priority="59">
      <formula>OR(AND($B$2=0,$C$18&lt;$R$2),AND($B$2=1,$C$18&gt;$S$2))</formula>
    </cfRule>
    <cfRule type="expression" dxfId="913" priority="58" stopIfTrue="1">
      <formula>OR(AND($B$2=0,$C$18&gt;=$R$2),AND($B$2=1,$C$18&lt;=$S$2))</formula>
    </cfRule>
  </conditionalFormatting>
  <conditionalFormatting sqref="B19:C19">
    <cfRule type="expression" dxfId="912" priority="61">
      <formula>OR(AND($B$3=0,$C$19&lt;$R$3),AND($B$3=1,$C$19&gt;$S$3))</formula>
    </cfRule>
    <cfRule type="expression" dxfId="911" priority="60" stopIfTrue="1">
      <formula>OR(AND($B$3=0,$C$19&gt;=$R$3),AND($B$3=1,$C$19&lt;=$S$3))</formula>
    </cfRule>
  </conditionalFormatting>
  <conditionalFormatting sqref="C14">
    <cfRule type="cellIs" dxfId="910" priority="32" operator="equal">
      <formula>"no solution"</formula>
    </cfRule>
  </conditionalFormatting>
  <conditionalFormatting sqref="C44">
    <cfRule type="expression" dxfId="909" priority="69">
      <formula>AND($B$44&gt;$S$3,$B$3=1)</formula>
    </cfRule>
    <cfRule type="expression" dxfId="908" priority="68">
      <formula>AND($B$44&lt;$R$3,$B$3=0)</formula>
    </cfRule>
    <cfRule type="expression" dxfId="907" priority="67" stopIfTrue="1">
      <formula>AND($C$44&lt;=$S$3,$B$3=1)</formula>
    </cfRule>
    <cfRule type="expression" dxfId="906" priority="66" stopIfTrue="1">
      <formula>AND($C$44&gt;=$R$3,$B$3=0)</formula>
    </cfRule>
  </conditionalFormatting>
  <conditionalFormatting sqref="C64">
    <cfRule type="expression" dxfId="905" priority="75" stopIfTrue="1">
      <formula>AND($C$64&lt;=$S$3,$B$3=1)</formula>
    </cfRule>
    <cfRule type="expression" dxfId="904" priority="76">
      <formula>AND($B$64&lt;$R$3,$B$3=0)</formula>
    </cfRule>
    <cfRule type="expression" dxfId="903" priority="77">
      <formula>AND($B$64&gt;$S$3,$B$3=1)</formula>
    </cfRule>
    <cfRule type="expression" dxfId="902" priority="74" stopIfTrue="1">
      <formula>AND($C$64&gt;=$R$3,$B$3=0)</formula>
    </cfRule>
  </conditionalFormatting>
  <conditionalFormatting sqref="C102:D102">
    <cfRule type="cellIs" dxfId="901" priority="34" operator="lessThan">
      <formula>$R$2</formula>
    </cfRule>
    <cfRule type="cellIs" dxfId="900" priority="33" operator="greaterThanOrEqual">
      <formula>$R$2</formula>
    </cfRule>
  </conditionalFormatting>
  <conditionalFormatting sqref="C84:H84">
    <cfRule type="cellIs" dxfId="899" priority="19" operator="lessThan">
      <formula>$R$3</formula>
    </cfRule>
    <cfRule type="cellIs" dxfId="898" priority="18" operator="greaterThanOrEqual">
      <formula>$R$3</formula>
    </cfRule>
  </conditionalFormatting>
  <conditionalFormatting sqref="D11">
    <cfRule type="containsText" dxfId="897" priority="45" stopIfTrue="1" operator="containsText" text="please remove resistor">
      <formula>NOT(ISERROR(SEARCH("please remove resistor",D11)))</formula>
    </cfRule>
    <cfRule type="cellIs" dxfId="896" priority="47" operator="greaterThan">
      <formula>$S$2</formula>
    </cfRule>
    <cfRule type="cellIs" dxfId="895" priority="46" operator="lessThan">
      <formula>$S$2</formula>
    </cfRule>
  </conditionalFormatting>
  <conditionalFormatting sqref="D11:D12">
    <cfRule type="cellIs" priority="30" stopIfTrue="1" operator="equal">
      <formula>""</formula>
    </cfRule>
  </conditionalFormatting>
  <conditionalFormatting sqref="D12 E18:E19">
    <cfRule type="cellIs" dxfId="894" priority="44" operator="lessThan">
      <formula>$R$2-$N$7</formula>
    </cfRule>
    <cfRule type="cellIs" dxfId="893" priority="43" operator="greaterThanOrEqual">
      <formula>$R$2-$N$7</formula>
    </cfRule>
  </conditionalFormatting>
  <conditionalFormatting sqref="D18:D19">
    <cfRule type="cellIs" dxfId="892" priority="48" operator="lessThanOrEqual">
      <formula>$S$2+$N$7</formula>
    </cfRule>
    <cfRule type="cellIs" dxfId="891" priority="49" operator="greaterThan">
      <formula>$S$2+$N$7</formula>
    </cfRule>
  </conditionalFormatting>
  <conditionalFormatting sqref="E102">
    <cfRule type="cellIs" dxfId="890" priority="17" operator="lessThan">
      <formula>$R$3</formula>
    </cfRule>
    <cfRule type="cellIs" dxfId="889" priority="16" operator="greaterThanOrEqual">
      <formula>$R$3</formula>
    </cfRule>
  </conditionalFormatting>
  <conditionalFormatting sqref="F21">
    <cfRule type="containsText" dxfId="888" priority="15" operator="containsText" text="failed">
      <formula>NOT(ISERROR(SEARCH("failed",F21)))</formula>
    </cfRule>
  </conditionalFormatting>
  <conditionalFormatting sqref="F22">
    <cfRule type="containsText" dxfId="887" priority="14" operator="containsText" text="fail">
      <formula>NOT(ISERROR(SEARCH("fail",F22)))</formula>
    </cfRule>
  </conditionalFormatting>
  <conditionalFormatting sqref="F23">
    <cfRule type="containsText" dxfId="886" priority="13" operator="containsText" text="failed">
      <formula>NOT(ISERROR(SEARCH("failed",F23)))</formula>
    </cfRule>
  </conditionalFormatting>
  <conditionalFormatting sqref="F102:H102">
    <cfRule type="cellIs" dxfId="885" priority="26" operator="greaterThanOrEqual">
      <formula>$R$2</formula>
    </cfRule>
    <cfRule type="cellIs" dxfId="884" priority="27" operator="lessThan">
      <formula>$R$2</formula>
    </cfRule>
  </conditionalFormatting>
  <conditionalFormatting sqref="G18">
    <cfRule type="cellIs" dxfId="883" priority="7" operator="greaterThan">
      <formula>$V$2</formula>
    </cfRule>
    <cfRule type="cellIs" dxfId="882" priority="8" operator="lessThan">
      <formula>$V$2</formula>
    </cfRule>
  </conditionalFormatting>
  <conditionalFormatting sqref="G19">
    <cfRule type="cellIs" dxfId="881" priority="10" operator="lessThan">
      <formula>$V$3</formula>
    </cfRule>
    <cfRule type="cellIs" dxfId="880" priority="9" operator="greaterThan">
      <formula>$V$3</formula>
    </cfRule>
  </conditionalFormatting>
  <conditionalFormatting sqref="I18:I19">
    <cfRule type="cellIs" dxfId="879" priority="2" operator="lessThan">
      <formula>$W$2</formula>
    </cfRule>
    <cfRule type="cellIs" dxfId="878" priority="1" operator="greaterThan">
      <formula>$W$2</formula>
    </cfRule>
  </conditionalFormatting>
  <conditionalFormatting sqref="K12">
    <cfRule type="expression" dxfId="877" priority="78">
      <formula>SEARCH("reduce",$F$23)</formula>
    </cfRule>
    <cfRule type="expression" dxfId="876" priority="79">
      <formula>SEARCH("reduce",$F$21)</formula>
    </cfRule>
  </conditionalFormatting>
  <conditionalFormatting sqref="N2">
    <cfRule type="expression" dxfId="875" priority="80">
      <formula>SEARCH("strength",$F$21)</formula>
    </cfRule>
    <cfRule type="expression" dxfId="874" priority="81">
      <formula>SEARCH("strength",$F$23)</formula>
    </cfRule>
  </conditionalFormatting>
  <hyperlinks>
    <hyperlink ref="N25" location="Summary!A1" display="Link to summary" xr:uid="{659129B3-074B-4050-B6A7-5BE710834405}"/>
  </hyperlinks>
  <pageMargins left="0.7" right="0.7" top="0.75" bottom="0.75" header="0.3" footer="0.3"/>
  <pageSetup paperSize="9"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6204D-EFC9-41C9-BFA9-5163F8DA3FF7}">
  <dimension ref="A1:AK130"/>
  <sheetViews>
    <sheetView topLeftCell="L1"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Summary!J16</f>
        <v>1.8</v>
      </c>
      <c r="K2" s="10">
        <v>1000000000000</v>
      </c>
      <c r="L2" s="15">
        <v>0.1</v>
      </c>
      <c r="M2" s="15">
        <v>0.1</v>
      </c>
      <c r="N2" s="66">
        <f>Summary!J26</f>
        <v>100</v>
      </c>
      <c r="O2" s="15">
        <f>Summary!J88</f>
        <v>0.25</v>
      </c>
      <c r="P2" s="15">
        <f>Summary!J89</f>
        <v>0.25</v>
      </c>
      <c r="Q2" s="5" t="str">
        <f>Summary!J27</f>
        <v>N/A</v>
      </c>
      <c r="R2" s="5">
        <f>Summary!J51</f>
        <v>0.3</v>
      </c>
      <c r="S2" s="5">
        <f>Summary!J52</f>
        <v>0.7</v>
      </c>
      <c r="T2" s="5">
        <f>Summary!J53</f>
        <v>0.3</v>
      </c>
      <c r="U2" s="5">
        <f>Summary!J54</f>
        <v>0.7</v>
      </c>
      <c r="V2" s="130">
        <f>Summary!J55</f>
        <v>2.9999999999999999E-7</v>
      </c>
      <c r="W2" s="130">
        <f>Summary!J56</f>
        <v>2.9999999999999999E-7</v>
      </c>
      <c r="X2" s="131">
        <f>V2</f>
        <v>2.9999999999999999E-7</v>
      </c>
      <c r="Y2" s="132">
        <f>IF(Summary!J57="","",Summary!J57)</f>
        <v>2E-8</v>
      </c>
      <c r="Z2" s="132">
        <f>IF(Summary!J58="","",Summary!J58)</f>
        <v>6.5454545454545451E-9</v>
      </c>
      <c r="AA2" s="4">
        <f>Summary!J59</f>
        <v>1E-10</v>
      </c>
      <c r="AB2" s="41">
        <f>Summary!J81</f>
        <v>4.9999999999999997E-12</v>
      </c>
      <c r="AC2" s="41">
        <f>Summary!J83</f>
        <v>8.1900000000000013E-12</v>
      </c>
      <c r="AD2" s="3">
        <f>Summary!J84</f>
        <v>0.69</v>
      </c>
      <c r="AE2" s="41">
        <f>Summary!J86</f>
        <v>4.9999999999999997E-12</v>
      </c>
      <c r="AF2" s="5">
        <f>Summary!J87</f>
        <v>2.93</v>
      </c>
      <c r="AG2" s="127" t="str">
        <f>Summary!J50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Summary!J16</f>
        <v>1.8</v>
      </c>
      <c r="K3" s="10">
        <v>1000000000000</v>
      </c>
      <c r="L3" s="15">
        <v>0.1</v>
      </c>
      <c r="M3" s="15">
        <v>0.1</v>
      </c>
      <c r="N3">
        <f>Summary!J97</f>
        <v>50</v>
      </c>
      <c r="O3" s="15">
        <f>Summary!J98</f>
        <v>0.5</v>
      </c>
      <c r="P3" s="15">
        <f>Summary!J99</f>
        <v>0</v>
      </c>
      <c r="Q3"/>
      <c r="R3" s="5">
        <f>Summary!J38</f>
        <v>0.3</v>
      </c>
      <c r="S3" s="5">
        <f>Summary!J39</f>
        <v>0.7</v>
      </c>
      <c r="T3" s="5">
        <f>Summary!J42</f>
        <v>0.3</v>
      </c>
      <c r="U3" s="5">
        <f>Summary!J43</f>
        <v>0.7</v>
      </c>
      <c r="V3" s="130">
        <f>Summary!J44</f>
        <v>2.9999999999999999E-7</v>
      </c>
      <c r="W3" s="130">
        <f>Summary!J45</f>
        <v>2.9999999999999999E-7</v>
      </c>
      <c r="X3" s="131">
        <f>V3</f>
        <v>2.9999999999999999E-7</v>
      </c>
      <c r="Y3" s="132">
        <f>IF(Summary!J46="","",Summary!J46)</f>
        <v>2E-8</v>
      </c>
      <c r="Z3" s="132">
        <f>IF(Summary!J47="","",Summary!J47)</f>
        <v>6.5454545454545451E-9</v>
      </c>
      <c r="AA3" s="4">
        <f>Summary!J59</f>
        <v>1E-10</v>
      </c>
      <c r="AB3" s="41">
        <f>Summary!J96</f>
        <v>9.9999999999999994E-12</v>
      </c>
      <c r="AG3" s="127" t="str">
        <f>Summary!J37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427329345.73217905</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427329345.73217905</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185.45760173684255</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378.31470632001259</v>
      </c>
      <c r="F7" s="123">
        <f>_xlfn.IFNA(_xlfn.XLOOKUP($X$2,AB34:AB129,P34:P129,,-1), "Out of support PU range")</f>
        <v>1890</v>
      </c>
      <c r="G7" s="124">
        <f>_xlfn.IFNA(_xlfn.XLOOKUP($X$3,S34:S129,P34:P129,,-1), "Out of support PU range")</f>
        <v>1890</v>
      </c>
      <c r="H7" s="124">
        <f>_xlfn.IFNA(MAX(_xlfn.XLOOKUP(MAX($Y$2:$AA$2),AA34:AA129,O34:O129,,1), _xlfn.XLOOKUP($W$2,AD34:AD129,O34:O129,,-1)), "Fail AC VIL")</f>
        <v>190</v>
      </c>
      <c r="I7" s="129">
        <f>_xlfn.IFNA(MAX(_xlfn.XLOOKUP(MAX($Y$3:$AA$3),R34:R129,O34:O129,,1), _xlfn.XLOOKUP($W$3,AC34:AC129,O34:O129,,-1)), "Fail AC VIL")</f>
        <v>408.5</v>
      </c>
      <c r="J7" s="21">
        <v>20000</v>
      </c>
      <c r="K7" s="2">
        <f>MIN(
MIN(FLOOR(B7,10^(LEN(ROUND(B7,0))-1))/10,
FLOOR(C7,10^(LEN(ROUND(C7,0))-1))/10,
IF(F7*10&gt;=J7,FLOOR(F7,10^(LEN(ROUND(F7,0))-1))/10,FLOOR(F7,10^(LEN(ROUND(F7,0))-1))),
FLOOR(G7,10^(LEN(ROUND(G7,0))-1))/10),
MAX(I7,J7)
)</f>
        <v>100</v>
      </c>
      <c r="L7" s="1"/>
      <c r="N7" s="71">
        <f>Summary!J62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191.35714272367039</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191.35714272367039</v>
      </c>
      <c r="E8">
        <f>X2/(1.204*K18)</f>
        <v>1554.6828759599234</v>
      </c>
      <c r="F8">
        <f>X3/(1.204*K18)</f>
        <v>1554.6828759599234</v>
      </c>
      <c r="H8">
        <f>AA2/(1.204*K18)</f>
        <v>0.51822762531997457</v>
      </c>
      <c r="I8" s="2">
        <f>AA3/(1.204*K18)</f>
        <v>0.51822762531997457</v>
      </c>
      <c r="J8" s="8">
        <v>20000</v>
      </c>
      <c r="K8">
        <f>MIN(MIN(FLOOR(B8,10^(LEN(ROUND(B8,0))-1))/10,FLOOR(C8,10^(LEN(ROUND(C8,0))-1))/10,FLOOR(E8,10^(LEN(ROUND(E8,0))-1))/10,FLOOR(F8,10^(LEN(ROUND(F8,0))-1))/10),MAX(I8,J8))</f>
        <v>10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Summary!J24</f>
        <v>470</v>
      </c>
      <c r="D11" s="1">
        <f>IF(AND(B11="no need", C11=""), "",IF(AND(B11="no need", C11&gt;0), "please remove resistor",   IF(AND(B11="need resistor", ISBLANK(C11)), "please enter resistor",  (1/(1/F2+1/F3))/(1/(1/(1/(1/C2+1/C3))+1/C11)+(1/(1/F2+1/F3))) ) ))</f>
        <v>0.99999999906000003</v>
      </c>
      <c r="F11" s="7">
        <f>IF(B11="no need", 1000000000, C11)</f>
        <v>470</v>
      </c>
      <c r="G11" s="7" t="s">
        <v>281</v>
      </c>
      <c r="H11" s="62">
        <f>Summary!J25</f>
        <v>0.05</v>
      </c>
      <c r="K11" s="6" t="s">
        <v>282</v>
      </c>
      <c r="N11" s="19" t="s">
        <v>283</v>
      </c>
      <c r="P11" s="19" t="s">
        <v>284</v>
      </c>
      <c r="R11" s="127" t="s">
        <v>285</v>
      </c>
      <c r="S11" s="127">
        <f>($J$2+$J$2*Summary!$J$17)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Summary!J10</f>
        <v>25</v>
      </c>
      <c r="L12" t="s">
        <v>287</v>
      </c>
      <c r="N12" s="4">
        <f>SUM(AB2:AC3,AE2:AE3)</f>
        <v>2.8189999999999998E-11</v>
      </c>
      <c r="O12" t="s">
        <v>288</v>
      </c>
      <c r="P12" s="61">
        <f>Summary!J84+Summary!J87</f>
        <v>3.62</v>
      </c>
      <c r="Q12" t="s">
        <v>289</v>
      </c>
      <c r="R12" s="127" t="s">
        <v>290</v>
      </c>
      <c r="S12" s="127">
        <f>($J$2-$J$2*Summary!$J$17)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($J$3+$J$3*Summary!$J$18)</f>
        <v>1.8900000000000001</v>
      </c>
    </row>
    <row r="14" spans="1:37" x14ac:dyDescent="0.35">
      <c r="K14" s="6" t="s">
        <v>293</v>
      </c>
      <c r="N14" s="6" t="s">
        <v>294</v>
      </c>
      <c r="R14" s="127" t="s">
        <v>295</v>
      </c>
      <c r="S14" s="127">
        <f>($J$3-$J$3*Summary!$J$18)</f>
        <v>1.71</v>
      </c>
    </row>
    <row r="15" spans="1:37" x14ac:dyDescent="0.35">
      <c r="B15" s="2"/>
      <c r="C15" s="2"/>
      <c r="K15" s="3">
        <f>Summary!J8</f>
        <v>19.988</v>
      </c>
      <c r="L15" t="s">
        <v>296</v>
      </c>
      <c r="N15" s="41">
        <f>Summary!J9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0.99999945054572204</v>
      </c>
      <c r="C18">
        <f>B42</f>
        <v>0.99999959325914534</v>
      </c>
      <c r="D18">
        <f>B102</f>
        <v>0.99999945054572204</v>
      </c>
      <c r="E18">
        <f>C102</f>
        <v>0.13906534043266167</v>
      </c>
      <c r="F18" s="126">
        <f>_xlfn.LET(
_xlpm.Rbus, (1/(1/((1/(1/($G$91+$G$93)+1/$G$90))+$G$92)+1/($G$89))),
_xlpm.VCC, IF($AG$2="absolute",$S$13,1),
_xlpm.Vspec_abs, $U$2-$N$7,
(LN(1-$T$2/_xlpm.VCC)-LN(1-_xlpm.Vspec_abs/_xlpm.VCC))*$K$19*_xlpm.Rbus
)</f>
        <v>5.0181595867462772E-8</v>
      </c>
      <c r="G18" s="128">
        <f>_xlfn.LET(
_xlpm.Rbus, (1/(1/((1/(1/($D$91+$D$93)+1/$D$90))+$D$92)+1/($D$89))),
_xlpm.VCC, IF($AG$2="absolute",$S$14,1),
_xlpm.Vspec_abs, $U$2+$N$7,
(LN(1-$T$2/_xlpm.VCC)-LN(1-_xlpm.Vspec_abs/_xlpm.VCC))*$K$18*_xlpm.Rbus
)</f>
        <v>7.5721293905315535E-8</v>
      </c>
      <c r="H18" s="126">
        <f>_xlfn.LET(
_xlpm.Rbus, (1/(1/((1/(1/($H$96+$H$93)+1/$H$95))+$H$92)+1/($H$94))),
_xlpm.VCC, IF($AG$2="absolute",$S$14,1),
_xlpm.Vspec_abs, $T$2+$N$7,
_xlpm.Vspec_rel, _xlpm.Vspec_abs/_xlpm.VCC,
IFERROR((LN($U$2)-LN(_xlpm.Vspec_rel))*$K$19*_xlpm.Rbus, "Vlow exceeds VIL spec")
)</f>
        <v>4.6430512865409298E-9</v>
      </c>
      <c r="I18" s="128">
        <f>_xlfn.LET(
_xlpm.Rbus, (1/(1/((1/(1/($F$96+$F$93)+1/$F$95))+$F$92)+1/($F$94))),
_xlpm.VCC, IF($AG$2="absolute",$S$13,1),
_xlpm.Vspec_abs, $T$2-$N$7,
_xlpm.Vspec_rel, _xlpm.Vspec_abs/_xlpm.VCC,
IFERROR((LN($U$2)-LN(_xlpm.Vspec_rel))*$K$18*_xlpm.Rbus,"Vlow exceeds VIL spec")
)</f>
        <v>1.0591474394673357E-8</v>
      </c>
      <c r="J18" s="139" t="s">
        <v>307</v>
      </c>
      <c r="K18" s="4">
        <f>Summary!J102</f>
        <v>1.6027026416052833E-10</v>
      </c>
      <c r="L18" s="22" t="s">
        <v>288</v>
      </c>
      <c r="M18" s="10">
        <f>K18*1000000000000</f>
        <v>160.27026416052834</v>
      </c>
      <c r="N18" t="s">
        <v>308</v>
      </c>
      <c r="O18" s="49">
        <f>N12+K12/39.37*N15</f>
        <v>1.6027026416052833E-10</v>
      </c>
    </row>
    <row r="19" spans="1:26" x14ac:dyDescent="0.35">
      <c r="A19" t="s">
        <v>309</v>
      </c>
      <c r="B19">
        <f>C64</f>
        <v>0.99999945054572204</v>
      </c>
      <c r="C19">
        <f>C44</f>
        <v>0.99999959325914534</v>
      </c>
      <c r="D19">
        <f>B84</f>
        <v>0.99999945054572226</v>
      </c>
      <c r="E19">
        <f>C84</f>
        <v>0.24783833852652642</v>
      </c>
      <c r="F19" s="126">
        <f>_xlfn.LET(
_xlpm.Rbus,(1/(1/((1/(1/($G$77+$G$72)+1/$G$70))+$G$73)+1/($G$71))),
_xlpm.VCC,IF($AG$3="absolute",$S$11,1),
_xlpm.Vspec_abs,$U$3-$N$7,
(LN(1-($T$3/_xlpm.VCC))-LN(1-_xlpm.Vspec_abs/_xlpm.VCC))*$K$19*_xlpm.Rbus
)</f>
        <v>5.0181595867462772E-8</v>
      </c>
      <c r="G19" s="128">
        <f>_xlfn.LET(
_xlpm.Rbus, (1/(1/((1/(1/($D$77+$D$72)+1/$D$70))+$D$73)+1/($D$71))),
_xlpm.VCC, IF($AG$3="absolute",$S$12,1),
_xlpm.Vspec_abs, $U$3+$N$7,
(LN(1-$T$3/_xlpm.VCC)-LN(1-_xlpm.Vspec_abs/_xlpm.VCC))*$K$18*_xlpm.Rbus
)</f>
        <v>7.5721293905315535E-8</v>
      </c>
      <c r="H19" s="126">
        <f>_xlfn.LET(
_xlpm.Rbus, (1/(1/((1/(1/($H$74+$H$72)+1/$H$75))+$H$73)+1/($H$76))),
_xlpm.VCC, IF($AG$3="absolute",$S$12,1),
_xlpm.Vspec_abs, $T$3+$N$7,
_xlpm.Vspec_rel, _xlpm.Vspec_abs/_xlpm.VCC,
IFERROR((LN($U$3)-LN(_xlpm.Vspec_rel))*$K$19*_xlpm.Rbus, "Vlow exceeds VIL spec")
)</f>
        <v>1.0262490295885478E-8</v>
      </c>
      <c r="I19" s="128">
        <f>_xlfn.LET(
_xlpm.Rbus, (1/(1/((1/(1/($F$74+$F$72)+1/$F$75))+$F$73)+1/($F$76))),
_xlpm.VCC, IF($AG$3="absolute",$S$11,1),
_xlpm.Vspec_abs, $T$3-$N$7,
_xlpm.Vspec_rel, _xlpm.Vspec_abs/_xlpm.VCC,
IFERROR((LN($U$3)-LN(_xlpm.Vspec_rel))*$K$18*_xlpm.Rbus,"Vlow exceeds VIL spec")
)</f>
        <v>2.1605534018873997E-8</v>
      </c>
      <c r="J19" s="139" t="s">
        <v>310</v>
      </c>
      <c r="K19" s="122">
        <f>Summary!J101</f>
        <v>1.4358026416052834E-10</v>
      </c>
      <c r="L19" t="s">
        <v>288</v>
      </c>
    </row>
    <row r="20" spans="1:26" x14ac:dyDescent="0.35">
      <c r="J20" s="139"/>
      <c r="K20" s="6" t="s">
        <v>311</v>
      </c>
    </row>
    <row r="21" spans="1:26" x14ac:dyDescent="0.35">
      <c r="E21" s="120" t="s">
        <v>137</v>
      </c>
      <c r="F21" t="str">
        <f>IF(OR(AND(E18&gt;(R2-N7), Summary!J50="relative"), AND(E18&gt;(R2-N7)/(J3+J3*Summary!J18), Summary!J50="absolute")),IF(U29="no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IF(OR(Summary!J24&gt;Summary!J22,Summary!J24&lt;Summary!J21), "- ensure board PU is within recommended range" &amp; CHAR(10),) &amp; "- reduce MB trace length",""))</f>
        <v/>
      </c>
      <c r="J21" s="139" t="s">
        <v>307</v>
      </c>
      <c r="K21" s="5">
        <f>Summary!J104</f>
        <v>22.122405384810769</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Summary!J103</f>
        <v>16.31240538481077</v>
      </c>
      <c r="L22" t="s">
        <v>289</v>
      </c>
    </row>
    <row r="23" spans="1:26" x14ac:dyDescent="0.35">
      <c r="B23" s="171" t="s">
        <v>313</v>
      </c>
      <c r="C23" s="171"/>
      <c r="D23" t="s">
        <v>314</v>
      </c>
      <c r="E23" s="175"/>
      <c r="F23" t="str">
        <f>IF(F22="",IF(OR(AND(E19&lt;=(R3-N7), Summary!J37="relative"),AND(E19&lt;=(R3-N7)/(J2+J2*Summary!J17), Summary!J37="absolute")),IF(OR(G19&gt;V3,I19&gt;W3), IF(N2=MIN(AH2:AH5), "failed max rise/fall time spec, recommendations:" &amp; CHAR(10) &amp; "-reduce MB trace length" &amp; CHAR(10) &amp; "-increase trace width (reduce MB trace resistance per length)", "failed max rise/fall time spec, recommendations:" &amp; CHAR(10) &amp; IF(OR(Summary!J24&gt;Summary!J22,Summary!J24&lt;Summary!J21),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Summary!J13</f>
        <v>0</v>
      </c>
      <c r="L24" t="s">
        <v>305</v>
      </c>
    </row>
    <row r="25" spans="1:26" x14ac:dyDescent="0.35">
      <c r="A25" t="s">
        <v>318</v>
      </c>
      <c r="B25" s="11">
        <f>C2*(1-D2)</f>
        <v>900000000000</v>
      </c>
      <c r="C25" s="11">
        <f>C2*(1-D2)</f>
        <v>900000000000</v>
      </c>
      <c r="K25" s="18">
        <f>Summary!J14</f>
        <v>1</v>
      </c>
      <c r="L25" t="s">
        <v>274</v>
      </c>
      <c r="N25" s="72" t="s">
        <v>319</v>
      </c>
    </row>
    <row r="26" spans="1:26" x14ac:dyDescent="0.35">
      <c r="A26" t="s">
        <v>320</v>
      </c>
      <c r="B26" s="11">
        <f>F11*(1-H11)</f>
        <v>446.5</v>
      </c>
      <c r="C26" s="11">
        <f>F11*(1-H11)</f>
        <v>446.5</v>
      </c>
      <c r="Q26" t="s">
        <v>321</v>
      </c>
    </row>
    <row r="27" spans="1:26" x14ac:dyDescent="0.35">
      <c r="A27" t="s">
        <v>322</v>
      </c>
      <c r="B27" s="11">
        <f>C3*(1-D3)</f>
        <v>900000000000</v>
      </c>
      <c r="C27" s="11">
        <f>C3*(1-D3)</f>
        <v>900000000000</v>
      </c>
      <c r="Q27" t="s">
        <v>323</v>
      </c>
    </row>
    <row r="28" spans="1:26" x14ac:dyDescent="0.35">
      <c r="A28" t="s">
        <v>324</v>
      </c>
      <c r="B28" s="1">
        <f>K21</f>
        <v>22.122405384810769</v>
      </c>
      <c r="C28">
        <v>0</v>
      </c>
      <c r="Q28" t="s">
        <v>325</v>
      </c>
      <c r="V28" t="s">
        <v>305</v>
      </c>
      <c r="W28" t="s">
        <v>274</v>
      </c>
      <c r="X28" t="s">
        <v>326</v>
      </c>
    </row>
    <row r="29" spans="1:26" x14ac:dyDescent="0.35">
      <c r="A29" t="s">
        <v>327</v>
      </c>
      <c r="B29">
        <v>0</v>
      </c>
      <c r="C29" s="1">
        <f>K21</f>
        <v>22.122405384810769</v>
      </c>
      <c r="F29" s="11"/>
      <c r="T29" t="s">
        <v>328</v>
      </c>
      <c r="U29">
        <f>IF(IF(ISBLANK(Summary!J25),IF(U30=W82,L30,U30),IF(Summary!J25=5%,L30,U30))=N130,"no solution",IF(ISBLANK(Summary!J25),IF(U30=W82,L30,U30),IF(Summary!J25=5%,L30,U30)))</f>
        <v>910</v>
      </c>
      <c r="V29">
        <f>IFERROR(IF(X29=5%,VLOOKUP(1,M34:N129,2,FALSE),VLOOKUP(1,V34:W81,2,FALSE)),"no solution")</f>
        <v>430</v>
      </c>
      <c r="W29">
        <f>IF(U29="no solution","no solution",IF(X29=5%,VLOOKUP(MAX(M34:M129)-1,M34:N129,2,FALSE),VLOOKUP(MAX(V34:V81)-1,V34:W81,2,FALSE)))</f>
        <v>1800</v>
      </c>
      <c r="X29" s="64">
        <f>Summary!J25</f>
        <v>0.05</v>
      </c>
    </row>
    <row r="30" spans="1:26" x14ac:dyDescent="0.35">
      <c r="A30" t="s">
        <v>329</v>
      </c>
      <c r="B30" s="11">
        <f>F2*(1+H2)</f>
        <v>1100000000000</v>
      </c>
      <c r="C30" s="11">
        <f>F2*(1+H2)</f>
        <v>1100000000000</v>
      </c>
      <c r="K30" t="s">
        <v>330</v>
      </c>
      <c r="L30">
        <f>VLOOKUP(Q31,M34:Q154,2)</f>
        <v>910</v>
      </c>
      <c r="T30" t="s">
        <v>331</v>
      </c>
      <c r="U30">
        <f>VLOOKUP(Z31,V34:W82,2)</f>
        <v>820</v>
      </c>
    </row>
    <row r="31" spans="1:26" x14ac:dyDescent="0.35">
      <c r="A31" t="s">
        <v>332</v>
      </c>
      <c r="B31" s="11">
        <f>F12*(1+H12)</f>
        <v>1100000000</v>
      </c>
      <c r="C31" s="11">
        <f>F12*(1+H12)</f>
        <v>1100000000</v>
      </c>
      <c r="Q31" cm="1">
        <f t="array" ref="Q31">MAX(M34:M129+1)/2</f>
        <v>9</v>
      </c>
      <c r="Z31" cm="1">
        <f t="array" ref="Z31">MAX(V34:V81+1)/2</f>
        <v>4.5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4.7907358629788475E-9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4.7907358629788475E-9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1.1744628837115299E-9</v>
      </c>
      <c r="S35" s="126">
        <f t="shared" si="4"/>
        <v>4.9449327284909522E-9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4.9449327284909522E-9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1.281232236772157E-9</v>
      </c>
      <c r="S36" s="126">
        <f t="shared" si="4"/>
        <v>5.0991295940021736E-9</v>
      </c>
      <c r="T36">
        <v>1</v>
      </c>
      <c r="U36">
        <v>15</v>
      </c>
      <c r="V36">
        <f t="shared" si="11"/>
        <v>0</v>
      </c>
      <c r="W36">
        <f t="shared" si="12"/>
        <v>15</v>
      </c>
      <c r="X36">
        <f t="shared" si="5"/>
        <v>13.5</v>
      </c>
      <c r="Y36">
        <f t="shared" si="6"/>
        <v>16.5</v>
      </c>
      <c r="Z36">
        <f t="shared" si="13"/>
        <v>0</v>
      </c>
      <c r="AA36" s="126">
        <f t="shared" si="14"/>
        <v>1.281232236772157E-9</v>
      </c>
      <c r="AB36" s="126">
        <f t="shared" si="15"/>
        <v>5.0991295940021736E-9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1.3880015898321084E-9</v>
      </c>
      <c r="S37" s="126">
        <f t="shared" si="4"/>
        <v>5.2533264595125131E-9</v>
      </c>
      <c r="T37">
        <v>1</v>
      </c>
      <c r="U37">
        <v>18</v>
      </c>
      <c r="V37">
        <f t="shared" si="11"/>
        <v>0</v>
      </c>
      <c r="W37">
        <f t="shared" si="12"/>
        <v>18</v>
      </c>
      <c r="X37">
        <f t="shared" si="5"/>
        <v>16.2</v>
      </c>
      <c r="Y37">
        <f t="shared" si="6"/>
        <v>19.8</v>
      </c>
      <c r="Z37">
        <f t="shared" si="13"/>
        <v>0</v>
      </c>
      <c r="AA37" s="126">
        <f t="shared" si="14"/>
        <v>1.3880015898321084E-9</v>
      </c>
      <c r="AB37" s="126">
        <f t="shared" si="15"/>
        <v>5.2533264595125131E-9</v>
      </c>
      <c r="AC37" s="126" t="str">
        <f t="shared" si="7"/>
        <v>Vlow exceeds VIL spec</v>
      </c>
      <c r="AD37" s="126" t="str">
        <f t="shared" si="8"/>
        <v>Vlow exceeds VIL spec</v>
      </c>
    </row>
    <row r="38" spans="1:30" x14ac:dyDescent="0.35">
      <c r="A38" t="s">
        <v>347</v>
      </c>
      <c r="B38" s="125">
        <f>IF(Summary!J50="absolute",(S2+N7)/(J3-J3*Summary!J18),S2+N7)</f>
        <v>0.72</v>
      </c>
      <c r="K38">
        <v>1</v>
      </c>
      <c r="L38">
        <v>15</v>
      </c>
      <c r="M38">
        <f t="shared" si="9"/>
        <v>0</v>
      </c>
      <c r="N38">
        <f t="shared" si="0"/>
        <v>15</v>
      </c>
      <c r="O38">
        <f t="shared" si="1"/>
        <v>14.25</v>
      </c>
      <c r="P38">
        <f t="shared" si="2"/>
        <v>15.75</v>
      </c>
      <c r="Q38">
        <f t="shared" si="10"/>
        <v>0</v>
      </c>
      <c r="R38" s="126">
        <f t="shared" si="3"/>
        <v>1.601540295949982E-9</v>
      </c>
      <c r="S38" s="126">
        <f t="shared" si="4"/>
        <v>5.5617201905305428E-9</v>
      </c>
      <c r="T38">
        <v>1</v>
      </c>
      <c r="U38">
        <v>22</v>
      </c>
      <c r="V38">
        <f t="shared" si="11"/>
        <v>0</v>
      </c>
      <c r="W38">
        <f t="shared" si="12"/>
        <v>22</v>
      </c>
      <c r="X38">
        <f t="shared" si="5"/>
        <v>19.8</v>
      </c>
      <c r="Y38">
        <f t="shared" si="6"/>
        <v>24.200000000000003</v>
      </c>
      <c r="Z38">
        <f t="shared" si="13"/>
        <v>0</v>
      </c>
      <c r="AA38" s="126">
        <f t="shared" si="14"/>
        <v>1.601540295949982E-9</v>
      </c>
      <c r="AB38" s="126">
        <f t="shared" si="15"/>
        <v>5.5617201905305428E-9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1.7083096490079043E-9</v>
      </c>
      <c r="S39" s="126">
        <f t="shared" si="4"/>
        <v>5.7159170560382321E-9</v>
      </c>
      <c r="T39">
        <v>1</v>
      </c>
      <c r="U39">
        <v>27</v>
      </c>
      <c r="V39">
        <f t="shared" si="11"/>
        <v>0</v>
      </c>
      <c r="W39">
        <f t="shared" si="12"/>
        <v>27</v>
      </c>
      <c r="X39">
        <f t="shared" si="5"/>
        <v>24.3</v>
      </c>
      <c r="Y39">
        <f t="shared" si="6"/>
        <v>29.700000000000003</v>
      </c>
      <c r="Z39">
        <f t="shared" si="13"/>
        <v>0</v>
      </c>
      <c r="AA39" s="126">
        <f t="shared" si="14"/>
        <v>1.7083096490079043E-9</v>
      </c>
      <c r="AB39" s="126">
        <f t="shared" si="15"/>
        <v>5.7159170560382321E-9</v>
      </c>
      <c r="AC39" s="126" t="str">
        <f t="shared" si="7"/>
        <v>Vlow exceeds VIL spec</v>
      </c>
      <c r="AD39" s="126" t="str">
        <f t="shared" si="8"/>
        <v>Vlow exceeds VIL spec</v>
      </c>
    </row>
    <row r="40" spans="1:30" x14ac:dyDescent="0.35">
      <c r="A40" t="s">
        <v>349</v>
      </c>
      <c r="C40" s="125">
        <f>IF(Summary!J37="absolute",(S3+N7)/(J2-J2*Summary!J17),S3+N7)</f>
        <v>0.72</v>
      </c>
      <c r="K40">
        <v>1</v>
      </c>
      <c r="L40">
        <v>18</v>
      </c>
      <c r="M40">
        <f t="shared" si="9"/>
        <v>0</v>
      </c>
      <c r="N40">
        <f t="shared" si="0"/>
        <v>18</v>
      </c>
      <c r="O40">
        <f t="shared" si="1"/>
        <v>17.099999999999998</v>
      </c>
      <c r="P40">
        <f t="shared" si="2"/>
        <v>18.900000000000002</v>
      </c>
      <c r="Q40">
        <f t="shared" si="10"/>
        <v>0</v>
      </c>
      <c r="R40" s="126">
        <f t="shared" si="3"/>
        <v>1.9218483551217202E-9</v>
      </c>
      <c r="S40" s="126">
        <f t="shared" si="4"/>
        <v>6.0243107870509612E-9</v>
      </c>
      <c r="T40">
        <v>1</v>
      </c>
      <c r="U40">
        <v>33</v>
      </c>
      <c r="V40">
        <f t="shared" si="11"/>
        <v>0</v>
      </c>
      <c r="W40">
        <f t="shared" si="12"/>
        <v>33</v>
      </c>
      <c r="X40">
        <f t="shared" si="5"/>
        <v>29.7</v>
      </c>
      <c r="Y40">
        <f t="shared" si="6"/>
        <v>36.300000000000004</v>
      </c>
      <c r="Z40">
        <f t="shared" si="13"/>
        <v>0</v>
      </c>
      <c r="AA40" s="126">
        <f t="shared" si="14"/>
        <v>1.9218483551217202E-9</v>
      </c>
      <c r="AB40" s="126">
        <f t="shared" si="15"/>
        <v>6.0243107870509612E-9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2.1353870612328322E-9</v>
      </c>
      <c r="S41" s="126">
        <f t="shared" si="4"/>
        <v>6.332704518060159E-9</v>
      </c>
      <c r="T41">
        <v>1</v>
      </c>
      <c r="U41">
        <v>39</v>
      </c>
      <c r="V41">
        <f t="shared" si="11"/>
        <v>0</v>
      </c>
      <c r="W41">
        <f t="shared" si="12"/>
        <v>39</v>
      </c>
      <c r="X41">
        <f t="shared" si="5"/>
        <v>35.1</v>
      </c>
      <c r="Y41">
        <f t="shared" si="6"/>
        <v>42.900000000000006</v>
      </c>
      <c r="Z41">
        <f t="shared" si="13"/>
        <v>0</v>
      </c>
      <c r="AA41" s="126">
        <f t="shared" si="14"/>
        <v>2.1353870612328322E-9</v>
      </c>
      <c r="AB41" s="126">
        <f t="shared" si="15"/>
        <v>6.332704518060159E-9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0.99999959325914534</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0.99999959327925669</v>
      </c>
      <c r="K42">
        <v>1</v>
      </c>
      <c r="L42">
        <v>22</v>
      </c>
      <c r="M42">
        <f t="shared" si="9"/>
        <v>0</v>
      </c>
      <c r="N42">
        <f t="shared" si="0"/>
        <v>22</v>
      </c>
      <c r="O42">
        <f t="shared" si="1"/>
        <v>20.9</v>
      </c>
      <c r="P42">
        <f t="shared" si="2"/>
        <v>23.1</v>
      </c>
      <c r="Q42">
        <f t="shared" si="10"/>
        <v>0</v>
      </c>
      <c r="R42" s="126">
        <f t="shared" si="3"/>
        <v>2.3489257673412385E-9</v>
      </c>
      <c r="S42" s="126">
        <f t="shared" si="4"/>
        <v>6.6410982490658232E-9</v>
      </c>
      <c r="T42">
        <v>1</v>
      </c>
      <c r="U42">
        <v>47</v>
      </c>
      <c r="V42">
        <f t="shared" si="11"/>
        <v>0</v>
      </c>
      <c r="W42">
        <f t="shared" si="12"/>
        <v>47</v>
      </c>
      <c r="X42">
        <f t="shared" si="5"/>
        <v>42.300000000000004</v>
      </c>
      <c r="Y42">
        <f t="shared" si="6"/>
        <v>51.7</v>
      </c>
      <c r="Z42">
        <f t="shared" si="13"/>
        <v>0</v>
      </c>
      <c r="AA42" s="126">
        <f t="shared" si="14"/>
        <v>2.3489257673412385E-9</v>
      </c>
      <c r="AB42" s="126">
        <f t="shared" si="15"/>
        <v>6.6410982490658232E-9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0.99999959327925669</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0.99999959327925669</v>
      </c>
      <c r="K43">
        <v>1</v>
      </c>
      <c r="L43">
        <v>24</v>
      </c>
      <c r="M43">
        <f t="shared" si="9"/>
        <v>0</v>
      </c>
      <c r="N43">
        <f t="shared" si="0"/>
        <v>24</v>
      </c>
      <c r="O43">
        <f t="shared" si="1"/>
        <v>22.799999999999997</v>
      </c>
      <c r="P43">
        <f t="shared" si="2"/>
        <v>25.200000000000003</v>
      </c>
      <c r="Q43">
        <f t="shared" si="10"/>
        <v>0</v>
      </c>
      <c r="R43" s="126">
        <f t="shared" si="3"/>
        <v>2.5624644734469403E-9</v>
      </c>
      <c r="S43" s="126">
        <f t="shared" si="4"/>
        <v>6.9494919800679569E-9</v>
      </c>
      <c r="T43">
        <v>1</v>
      </c>
      <c r="U43">
        <v>56</v>
      </c>
      <c r="V43">
        <f t="shared" si="11"/>
        <v>0</v>
      </c>
      <c r="W43">
        <f t="shared" si="12"/>
        <v>56</v>
      </c>
      <c r="X43">
        <f t="shared" si="5"/>
        <v>50.4</v>
      </c>
      <c r="Y43">
        <f t="shared" si="6"/>
        <v>61.600000000000009</v>
      </c>
      <c r="Z43">
        <f t="shared" si="13"/>
        <v>0</v>
      </c>
      <c r="AA43" s="126">
        <f t="shared" si="14"/>
        <v>2.5624644734469403E-9</v>
      </c>
      <c r="AB43" s="126">
        <f t="shared" si="15"/>
        <v>6.9494919800679569E-9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0.99999959327925669</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0.99999959325914534</v>
      </c>
      <c r="K44">
        <v>1</v>
      </c>
      <c r="L44">
        <v>27</v>
      </c>
      <c r="M44">
        <f t="shared" si="9"/>
        <v>0</v>
      </c>
      <c r="N44">
        <f t="shared" si="0"/>
        <v>27</v>
      </c>
      <c r="O44">
        <f t="shared" si="1"/>
        <v>25.65</v>
      </c>
      <c r="P44">
        <f t="shared" si="2"/>
        <v>28.35</v>
      </c>
      <c r="Q44">
        <f t="shared" si="10"/>
        <v>0</v>
      </c>
      <c r="R44" s="126">
        <f t="shared" si="3"/>
        <v>2.8827725326004216E-9</v>
      </c>
      <c r="S44" s="126">
        <f t="shared" si="4"/>
        <v>7.412082576564531E-9</v>
      </c>
      <c r="T44">
        <v>1</v>
      </c>
      <c r="U44">
        <v>68</v>
      </c>
      <c r="V44">
        <f t="shared" si="11"/>
        <v>0</v>
      </c>
      <c r="W44">
        <f t="shared" si="12"/>
        <v>68</v>
      </c>
      <c r="X44">
        <f t="shared" si="5"/>
        <v>61.2</v>
      </c>
      <c r="Y44">
        <f t="shared" si="6"/>
        <v>74.800000000000011</v>
      </c>
      <c r="Z44">
        <f t="shared" si="13"/>
        <v>0</v>
      </c>
      <c r="AA44" s="126">
        <f t="shared" si="14"/>
        <v>2.8827725326004216E-9</v>
      </c>
      <c r="AB44" s="126">
        <f t="shared" si="15"/>
        <v>7.412082576564531E-9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3.2030805917478173E-9</v>
      </c>
      <c r="S45" s="126">
        <f t="shared" si="4"/>
        <v>7.8746731730531583E-9</v>
      </c>
      <c r="T45">
        <v>1</v>
      </c>
      <c r="U45">
        <v>82</v>
      </c>
      <c r="V45">
        <f t="shared" si="11"/>
        <v>0</v>
      </c>
      <c r="W45">
        <f t="shared" si="12"/>
        <v>82</v>
      </c>
      <c r="X45">
        <f t="shared" si="5"/>
        <v>73.8</v>
      </c>
      <c r="Y45">
        <f t="shared" si="6"/>
        <v>90.2</v>
      </c>
      <c r="Z45">
        <f t="shared" si="13"/>
        <v>0</v>
      </c>
      <c r="AA45" s="126">
        <f t="shared" si="14"/>
        <v>3.2030805917478173E-9</v>
      </c>
      <c r="AB45" s="126">
        <f t="shared" si="15"/>
        <v>7.8746731730531583E-9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3.5233886508891263E-9</v>
      </c>
      <c r="S46" s="126">
        <f t="shared" si="4"/>
        <v>8.3372637695338381E-9</v>
      </c>
      <c r="T46">
        <v>10</v>
      </c>
      <c r="U46">
        <v>10</v>
      </c>
      <c r="V46">
        <f t="shared" si="11"/>
        <v>0</v>
      </c>
      <c r="W46">
        <f t="shared" si="12"/>
        <v>100</v>
      </c>
      <c r="X46">
        <f t="shared" si="5"/>
        <v>90</v>
      </c>
      <c r="Y46">
        <f t="shared" si="6"/>
        <v>110.00000000000001</v>
      </c>
      <c r="Z46">
        <f t="shared" si="13"/>
        <v>0</v>
      </c>
      <c r="AA46" s="126">
        <f t="shared" si="14"/>
        <v>3.5233886508891263E-9</v>
      </c>
      <c r="AB46" s="126">
        <f t="shared" si="15"/>
        <v>8.3372637695338381E-9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3.8436967100243492E-9</v>
      </c>
      <c r="S47" s="126">
        <f t="shared" si="4"/>
        <v>8.7998543660065687E-9</v>
      </c>
      <c r="T47">
        <v>10</v>
      </c>
      <c r="U47">
        <v>12</v>
      </c>
      <c r="V47">
        <f t="shared" si="11"/>
        <v>0</v>
      </c>
      <c r="W47">
        <f>U47*T47</f>
        <v>120</v>
      </c>
      <c r="X47">
        <f t="shared" si="5"/>
        <v>108</v>
      </c>
      <c r="Y47">
        <f t="shared" si="6"/>
        <v>132</v>
      </c>
      <c r="Z47">
        <f t="shared" si="13"/>
        <v>0</v>
      </c>
      <c r="AA47" s="126">
        <f t="shared" si="14"/>
        <v>3.8436967100243492E-9</v>
      </c>
      <c r="AB47" s="126">
        <f t="shared" si="15"/>
        <v>8.7998543660065687E-9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4.164004769153487E-9</v>
      </c>
      <c r="S48" s="126">
        <f t="shared" si="4"/>
        <v>9.2624449624713517E-9</v>
      </c>
      <c r="T48">
        <v>10</v>
      </c>
      <c r="U48">
        <v>15</v>
      </c>
      <c r="V48">
        <f t="shared" si="11"/>
        <v>0</v>
      </c>
      <c r="W48">
        <f t="shared" si="12"/>
        <v>150</v>
      </c>
      <c r="X48">
        <f t="shared" si="5"/>
        <v>135</v>
      </c>
      <c r="Y48">
        <f t="shared" si="6"/>
        <v>165</v>
      </c>
      <c r="Z48">
        <f t="shared" si="13"/>
        <v>0</v>
      </c>
      <c r="AA48" s="126">
        <f t="shared" si="14"/>
        <v>4.164004769153487E-9</v>
      </c>
      <c r="AB48" s="126">
        <f t="shared" si="15"/>
        <v>9.2624449624713517E-9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4.5910821813162061E-9</v>
      </c>
      <c r="S49" s="126">
        <f t="shared" si="4"/>
        <v>9.8792324244120321E-9</v>
      </c>
      <c r="T49">
        <v>10</v>
      </c>
      <c r="U49">
        <v>18</v>
      </c>
      <c r="V49">
        <f t="shared" si="11"/>
        <v>0</v>
      </c>
      <c r="W49">
        <f t="shared" si="12"/>
        <v>180</v>
      </c>
      <c r="X49">
        <f t="shared" si="5"/>
        <v>162</v>
      </c>
      <c r="Y49">
        <f t="shared" si="6"/>
        <v>198.00000000000003</v>
      </c>
      <c r="Z49">
        <f t="shared" si="13"/>
        <v>0</v>
      </c>
      <c r="AA49" s="126">
        <f t="shared" si="14"/>
        <v>4.5910821813162061E-9</v>
      </c>
      <c r="AB49" s="126">
        <f t="shared" si="15"/>
        <v>9.8792324244120321E-9</v>
      </c>
      <c r="AC49" s="126" t="str">
        <f t="shared" si="7"/>
        <v>Vlow exceeds VIL spec</v>
      </c>
      <c r="AD49" s="126" t="str">
        <f t="shared" si="8"/>
        <v>Vlow exceeds VIL spec</v>
      </c>
    </row>
    <row r="50" spans="1:30" x14ac:dyDescent="0.35">
      <c r="A50" t="s">
        <v>320</v>
      </c>
      <c r="B50" s="11">
        <f>F11*(1+H11)</f>
        <v>493.5</v>
      </c>
      <c r="C50" s="11">
        <f>F11*(1+H11)</f>
        <v>493.5</v>
      </c>
      <c r="K50">
        <v>1</v>
      </c>
      <c r="L50">
        <v>47</v>
      </c>
      <c r="M50">
        <f t="shared" si="9"/>
        <v>0</v>
      </c>
      <c r="N50">
        <f t="shared" si="0"/>
        <v>47</v>
      </c>
      <c r="O50">
        <f t="shared" si="1"/>
        <v>44.65</v>
      </c>
      <c r="P50">
        <f t="shared" si="2"/>
        <v>49.35</v>
      </c>
      <c r="Q50">
        <f t="shared" si="10"/>
        <v>0</v>
      </c>
      <c r="R50" s="126">
        <f t="shared" si="3"/>
        <v>5.0181595934681032E-9</v>
      </c>
      <c r="S50" s="126">
        <f t="shared" si="4"/>
        <v>1.0496019886338583E-8</v>
      </c>
      <c r="T50">
        <v>10</v>
      </c>
      <c r="U50">
        <v>22</v>
      </c>
      <c r="V50">
        <f t="shared" si="11"/>
        <v>0</v>
      </c>
      <c r="W50">
        <f t="shared" si="12"/>
        <v>220</v>
      </c>
      <c r="X50">
        <f t="shared" si="5"/>
        <v>198</v>
      </c>
      <c r="Y50">
        <f t="shared" si="6"/>
        <v>242.00000000000003</v>
      </c>
      <c r="Z50">
        <f t="shared" si="13"/>
        <v>0</v>
      </c>
      <c r="AA50" s="126">
        <f t="shared" si="14"/>
        <v>5.0181595934681032E-9</v>
      </c>
      <c r="AB50" s="126">
        <f t="shared" si="15"/>
        <v>1.0496019886338583E-8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5.44523700560918E-9</v>
      </c>
      <c r="S51" s="126">
        <f t="shared" si="4"/>
        <v>1.1112807348251003E-8</v>
      </c>
      <c r="T51">
        <v>10</v>
      </c>
      <c r="U51">
        <v>27</v>
      </c>
      <c r="V51">
        <f t="shared" si="11"/>
        <v>0</v>
      </c>
      <c r="W51">
        <f t="shared" si="12"/>
        <v>270</v>
      </c>
      <c r="X51">
        <f t="shared" si="5"/>
        <v>243</v>
      </c>
      <c r="Y51">
        <f t="shared" si="6"/>
        <v>297</v>
      </c>
      <c r="Z51">
        <f t="shared" si="13"/>
        <v>0</v>
      </c>
      <c r="AA51" s="126">
        <f t="shared" si="14"/>
        <v>5.44523700560918E-9</v>
      </c>
      <c r="AB51" s="126">
        <f t="shared" si="15"/>
        <v>1.1112807348251003E-8</v>
      </c>
      <c r="AC51" s="126" t="str">
        <f t="shared" si="7"/>
        <v>Vlow exceeds VIL spec</v>
      </c>
      <c r="AD51" s="126" t="str">
        <f t="shared" si="8"/>
        <v>Vlow exceeds VIL spec</v>
      </c>
    </row>
    <row r="52" spans="1:30" x14ac:dyDescent="0.35">
      <c r="A52" t="s">
        <v>324</v>
      </c>
      <c r="B52" s="1">
        <f>K21</f>
        <v>22.122405384810769</v>
      </c>
      <c r="C52">
        <v>0</v>
      </c>
      <c r="K52">
        <v>1</v>
      </c>
      <c r="L52">
        <v>56</v>
      </c>
      <c r="M52">
        <f t="shared" si="9"/>
        <v>0</v>
      </c>
      <c r="N52">
        <f t="shared" si="0"/>
        <v>56</v>
      </c>
      <c r="O52">
        <f t="shared" si="1"/>
        <v>53.199999999999996</v>
      </c>
      <c r="P52">
        <f t="shared" si="2"/>
        <v>58.800000000000004</v>
      </c>
      <c r="Q52">
        <f t="shared" si="10"/>
        <v>0</v>
      </c>
      <c r="R52" s="126">
        <f t="shared" si="3"/>
        <v>5.9790837707703136E-9</v>
      </c>
      <c r="S52" s="126">
        <f t="shared" si="4"/>
        <v>1.1883791675621658E-8</v>
      </c>
      <c r="T52">
        <v>10</v>
      </c>
      <c r="U52">
        <v>33</v>
      </c>
      <c r="V52">
        <f t="shared" si="11"/>
        <v>0</v>
      </c>
      <c r="W52">
        <f t="shared" si="12"/>
        <v>330</v>
      </c>
      <c r="X52">
        <f t="shared" si="5"/>
        <v>297</v>
      </c>
      <c r="Y52">
        <f t="shared" si="6"/>
        <v>363.00000000000006</v>
      </c>
      <c r="Z52">
        <f t="shared" si="13"/>
        <v>0</v>
      </c>
      <c r="AA52" s="126">
        <f t="shared" si="14"/>
        <v>5.9790837707703136E-9</v>
      </c>
      <c r="AB52" s="126">
        <f t="shared" si="15"/>
        <v>1.1883791675621658E-8</v>
      </c>
      <c r="AC52" s="126" t="str">
        <f t="shared" si="7"/>
        <v>Vlow exceeds VIL spec</v>
      </c>
      <c r="AD52" s="126" t="str">
        <f t="shared" si="8"/>
        <v>Vlow exceeds VIL spec</v>
      </c>
    </row>
    <row r="53" spans="1:30" x14ac:dyDescent="0.35">
      <c r="A53" t="s">
        <v>327</v>
      </c>
      <c r="B53">
        <v>0</v>
      </c>
      <c r="C53" s="1">
        <f>K21</f>
        <v>22.122405384810769</v>
      </c>
      <c r="K53">
        <v>1</v>
      </c>
      <c r="L53">
        <v>62</v>
      </c>
      <c r="M53">
        <f t="shared" si="9"/>
        <v>0</v>
      </c>
      <c r="N53">
        <f t="shared" si="0"/>
        <v>62</v>
      </c>
      <c r="O53">
        <f t="shared" si="1"/>
        <v>58.9</v>
      </c>
      <c r="P53">
        <f t="shared" si="2"/>
        <v>65.100000000000009</v>
      </c>
      <c r="Q53">
        <f t="shared" si="10"/>
        <v>0</v>
      </c>
      <c r="R53" s="126">
        <f t="shared" si="3"/>
        <v>6.6196998889413597E-9</v>
      </c>
      <c r="S53" s="126">
        <f t="shared" si="4"/>
        <v>1.2808972868437298E-8</v>
      </c>
      <c r="T53">
        <v>10</v>
      </c>
      <c r="U53">
        <v>39</v>
      </c>
      <c r="V53">
        <f t="shared" si="11"/>
        <v>0</v>
      </c>
      <c r="W53">
        <f t="shared" si="12"/>
        <v>390</v>
      </c>
      <c r="X53">
        <f t="shared" si="5"/>
        <v>351</v>
      </c>
      <c r="Y53">
        <f t="shared" si="6"/>
        <v>429.00000000000006</v>
      </c>
      <c r="Z53">
        <f t="shared" si="13"/>
        <v>0</v>
      </c>
      <c r="AA53" s="126">
        <f t="shared" si="14"/>
        <v>6.6196998889413597E-9</v>
      </c>
      <c r="AB53" s="126">
        <f t="shared" si="15"/>
        <v>1.2808972868437298E-8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7.2603160070880602E-9</v>
      </c>
      <c r="S54" s="126">
        <f t="shared" si="4"/>
        <v>1.3734154061221149E-8</v>
      </c>
      <c r="T54">
        <v>10</v>
      </c>
      <c r="U54">
        <v>47</v>
      </c>
      <c r="V54">
        <f t="shared" si="11"/>
        <v>1</v>
      </c>
      <c r="W54">
        <f t="shared" si="12"/>
        <v>470</v>
      </c>
      <c r="X54">
        <f t="shared" si="5"/>
        <v>423</v>
      </c>
      <c r="Y54">
        <f t="shared" si="6"/>
        <v>517</v>
      </c>
      <c r="Z54">
        <f t="shared" si="13"/>
        <v>1</v>
      </c>
      <c r="AA54" s="126">
        <f t="shared" si="14"/>
        <v>7.2603160070880602E-9</v>
      </c>
      <c r="AB54" s="126">
        <f t="shared" si="15"/>
        <v>1.3734154061221149E-8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8.0077014782284446E-9</v>
      </c>
      <c r="S55" s="126">
        <f t="shared" si="4"/>
        <v>1.4813532119428789E-8</v>
      </c>
      <c r="T55">
        <v>10</v>
      </c>
      <c r="U55">
        <v>56</v>
      </c>
      <c r="V55">
        <f t="shared" si="11"/>
        <v>2</v>
      </c>
      <c r="W55">
        <f t="shared" si="12"/>
        <v>560</v>
      </c>
      <c r="X55">
        <f t="shared" si="5"/>
        <v>504</v>
      </c>
      <c r="Y55">
        <f t="shared" si="6"/>
        <v>616</v>
      </c>
      <c r="Z55">
        <f t="shared" si="13"/>
        <v>1</v>
      </c>
      <c r="AA55" s="126">
        <f t="shared" si="14"/>
        <v>8.0077014782284446E-9</v>
      </c>
      <c r="AB55" s="126">
        <f t="shared" si="15"/>
        <v>1.4813532119428789E-8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8.7550869493356963E-9</v>
      </c>
      <c r="S56" s="126">
        <f t="shared" si="4"/>
        <v>1.5892910177593163E-8</v>
      </c>
      <c r="T56">
        <v>10</v>
      </c>
      <c r="U56">
        <v>68</v>
      </c>
      <c r="V56">
        <f t="shared" si="11"/>
        <v>3</v>
      </c>
      <c r="W56">
        <f t="shared" si="12"/>
        <v>680</v>
      </c>
      <c r="X56">
        <f t="shared" si="5"/>
        <v>612</v>
      </c>
      <c r="Y56">
        <f t="shared" si="6"/>
        <v>748.00000000000011</v>
      </c>
      <c r="Z56">
        <f t="shared" si="13"/>
        <v>1</v>
      </c>
      <c r="AA56" s="126">
        <f t="shared" si="14"/>
        <v>8.7550869493356963E-9</v>
      </c>
      <c r="AB56" s="126">
        <f t="shared" si="15"/>
        <v>1.5892910177593163E-8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9.7160111264249028E-9</v>
      </c>
      <c r="S57" s="126">
        <f t="shared" si="4"/>
        <v>1.7280681966598049E-8</v>
      </c>
      <c r="T57">
        <v>10</v>
      </c>
      <c r="U57">
        <v>82</v>
      </c>
      <c r="V57">
        <f t="shared" si="11"/>
        <v>4</v>
      </c>
      <c r="W57">
        <f t="shared" si="12"/>
        <v>820</v>
      </c>
      <c r="X57">
        <f t="shared" si="5"/>
        <v>738</v>
      </c>
      <c r="Y57">
        <f t="shared" si="6"/>
        <v>902.00000000000011</v>
      </c>
      <c r="Z57">
        <f t="shared" si="13"/>
        <v>1</v>
      </c>
      <c r="AA57" s="126">
        <f t="shared" si="14"/>
        <v>9.7160111264249028E-9</v>
      </c>
      <c r="AB57" s="126">
        <f t="shared" si="15"/>
        <v>1.7280681966598049E-8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1.0676935303459338E-8</v>
      </c>
      <c r="S58" s="126">
        <f t="shared" si="4"/>
        <v>1.8668453755531403E-8</v>
      </c>
      <c r="T58">
        <v>100</v>
      </c>
      <c r="U58">
        <v>10</v>
      </c>
      <c r="V58">
        <f t="shared" si="11"/>
        <v>5</v>
      </c>
      <c r="W58">
        <f t="shared" si="12"/>
        <v>1000</v>
      </c>
      <c r="X58">
        <f t="shared" si="5"/>
        <v>900</v>
      </c>
      <c r="Y58">
        <f t="shared" si="6"/>
        <v>1100</v>
      </c>
      <c r="Z58">
        <f t="shared" si="13"/>
        <v>1</v>
      </c>
      <c r="AA58" s="126">
        <f t="shared" si="14"/>
        <v>1.0676935303459338E-8</v>
      </c>
      <c r="AB58" s="126">
        <f t="shared" si="15"/>
        <v>1.8668453755531403E-8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1.1744628833433358E-8</v>
      </c>
      <c r="S59" s="126">
        <f t="shared" si="4"/>
        <v>2.0210422409817902E-8</v>
      </c>
      <c r="T59">
        <v>100</v>
      </c>
      <c r="U59">
        <v>12</v>
      </c>
      <c r="V59">
        <f t="shared" si="11"/>
        <v>6</v>
      </c>
      <c r="W59">
        <f t="shared" si="12"/>
        <v>1200</v>
      </c>
      <c r="X59">
        <f t="shared" si="5"/>
        <v>1080</v>
      </c>
      <c r="Y59">
        <f t="shared" si="6"/>
        <v>1320</v>
      </c>
      <c r="Z59">
        <f t="shared" si="13"/>
        <v>1</v>
      </c>
      <c r="AA59" s="126">
        <f t="shared" si="14"/>
        <v>1.1744628833433358E-8</v>
      </c>
      <c r="AB59" s="126">
        <f t="shared" si="15"/>
        <v>2.0210422409817902E-8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1.2812322363339758E-8</v>
      </c>
      <c r="S60" s="126">
        <f t="shared" si="4"/>
        <v>2.1752391064016091E-8</v>
      </c>
      <c r="T60">
        <v>100</v>
      </c>
      <c r="U60">
        <v>15</v>
      </c>
      <c r="V60">
        <f t="shared" si="11"/>
        <v>7</v>
      </c>
      <c r="W60">
        <f t="shared" si="12"/>
        <v>1500</v>
      </c>
      <c r="X60">
        <f t="shared" si="5"/>
        <v>1350</v>
      </c>
      <c r="Y60">
        <f t="shared" si="6"/>
        <v>1650.0000000000002</v>
      </c>
      <c r="Z60">
        <f t="shared" si="13"/>
        <v>1</v>
      </c>
      <c r="AA60" s="126">
        <f t="shared" si="14"/>
        <v>1.2812322363339758E-8</v>
      </c>
      <c r="AB60" s="126">
        <f t="shared" si="15"/>
        <v>2.1752391064016091E-8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1.3880015893178537E-8</v>
      </c>
      <c r="S61" s="126">
        <f t="shared" si="4"/>
        <v>2.329435971812596E-8</v>
      </c>
      <c r="T61">
        <v>100</v>
      </c>
      <c r="U61">
        <v>18</v>
      </c>
      <c r="V61">
        <f t="shared" si="11"/>
        <v>8</v>
      </c>
      <c r="W61">
        <f t="shared" si="12"/>
        <v>1800</v>
      </c>
      <c r="X61">
        <f t="shared" si="5"/>
        <v>1620</v>
      </c>
      <c r="Y61">
        <f t="shared" si="6"/>
        <v>1980.0000000000002</v>
      </c>
      <c r="Z61">
        <f t="shared" si="13"/>
        <v>0</v>
      </c>
      <c r="AA61" s="126">
        <f t="shared" si="14"/>
        <v>1.3880015893178537E-8</v>
      </c>
      <c r="AB61" s="126">
        <f t="shared" si="15"/>
        <v>2.329435971812596E-8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0.99999945054572204</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0.99999945057030237</v>
      </c>
      <c r="K62">
        <v>10</v>
      </c>
      <c r="L62">
        <v>15</v>
      </c>
      <c r="M62">
        <f t="shared" si="9"/>
        <v>0</v>
      </c>
      <c r="N62">
        <f t="shared" si="0"/>
        <v>150</v>
      </c>
      <c r="O62">
        <f t="shared" si="1"/>
        <v>142.5</v>
      </c>
      <c r="P62">
        <f t="shared" si="2"/>
        <v>157.5</v>
      </c>
      <c r="Q62">
        <f t="shared" si="10"/>
        <v>0</v>
      </c>
      <c r="R62" s="126">
        <f t="shared" si="3"/>
        <v>1.6015402952653235E-8</v>
      </c>
      <c r="S62" s="126">
        <f t="shared" si="4"/>
        <v>2.6378297026080768E-8</v>
      </c>
      <c r="T62">
        <v>100</v>
      </c>
      <c r="U62">
        <v>22</v>
      </c>
      <c r="V62">
        <f t="shared" si="11"/>
        <v>8</v>
      </c>
      <c r="W62">
        <f t="shared" si="12"/>
        <v>2200</v>
      </c>
      <c r="X62">
        <f t="shared" si="5"/>
        <v>1980</v>
      </c>
      <c r="Y62">
        <f t="shared" si="6"/>
        <v>2420</v>
      </c>
      <c r="Z62">
        <f t="shared" si="13"/>
        <v>0</v>
      </c>
      <c r="AA62" s="126">
        <f t="shared" si="14"/>
        <v>1.6015402952653235E-8</v>
      </c>
      <c r="AB62" s="126">
        <f t="shared" si="15"/>
        <v>2.6378297026080768E-8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0.99999945057030237</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0.99999945057030237</v>
      </c>
      <c r="K63">
        <v>10</v>
      </c>
      <c r="L63">
        <v>16</v>
      </c>
      <c r="M63">
        <f t="shared" si="9"/>
        <v>0</v>
      </c>
      <c r="N63">
        <f t="shared" si="0"/>
        <v>160</v>
      </c>
      <c r="O63">
        <f t="shared" si="1"/>
        <v>152</v>
      </c>
      <c r="P63">
        <f t="shared" si="2"/>
        <v>168</v>
      </c>
      <c r="Q63">
        <f t="shared" si="10"/>
        <v>0</v>
      </c>
      <c r="R63" s="126">
        <f t="shared" si="3"/>
        <v>1.7083096482289151E-8</v>
      </c>
      <c r="S63" s="126">
        <f t="shared" si="4"/>
        <v>2.7920265679925704E-8</v>
      </c>
      <c r="T63">
        <v>100</v>
      </c>
      <c r="U63">
        <v>27</v>
      </c>
      <c r="V63">
        <f t="shared" si="11"/>
        <v>8</v>
      </c>
      <c r="W63">
        <f t="shared" si="12"/>
        <v>2700</v>
      </c>
      <c r="X63">
        <f t="shared" si="5"/>
        <v>2430</v>
      </c>
      <c r="Y63">
        <f t="shared" si="6"/>
        <v>2970.0000000000005</v>
      </c>
      <c r="Z63">
        <f t="shared" si="13"/>
        <v>0</v>
      </c>
      <c r="AA63" s="126">
        <f t="shared" si="14"/>
        <v>1.7083096482289151E-8</v>
      </c>
      <c r="AB63" s="126">
        <f t="shared" si="15"/>
        <v>2.7920265679925704E-8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0.99999945057030237</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0.99999945054572204</v>
      </c>
      <c r="K64">
        <v>10</v>
      </c>
      <c r="L64">
        <v>18</v>
      </c>
      <c r="M64">
        <f t="shared" si="9"/>
        <v>0</v>
      </c>
      <c r="N64">
        <f t="shared" si="0"/>
        <v>180</v>
      </c>
      <c r="O64">
        <f t="shared" si="1"/>
        <v>171</v>
      </c>
      <c r="P64">
        <f t="shared" si="2"/>
        <v>189</v>
      </c>
      <c r="Q64">
        <f t="shared" si="10"/>
        <v>0</v>
      </c>
      <c r="R64" s="126">
        <f t="shared" si="3"/>
        <v>1.9218483541358125E-8</v>
      </c>
      <c r="S64" s="126">
        <f t="shared" si="4"/>
        <v>3.1004202987350634E-8</v>
      </c>
      <c r="T64">
        <v>100</v>
      </c>
      <c r="U64">
        <v>33</v>
      </c>
      <c r="V64">
        <f t="shared" si="11"/>
        <v>8</v>
      </c>
      <c r="W64">
        <f t="shared" si="12"/>
        <v>3300</v>
      </c>
      <c r="X64">
        <f t="shared" si="5"/>
        <v>2970</v>
      </c>
      <c r="Y64">
        <f t="shared" si="6"/>
        <v>3630.0000000000005</v>
      </c>
      <c r="Z64">
        <f t="shared" si="13"/>
        <v>0</v>
      </c>
      <c r="AA64" s="126">
        <f t="shared" si="14"/>
        <v>1.9218483541358125E-8</v>
      </c>
      <c r="AB64" s="126">
        <f t="shared" si="15"/>
        <v>3.1004202987350634E-8</v>
      </c>
      <c r="AC64" s="126" t="str">
        <f t="shared" si="7"/>
        <v>Vlow exceeds VIL spec</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2.1353870600156614E-8</v>
      </c>
      <c r="S65" s="126">
        <f t="shared" si="4"/>
        <v>3.4088140294422305E-8</v>
      </c>
      <c r="T65">
        <v>100</v>
      </c>
      <c r="U65">
        <v>39</v>
      </c>
      <c r="V65">
        <f t="shared" si="11"/>
        <v>8</v>
      </c>
      <c r="W65">
        <f t="shared" si="12"/>
        <v>3900</v>
      </c>
      <c r="X65">
        <f t="shared" si="5"/>
        <v>3510</v>
      </c>
      <c r="Y65">
        <f t="shared" si="6"/>
        <v>4290</v>
      </c>
      <c r="Z65">
        <f t="shared" si="13"/>
        <v>0</v>
      </c>
      <c r="AA65" s="126">
        <f t="shared" si="14"/>
        <v>2.1353870600156614E-8</v>
      </c>
      <c r="AB65" s="126">
        <f t="shared" si="15"/>
        <v>3.4088140294422305E-8</v>
      </c>
      <c r="AC65" s="126" t="str">
        <f t="shared" si="7"/>
        <v>Vlow exceeds VIL spec</v>
      </c>
      <c r="AD65" s="126">
        <f t="shared" si="8"/>
        <v>5.4151340308706354E-8</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2.3489257658684622E-8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3.7172077601140743E-8</v>
      </c>
      <c r="T66">
        <v>100</v>
      </c>
      <c r="U66">
        <v>47</v>
      </c>
      <c r="V66">
        <f t="shared" si="11"/>
        <v>8</v>
      </c>
      <c r="W66">
        <f t="shared" si="12"/>
        <v>4700</v>
      </c>
      <c r="X66">
        <f t="shared" si="5"/>
        <v>4230</v>
      </c>
      <c r="Y66">
        <f t="shared" si="6"/>
        <v>5170</v>
      </c>
      <c r="Z66">
        <f t="shared" si="13"/>
        <v>0</v>
      </c>
      <c r="AA66" s="126">
        <f t="shared" si="14"/>
        <v>2.3489257658684622E-8</v>
      </c>
      <c r="AB66" s="126">
        <f t="shared" si="15"/>
        <v>3.7172077601140743E-8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3.6527146650277372E-8</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2.5624644716942152E-8</v>
      </c>
      <c r="S67" s="126">
        <f t="shared" si="17"/>
        <v>4.0256014907505916E-8</v>
      </c>
      <c r="T67">
        <v>100</v>
      </c>
      <c r="U67">
        <v>56</v>
      </c>
      <c r="V67">
        <f t="shared" si="11"/>
        <v>8</v>
      </c>
      <c r="W67">
        <f t="shared" si="12"/>
        <v>5600</v>
      </c>
      <c r="X67">
        <f t="shared" si="5"/>
        <v>5040</v>
      </c>
      <c r="Y67">
        <f t="shared" si="6"/>
        <v>6160.0000000000009</v>
      </c>
      <c r="Z67">
        <f t="shared" si="13"/>
        <v>0</v>
      </c>
      <c r="AA67" s="126">
        <f t="shared" si="14"/>
        <v>2.5624644716942152E-8</v>
      </c>
      <c r="AB67" s="126">
        <f t="shared" si="15"/>
        <v>4.0256014907505916E-8</v>
      </c>
      <c r="AC67" s="126" t="str">
        <f t="shared" si="18"/>
        <v>Vlow exceeds VIL spec</v>
      </c>
      <c r="AD67" s="126">
        <f t="shared" si="19"/>
        <v>3.09432381885188E-8</v>
      </c>
    </row>
    <row r="68" spans="1:31" ht="28.4" customHeight="1" x14ac:dyDescent="0.35">
      <c r="B68" s="32" t="s">
        <v>355</v>
      </c>
      <c r="C68" s="32" t="s">
        <v>356</v>
      </c>
      <c r="D68" s="32" t="s">
        <v>357</v>
      </c>
      <c r="E68" s="32" t="str">
        <f>IF(Summary!J37="absolute","find min R2, so that max (Vz) = " &amp; TRUNC(R3/J2,3),"find min R2, so that max (Vz) = " &amp; R3)</f>
        <v>find min R2, so that max (Vz) = 0.3</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2.8827725303821282E-8</v>
      </c>
      <c r="S68" s="126">
        <f t="shared" si="17"/>
        <v>4.4881920866391328E-8</v>
      </c>
      <c r="T68">
        <v>100</v>
      </c>
      <c r="U68">
        <v>68</v>
      </c>
      <c r="V68">
        <f t="shared" si="11"/>
        <v>8</v>
      </c>
      <c r="W68">
        <f t="shared" si="12"/>
        <v>6800</v>
      </c>
      <c r="X68">
        <f t="shared" si="5"/>
        <v>6120</v>
      </c>
      <c r="Y68">
        <f t="shared" si="6"/>
        <v>7480.0000000000009</v>
      </c>
      <c r="Z68">
        <f t="shared" si="13"/>
        <v>0</v>
      </c>
      <c r="AA68" s="126">
        <f t="shared" si="14"/>
        <v>2.8827725303821282E-8</v>
      </c>
      <c r="AB68" s="126">
        <f t="shared" si="15"/>
        <v>4.4881920866391328E-8</v>
      </c>
      <c r="AC68" s="126" t="str">
        <f t="shared" si="18"/>
        <v>Vlow exceeds VIL spec</v>
      </c>
      <c r="AD68" s="126">
        <f t="shared" si="19"/>
        <v>2.6690323903987102E-8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3.2030805890091832E-8</v>
      </c>
      <c r="S69" s="126">
        <f t="shared" si="17"/>
        <v>4.9507826824481939E-8</v>
      </c>
      <c r="T69">
        <v>100</v>
      </c>
      <c r="U69">
        <v>82</v>
      </c>
      <c r="V69">
        <f t="shared" si="11"/>
        <v>8</v>
      </c>
      <c r="W69">
        <f t="shared" si="12"/>
        <v>8200</v>
      </c>
      <c r="X69">
        <f t="shared" si="5"/>
        <v>7380</v>
      </c>
      <c r="Y69">
        <f t="shared" si="6"/>
        <v>9020</v>
      </c>
      <c r="Z69">
        <f t="shared" si="13"/>
        <v>0</v>
      </c>
      <c r="AA69" s="126">
        <f t="shared" si="14"/>
        <v>3.2030805890091832E-8</v>
      </c>
      <c r="AB69" s="126">
        <f t="shared" si="15"/>
        <v>4.9507826824481939E-8</v>
      </c>
      <c r="AC69" s="126" t="str">
        <f t="shared" si="18"/>
        <v>Vlow exceeds VIL spec</v>
      </c>
      <c r="AD69" s="126">
        <f t="shared" si="19"/>
        <v>2.4265750207190182E-8</v>
      </c>
    </row>
    <row r="70" spans="1:31" x14ac:dyDescent="0.35">
      <c r="A70" t="s">
        <v>320</v>
      </c>
      <c r="B70" s="11">
        <f>F11*(1+H11)</f>
        <v>493.5</v>
      </c>
      <c r="C70" s="11">
        <f>F11*(1-H11)</f>
        <v>446.5</v>
      </c>
      <c r="D70" s="11">
        <f>F11*(1+H11)</f>
        <v>493.5</v>
      </c>
      <c r="E70" s="11"/>
      <c r="F70" s="11">
        <f>F11*(1-H11)</f>
        <v>446.5</v>
      </c>
      <c r="G70" s="11">
        <f>F11*(1-H11)</f>
        <v>446.5</v>
      </c>
      <c r="H70" s="11">
        <f>F11*(1+H11)</f>
        <v>493.5</v>
      </c>
      <c r="K70">
        <v>10</v>
      </c>
      <c r="L70">
        <v>33</v>
      </c>
      <c r="M70">
        <f t="shared" si="9"/>
        <v>0</v>
      </c>
      <c r="N70">
        <f t="shared" si="0"/>
        <v>330</v>
      </c>
      <c r="O70">
        <f t="shared" si="1"/>
        <v>313.5</v>
      </c>
      <c r="P70">
        <f t="shared" si="2"/>
        <v>346.5</v>
      </c>
      <c r="Q70">
        <f t="shared" si="10"/>
        <v>0</v>
      </c>
      <c r="R70" s="126">
        <f t="shared" si="16"/>
        <v>3.5233886475753796E-8</v>
      </c>
      <c r="S70" s="126">
        <f t="shared" si="17"/>
        <v>5.4133732781777735E-8</v>
      </c>
      <c r="T70">
        <v>1000</v>
      </c>
      <c r="U70">
        <v>10</v>
      </c>
      <c r="V70">
        <f t="shared" si="11"/>
        <v>8</v>
      </c>
      <c r="W70">
        <f t="shared" si="12"/>
        <v>10000</v>
      </c>
      <c r="X70">
        <f t="shared" si="5"/>
        <v>9000</v>
      </c>
      <c r="Y70">
        <f t="shared" si="6"/>
        <v>11000</v>
      </c>
      <c r="Z70">
        <f t="shared" si="13"/>
        <v>0</v>
      </c>
      <c r="AA70" s="126">
        <f t="shared" si="14"/>
        <v>3.5233886475753796E-8</v>
      </c>
      <c r="AB70" s="126">
        <f t="shared" si="15"/>
        <v>5.4133732781777735E-8</v>
      </c>
      <c r="AC70" s="126" t="str">
        <f t="shared" si="18"/>
        <v>Vlow exceeds VIL spec</v>
      </c>
      <c r="AD70" s="126">
        <f t="shared" si="19"/>
        <v>2.267132037879959E-8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3.8436967060807173E-8</v>
      </c>
      <c r="S71" s="126">
        <f t="shared" si="17"/>
        <v>5.8759638738278703E-8</v>
      </c>
      <c r="T71">
        <v>1000</v>
      </c>
      <c r="U71">
        <v>12</v>
      </c>
      <c r="V71">
        <f t="shared" si="11"/>
        <v>8</v>
      </c>
      <c r="W71">
        <f t="shared" si="12"/>
        <v>12000</v>
      </c>
      <c r="X71">
        <f t="shared" si="5"/>
        <v>10800</v>
      </c>
      <c r="Y71">
        <f t="shared" si="6"/>
        <v>13200.000000000002</v>
      </c>
      <c r="Z71">
        <f t="shared" si="13"/>
        <v>0</v>
      </c>
      <c r="AA71" s="126">
        <f t="shared" si="14"/>
        <v>3.8436967060807173E-8</v>
      </c>
      <c r="AB71" s="126">
        <f t="shared" si="15"/>
        <v>5.8759638738278703E-8</v>
      </c>
      <c r="AC71" s="126" t="str">
        <f t="shared" si="18"/>
        <v>Vlow exceeds VIL spec</v>
      </c>
      <c r="AD71" s="126">
        <f t="shared" si="19"/>
        <v>2.1535691902436299E-8</v>
      </c>
    </row>
    <row r="72" spans="1:31" x14ac:dyDescent="0.35">
      <c r="A72" t="s">
        <v>324</v>
      </c>
      <c r="B72" s="1">
        <f>K21*MIN(K25,K24)</f>
        <v>0</v>
      </c>
      <c r="C72" s="1">
        <f>K21*MAX(K25,K24)</f>
        <v>22.122405384810769</v>
      </c>
      <c r="D72" s="1">
        <f>K21*MIN(K25,K24)</f>
        <v>0</v>
      </c>
      <c r="E72" s="1">
        <f>K21*MAX(K25,K24)</f>
        <v>22.122405384810769</v>
      </c>
      <c r="F72" s="125">
        <f>K21*MAX(K25,K24)</f>
        <v>22.122405384810769</v>
      </c>
      <c r="G72" s="125">
        <f>K22*MAX(K25,K24)</f>
        <v>16.31240538481077</v>
      </c>
      <c r="H72" s="1">
        <f>K22*MIN(K25,K24)</f>
        <v>0</v>
      </c>
      <c r="K72">
        <v>10</v>
      </c>
      <c r="L72">
        <v>39</v>
      </c>
      <c r="M72">
        <f t="shared" si="9"/>
        <v>0</v>
      </c>
      <c r="N72">
        <f t="shared" si="0"/>
        <v>390</v>
      </c>
      <c r="O72">
        <f t="shared" si="1"/>
        <v>370.5</v>
      </c>
      <c r="P72">
        <f t="shared" si="2"/>
        <v>409.5</v>
      </c>
      <c r="Q72">
        <f t="shared" si="10"/>
        <v>0</v>
      </c>
      <c r="R72" s="126">
        <f t="shared" si="16"/>
        <v>4.164004764525197E-8</v>
      </c>
      <c r="S72" s="126">
        <f t="shared" si="17"/>
        <v>6.338554469398485E-8</v>
      </c>
      <c r="T72">
        <v>1000</v>
      </c>
      <c r="U72">
        <v>15</v>
      </c>
      <c r="V72">
        <f t="shared" si="11"/>
        <v>8</v>
      </c>
      <c r="W72">
        <f t="shared" si="12"/>
        <v>15000</v>
      </c>
      <c r="X72">
        <f t="shared" si="5"/>
        <v>13500</v>
      </c>
      <c r="Y72">
        <f t="shared" si="6"/>
        <v>16500</v>
      </c>
      <c r="Z72">
        <f t="shared" si="13"/>
        <v>0</v>
      </c>
      <c r="AA72" s="126">
        <f t="shared" si="14"/>
        <v>4.164004764525197E-8</v>
      </c>
      <c r="AB72" s="126">
        <f t="shared" si="15"/>
        <v>6.338554469398485E-8</v>
      </c>
      <c r="AC72" s="126" t="str">
        <f t="shared" si="18"/>
        <v>Vlow exceeds VIL spec</v>
      </c>
      <c r="AD72" s="126">
        <f t="shared" si="19"/>
        <v>2.0683462949057473E-8</v>
      </c>
    </row>
    <row r="73" spans="1:31" x14ac:dyDescent="0.35">
      <c r="A73" t="s">
        <v>327</v>
      </c>
      <c r="B73" s="1">
        <f>K21-B72</f>
        <v>22.122405384810769</v>
      </c>
      <c r="C73" s="1">
        <f>K21-C72</f>
        <v>0</v>
      </c>
      <c r="D73" s="1">
        <f>K21-D72</f>
        <v>22.122405384810769</v>
      </c>
      <c r="E73" s="1">
        <f>K21-E72</f>
        <v>0</v>
      </c>
      <c r="F73" s="1">
        <f>K21-F72</f>
        <v>0</v>
      </c>
      <c r="G73" s="1">
        <f>K22-G72</f>
        <v>0</v>
      </c>
      <c r="H73" s="1">
        <f>K22-H72</f>
        <v>16.31240538481077</v>
      </c>
      <c r="K73">
        <v>10</v>
      </c>
      <c r="L73">
        <v>43</v>
      </c>
      <c r="M73">
        <f t="shared" si="9"/>
        <v>1</v>
      </c>
      <c r="N73">
        <f t="shared" si="0"/>
        <v>430</v>
      </c>
      <c r="O73">
        <f t="shared" si="1"/>
        <v>408.5</v>
      </c>
      <c r="P73">
        <f t="shared" si="2"/>
        <v>451.5</v>
      </c>
      <c r="Q73">
        <f t="shared" si="10"/>
        <v>1</v>
      </c>
      <c r="R73" s="126">
        <f t="shared" si="16"/>
        <v>4.5910821756898344E-8</v>
      </c>
      <c r="S73" s="126">
        <f t="shared" si="17"/>
        <v>6.9553419300356691E-8</v>
      </c>
      <c r="T73">
        <v>1000</v>
      </c>
      <c r="U73">
        <v>18</v>
      </c>
      <c r="V73">
        <f t="shared" si="11"/>
        <v>8</v>
      </c>
      <c r="W73">
        <f t="shared" si="12"/>
        <v>18000</v>
      </c>
      <c r="X73">
        <f t="shared" si="5"/>
        <v>16200</v>
      </c>
      <c r="Y73">
        <f t="shared" si="6"/>
        <v>19800</v>
      </c>
      <c r="Z73">
        <f t="shared" si="13"/>
        <v>0</v>
      </c>
      <c r="AA73" s="126">
        <f t="shared" si="14"/>
        <v>4.5910821756898344E-8</v>
      </c>
      <c r="AB73" s="126">
        <f t="shared" si="15"/>
        <v>6.9553419300356691E-8</v>
      </c>
      <c r="AC73" s="126">
        <f t="shared" si="18"/>
        <v>8.4190164749000968E-8</v>
      </c>
      <c r="AD73" s="126">
        <f t="shared" si="19"/>
        <v>1.9829653558442411E-8</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9"/>
        <v>2</v>
      </c>
      <c r="N74">
        <f t="shared" si="0"/>
        <v>470</v>
      </c>
      <c r="O74">
        <f t="shared" si="1"/>
        <v>446.5</v>
      </c>
      <c r="P74">
        <f t="shared" si="2"/>
        <v>493.5</v>
      </c>
      <c r="Q74">
        <f t="shared" si="10"/>
        <v>1</v>
      </c>
      <c r="R74" s="126">
        <f t="shared" si="16"/>
        <v>5.0181595867462772E-8</v>
      </c>
      <c r="S74" s="126">
        <f t="shared" si="17"/>
        <v>7.5721293905315535E-8</v>
      </c>
      <c r="T74">
        <v>1000</v>
      </c>
      <c r="U74">
        <v>22</v>
      </c>
      <c r="V74">
        <f t="shared" si="11"/>
        <v>8</v>
      </c>
      <c r="W74">
        <f t="shared" si="12"/>
        <v>22000</v>
      </c>
      <c r="X74">
        <f t="shared" si="5"/>
        <v>19800</v>
      </c>
      <c r="Y74">
        <f t="shared" si="6"/>
        <v>24200.000000000004</v>
      </c>
      <c r="Z74">
        <f t="shared" si="13"/>
        <v>0</v>
      </c>
      <c r="AA74" s="126">
        <f t="shared" si="14"/>
        <v>5.0181595867462772E-8</v>
      </c>
      <c r="AB74" s="126">
        <f t="shared" si="15"/>
        <v>7.5721293905315535E-8</v>
      </c>
      <c r="AC74" s="126">
        <f t="shared" si="18"/>
        <v>6.7610736447944935E-8</v>
      </c>
      <c r="AD74" s="126">
        <f t="shared" si="19"/>
        <v>1.9187892331616471E-8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3</v>
      </c>
      <c r="N75">
        <f t="shared" si="0"/>
        <v>510</v>
      </c>
      <c r="O75">
        <f t="shared" si="1"/>
        <v>484.5</v>
      </c>
      <c r="P75">
        <f t="shared" si="2"/>
        <v>535.5</v>
      </c>
      <c r="Q75">
        <f t="shared" si="10"/>
        <v>1</v>
      </c>
      <c r="R75" s="126">
        <f t="shared" si="16"/>
        <v>5.4452369976945294E-8</v>
      </c>
      <c r="S75" s="126">
        <f t="shared" si="17"/>
        <v>8.1889168508861356E-8</v>
      </c>
      <c r="T75">
        <v>1000</v>
      </c>
      <c r="U75">
        <v>27</v>
      </c>
      <c r="V75">
        <f t="shared" si="11"/>
        <v>8</v>
      </c>
      <c r="W75">
        <f t="shared" si="12"/>
        <v>27000</v>
      </c>
      <c r="X75">
        <f t="shared" si="5"/>
        <v>24300</v>
      </c>
      <c r="Y75">
        <f t="shared" si="6"/>
        <v>29700.000000000004</v>
      </c>
      <c r="Z75">
        <f t="shared" si="13"/>
        <v>0</v>
      </c>
      <c r="AA75" s="126">
        <f t="shared" si="14"/>
        <v>5.4452369976945294E-8</v>
      </c>
      <c r="AB75" s="126">
        <f t="shared" si="15"/>
        <v>8.1889168508861356E-8</v>
      </c>
      <c r="AC75" s="126">
        <f t="shared" si="18"/>
        <v>5.9554878189908215E-8</v>
      </c>
      <c r="AD75" s="126">
        <f t="shared" si="19"/>
        <v>1.8687875799101287E-8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4</v>
      </c>
      <c r="N76">
        <f t="shared" si="0"/>
        <v>560</v>
      </c>
      <c r="O76">
        <f t="shared" si="1"/>
        <v>532</v>
      </c>
      <c r="P76">
        <f t="shared" si="2"/>
        <v>588</v>
      </c>
      <c r="Q76">
        <f t="shared" si="10"/>
        <v>1</v>
      </c>
      <c r="R76" s="126">
        <f t="shared" si="16"/>
        <v>5.9790837612276972E-8</v>
      </c>
      <c r="S76" s="126">
        <f t="shared" si="17"/>
        <v>8.9599011761306616E-8</v>
      </c>
      <c r="T76">
        <v>1000</v>
      </c>
      <c r="U76">
        <v>33</v>
      </c>
      <c r="V76">
        <f t="shared" si="11"/>
        <v>8</v>
      </c>
      <c r="W76">
        <f t="shared" si="12"/>
        <v>33000</v>
      </c>
      <c r="X76">
        <f t="shared" si="5"/>
        <v>29700</v>
      </c>
      <c r="Y76">
        <f t="shared" si="6"/>
        <v>36300</v>
      </c>
      <c r="Z76">
        <f t="shared" si="13"/>
        <v>0</v>
      </c>
      <c r="AA76" s="126">
        <f t="shared" si="14"/>
        <v>5.9790837612276972E-8</v>
      </c>
      <c r="AB76" s="126">
        <f t="shared" si="15"/>
        <v>8.9599011761306616E-8</v>
      </c>
      <c r="AC76" s="126">
        <f t="shared" si="18"/>
        <v>5.3537928576241831E-8</v>
      </c>
      <c r="AD76" s="126">
        <f t="shared" si="19"/>
        <v>1.8199419067008791E-8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5</v>
      </c>
      <c r="N77">
        <f t="shared" si="0"/>
        <v>620</v>
      </c>
      <c r="O77">
        <f t="shared" si="1"/>
        <v>589</v>
      </c>
      <c r="P77">
        <f t="shared" si="2"/>
        <v>651</v>
      </c>
      <c r="Q77">
        <f t="shared" si="10"/>
        <v>1</v>
      </c>
      <c r="R77" s="126">
        <f t="shared" si="16"/>
        <v>6.6196998772443504E-8</v>
      </c>
      <c r="S77" s="126">
        <f t="shared" si="17"/>
        <v>9.8850823661326581E-8</v>
      </c>
      <c r="T77">
        <v>1000</v>
      </c>
      <c r="U77">
        <v>39</v>
      </c>
      <c r="V77">
        <f t="shared" si="11"/>
        <v>8</v>
      </c>
      <c r="W77">
        <f t="shared" si="12"/>
        <v>39000</v>
      </c>
      <c r="X77">
        <f t="shared" si="5"/>
        <v>35100</v>
      </c>
      <c r="Y77">
        <f t="shared" si="6"/>
        <v>42900</v>
      </c>
      <c r="Z77">
        <f t="shared" si="13"/>
        <v>0</v>
      </c>
      <c r="AA77" s="126">
        <f t="shared" si="14"/>
        <v>6.6196998772443504E-8</v>
      </c>
      <c r="AB77" s="126">
        <f t="shared" si="15"/>
        <v>9.8850823661326581E-8</v>
      </c>
      <c r="AC77" s="126">
        <f t="shared" si="18"/>
        <v>4.8999183440991455E-8</v>
      </c>
      <c r="AD77" s="126">
        <f t="shared" si="19"/>
        <v>1.7750081246593485E-8</v>
      </c>
    </row>
    <row r="78" spans="1:31" x14ac:dyDescent="0.35">
      <c r="A78" t="s">
        <v>344</v>
      </c>
      <c r="B78">
        <v>1</v>
      </c>
      <c r="C78">
        <v>1</v>
      </c>
      <c r="D78">
        <v>1</v>
      </c>
      <c r="E78">
        <v>1</v>
      </c>
      <c r="F78">
        <v>1</v>
      </c>
      <c r="G78">
        <v>1</v>
      </c>
      <c r="H78">
        <v>1</v>
      </c>
      <c r="K78">
        <v>10</v>
      </c>
      <c r="L78">
        <v>68</v>
      </c>
      <c r="M78">
        <f t="shared" si="9"/>
        <v>6</v>
      </c>
      <c r="N78">
        <f t="shared" si="0"/>
        <v>680</v>
      </c>
      <c r="O78">
        <f t="shared" si="1"/>
        <v>646</v>
      </c>
      <c r="P78">
        <f t="shared" si="2"/>
        <v>714</v>
      </c>
      <c r="Q78">
        <f t="shared" si="10"/>
        <v>1</v>
      </c>
      <c r="R78" s="126">
        <f t="shared" si="16"/>
        <v>7.2603159930175676E-8</v>
      </c>
      <c r="S78" s="126">
        <f t="shared" si="17"/>
        <v>1.081026355581673E-7</v>
      </c>
      <c r="T78">
        <v>1000</v>
      </c>
      <c r="U78">
        <v>47</v>
      </c>
      <c r="V78">
        <f t="shared" si="11"/>
        <v>8</v>
      </c>
      <c r="W78">
        <f t="shared" si="12"/>
        <v>47000</v>
      </c>
      <c r="X78">
        <f t="shared" si="5"/>
        <v>42300</v>
      </c>
      <c r="Y78">
        <f t="shared" si="6"/>
        <v>51700.000000000007</v>
      </c>
      <c r="Z78">
        <f t="shared" si="13"/>
        <v>0</v>
      </c>
      <c r="AA78" s="126">
        <f t="shared" si="14"/>
        <v>7.2603159930175676E-8</v>
      </c>
      <c r="AB78" s="126">
        <f t="shared" si="15"/>
        <v>1.081026355581673E-7</v>
      </c>
      <c r="AC78" s="126">
        <f t="shared" si="18"/>
        <v>4.5950822496414923E-8</v>
      </c>
      <c r="AD78" s="126">
        <f t="shared" si="19"/>
        <v>1.7402410263216009E-8</v>
      </c>
    </row>
    <row r="79" spans="1:31" x14ac:dyDescent="0.35">
      <c r="A79" t="s">
        <v>345</v>
      </c>
      <c r="B79">
        <v>1</v>
      </c>
      <c r="C79">
        <v>1</v>
      </c>
      <c r="D79">
        <v>1</v>
      </c>
      <c r="E79">
        <v>1</v>
      </c>
      <c r="F79">
        <v>1</v>
      </c>
      <c r="G79">
        <v>1</v>
      </c>
      <c r="H79">
        <v>1</v>
      </c>
      <c r="K79">
        <v>10</v>
      </c>
      <c r="L79">
        <v>75</v>
      </c>
      <c r="M79">
        <f t="shared" si="9"/>
        <v>7</v>
      </c>
      <c r="N79">
        <f t="shared" si="0"/>
        <v>750</v>
      </c>
      <c r="O79">
        <f t="shared" si="1"/>
        <v>712.5</v>
      </c>
      <c r="P79">
        <f t="shared" si="2"/>
        <v>787.5</v>
      </c>
      <c r="Q79">
        <f t="shared" si="10"/>
        <v>1</v>
      </c>
      <c r="R79" s="126">
        <f t="shared" si="16"/>
        <v>8.0077014611119853E-8</v>
      </c>
      <c r="S79" s="126">
        <f t="shared" si="17"/>
        <v>1.1889641610046324E-7</v>
      </c>
      <c r="T79">
        <v>1000</v>
      </c>
      <c r="U79">
        <v>56</v>
      </c>
      <c r="V79">
        <f t="shared" si="11"/>
        <v>8</v>
      </c>
      <c r="W79">
        <f t="shared" si="12"/>
        <v>56000</v>
      </c>
      <c r="X79">
        <f t="shared" si="5"/>
        <v>50400</v>
      </c>
      <c r="Y79">
        <f t="shared" si="6"/>
        <v>61600.000000000007</v>
      </c>
      <c r="Z79">
        <f t="shared" si="13"/>
        <v>0</v>
      </c>
      <c r="AA79" s="126">
        <f t="shared" si="14"/>
        <v>8.0077014611119853E-8</v>
      </c>
      <c r="AB79" s="126">
        <f t="shared" si="15"/>
        <v>1.1889641610046324E-7</v>
      </c>
      <c r="AC79" s="126">
        <f t="shared" si="18"/>
        <v>4.3441074102987132E-8</v>
      </c>
      <c r="AD79" s="126">
        <f t="shared" si="19"/>
        <v>1.7084792183429048E-8</v>
      </c>
      <c r="AE79" s="128"/>
    </row>
    <row r="80" spans="1:31" x14ac:dyDescent="0.35">
      <c r="A80" t="s">
        <v>346</v>
      </c>
      <c r="B80">
        <v>1</v>
      </c>
      <c r="C80">
        <v>1</v>
      </c>
      <c r="D80">
        <v>1</v>
      </c>
      <c r="E80">
        <v>1</v>
      </c>
      <c r="F80">
        <v>1</v>
      </c>
      <c r="G80">
        <v>1</v>
      </c>
      <c r="H80">
        <v>1</v>
      </c>
      <c r="K80">
        <v>10</v>
      </c>
      <c r="L80">
        <v>82</v>
      </c>
      <c r="M80">
        <f t="shared" si="9"/>
        <v>8</v>
      </c>
      <c r="N80">
        <f t="shared" si="0"/>
        <v>820</v>
      </c>
      <c r="O80">
        <f t="shared" si="1"/>
        <v>779</v>
      </c>
      <c r="P80">
        <f t="shared" si="2"/>
        <v>861</v>
      </c>
      <c r="Q80">
        <f t="shared" si="10"/>
        <v>1</v>
      </c>
      <c r="R80" s="126">
        <f t="shared" si="16"/>
        <v>8.7550869288750583E-8</v>
      </c>
      <c r="S80" s="126">
        <f t="shared" si="17"/>
        <v>1.2969019663843186E-7</v>
      </c>
      <c r="T80">
        <v>1000</v>
      </c>
      <c r="U80">
        <v>68</v>
      </c>
      <c r="V80">
        <f t="shared" si="11"/>
        <v>8</v>
      </c>
      <c r="W80">
        <f>U80*T80</f>
        <v>68000</v>
      </c>
      <c r="X80">
        <f t="shared" si="5"/>
        <v>61200</v>
      </c>
      <c r="Y80">
        <f t="shared" si="6"/>
        <v>74800</v>
      </c>
      <c r="Z80">
        <f t="shared" si="13"/>
        <v>0</v>
      </c>
      <c r="AA80" s="126">
        <f t="shared" si="14"/>
        <v>8.7550869288750583E-8</v>
      </c>
      <c r="AB80" s="126">
        <f t="shared" si="15"/>
        <v>1.2969019663843186E-7</v>
      </c>
      <c r="AC80" s="126">
        <f t="shared" si="18"/>
        <v>4.1612929555228208E-8</v>
      </c>
      <c r="AD80" s="126">
        <f t="shared" si="19"/>
        <v>1.6833743548326138E-8</v>
      </c>
      <c r="AE80" s="128"/>
    </row>
    <row r="81" spans="1:31" x14ac:dyDescent="0.35">
      <c r="K81">
        <v>10</v>
      </c>
      <c r="L81">
        <v>91</v>
      </c>
      <c r="M81">
        <f t="shared" si="9"/>
        <v>9</v>
      </c>
      <c r="N81">
        <f t="shared" si="0"/>
        <v>910</v>
      </c>
      <c r="O81">
        <f t="shared" si="1"/>
        <v>864.5</v>
      </c>
      <c r="P81">
        <f t="shared" si="2"/>
        <v>955.5</v>
      </c>
      <c r="Q81">
        <f t="shared" si="10"/>
        <v>1</v>
      </c>
      <c r="R81" s="126">
        <f t="shared" si="16"/>
        <v>9.716011101226428E-8</v>
      </c>
      <c r="S81" s="126">
        <f t="shared" si="17"/>
        <v>1.4356791446660439E-7</v>
      </c>
      <c r="T81">
        <v>1000</v>
      </c>
      <c r="U81">
        <v>82</v>
      </c>
      <c r="V81">
        <f t="shared" si="11"/>
        <v>8</v>
      </c>
      <c r="W81">
        <f t="shared" ref="W81" si="20">U81*T81</f>
        <v>82000</v>
      </c>
      <c r="X81">
        <f t="shared" si="5"/>
        <v>73800</v>
      </c>
      <c r="Y81">
        <f t="shared" si="6"/>
        <v>90200.000000000015</v>
      </c>
      <c r="Z81">
        <f t="shared" si="13"/>
        <v>0</v>
      </c>
      <c r="AA81" s="126">
        <f t="shared" si="14"/>
        <v>9.716011101226428E-8</v>
      </c>
      <c r="AB81" s="126">
        <f t="shared" si="15"/>
        <v>1.4356791446660439E-7</v>
      </c>
      <c r="AC81" s="126">
        <f t="shared" si="18"/>
        <v>3.9881328074834623E-8</v>
      </c>
      <c r="AD81" s="126">
        <f t="shared" si="19"/>
        <v>1.6579228193525719E-8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0.99999945057030259</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0.21057154575934106</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0.13192611196361273</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0.84963265568815516</v>
      </c>
      <c r="F82" s="13"/>
      <c r="K82">
        <v>100</v>
      </c>
      <c r="L82">
        <v>10</v>
      </c>
      <c r="M82">
        <f>IF(AND(Q81=1,Q82=0),Q82+M81+1, Q82+M81)</f>
        <v>10</v>
      </c>
      <c r="N82">
        <f t="shared" si="0"/>
        <v>1000</v>
      </c>
      <c r="O82">
        <f t="shared" si="1"/>
        <v>950</v>
      </c>
      <c r="P82">
        <f t="shared" si="2"/>
        <v>1050</v>
      </c>
      <c r="Q82">
        <f t="shared" si="10"/>
        <v>1</v>
      </c>
      <c r="R82" s="126">
        <f t="shared" si="16"/>
        <v>1.0676935273030072E-7</v>
      </c>
      <c r="S82" s="126">
        <f t="shared" si="17"/>
        <v>1.5744563228762362E-7</v>
      </c>
      <c r="V82">
        <f t="shared" si="11"/>
        <v>8</v>
      </c>
      <c r="W82">
        <v>9999999</v>
      </c>
      <c r="AA82" s="126">
        <f t="shared" si="14"/>
        <v>1.0676935273030072E-7</v>
      </c>
      <c r="AB82" s="126">
        <f t="shared" si="15"/>
        <v>1.5744563228762362E-7</v>
      </c>
      <c r="AC82" s="126">
        <f t="shared" si="18"/>
        <v>3.8595950916244348E-8</v>
      </c>
      <c r="AD82" s="126">
        <f t="shared" si="19"/>
        <v>1.6378922491204073E-8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0.99999945057030259</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0.24783833852652642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0.13192611196361273</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11</v>
      </c>
      <c r="N83">
        <f t="shared" si="0"/>
        <v>1100</v>
      </c>
      <c r="O83">
        <f t="shared" si="1"/>
        <v>1045</v>
      </c>
      <c r="P83">
        <f t="shared" si="2"/>
        <v>1155</v>
      </c>
      <c r="Q83">
        <f t="shared" si="10"/>
        <v>1</v>
      </c>
      <c r="R83" s="126">
        <f t="shared" si="16"/>
        <v>1.1744628796613945E-7</v>
      </c>
      <c r="S83" s="126">
        <f t="shared" si="17"/>
        <v>1.7286531874703305E-7</v>
      </c>
      <c r="AA83" s="126">
        <f t="shared" si="14"/>
        <v>1.1744628796613945E-7</v>
      </c>
      <c r="AB83" s="126">
        <f t="shared" si="15"/>
        <v>1.7286531874703305E-7</v>
      </c>
      <c r="AC83" s="126">
        <f t="shared" si="18"/>
        <v>3.7507679641525603E-8</v>
      </c>
      <c r="AD83" s="126">
        <f t="shared" si="19"/>
        <v>1.6201176842157476E-8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0.99999945054572226</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0.24783833852652642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0.13192611197782803</v>
      </c>
      <c r="E84" s="12">
        <f>IF(Summary!J37="absolute",(R3-N7)/(J2+J2*Summary!J17),R3-N7)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0.24783833860899557</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0.24040389489408978</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0.13192611197409471</v>
      </c>
      <c r="K84">
        <v>100</v>
      </c>
      <c r="L84">
        <v>12</v>
      </c>
      <c r="M84">
        <f t="shared" si="21"/>
        <v>12</v>
      </c>
      <c r="N84">
        <f t="shared" si="0"/>
        <v>1200</v>
      </c>
      <c r="O84">
        <f t="shared" si="1"/>
        <v>1140</v>
      </c>
      <c r="P84">
        <f t="shared" si="2"/>
        <v>1260</v>
      </c>
      <c r="Q84">
        <f t="shared" si="10"/>
        <v>1</v>
      </c>
      <c r="R84" s="126">
        <f t="shared" si="16"/>
        <v>1.2812322319521616E-7</v>
      </c>
      <c r="S84" s="126">
        <f t="shared" si="17"/>
        <v>1.8828500519761124E-7</v>
      </c>
      <c r="AA84" s="126">
        <f t="shared" si="14"/>
        <v>1.2812322319521616E-7</v>
      </c>
      <c r="AB84" s="126">
        <f t="shared" si="15"/>
        <v>1.8828500519761124E-7</v>
      </c>
      <c r="AC84" s="126">
        <f t="shared" si="18"/>
        <v>3.6661973931497824E-8</v>
      </c>
      <c r="AD84" s="126">
        <f t="shared" si="19"/>
        <v>1.6057544557862603E-8</v>
      </c>
      <c r="AE84" s="128"/>
    </row>
    <row r="85" spans="1:31" x14ac:dyDescent="0.35">
      <c r="E85" s="73"/>
      <c r="K85">
        <v>100</v>
      </c>
      <c r="L85">
        <v>13</v>
      </c>
      <c r="M85">
        <f t="shared" si="21"/>
        <v>13</v>
      </c>
      <c r="N85">
        <f t="shared" si="0"/>
        <v>1300</v>
      </c>
      <c r="O85">
        <f t="shared" si="1"/>
        <v>1235</v>
      </c>
      <c r="P85">
        <f t="shared" si="2"/>
        <v>1365</v>
      </c>
      <c r="Q85">
        <f t="shared" si="10"/>
        <v>1</v>
      </c>
      <c r="R85" s="126">
        <f t="shared" si="16"/>
        <v>1.388001584175308E-7</v>
      </c>
      <c r="S85" s="126">
        <f t="shared" si="17"/>
        <v>2.037046916393581E-7</v>
      </c>
      <c r="AA85" s="126">
        <f t="shared" si="14"/>
        <v>1.388001584175308E-7</v>
      </c>
      <c r="AB85" s="126">
        <f t="shared" si="15"/>
        <v>2.037046916393581E-7</v>
      </c>
      <c r="AC85" s="126">
        <f t="shared" si="18"/>
        <v>3.5986119150275242E-8</v>
      </c>
      <c r="AD85" s="126">
        <f t="shared" si="19"/>
        <v>1.5939095645576317E-8</v>
      </c>
      <c r="AE85" s="128"/>
    </row>
    <row r="86" spans="1:31" x14ac:dyDescent="0.35">
      <c r="K86">
        <v>100</v>
      </c>
      <c r="L86">
        <v>15</v>
      </c>
      <c r="M86">
        <f t="shared" si="21"/>
        <v>14</v>
      </c>
      <c r="N86">
        <f t="shared" si="0"/>
        <v>1500</v>
      </c>
      <c r="O86">
        <f t="shared" si="1"/>
        <v>1425</v>
      </c>
      <c r="P86">
        <f t="shared" si="2"/>
        <v>1575</v>
      </c>
      <c r="Q86">
        <f t="shared" si="10"/>
        <v>1</v>
      </c>
      <c r="R86" s="126">
        <f t="shared" si="16"/>
        <v>1.601540288418739E-7</v>
      </c>
      <c r="S86" s="126">
        <f t="shared" si="17"/>
        <v>2.3454406449635806E-7</v>
      </c>
      <c r="AA86" s="126">
        <f t="shared" si="14"/>
        <v>1.601540288418739E-7</v>
      </c>
      <c r="AB86" s="126">
        <f t="shared" si="15"/>
        <v>2.3454406449635806E-7</v>
      </c>
      <c r="AC86" s="126">
        <f t="shared" si="18"/>
        <v>3.497415210146848E-8</v>
      </c>
      <c r="AD86" s="126">
        <f t="shared" si="19"/>
        <v>1.5755270338754209E-8</v>
      </c>
      <c r="AE86" s="128"/>
    </row>
    <row r="87" spans="1:31" x14ac:dyDescent="0.35">
      <c r="B87" s="171" t="s">
        <v>362</v>
      </c>
      <c r="C87" s="171"/>
      <c r="K87">
        <v>100</v>
      </c>
      <c r="L87">
        <v>16</v>
      </c>
      <c r="M87">
        <f t="shared" si="21"/>
        <v>15</v>
      </c>
      <c r="N87">
        <f t="shared" si="0"/>
        <v>1600</v>
      </c>
      <c r="O87">
        <f t="shared" si="1"/>
        <v>1520</v>
      </c>
      <c r="P87">
        <f t="shared" si="2"/>
        <v>1680</v>
      </c>
      <c r="Q87">
        <f t="shared" si="10"/>
        <v>1</v>
      </c>
      <c r="R87" s="126">
        <f t="shared" si="16"/>
        <v>1.7083096404390233E-7</v>
      </c>
      <c r="S87" s="126">
        <f t="shared" si="17"/>
        <v>2.4996375091161105E-7</v>
      </c>
      <c r="AA87" s="126">
        <f t="shared" si="14"/>
        <v>1.7083096404390233E-7</v>
      </c>
      <c r="AB87" s="126">
        <f t="shared" si="15"/>
        <v>2.4996375091161105E-7</v>
      </c>
      <c r="AC87" s="126">
        <f t="shared" si="18"/>
        <v>3.4585738570292988E-8</v>
      </c>
      <c r="AD87" s="126">
        <f t="shared" si="19"/>
        <v>1.5682537838179881E-8</v>
      </c>
      <c r="AE87" s="128"/>
    </row>
    <row r="88" spans="1:31" ht="29" x14ac:dyDescent="0.35">
      <c r="B88" t="s">
        <v>355</v>
      </c>
      <c r="C88" t="s">
        <v>363</v>
      </c>
      <c r="D88" t="s">
        <v>364</v>
      </c>
      <c r="E88" s="32" t="str">
        <f>IF(Summary!J37="absolute","find min R2, so that max (Vx) = " &amp; TRUNC(R2/J3,3),"find min R2, so that max (Vx) = " &amp; R2)</f>
        <v>find min R2, so that max (Vx) = 0.3</v>
      </c>
      <c r="F88" s="32" t="s">
        <v>365</v>
      </c>
      <c r="G88" s="32" t="s">
        <v>366</v>
      </c>
      <c r="H88" s="32" t="s">
        <v>367</v>
      </c>
      <c r="K88">
        <v>100</v>
      </c>
      <c r="L88">
        <v>18</v>
      </c>
      <c r="M88">
        <f t="shared" si="21"/>
        <v>16</v>
      </c>
      <c r="N88">
        <f t="shared" si="0"/>
        <v>1800</v>
      </c>
      <c r="O88">
        <f t="shared" si="1"/>
        <v>1710</v>
      </c>
      <c r="P88">
        <f t="shared" si="2"/>
        <v>1890</v>
      </c>
      <c r="Q88">
        <f t="shared" si="10"/>
        <v>1</v>
      </c>
      <c r="R88" s="126">
        <f t="shared" si="16"/>
        <v>1.9218483442767305E-7</v>
      </c>
      <c r="S88" s="126">
        <f t="shared" si="17"/>
        <v>2.8080312371562333E-7</v>
      </c>
      <c r="AA88" s="126">
        <f t="shared" si="14"/>
        <v>1.9218483442767305E-7</v>
      </c>
      <c r="AB88" s="126">
        <f t="shared" si="15"/>
        <v>2.8080312371562333E-7</v>
      </c>
      <c r="AC88" s="126">
        <f t="shared" si="18"/>
        <v>3.3965534162755705E-8</v>
      </c>
      <c r="AD88" s="126">
        <f t="shared" si="19"/>
        <v>1.556374742580091E-8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17</v>
      </c>
      <c r="N89">
        <f t="shared" si="0"/>
        <v>2000</v>
      </c>
      <c r="O89">
        <f t="shared" si="1"/>
        <v>1900</v>
      </c>
      <c r="P89">
        <f t="shared" si="2"/>
        <v>2100</v>
      </c>
      <c r="Q89">
        <f t="shared" si="10"/>
        <v>0</v>
      </c>
      <c r="R89" s="126">
        <f t="shared" si="16"/>
        <v>2.1353870478439558E-7</v>
      </c>
      <c r="S89" s="126">
        <f t="shared" si="17"/>
        <v>3.1164249648431063E-7</v>
      </c>
      <c r="AA89" s="126">
        <f t="shared" si="14"/>
        <v>2.1353870478439558E-7</v>
      </c>
      <c r="AB89" s="126">
        <f t="shared" si="15"/>
        <v>3.1164249648431063E-7</v>
      </c>
      <c r="AC89" s="126">
        <f t="shared" si="18"/>
        <v>3.3492554700530166E-8</v>
      </c>
      <c r="AD89" s="126">
        <f t="shared" si="19"/>
        <v>1.5470856383132501E-8</v>
      </c>
      <c r="AE89" s="128"/>
    </row>
    <row r="90" spans="1:31" x14ac:dyDescent="0.35">
      <c r="A90" t="s">
        <v>320</v>
      </c>
      <c r="B90" s="11">
        <f>F11*(1+H11)</f>
        <v>493.5</v>
      </c>
      <c r="C90" s="11">
        <f>F11*(1-H11)</f>
        <v>446.5</v>
      </c>
      <c r="D90" s="11">
        <f>F11*(1+H11)</f>
        <v>493.5</v>
      </c>
      <c r="E90" s="11"/>
      <c r="F90" s="11">
        <f>F11*(1-H11)</f>
        <v>446.5</v>
      </c>
      <c r="G90">
        <f>F11*(1-H11)</f>
        <v>446.5</v>
      </c>
      <c r="H90">
        <f>F11*(1+H11)</f>
        <v>493.5</v>
      </c>
      <c r="K90">
        <v>100</v>
      </c>
      <c r="L90">
        <v>22</v>
      </c>
      <c r="M90">
        <f t="shared" si="21"/>
        <v>17</v>
      </c>
      <c r="N90">
        <f t="shared" si="0"/>
        <v>2200</v>
      </c>
      <c r="O90">
        <f t="shared" si="1"/>
        <v>2090</v>
      </c>
      <c r="P90">
        <f t="shared" si="2"/>
        <v>2310</v>
      </c>
      <c r="Q90">
        <f t="shared" si="10"/>
        <v>0</v>
      </c>
      <c r="R90" s="126">
        <f t="shared" si="16"/>
        <v>2.3489257511406977E-7</v>
      </c>
      <c r="S90" s="126">
        <f t="shared" si="17"/>
        <v>3.4248186921767268E-7</v>
      </c>
      <c r="AA90" s="126">
        <f t="shared" si="14"/>
        <v>2.3489257511406977E-7</v>
      </c>
      <c r="AB90" s="126">
        <f t="shared" si="15"/>
        <v>3.4248186921767268E-7</v>
      </c>
      <c r="AC90" s="126">
        <f t="shared" si="18"/>
        <v>3.3120121205617166E-8</v>
      </c>
      <c r="AD90" s="126">
        <f t="shared" si="19"/>
        <v>1.5396240302582438E-8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17</v>
      </c>
      <c r="N91">
        <f t="shared" si="0"/>
        <v>2400</v>
      </c>
      <c r="O91">
        <f t="shared" si="1"/>
        <v>2280</v>
      </c>
      <c r="P91">
        <f t="shared" si="2"/>
        <v>2520</v>
      </c>
      <c r="Q91">
        <f t="shared" si="10"/>
        <v>0</v>
      </c>
      <c r="R91" s="126">
        <f t="shared" si="16"/>
        <v>2.562464454166958E-7</v>
      </c>
      <c r="S91" s="126">
        <f t="shared" si="17"/>
        <v>3.733212419157097E-7</v>
      </c>
      <c r="AA91" s="126">
        <f t="shared" si="14"/>
        <v>2.562464454166958E-7</v>
      </c>
      <c r="AB91" s="126">
        <f t="shared" si="15"/>
        <v>3.733212419157097E-7</v>
      </c>
      <c r="AC91" s="126">
        <f t="shared" si="18"/>
        <v>3.2819360619643584E-8</v>
      </c>
      <c r="AD91" s="126">
        <f t="shared" si="19"/>
        <v>1.5334996651654713E-8</v>
      </c>
      <c r="AE91" s="128"/>
    </row>
    <row r="92" spans="1:31" x14ac:dyDescent="0.35">
      <c r="A92" t="s">
        <v>324</v>
      </c>
      <c r="B92" s="1">
        <f>K21-B93</f>
        <v>22.122405384810769</v>
      </c>
      <c r="C92" s="1">
        <f>K21-C93</f>
        <v>0</v>
      </c>
      <c r="D92" s="1">
        <f>K21-D93</f>
        <v>22.122405384810769</v>
      </c>
      <c r="E92" s="1">
        <f>K21-E93</f>
        <v>0</v>
      </c>
      <c r="F92" s="1">
        <f>K21-F93</f>
        <v>0</v>
      </c>
      <c r="G92" s="1">
        <f>K22-G93</f>
        <v>0</v>
      </c>
      <c r="H92" s="1">
        <f>K22-H93</f>
        <v>16.31240538481077</v>
      </c>
      <c r="K92">
        <v>100</v>
      </c>
      <c r="L92">
        <v>27</v>
      </c>
      <c r="M92">
        <f t="shared" si="21"/>
        <v>17</v>
      </c>
      <c r="N92">
        <f t="shared" si="0"/>
        <v>2700</v>
      </c>
      <c r="O92">
        <f t="shared" si="1"/>
        <v>2565</v>
      </c>
      <c r="P92">
        <f t="shared" si="2"/>
        <v>2835</v>
      </c>
      <c r="Q92">
        <f t="shared" si="10"/>
        <v>0</v>
      </c>
      <c r="R92" s="126">
        <f t="shared" si="16"/>
        <v>2.8827725081991944E-7</v>
      </c>
      <c r="S92" s="126">
        <f t="shared" si="17"/>
        <v>4.1958030089653062E-7</v>
      </c>
      <c r="AA92" s="126">
        <f t="shared" si="14"/>
        <v>2.8827725081991944E-7</v>
      </c>
      <c r="AB92" s="126">
        <f t="shared" si="15"/>
        <v>4.1958030089653062E-7</v>
      </c>
      <c r="AC92" s="126">
        <f t="shared" si="18"/>
        <v>3.2463184917664269E-8</v>
      </c>
      <c r="AD92" s="126">
        <f t="shared" si="19"/>
        <v>1.5261281237018844E-8</v>
      </c>
      <c r="AE92" s="128"/>
    </row>
    <row r="93" spans="1:31" x14ac:dyDescent="0.35">
      <c r="A93" t="s">
        <v>327</v>
      </c>
      <c r="B93" s="1">
        <f>K21*(1-MAX(K25,K24))</f>
        <v>0</v>
      </c>
      <c r="C93" s="1">
        <f>K21*(1-MIN(K25,K24))</f>
        <v>22.122405384810769</v>
      </c>
      <c r="D93" s="1">
        <f>K21*(1-MAX(K25,K24))</f>
        <v>0</v>
      </c>
      <c r="E93" s="1">
        <f>K21*(1-MIN(K25,K24))</f>
        <v>22.122405384810769</v>
      </c>
      <c r="F93" s="125">
        <f>K21*(1-MIN(K25,K24))</f>
        <v>22.122405384810769</v>
      </c>
      <c r="G93" s="125">
        <f>K22*(1-MIN(K25,K24))</f>
        <v>16.31240538481077</v>
      </c>
      <c r="H93" s="1">
        <f>K22*(1-MAX(K25,K24))</f>
        <v>0</v>
      </c>
      <c r="K93">
        <v>100</v>
      </c>
      <c r="L93">
        <v>30</v>
      </c>
      <c r="M93">
        <f t="shared" si="21"/>
        <v>17</v>
      </c>
      <c r="N93">
        <f t="shared" si="0"/>
        <v>3000</v>
      </c>
      <c r="O93">
        <f t="shared" si="1"/>
        <v>2850</v>
      </c>
      <c r="P93">
        <f t="shared" si="2"/>
        <v>3150</v>
      </c>
      <c r="Q93">
        <f t="shared" si="10"/>
        <v>0</v>
      </c>
      <c r="R93" s="126">
        <f t="shared" si="16"/>
        <v>3.2030805616228445E-7</v>
      </c>
      <c r="S93" s="126">
        <f t="shared" si="17"/>
        <v>4.6583935979787004E-7</v>
      </c>
      <c r="AA93" s="126">
        <f t="shared" si="14"/>
        <v>3.2030805616228445E-7</v>
      </c>
      <c r="AB93" s="126">
        <f t="shared" si="15"/>
        <v>4.6583935979787004E-7</v>
      </c>
      <c r="AC93" s="126">
        <f t="shared" si="18"/>
        <v>3.2186988677318983E-8</v>
      </c>
      <c r="AD93" s="126">
        <f t="shared" si="19"/>
        <v>1.5203197094615374E-8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17</v>
      </c>
      <c r="N94">
        <f t="shared" si="0"/>
        <v>3300</v>
      </c>
      <c r="O94">
        <f t="shared" si="1"/>
        <v>3135</v>
      </c>
      <c r="P94">
        <f t="shared" si="2"/>
        <v>3465</v>
      </c>
      <c r="Q94">
        <f t="shared" si="10"/>
        <v>0</v>
      </c>
      <c r="R94" s="126">
        <f t="shared" si="16"/>
        <v>3.5233886144379104E-7</v>
      </c>
      <c r="S94" s="126">
        <f t="shared" si="17"/>
        <v>5.1209841861972807E-7</v>
      </c>
      <c r="AA94" s="126">
        <f t="shared" si="14"/>
        <v>3.5233886144379104E-7</v>
      </c>
      <c r="AB94" s="126">
        <f t="shared" si="15"/>
        <v>5.1209841861972807E-7</v>
      </c>
      <c r="AC94" s="126">
        <f t="shared" si="18"/>
        <v>3.1966614940810943E-8</v>
      </c>
      <c r="AD94" s="126">
        <f t="shared" si="19"/>
        <v>1.5156253048192477E-8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17</v>
      </c>
      <c r="N95">
        <f t="shared" si="0"/>
        <v>3600</v>
      </c>
      <c r="O95">
        <f t="shared" si="1"/>
        <v>3420</v>
      </c>
      <c r="P95">
        <f t="shared" si="2"/>
        <v>3780</v>
      </c>
      <c r="Q95">
        <f t="shared" si="10"/>
        <v>0</v>
      </c>
      <c r="R95" s="126">
        <f t="shared" si="16"/>
        <v>3.8436966666443901E-7</v>
      </c>
      <c r="S95" s="126">
        <f t="shared" si="17"/>
        <v>5.5835747736210461E-7</v>
      </c>
      <c r="AA95" s="126">
        <f t="shared" si="14"/>
        <v>3.8436966666443901E-7</v>
      </c>
      <c r="AB95" s="126">
        <f t="shared" si="15"/>
        <v>5.5835747736210461E-7</v>
      </c>
      <c r="AC95" s="126">
        <f t="shared" si="18"/>
        <v>3.1786729647632731E-8</v>
      </c>
      <c r="AD95" s="126">
        <f t="shared" si="19"/>
        <v>1.5117526989217646E-8</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1"/>
        <v>17</v>
      </c>
      <c r="N96">
        <f t="shared" si="0"/>
        <v>3900</v>
      </c>
      <c r="O96">
        <f t="shared" si="1"/>
        <v>3705</v>
      </c>
      <c r="P96">
        <f t="shared" si="2"/>
        <v>4095</v>
      </c>
      <c r="Q96">
        <f t="shared" si="10"/>
        <v>0</v>
      </c>
      <c r="R96" s="126">
        <f t="shared" si="16"/>
        <v>4.164004718242285E-7</v>
      </c>
      <c r="S96" s="126">
        <f t="shared" si="17"/>
        <v>6.0461653602499949E-7</v>
      </c>
      <c r="AA96" s="126">
        <f t="shared" si="14"/>
        <v>4.164004718242285E-7</v>
      </c>
      <c r="AB96" s="126">
        <f t="shared" si="15"/>
        <v>6.0461653602499949E-7</v>
      </c>
      <c r="AC96" s="126">
        <f t="shared" si="18"/>
        <v>3.1637135261742631E-8</v>
      </c>
      <c r="AD96" s="126">
        <f t="shared" si="19"/>
        <v>1.5085036034674045E-8</v>
      </c>
      <c r="AE96" s="128"/>
    </row>
    <row r="97" spans="1:31" x14ac:dyDescent="0.35">
      <c r="K97">
        <v>100</v>
      </c>
      <c r="L97">
        <v>43</v>
      </c>
      <c r="M97">
        <f t="shared" si="21"/>
        <v>17</v>
      </c>
      <c r="N97">
        <f t="shared" si="0"/>
        <v>4300</v>
      </c>
      <c r="O97">
        <f t="shared" si="1"/>
        <v>4085</v>
      </c>
      <c r="P97">
        <f t="shared" si="2"/>
        <v>4515</v>
      </c>
      <c r="Q97">
        <f t="shared" si="10"/>
        <v>0</v>
      </c>
      <c r="R97" s="126">
        <f t="shared" si="16"/>
        <v>4.5910821194261226E-7</v>
      </c>
      <c r="S97" s="126">
        <f t="shared" si="17"/>
        <v>6.6629528078522168E-7</v>
      </c>
      <c r="AA97" s="126">
        <f t="shared" si="14"/>
        <v>4.5910821194261226E-7</v>
      </c>
      <c r="AB97" s="126">
        <f t="shared" si="15"/>
        <v>6.6629528078522168E-7</v>
      </c>
      <c r="AC97" s="126">
        <f t="shared" si="18"/>
        <v>3.147292797815912E-8</v>
      </c>
      <c r="AD97" s="126">
        <f t="shared" si="19"/>
        <v>1.5049064814408641E-8</v>
      </c>
      <c r="AE97" s="128"/>
    </row>
    <row r="98" spans="1:31" x14ac:dyDescent="0.35">
      <c r="A98" t="s">
        <v>344</v>
      </c>
      <c r="B98">
        <v>1</v>
      </c>
      <c r="C98">
        <v>1</v>
      </c>
      <c r="D98">
        <v>1</v>
      </c>
      <c r="E98">
        <v>1</v>
      </c>
      <c r="F98">
        <v>1</v>
      </c>
      <c r="G98">
        <v>1</v>
      </c>
      <c r="H98">
        <v>1</v>
      </c>
      <c r="K98">
        <v>100</v>
      </c>
      <c r="L98">
        <v>47</v>
      </c>
      <c r="M98">
        <f t="shared" si="21"/>
        <v>17</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5.0181595195280307E-7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7.2797402540414363E-7</v>
      </c>
      <c r="AA98" s="126">
        <f t="shared" si="14"/>
        <v>5.0181595195280307E-7</v>
      </c>
      <c r="AB98" s="126">
        <f t="shared" si="15"/>
        <v>7.2797402540414363E-7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3.133886229436258E-8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1.501945304358674E-8</v>
      </c>
      <c r="AE98" s="128"/>
    </row>
    <row r="99" spans="1:31" x14ac:dyDescent="0.35">
      <c r="A99" t="s">
        <v>345</v>
      </c>
      <c r="B99">
        <v>1</v>
      </c>
      <c r="C99">
        <v>1</v>
      </c>
      <c r="D99">
        <v>1</v>
      </c>
      <c r="E99">
        <v>1</v>
      </c>
      <c r="F99">
        <v>1</v>
      </c>
      <c r="G99">
        <v>1</v>
      </c>
      <c r="H99">
        <v>1</v>
      </c>
      <c r="K99">
        <v>100</v>
      </c>
      <c r="L99">
        <v>51</v>
      </c>
      <c r="M99">
        <f t="shared" si="21"/>
        <v>17</v>
      </c>
      <c r="N99">
        <f t="shared" si="23"/>
        <v>5100</v>
      </c>
      <c r="O99">
        <f t="shared" si="24"/>
        <v>4845</v>
      </c>
      <c r="P99">
        <f t="shared" si="25"/>
        <v>5355</v>
      </c>
      <c r="Q99">
        <f t="shared" ref="Q99:Q129" si="30">IF($Q$2="N/A",IF(AND((O99&gt;=MAX($H$7:$I$7)),(P99&lt;=MIN($F$7:$G$7)),(P99&lt;=MIN($B$7:$C$7)),(O99&gt;=MAX($D$7:$E$7))),1,0),IF(AND((O99&gt;=MAX($I$7)),(P99&lt;=MIN($G$7)),(P99&lt;=MIN($C$7)),(O99&gt;=MAX($E$7))),1,0))</f>
        <v>0</v>
      </c>
      <c r="R99" s="126">
        <f t="shared" si="26"/>
        <v>5.445236918548012E-7</v>
      </c>
      <c r="S99" s="126">
        <f t="shared" si="27"/>
        <v>7.8965276988176502E-7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7.8965276988176502E-7</v>
      </c>
      <c r="AC99" s="126">
        <f t="shared" si="28"/>
        <v>3.1227347704013168E-8</v>
      </c>
      <c r="AD99" s="126">
        <f t="shared" si="29"/>
        <v>1.4994651912230556E-8</v>
      </c>
      <c r="AE99" s="128"/>
    </row>
    <row r="100" spans="1:31" x14ac:dyDescent="0.35">
      <c r="A100" t="s">
        <v>346</v>
      </c>
      <c r="B100">
        <v>1</v>
      </c>
      <c r="C100">
        <v>1</v>
      </c>
      <c r="D100">
        <v>1</v>
      </c>
      <c r="E100">
        <v>1</v>
      </c>
      <c r="F100">
        <v>1</v>
      </c>
      <c r="G100">
        <v>1</v>
      </c>
      <c r="H100">
        <v>1</v>
      </c>
      <c r="K100">
        <v>100</v>
      </c>
      <c r="L100">
        <v>56</v>
      </c>
      <c r="M100">
        <f t="shared" si="21"/>
        <v>17</v>
      </c>
      <c r="N100">
        <f t="shared" si="23"/>
        <v>5600</v>
      </c>
      <c r="O100">
        <f t="shared" si="24"/>
        <v>5320</v>
      </c>
      <c r="P100">
        <f t="shared" si="25"/>
        <v>5880</v>
      </c>
      <c r="Q100">
        <f t="shared" si="30"/>
        <v>0</v>
      </c>
      <c r="R100" s="126">
        <f t="shared" si="26"/>
        <v>5.9790836658015212E-7</v>
      </c>
      <c r="S100" s="126">
        <f t="shared" si="27"/>
        <v>8.6675120028008819E-7</v>
      </c>
      <c r="AA100" s="126">
        <f t="shared" si="31"/>
        <v>5.9790836658015212E-7</v>
      </c>
      <c r="AB100" s="126">
        <f t="shared" si="32"/>
        <v>8.6675120028008819E-7</v>
      </c>
      <c r="AC100" s="126">
        <f t="shared" si="28"/>
        <v>3.111183300975116E-8</v>
      </c>
      <c r="AD100" s="126">
        <f t="shared" si="29"/>
        <v>1.4968794776980358E-8</v>
      </c>
      <c r="AE100" s="128"/>
    </row>
    <row r="101" spans="1:31" x14ac:dyDescent="0.35">
      <c r="K101">
        <v>100</v>
      </c>
      <c r="L101">
        <v>62</v>
      </c>
      <c r="M101">
        <f t="shared" si="21"/>
        <v>17</v>
      </c>
      <c r="N101">
        <f t="shared" si="23"/>
        <v>6200</v>
      </c>
      <c r="O101">
        <f t="shared" si="24"/>
        <v>5890</v>
      </c>
      <c r="P101">
        <f t="shared" si="25"/>
        <v>6510</v>
      </c>
      <c r="Q101">
        <f t="shared" si="30"/>
        <v>0</v>
      </c>
      <c r="R101" s="126">
        <f t="shared" si="26"/>
        <v>6.6196997602742545E-7</v>
      </c>
      <c r="S101" s="126">
        <f t="shared" si="27"/>
        <v>9.5926931646664373E-7</v>
      </c>
      <c r="AA101" s="126">
        <f t="shared" si="31"/>
        <v>6.6196997602742545E-7</v>
      </c>
      <c r="AB101" s="126">
        <f t="shared" si="32"/>
        <v>9.5926931646664373E-7</v>
      </c>
      <c r="AC101" s="126">
        <f t="shared" si="28"/>
        <v>3.0999272581654659E-8</v>
      </c>
      <c r="AD101" s="126">
        <f t="shared" si="29"/>
        <v>1.4943432934232937E-8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0.99999945054572204</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0.13906534043266167</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4.8216006516977349E-2</v>
      </c>
      <c r="E102" s="12">
        <f>IF(Summary!J50="absolute",(R2-N7)/(J3+J3*Summary!J18),R2-N7)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0.13906534047588012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0.12931122819145446</v>
      </c>
      <c r="H102" s="12">
        <f t="shared" si="33"/>
        <v>4.8216006512261475E-2</v>
      </c>
      <c r="K102">
        <v>100</v>
      </c>
      <c r="L102">
        <v>68</v>
      </c>
      <c r="M102">
        <f t="shared" si="21"/>
        <v>17</v>
      </c>
      <c r="N102">
        <f t="shared" si="23"/>
        <v>6800</v>
      </c>
      <c r="O102">
        <f t="shared" si="24"/>
        <v>6460</v>
      </c>
      <c r="P102">
        <f t="shared" si="25"/>
        <v>7140</v>
      </c>
      <c r="Q102">
        <f t="shared" si="30"/>
        <v>0</v>
      </c>
      <c r="R102" s="126">
        <f t="shared" si="26"/>
        <v>7.2603158523126469E-7</v>
      </c>
      <c r="S102" s="126">
        <f t="shared" si="27"/>
        <v>1.0517874323352736E-6</v>
      </c>
      <c r="AA102" s="126">
        <f t="shared" si="31"/>
        <v>7.2603158523126469E-7</v>
      </c>
      <c r="AB102" s="126">
        <f t="shared" si="32"/>
        <v>1.0517874323352736E-6</v>
      </c>
      <c r="AC102" s="126">
        <f t="shared" si="28"/>
        <v>3.0907654816947022E-8</v>
      </c>
      <c r="AD102" s="126">
        <f t="shared" si="29"/>
        <v>1.4922666639486469E-8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0.99999945057030259</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0.13906534043266167</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4.8216006499020928E-2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0.13906534047588012</v>
      </c>
      <c r="K103">
        <v>100</v>
      </c>
      <c r="L103">
        <v>75</v>
      </c>
      <c r="M103">
        <f t="shared" si="21"/>
        <v>17</v>
      </c>
      <c r="N103">
        <f t="shared" si="23"/>
        <v>7500</v>
      </c>
      <c r="O103">
        <f t="shared" si="24"/>
        <v>7125</v>
      </c>
      <c r="P103">
        <f t="shared" si="25"/>
        <v>7875</v>
      </c>
      <c r="Q103">
        <f t="shared" si="30"/>
        <v>0</v>
      </c>
      <c r="R103" s="126">
        <f t="shared" si="26"/>
        <v>8.0077012899473694E-7</v>
      </c>
      <c r="S103" s="126">
        <f t="shared" si="27"/>
        <v>1.1597252337801854E-6</v>
      </c>
      <c r="AA103" s="126">
        <f t="shared" si="31"/>
        <v>8.0077012899473694E-7</v>
      </c>
      <c r="AB103" s="126">
        <f t="shared" si="32"/>
        <v>1.1597252337801854E-6</v>
      </c>
      <c r="AC103" s="126">
        <f t="shared" si="28"/>
        <v>3.0820207881123618E-8</v>
      </c>
      <c r="AD103" s="126">
        <f t="shared" si="29"/>
        <v>1.4902740798407659E-8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0.99999945057030259</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9.6409250156693369E-2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4.8216006499020928E-2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0.69326584066218677</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9.6409250202053154E-2</v>
      </c>
      <c r="K104">
        <v>100</v>
      </c>
      <c r="L104">
        <v>82</v>
      </c>
      <c r="M104">
        <f t="shared" si="21"/>
        <v>17</v>
      </c>
      <c r="N104">
        <f t="shared" si="23"/>
        <v>8200</v>
      </c>
      <c r="O104">
        <f t="shared" si="24"/>
        <v>7790</v>
      </c>
      <c r="P104">
        <f t="shared" si="25"/>
        <v>8610</v>
      </c>
      <c r="Q104">
        <f t="shared" si="30"/>
        <v>0</v>
      </c>
      <c r="R104" s="126">
        <f t="shared" si="26"/>
        <v>8.7550867242686811E-7</v>
      </c>
      <c r="S104" s="126">
        <f t="shared" si="27"/>
        <v>1.2676630347923645E-6</v>
      </c>
      <c r="AA104" s="126">
        <f t="shared" si="31"/>
        <v>8.7550867242686811E-7</v>
      </c>
      <c r="AB104" s="126">
        <f t="shared" si="32"/>
        <v>1.2676630347923645E-6</v>
      </c>
      <c r="AC104" s="126">
        <f t="shared" si="28"/>
        <v>3.0748364766963295E-8</v>
      </c>
      <c r="AD104" s="126">
        <f t="shared" si="29"/>
        <v>1.4886292634436777E-8</v>
      </c>
      <c r="AE104" s="128"/>
    </row>
    <row r="105" spans="1:31" x14ac:dyDescent="0.35">
      <c r="K105">
        <v>100</v>
      </c>
      <c r="L105">
        <v>91</v>
      </c>
      <c r="M105">
        <f t="shared" si="21"/>
        <v>17</v>
      </c>
      <c r="N105">
        <f t="shared" si="23"/>
        <v>9100</v>
      </c>
      <c r="O105">
        <f t="shared" si="24"/>
        <v>8645</v>
      </c>
      <c r="P105">
        <f t="shared" si="25"/>
        <v>9555</v>
      </c>
      <c r="Q105">
        <f t="shared" si="30"/>
        <v>0</v>
      </c>
      <c r="R105" s="126">
        <f t="shared" si="26"/>
        <v>9.7160108492416891E-7</v>
      </c>
      <c r="S105" s="126">
        <f t="shared" si="27"/>
        <v>1.4064402068864574E-6</v>
      </c>
      <c r="AA105" s="126">
        <f t="shared" si="31"/>
        <v>9.7160108492416891E-7</v>
      </c>
      <c r="AB105" s="126">
        <f t="shared" si="32"/>
        <v>1.4064402068864574E-6</v>
      </c>
      <c r="AC105" s="126">
        <f t="shared" si="28"/>
        <v>3.0672896784878734E-8</v>
      </c>
      <c r="AD105" s="126">
        <f t="shared" si="29"/>
        <v>1.4868937856034448E-8</v>
      </c>
      <c r="AE105" s="128"/>
    </row>
    <row r="106" spans="1:31" x14ac:dyDescent="0.35">
      <c r="K106">
        <v>1000</v>
      </c>
      <c r="L106">
        <v>10</v>
      </c>
      <c r="M106">
        <f t="shared" si="21"/>
        <v>17</v>
      </c>
      <c r="N106">
        <f t="shared" si="23"/>
        <v>10000</v>
      </c>
      <c r="O106">
        <f t="shared" si="24"/>
        <v>9500</v>
      </c>
      <c r="P106">
        <f t="shared" si="25"/>
        <v>10500</v>
      </c>
      <c r="Q106">
        <f t="shared" si="30"/>
        <v>0</v>
      </c>
      <c r="R106" s="126">
        <f t="shared" si="26"/>
        <v>1.0676934968737427E-6</v>
      </c>
      <c r="S106" s="126">
        <f t="shared" si="27"/>
        <v>1.5452173782652172E-6</v>
      </c>
      <c r="AA106" s="126">
        <f t="shared" si="31"/>
        <v>1.0676934968737427E-6</v>
      </c>
      <c r="AB106" s="126">
        <f t="shared" si="32"/>
        <v>1.5452173782652172E-6</v>
      </c>
      <c r="AC106" s="126">
        <f t="shared" si="28"/>
        <v>3.0611516550866336E-8</v>
      </c>
      <c r="AD106" s="126">
        <f t="shared" si="29"/>
        <v>1.4854764002145509E-8</v>
      </c>
      <c r="AE106" s="128"/>
    </row>
    <row r="107" spans="1:31" x14ac:dyDescent="0.35">
      <c r="K107">
        <v>1000</v>
      </c>
      <c r="L107">
        <v>11</v>
      </c>
      <c r="M107">
        <f t="shared" si="21"/>
        <v>17</v>
      </c>
      <c r="N107">
        <f t="shared" si="23"/>
        <v>11000</v>
      </c>
      <c r="O107">
        <f t="shared" si="24"/>
        <v>10450</v>
      </c>
      <c r="P107">
        <f t="shared" si="25"/>
        <v>11550</v>
      </c>
      <c r="Q107">
        <f t="shared" si="30"/>
        <v>0</v>
      </c>
      <c r="R107" s="126">
        <f t="shared" si="26"/>
        <v>1.1744628428419847E-6</v>
      </c>
      <c r="S107" s="126">
        <f t="shared" si="27"/>
        <v>1.6994142345137572E-6</v>
      </c>
      <c r="AA107" s="126">
        <f t="shared" si="31"/>
        <v>1.1744628428419847E-6</v>
      </c>
      <c r="AB107" s="126">
        <f t="shared" si="32"/>
        <v>1.6994142345137572E-6</v>
      </c>
      <c r="AC107" s="126">
        <f t="shared" si="28"/>
        <v>3.0555493659058899E-8</v>
      </c>
      <c r="AD107" s="126">
        <f t="shared" si="29"/>
        <v>1.484178071129256E-8</v>
      </c>
      <c r="AE107" s="128"/>
    </row>
    <row r="108" spans="1:31" x14ac:dyDescent="0.35">
      <c r="K108">
        <v>1000</v>
      </c>
      <c r="L108">
        <v>12</v>
      </c>
      <c r="M108">
        <f t="shared" si="21"/>
        <v>17</v>
      </c>
      <c r="N108">
        <f t="shared" si="23"/>
        <v>12000</v>
      </c>
      <c r="O108">
        <f t="shared" si="24"/>
        <v>11400</v>
      </c>
      <c r="P108">
        <f t="shared" si="25"/>
        <v>12600</v>
      </c>
      <c r="Q108">
        <f t="shared" si="30"/>
        <v>0</v>
      </c>
      <c r="R108" s="126">
        <f t="shared" si="26"/>
        <v>1.2812321881340211E-6</v>
      </c>
      <c r="S108" s="126">
        <f t="shared" si="27"/>
        <v>1.8536110898791696E-6</v>
      </c>
      <c r="AA108" s="126">
        <f t="shared" si="31"/>
        <v>1.2812321881340211E-6</v>
      </c>
      <c r="AB108" s="126">
        <f t="shared" si="32"/>
        <v>1.8536110898791696E-6</v>
      </c>
      <c r="AC108" s="126">
        <f t="shared" si="28"/>
        <v>3.050909687002924E-8</v>
      </c>
      <c r="AD108" s="126">
        <f t="shared" si="29"/>
        <v>1.4830994280829292E-8</v>
      </c>
      <c r="AE108" s="128"/>
    </row>
    <row r="109" spans="1:31" x14ac:dyDescent="0.35">
      <c r="K109">
        <v>1000</v>
      </c>
      <c r="L109">
        <v>13</v>
      </c>
      <c r="M109">
        <f t="shared" si="21"/>
        <v>17</v>
      </c>
      <c r="N109">
        <f t="shared" si="23"/>
        <v>13000</v>
      </c>
      <c r="O109">
        <f t="shared" si="24"/>
        <v>12350</v>
      </c>
      <c r="P109">
        <f t="shared" si="25"/>
        <v>13650</v>
      </c>
      <c r="Q109">
        <f t="shared" si="30"/>
        <v>0</v>
      </c>
      <c r="R109" s="126">
        <f t="shared" si="26"/>
        <v>1.3880015327498513E-6</v>
      </c>
      <c r="S109" s="126">
        <f t="shared" si="27"/>
        <v>2.0078079443614545E-6</v>
      </c>
      <c r="AA109" s="126">
        <f t="shared" si="31"/>
        <v>1.3880015327498513E-6</v>
      </c>
      <c r="AB109" s="126">
        <f t="shared" si="32"/>
        <v>2.0078079443614545E-6</v>
      </c>
      <c r="AC109" s="126">
        <f t="shared" si="28"/>
        <v>3.0470042138418982E-8</v>
      </c>
      <c r="AD109" s="126">
        <f t="shared" si="29"/>
        <v>1.4821890658904607E-8</v>
      </c>
      <c r="AE109" s="128"/>
    </row>
    <row r="110" spans="1:31" x14ac:dyDescent="0.35">
      <c r="K110">
        <v>1000</v>
      </c>
      <c r="L110">
        <v>15</v>
      </c>
      <c r="M110">
        <f t="shared" si="21"/>
        <v>17</v>
      </c>
      <c r="N110">
        <f t="shared" si="23"/>
        <v>15000</v>
      </c>
      <c r="O110">
        <f t="shared" si="24"/>
        <v>14250</v>
      </c>
      <c r="P110">
        <f t="shared" si="25"/>
        <v>15750</v>
      </c>
      <c r="Q110">
        <f t="shared" si="30"/>
        <v>0</v>
      </c>
      <c r="R110" s="126">
        <f t="shared" si="26"/>
        <v>1.6015402199528948E-6</v>
      </c>
      <c r="S110" s="126">
        <f t="shared" si="27"/>
        <v>2.3162016506766423E-6</v>
      </c>
      <c r="AA110" s="126">
        <f t="shared" si="31"/>
        <v>1.6015402199528948E-6</v>
      </c>
      <c r="AB110" s="126">
        <f t="shared" si="32"/>
        <v>2.3162016506766423E-6</v>
      </c>
      <c r="AC110" s="126">
        <f t="shared" si="28"/>
        <v>3.0407941550559234E-8</v>
      </c>
      <c r="AD110" s="126">
        <f t="shared" si="29"/>
        <v>1.4807369281535142E-8</v>
      </c>
      <c r="AE110" s="128"/>
    </row>
    <row r="111" spans="1:31" x14ac:dyDescent="0.35">
      <c r="K111">
        <v>1000</v>
      </c>
      <c r="L111">
        <v>16</v>
      </c>
      <c r="M111">
        <f t="shared" si="21"/>
        <v>17</v>
      </c>
      <c r="N111">
        <f t="shared" si="23"/>
        <v>16000</v>
      </c>
      <c r="O111">
        <f t="shared" si="24"/>
        <v>15200</v>
      </c>
      <c r="P111">
        <f t="shared" si="25"/>
        <v>16800</v>
      </c>
      <c r="Q111">
        <f t="shared" si="30"/>
        <v>0</v>
      </c>
      <c r="R111" s="126">
        <f t="shared" si="26"/>
        <v>1.7083095625401078E-6</v>
      </c>
      <c r="S111" s="126">
        <f t="shared" si="27"/>
        <v>2.4703985025095445E-6</v>
      </c>
      <c r="AA111" s="126">
        <f t="shared" si="31"/>
        <v>1.7083095625401078E-6</v>
      </c>
      <c r="AB111" s="126">
        <f t="shared" si="32"/>
        <v>2.4703985025095445E-6</v>
      </c>
      <c r="AC111" s="126">
        <f t="shared" si="28"/>
        <v>3.0382848592273084E-8</v>
      </c>
      <c r="AD111" s="126">
        <f t="shared" si="29"/>
        <v>1.4801485552201655E-8</v>
      </c>
      <c r="AE111" s="128"/>
    </row>
    <row r="112" spans="1:31" x14ac:dyDescent="0.35">
      <c r="K112">
        <v>1000</v>
      </c>
      <c r="L112">
        <v>18</v>
      </c>
      <c r="M112">
        <f t="shared" si="21"/>
        <v>17</v>
      </c>
      <c r="N112">
        <f t="shared" si="23"/>
        <v>18000</v>
      </c>
      <c r="O112">
        <f t="shared" si="24"/>
        <v>17100</v>
      </c>
      <c r="P112">
        <f t="shared" si="25"/>
        <v>18900</v>
      </c>
      <c r="Q112">
        <f t="shared" si="30"/>
        <v>0</v>
      </c>
      <c r="R112" s="126">
        <f t="shared" si="26"/>
        <v>1.9218482456859162E-6</v>
      </c>
      <c r="S112" s="126">
        <f t="shared" si="27"/>
        <v>2.7787922035259678E-6</v>
      </c>
      <c r="AA112" s="126">
        <f t="shared" si="31"/>
        <v>1.9218482456859162E-6</v>
      </c>
      <c r="AB112" s="126">
        <f t="shared" si="32"/>
        <v>2.7787922035259678E-6</v>
      </c>
      <c r="AC112" s="126">
        <f t="shared" si="28"/>
        <v>3.0341200010031012E-8</v>
      </c>
      <c r="AD112" s="126">
        <f t="shared" si="29"/>
        <v>1.4791699294501124E-8</v>
      </c>
      <c r="AE112" s="128"/>
    </row>
    <row r="113" spans="11:31" x14ac:dyDescent="0.35">
      <c r="K113">
        <v>1000</v>
      </c>
      <c r="L113">
        <v>20</v>
      </c>
      <c r="M113">
        <f t="shared" si="21"/>
        <v>17</v>
      </c>
      <c r="N113">
        <f t="shared" si="23"/>
        <v>20000</v>
      </c>
      <c r="O113">
        <f t="shared" si="24"/>
        <v>19000</v>
      </c>
      <c r="P113">
        <f t="shared" si="25"/>
        <v>21000</v>
      </c>
      <c r="Q113">
        <f t="shared" si="30"/>
        <v>0</v>
      </c>
      <c r="R113" s="126">
        <f t="shared" si="26"/>
        <v>2.1353869261269018E-6</v>
      </c>
      <c r="S113" s="126">
        <f t="shared" si="27"/>
        <v>3.0871859010098822E-6</v>
      </c>
      <c r="AA113" s="126">
        <f t="shared" si="31"/>
        <v>2.1353869261269018E-6</v>
      </c>
      <c r="AB113" s="126">
        <f t="shared" si="32"/>
        <v>3.0871859010098822E-6</v>
      </c>
      <c r="AC113" s="126">
        <f t="shared" si="28"/>
        <v>3.0308036273800165E-8</v>
      </c>
      <c r="AD113" s="126">
        <f t="shared" si="29"/>
        <v>1.4783888217990918E-8</v>
      </c>
      <c r="AE113" s="128"/>
    </row>
    <row r="114" spans="11:31" x14ac:dyDescent="0.35">
      <c r="K114">
        <v>1000</v>
      </c>
      <c r="L114">
        <v>22</v>
      </c>
      <c r="M114">
        <f t="shared" si="21"/>
        <v>17</v>
      </c>
      <c r="N114">
        <f t="shared" si="23"/>
        <v>22000</v>
      </c>
      <c r="O114">
        <f t="shared" si="24"/>
        <v>20900</v>
      </c>
      <c r="P114">
        <f t="shared" si="25"/>
        <v>23100</v>
      </c>
      <c r="Q114">
        <f t="shared" si="30"/>
        <v>0</v>
      </c>
      <c r="R114" s="126">
        <f t="shared" si="26"/>
        <v>2.3489256038630638E-6</v>
      </c>
      <c r="S114" s="126">
        <f t="shared" si="27"/>
        <v>3.3955795949612871E-6</v>
      </c>
      <c r="AA114" s="126">
        <f t="shared" si="31"/>
        <v>2.3489256038630638E-6</v>
      </c>
      <c r="AB114" s="126">
        <f t="shared" si="32"/>
        <v>3.3955795949612871E-6</v>
      </c>
      <c r="AC114" s="126">
        <f t="shared" si="28"/>
        <v>3.0281004480752634E-8</v>
      </c>
      <c r="AD114" s="126">
        <f t="shared" si="29"/>
        <v>1.4777509169676865E-8</v>
      </c>
      <c r="AE114" s="128"/>
    </row>
    <row r="115" spans="11:31" x14ac:dyDescent="0.35">
      <c r="K115">
        <v>1000</v>
      </c>
      <c r="L115">
        <v>24</v>
      </c>
      <c r="M115">
        <f t="shared" si="21"/>
        <v>17</v>
      </c>
      <c r="N115">
        <f t="shared" si="23"/>
        <v>24000</v>
      </c>
      <c r="O115">
        <f t="shared" si="24"/>
        <v>22800</v>
      </c>
      <c r="P115">
        <f t="shared" si="25"/>
        <v>25200</v>
      </c>
      <c r="Q115">
        <f t="shared" si="30"/>
        <v>0</v>
      </c>
      <c r="R115" s="126">
        <f t="shared" si="26"/>
        <v>2.5624642788944031E-6</v>
      </c>
      <c r="S115" s="126">
        <f t="shared" si="27"/>
        <v>3.7039732853801823E-6</v>
      </c>
      <c r="AA115" s="126">
        <f t="shared" si="31"/>
        <v>2.5624642788944031E-6</v>
      </c>
      <c r="AB115" s="126">
        <f t="shared" si="32"/>
        <v>3.7039732853801823E-6</v>
      </c>
      <c r="AC115" s="126">
        <f t="shared" si="28"/>
        <v>3.0258548012340636E-8</v>
      </c>
      <c r="AD115" s="126">
        <f t="shared" si="29"/>
        <v>1.4772201418705212E-8</v>
      </c>
      <c r="AE115" s="128"/>
    </row>
    <row r="116" spans="11:31" x14ac:dyDescent="0.35">
      <c r="K116">
        <v>1000</v>
      </c>
      <c r="L116">
        <v>27</v>
      </c>
      <c r="M116">
        <f t="shared" si="21"/>
        <v>17</v>
      </c>
      <c r="N116">
        <f t="shared" si="23"/>
        <v>27000</v>
      </c>
      <c r="O116">
        <f t="shared" si="24"/>
        <v>25650</v>
      </c>
      <c r="P116">
        <f t="shared" si="25"/>
        <v>28350</v>
      </c>
      <c r="Q116">
        <f t="shared" si="30"/>
        <v>0</v>
      </c>
      <c r="R116" s="126">
        <f t="shared" si="26"/>
        <v>2.8827722863698686E-6</v>
      </c>
      <c r="S116" s="126">
        <f t="shared" si="27"/>
        <v>4.1665638143850708E-6</v>
      </c>
      <c r="AA116" s="126">
        <f t="shared" si="31"/>
        <v>2.8827722863698686E-6</v>
      </c>
      <c r="AB116" s="126">
        <f t="shared" si="32"/>
        <v>4.1665638143850708E-6</v>
      </c>
      <c r="AC116" s="126">
        <f t="shared" si="28"/>
        <v>3.0231187419410354E-8</v>
      </c>
      <c r="AD116" s="126">
        <f t="shared" si="29"/>
        <v>1.4765724181434381E-8</v>
      </c>
      <c r="AE116" s="128"/>
    </row>
    <row r="117" spans="11:31" x14ac:dyDescent="0.35">
      <c r="K117">
        <v>1000</v>
      </c>
      <c r="L117">
        <v>30</v>
      </c>
      <c r="M117">
        <f t="shared" si="21"/>
        <v>17</v>
      </c>
      <c r="N117">
        <f t="shared" si="23"/>
        <v>30000</v>
      </c>
      <c r="O117">
        <f t="shared" si="24"/>
        <v>28500</v>
      </c>
      <c r="P117">
        <f t="shared" si="25"/>
        <v>31500</v>
      </c>
      <c r="Q117">
        <f t="shared" si="30"/>
        <v>0</v>
      </c>
      <c r="R117" s="126">
        <f t="shared" si="26"/>
        <v>3.2030802877594832E-6</v>
      </c>
      <c r="S117" s="126">
        <f t="shared" si="27"/>
        <v>4.6291543354418129E-6</v>
      </c>
      <c r="AA117" s="126">
        <f t="shared" si="31"/>
        <v>3.2030802877594832E-6</v>
      </c>
      <c r="AB117" s="126">
        <f t="shared" si="32"/>
        <v>4.6291543354418129E-6</v>
      </c>
      <c r="AC117" s="126">
        <f t="shared" si="28"/>
        <v>3.0209367032900378E-8</v>
      </c>
      <c r="AD117" s="126">
        <f t="shared" si="29"/>
        <v>1.476055031228951E-8</v>
      </c>
      <c r="AE117" s="128"/>
    </row>
    <row r="118" spans="11:31" x14ac:dyDescent="0.35">
      <c r="K118">
        <v>1000</v>
      </c>
      <c r="L118">
        <v>33</v>
      </c>
      <c r="M118">
        <f t="shared" si="21"/>
        <v>17</v>
      </c>
      <c r="N118">
        <f t="shared" si="23"/>
        <v>33000</v>
      </c>
      <c r="O118">
        <f t="shared" si="24"/>
        <v>31350</v>
      </c>
      <c r="P118">
        <f t="shared" si="25"/>
        <v>34650</v>
      </c>
      <c r="Q118">
        <f t="shared" si="30"/>
        <v>0</v>
      </c>
      <c r="R118" s="126">
        <f t="shared" si="26"/>
        <v>3.5233882830632454E-6</v>
      </c>
      <c r="S118" s="126">
        <f t="shared" si="27"/>
        <v>5.0917448485504104E-6</v>
      </c>
      <c r="AA118" s="126">
        <f t="shared" si="31"/>
        <v>3.5233882830632454E-6</v>
      </c>
      <c r="AB118" s="126">
        <f t="shared" si="32"/>
        <v>5.0917448485504104E-6</v>
      </c>
      <c r="AC118" s="126">
        <f t="shared" si="28"/>
        <v>3.0191558892664936E-8</v>
      </c>
      <c r="AD118" s="126">
        <f t="shared" si="29"/>
        <v>1.4756322377033387E-8</v>
      </c>
      <c r="AE118" s="128"/>
    </row>
    <row r="119" spans="11:31" x14ac:dyDescent="0.35">
      <c r="K119">
        <v>1000</v>
      </c>
      <c r="L119">
        <v>36</v>
      </c>
      <c r="M119">
        <f t="shared" si="21"/>
        <v>17</v>
      </c>
      <c r="N119">
        <f t="shared" si="23"/>
        <v>36000</v>
      </c>
      <c r="O119">
        <f t="shared" si="24"/>
        <v>34200</v>
      </c>
      <c r="P119">
        <f t="shared" si="25"/>
        <v>37800</v>
      </c>
      <c r="Q119">
        <f t="shared" si="30"/>
        <v>0</v>
      </c>
      <c r="R119" s="126">
        <f t="shared" si="26"/>
        <v>3.8436962722811567E-6</v>
      </c>
      <c r="S119" s="126">
        <f t="shared" si="27"/>
        <v>5.5543353537108607E-6</v>
      </c>
      <c r="AA119" s="126">
        <f t="shared" si="31"/>
        <v>3.8436962722811567E-6</v>
      </c>
      <c r="AB119" s="126">
        <f t="shared" si="32"/>
        <v>5.5543353537108607E-6</v>
      </c>
      <c r="AC119" s="126">
        <f t="shared" si="28"/>
        <v>3.017674958352231E-8</v>
      </c>
      <c r="AD119" s="126">
        <f t="shared" si="29"/>
        <v>1.4752802689981479E-8</v>
      </c>
      <c r="AE119" s="128"/>
    </row>
    <row r="120" spans="11:31" x14ac:dyDescent="0.35">
      <c r="K120">
        <v>1000</v>
      </c>
      <c r="L120">
        <v>39</v>
      </c>
      <c r="M120">
        <f t="shared" si="21"/>
        <v>17</v>
      </c>
      <c r="N120">
        <f t="shared" si="23"/>
        <v>39000</v>
      </c>
      <c r="O120">
        <f t="shared" si="24"/>
        <v>37050</v>
      </c>
      <c r="P120">
        <f t="shared" si="25"/>
        <v>40950</v>
      </c>
      <c r="Q120">
        <f t="shared" si="30"/>
        <v>0</v>
      </c>
      <c r="R120" s="126">
        <f t="shared" si="26"/>
        <v>4.1640042554132176E-6</v>
      </c>
      <c r="S120" s="126">
        <f t="shared" si="27"/>
        <v>6.0169258509231688E-6</v>
      </c>
      <c r="AA120" s="126">
        <f t="shared" si="31"/>
        <v>4.1640042554132176E-6</v>
      </c>
      <c r="AB120" s="126">
        <f t="shared" si="32"/>
        <v>6.0169258509231688E-6</v>
      </c>
      <c r="AC120" s="126">
        <f t="shared" si="28"/>
        <v>3.0164240467747192E-8</v>
      </c>
      <c r="AD120" s="126">
        <f t="shared" si="29"/>
        <v>1.4749827041904498E-8</v>
      </c>
      <c r="AE120" s="128"/>
    </row>
    <row r="121" spans="11:31" x14ac:dyDescent="0.35">
      <c r="K121">
        <v>1000</v>
      </c>
      <c r="L121">
        <v>43</v>
      </c>
      <c r="M121">
        <f t="shared" si="21"/>
        <v>17</v>
      </c>
      <c r="N121">
        <f t="shared" si="23"/>
        <v>43000</v>
      </c>
      <c r="O121">
        <f t="shared" si="24"/>
        <v>40850</v>
      </c>
      <c r="P121">
        <f t="shared" si="25"/>
        <v>45150</v>
      </c>
      <c r="Q121">
        <f t="shared" si="30"/>
        <v>0</v>
      </c>
      <c r="R121" s="126">
        <f t="shared" si="26"/>
        <v>4.5910815567890853E-6</v>
      </c>
      <c r="S121" s="126">
        <f t="shared" si="27"/>
        <v>6.6337131681757958E-6</v>
      </c>
      <c r="AA121" s="126">
        <f t="shared" si="31"/>
        <v>4.5910815567890853E-6</v>
      </c>
      <c r="AB121" s="126">
        <f t="shared" si="32"/>
        <v>6.6337131681757958E-6</v>
      </c>
      <c r="AC121" s="126">
        <f t="shared" si="28"/>
        <v>3.0150300412020137E-8</v>
      </c>
      <c r="AD121" s="126">
        <f t="shared" si="29"/>
        <v>1.474650814570541E-8</v>
      </c>
      <c r="AE121" s="128"/>
    </row>
    <row r="122" spans="11:31" x14ac:dyDescent="0.35">
      <c r="K122">
        <v>1000</v>
      </c>
      <c r="L122">
        <v>47</v>
      </c>
      <c r="M122">
        <f t="shared" si="21"/>
        <v>17</v>
      </c>
      <c r="N122">
        <f t="shared" si="23"/>
        <v>47000</v>
      </c>
      <c r="O122">
        <f t="shared" si="24"/>
        <v>44650</v>
      </c>
      <c r="P122">
        <f t="shared" si="25"/>
        <v>49350</v>
      </c>
      <c r="Q122">
        <f t="shared" si="30"/>
        <v>0</v>
      </c>
      <c r="R122" s="126">
        <f t="shared" si="26"/>
        <v>5.0181588473456631E-6</v>
      </c>
      <c r="S122" s="126">
        <f t="shared" si="27"/>
        <v>7.2505004712983902E-6</v>
      </c>
      <c r="AA122" s="126">
        <f t="shared" si="31"/>
        <v>5.0181588473456631E-6</v>
      </c>
      <c r="AB122" s="126">
        <f t="shared" si="32"/>
        <v>7.2505004712983902E-6</v>
      </c>
      <c r="AC122" s="126">
        <f t="shared" si="28"/>
        <v>3.0138752012129588E-8</v>
      </c>
      <c r="AD122" s="126">
        <f t="shared" si="29"/>
        <v>1.4743756374869154E-8</v>
      </c>
      <c r="AE122" s="128"/>
    </row>
    <row r="123" spans="11:31" x14ac:dyDescent="0.35">
      <c r="K123">
        <v>1000</v>
      </c>
      <c r="L123">
        <v>51</v>
      </c>
      <c r="M123">
        <f t="shared" si="21"/>
        <v>17</v>
      </c>
      <c r="N123">
        <f t="shared" si="23"/>
        <v>51000</v>
      </c>
      <c r="O123">
        <f t="shared" si="24"/>
        <v>48450</v>
      </c>
      <c r="P123">
        <f t="shared" si="25"/>
        <v>53550</v>
      </c>
      <c r="Q123">
        <f t="shared" si="30"/>
        <v>0</v>
      </c>
      <c r="R123" s="126">
        <f t="shared" si="26"/>
        <v>5.4452361270829519E-6</v>
      </c>
      <c r="S123" s="126">
        <f t="shared" si="27"/>
        <v>7.867287760290947E-6</v>
      </c>
      <c r="AA123" s="126">
        <f t="shared" si="31"/>
        <v>5.4452361270829519E-6</v>
      </c>
      <c r="AB123" s="126">
        <f t="shared" si="32"/>
        <v>7.867287760290947E-6</v>
      </c>
      <c r="AC123" s="126">
        <f t="shared" si="28"/>
        <v>3.0129028413840572E-8</v>
      </c>
      <c r="AD123" s="126">
        <f t="shared" si="29"/>
        <v>1.4741437808593707E-8</v>
      </c>
      <c r="AE123" s="128"/>
    </row>
    <row r="124" spans="11:31" x14ac:dyDescent="0.35">
      <c r="K124">
        <v>1000</v>
      </c>
      <c r="L124">
        <v>56</v>
      </c>
      <c r="M124">
        <f t="shared" si="21"/>
        <v>17</v>
      </c>
      <c r="N124">
        <f t="shared" si="23"/>
        <v>56000</v>
      </c>
      <c r="O124">
        <f t="shared" si="24"/>
        <v>53200</v>
      </c>
      <c r="P124">
        <f t="shared" si="25"/>
        <v>58800</v>
      </c>
      <c r="Q124">
        <f t="shared" si="30"/>
        <v>0</v>
      </c>
      <c r="R124" s="126">
        <f t="shared" si="26"/>
        <v>5.9790827115399383E-6</v>
      </c>
      <c r="S124" s="126">
        <f t="shared" si="27"/>
        <v>8.6382718516612867E-6</v>
      </c>
      <c r="AA124" s="126">
        <f t="shared" si="31"/>
        <v>5.9790827115399383E-6</v>
      </c>
      <c r="AB124" s="126">
        <f t="shared" si="32"/>
        <v>8.6382718516612867E-6</v>
      </c>
      <c r="AC124" s="126">
        <f t="shared" si="28"/>
        <v>3.0118840369075597E-8</v>
      </c>
      <c r="AD124" s="126">
        <f t="shared" si="29"/>
        <v>1.4739006911684888E-8</v>
      </c>
      <c r="AE124" s="128"/>
    </row>
    <row r="125" spans="11:31" x14ac:dyDescent="0.35">
      <c r="K125">
        <v>1000</v>
      </c>
      <c r="L125">
        <v>62</v>
      </c>
      <c r="M125">
        <f t="shared" si="21"/>
        <v>17</v>
      </c>
      <c r="N125">
        <f t="shared" si="23"/>
        <v>62000</v>
      </c>
      <c r="O125">
        <f t="shared" si="24"/>
        <v>58900</v>
      </c>
      <c r="P125">
        <f t="shared" si="25"/>
        <v>65100</v>
      </c>
      <c r="Q125">
        <f t="shared" si="30"/>
        <v>0</v>
      </c>
      <c r="R125" s="126">
        <f t="shared" si="26"/>
        <v>6.6196985905735367E-6</v>
      </c>
      <c r="S125" s="126">
        <f t="shared" si="27"/>
        <v>9.5634527321624991E-6</v>
      </c>
      <c r="AA125" s="126">
        <f t="shared" si="31"/>
        <v>6.6196985905735367E-6</v>
      </c>
      <c r="AB125" s="126">
        <f t="shared" si="32"/>
        <v>9.5634527321624991E-6</v>
      </c>
      <c r="AC125" s="126">
        <f t="shared" si="28"/>
        <v>3.0108796875024272E-8</v>
      </c>
      <c r="AD125" s="126">
        <f t="shared" si="29"/>
        <v>1.4736608914338858E-8</v>
      </c>
      <c r="AE125" s="128"/>
    </row>
    <row r="126" spans="11:31" x14ac:dyDescent="0.35">
      <c r="K126">
        <v>1000</v>
      </c>
      <c r="L126">
        <v>68</v>
      </c>
      <c r="M126">
        <f t="shared" si="21"/>
        <v>17</v>
      </c>
      <c r="N126">
        <f t="shared" si="23"/>
        <v>68000</v>
      </c>
      <c r="O126">
        <f t="shared" si="24"/>
        <v>64600</v>
      </c>
      <c r="P126">
        <f t="shared" si="25"/>
        <v>71400</v>
      </c>
      <c r="Q126">
        <f t="shared" si="30"/>
        <v>0</v>
      </c>
      <c r="R126" s="126">
        <f t="shared" si="26"/>
        <v>7.2603144452637376E-6</v>
      </c>
      <c r="S126" s="126">
        <f t="shared" si="27"/>
        <v>1.0488633580871136E-5</v>
      </c>
      <c r="AA126" s="126">
        <f t="shared" si="31"/>
        <v>7.2603144452637376E-6</v>
      </c>
      <c r="AB126" s="126">
        <f t="shared" si="32"/>
        <v>1.0488633580871136E-5</v>
      </c>
      <c r="AC126" s="126">
        <f t="shared" si="28"/>
        <v>3.0100535518320504E-8</v>
      </c>
      <c r="AD126" s="126">
        <f t="shared" si="29"/>
        <v>1.4734635236109751E-8</v>
      </c>
      <c r="AE126" s="128"/>
    </row>
    <row r="127" spans="11:31" x14ac:dyDescent="0.35">
      <c r="K127">
        <v>1000</v>
      </c>
      <c r="L127">
        <v>75</v>
      </c>
      <c r="M127">
        <f t="shared" si="21"/>
        <v>17</v>
      </c>
      <c r="N127">
        <f t="shared" si="23"/>
        <v>75000</v>
      </c>
      <c r="O127">
        <f t="shared" si="24"/>
        <v>71250</v>
      </c>
      <c r="P127">
        <f t="shared" si="25"/>
        <v>78750</v>
      </c>
      <c r="Q127">
        <f t="shared" si="30"/>
        <v>0</v>
      </c>
      <c r="R127" s="126">
        <f t="shared" si="26"/>
        <v>8.0076995783016263E-6</v>
      </c>
      <c r="S127" s="126">
        <f t="shared" si="27"/>
        <v>1.1568011197515605E-5</v>
      </c>
      <c r="AA127" s="126">
        <f t="shared" si="31"/>
        <v>8.0076995783016263E-6</v>
      </c>
      <c r="AB127" s="126">
        <f t="shared" si="32"/>
        <v>1.1568011197515605E-5</v>
      </c>
      <c r="AC127" s="126">
        <f t="shared" si="28"/>
        <v>3.0092576237981623E-8</v>
      </c>
      <c r="AD127" s="126">
        <f t="shared" si="29"/>
        <v>1.4732732710710723E-8</v>
      </c>
      <c r="AE127" s="128"/>
    </row>
    <row r="128" spans="11:31" x14ac:dyDescent="0.35">
      <c r="K128">
        <v>1000</v>
      </c>
      <c r="L128">
        <v>82</v>
      </c>
      <c r="M128">
        <f t="shared" si="21"/>
        <v>17</v>
      </c>
      <c r="N128">
        <f t="shared" si="23"/>
        <v>82000</v>
      </c>
      <c r="O128">
        <f t="shared" si="24"/>
        <v>77900</v>
      </c>
      <c r="P128">
        <f t="shared" si="25"/>
        <v>86100</v>
      </c>
      <c r="Q128">
        <f t="shared" si="30"/>
        <v>0</v>
      </c>
      <c r="R128" s="126">
        <f t="shared" si="26"/>
        <v>8.7550846782054452E-6</v>
      </c>
      <c r="S128" s="126">
        <f t="shared" si="27"/>
        <v>1.2647388770886854E-5</v>
      </c>
      <c r="AA128" s="126">
        <f t="shared" si="31"/>
        <v>8.7550846782054452E-6</v>
      </c>
      <c r="AB128" s="126">
        <f t="shared" si="32"/>
        <v>1.2647388770886854E-5</v>
      </c>
      <c r="AC128" s="126">
        <f t="shared" si="28"/>
        <v>3.0085982064453777E-8</v>
      </c>
      <c r="AD128" s="126">
        <f t="shared" si="29"/>
        <v>1.4731155734484958E-8</v>
      </c>
      <c r="AE128" s="128"/>
    </row>
    <row r="129" spans="11:31" x14ac:dyDescent="0.35">
      <c r="K129">
        <v>1000</v>
      </c>
      <c r="L129">
        <v>91</v>
      </c>
      <c r="M129">
        <f t="shared" si="21"/>
        <v>17</v>
      </c>
      <c r="N129">
        <f t="shared" si="23"/>
        <v>91000</v>
      </c>
      <c r="O129">
        <f t="shared" si="24"/>
        <v>86450</v>
      </c>
      <c r="P129">
        <f t="shared" si="25"/>
        <v>95550</v>
      </c>
      <c r="Q129">
        <f t="shared" si="30"/>
        <v>0</v>
      </c>
      <c r="R129" s="126">
        <f t="shared" si="26"/>
        <v>9.7160083293949993E-6</v>
      </c>
      <c r="S129" s="126">
        <f t="shared" si="27"/>
        <v>1.4035159873064752E-5</v>
      </c>
      <c r="AA129" s="126">
        <f t="shared" si="31"/>
        <v>9.7160083293949993E-6</v>
      </c>
      <c r="AB129" s="126">
        <f t="shared" si="32"/>
        <v>1.4035159873064752E-5</v>
      </c>
      <c r="AC129" s="126">
        <f t="shared" si="28"/>
        <v>3.0079000652521831E-8</v>
      </c>
      <c r="AD129" s="126">
        <f t="shared" si="29"/>
        <v>1.4729485404095178E-8</v>
      </c>
      <c r="AE129" s="128"/>
    </row>
    <row r="130" spans="11:31" x14ac:dyDescent="0.35">
      <c r="M130">
        <f t="shared" si="21"/>
        <v>17</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873" priority="34" stopIfTrue="1">
      <formula>AND($B$11="need resistor",$C$11&gt;0)</formula>
    </cfRule>
    <cfRule type="containsText" dxfId="872" priority="38" operator="containsText" text="need resistor">
      <formula>NOT(ISERROR(SEARCH("need resistor",B11)))</formula>
    </cfRule>
  </conditionalFormatting>
  <conditionalFormatting sqref="B11:B12">
    <cfRule type="containsText" dxfId="871" priority="36" operator="containsText" text="no need">
      <formula>NOT(ISERROR(SEARCH("no need",B11)))</formula>
    </cfRule>
  </conditionalFormatting>
  <conditionalFormatting sqref="B12">
    <cfRule type="expression" dxfId="870" priority="33" stopIfTrue="1">
      <formula>AND($B$12="need resistor",$C$12&gt;0)</formula>
    </cfRule>
    <cfRule type="containsText" dxfId="869" priority="35" operator="containsText" text="need resistor">
      <formula>NOT(ISERROR(SEARCH("need resistor",B12)))</formula>
    </cfRule>
  </conditionalFormatting>
  <conditionalFormatting sqref="B42">
    <cfRule type="expression" dxfId="868" priority="61">
      <formula>AND($B$42&gt;$S$2,$B$2=1)</formula>
    </cfRule>
    <cfRule type="expression" dxfId="867" priority="60">
      <formula>AND($B$42&lt;$R$2,$B$2=0)</formula>
    </cfRule>
    <cfRule type="expression" dxfId="866" priority="59" stopIfTrue="1">
      <formula>AND($B$42&lt;=$S$2,$B$2=1)</formula>
    </cfRule>
    <cfRule type="expression" dxfId="865" priority="58" stopIfTrue="1">
      <formula>AND($B$42&gt;=$R$2,$B$2=0)</formula>
    </cfRule>
  </conditionalFormatting>
  <conditionalFormatting sqref="B62">
    <cfRule type="expression" dxfId="864" priority="69">
      <formula>AND($B$62&gt;$S$2,$B$2=1)</formula>
    </cfRule>
    <cfRule type="expression" dxfId="863" priority="68">
      <formula>AND($B$62&lt;$R$2,$B$2=0)</formula>
    </cfRule>
    <cfRule type="expression" dxfId="862" priority="67" stopIfTrue="1">
      <formula>AND($B$62&lt;=$S$2,$B$2=1)</formula>
    </cfRule>
    <cfRule type="expression" dxfId="861" priority="66" stopIfTrue="1">
      <formula>AND($B$62&gt;=$R$2,$B$2=0)</formula>
    </cfRule>
  </conditionalFormatting>
  <conditionalFormatting sqref="B84">
    <cfRule type="cellIs" dxfId="860" priority="47" operator="greaterThan">
      <formula>$S$3</formula>
    </cfRule>
    <cfRule type="cellIs" dxfId="859" priority="46" operator="lessThanOrEqual">
      <formula>$S$3</formula>
    </cfRule>
  </conditionalFormatting>
  <conditionalFormatting sqref="B102">
    <cfRule type="cellIs" dxfId="858" priority="50" operator="lessThanOrEqual">
      <formula>$S$2</formula>
    </cfRule>
    <cfRule type="cellIs" dxfId="857" priority="51" operator="greaterThan">
      <formula>$S$2</formula>
    </cfRule>
  </conditionalFormatting>
  <conditionalFormatting sqref="B18:C18">
    <cfRule type="expression" dxfId="856" priority="55">
      <formula>OR(AND($B$2=0,$C$18&lt;$R$2),AND($B$2=1,$C$18&gt;$S$2))</formula>
    </cfRule>
    <cfRule type="expression" dxfId="855" priority="54" stopIfTrue="1">
      <formula>OR(AND($B$2=0,$C$18&gt;=$R$2),AND($B$2=1,$C$18&lt;=$S$2))</formula>
    </cfRule>
  </conditionalFormatting>
  <conditionalFormatting sqref="B19:C19">
    <cfRule type="expression" dxfId="854" priority="57">
      <formula>OR(AND($B$3=0,$C$19&lt;$R$3),AND($B$3=1,$C$19&gt;$S$3))</formula>
    </cfRule>
    <cfRule type="expression" dxfId="853" priority="56" stopIfTrue="1">
      <formula>OR(AND($B$3=0,$C$19&gt;=$R$3),AND($B$3=1,$C$19&lt;=$S$3))</formula>
    </cfRule>
  </conditionalFormatting>
  <conditionalFormatting sqref="C14">
    <cfRule type="cellIs" dxfId="852" priority="28" operator="equal">
      <formula>"no solution"</formula>
    </cfRule>
  </conditionalFormatting>
  <conditionalFormatting sqref="C44">
    <cfRule type="expression" dxfId="851" priority="65">
      <formula>AND($B$44&gt;$S$3,$B$3=1)</formula>
    </cfRule>
    <cfRule type="expression" dxfId="850" priority="64">
      <formula>AND($B$44&lt;$R$3,$B$3=0)</formula>
    </cfRule>
    <cfRule type="expression" dxfId="849" priority="63" stopIfTrue="1">
      <formula>AND($C$44&lt;=$S$3,$B$3=1)</formula>
    </cfRule>
    <cfRule type="expression" dxfId="848" priority="62" stopIfTrue="1">
      <formula>AND($C$44&gt;=$R$3,$B$3=0)</formula>
    </cfRule>
  </conditionalFormatting>
  <conditionalFormatting sqref="C64">
    <cfRule type="expression" dxfId="847" priority="71" stopIfTrue="1">
      <formula>AND($C$64&lt;=$S$3,$B$3=1)</formula>
    </cfRule>
    <cfRule type="expression" dxfId="846" priority="72">
      <formula>AND($B$64&lt;$R$3,$B$3=0)</formula>
    </cfRule>
    <cfRule type="expression" dxfId="845" priority="73">
      <formula>AND($B$64&gt;$S$3,$B$3=1)</formula>
    </cfRule>
    <cfRule type="expression" dxfId="844" priority="70" stopIfTrue="1">
      <formula>AND($C$64&gt;=$R$3,$B$3=0)</formula>
    </cfRule>
  </conditionalFormatting>
  <conditionalFormatting sqref="C102:D102">
    <cfRule type="cellIs" dxfId="843" priority="30" operator="lessThan">
      <formula>$R$2</formula>
    </cfRule>
    <cfRule type="cellIs" dxfId="842" priority="29" operator="greaterThanOrEqual">
      <formula>$R$2</formula>
    </cfRule>
  </conditionalFormatting>
  <conditionalFormatting sqref="C84:H84">
    <cfRule type="cellIs" dxfId="841" priority="15" operator="lessThan">
      <formula>$R$3</formula>
    </cfRule>
    <cfRule type="cellIs" dxfId="840" priority="14" operator="greaterThanOrEqual">
      <formula>$R$3</formula>
    </cfRule>
  </conditionalFormatting>
  <conditionalFormatting sqref="D11">
    <cfRule type="containsText" dxfId="839" priority="41" stopIfTrue="1" operator="containsText" text="please remove resistor">
      <formula>NOT(ISERROR(SEARCH("please remove resistor",D11)))</formula>
    </cfRule>
    <cfRule type="cellIs" dxfId="838" priority="43" operator="greaterThan">
      <formula>$S$2</formula>
    </cfRule>
    <cfRule type="cellIs" dxfId="837" priority="42" operator="lessThan">
      <formula>$S$2</formula>
    </cfRule>
  </conditionalFormatting>
  <conditionalFormatting sqref="D11:D12">
    <cfRule type="cellIs" priority="26" stopIfTrue="1" operator="equal">
      <formula>""</formula>
    </cfRule>
  </conditionalFormatting>
  <conditionalFormatting sqref="D12 E18:E19">
    <cfRule type="cellIs" dxfId="836" priority="40" operator="lessThan">
      <formula>$R$2-$N$7</formula>
    </cfRule>
    <cfRule type="cellIs" dxfId="835" priority="39" operator="greaterThanOrEqual">
      <formula>$R$2-$N$7</formula>
    </cfRule>
  </conditionalFormatting>
  <conditionalFormatting sqref="D18:D19">
    <cfRule type="cellIs" dxfId="834" priority="44" operator="lessThanOrEqual">
      <formula>$S$2+$N$7</formula>
    </cfRule>
    <cfRule type="cellIs" dxfId="833" priority="45" operator="greaterThan">
      <formula>$S$2+$N$7</formula>
    </cfRule>
  </conditionalFormatting>
  <conditionalFormatting sqref="E102">
    <cfRule type="cellIs" dxfId="832" priority="13" operator="lessThan">
      <formula>$R$3</formula>
    </cfRule>
    <cfRule type="cellIs" dxfId="831" priority="12" operator="greaterThanOrEqual">
      <formula>$R$3</formula>
    </cfRule>
  </conditionalFormatting>
  <conditionalFormatting sqref="F21">
    <cfRule type="containsText" dxfId="830" priority="11" operator="containsText" text="failed">
      <formula>NOT(ISERROR(SEARCH("failed",F21)))</formula>
    </cfRule>
  </conditionalFormatting>
  <conditionalFormatting sqref="F22">
    <cfRule type="containsText" dxfId="829" priority="10" operator="containsText" text="fail">
      <formula>NOT(ISERROR(SEARCH("fail",F22)))</formula>
    </cfRule>
  </conditionalFormatting>
  <conditionalFormatting sqref="F23">
    <cfRule type="containsText" dxfId="828" priority="9" operator="containsText" text="failed">
      <formula>NOT(ISERROR(SEARCH("failed",F23)))</formula>
    </cfRule>
  </conditionalFormatting>
  <conditionalFormatting sqref="F102:H102">
    <cfRule type="cellIs" dxfId="827" priority="22" operator="greaterThanOrEqual">
      <formula>$R$2</formula>
    </cfRule>
    <cfRule type="cellIs" dxfId="826" priority="23" operator="lessThan">
      <formula>$R$2</formula>
    </cfRule>
  </conditionalFormatting>
  <conditionalFormatting sqref="G18">
    <cfRule type="cellIs" dxfId="825" priority="3" operator="greaterThan">
      <formula>$V$2</formula>
    </cfRule>
    <cfRule type="cellIs" dxfId="824" priority="4" operator="lessThan">
      <formula>$V$2</formula>
    </cfRule>
  </conditionalFormatting>
  <conditionalFormatting sqref="G19">
    <cfRule type="cellIs" dxfId="823" priority="6" operator="lessThan">
      <formula>$V$3</formula>
    </cfRule>
    <cfRule type="cellIs" dxfId="822" priority="5" operator="greaterThan">
      <formula>$V$3</formula>
    </cfRule>
  </conditionalFormatting>
  <conditionalFormatting sqref="I18:I19">
    <cfRule type="cellIs" dxfId="821" priority="2" operator="lessThan">
      <formula>$W$2</formula>
    </cfRule>
    <cfRule type="cellIs" dxfId="820" priority="1" operator="greaterThan">
      <formula>$W$2</formula>
    </cfRule>
  </conditionalFormatting>
  <conditionalFormatting sqref="K12">
    <cfRule type="expression" dxfId="819" priority="74">
      <formula>SEARCH("reduce",$F$23)</formula>
    </cfRule>
    <cfRule type="expression" dxfId="818" priority="75">
      <formula>SEARCH("reduce",$F$21)</formula>
    </cfRule>
  </conditionalFormatting>
  <conditionalFormatting sqref="N2">
    <cfRule type="expression" dxfId="817" priority="76">
      <formula>SEARCH("strength",$F$21)</formula>
    </cfRule>
    <cfRule type="expression" dxfId="816" priority="77">
      <formula>SEARCH("strength",$F$23)</formula>
    </cfRule>
  </conditionalFormatting>
  <hyperlinks>
    <hyperlink ref="N25" location="Summary!A1" display="Link to summary" xr:uid="{A5EB3D8B-30FA-4C58-816A-9644CCEBC9C0}"/>
  </hyperlinks>
  <pageMargins left="0.7" right="0.7" top="0.75" bottom="0.75" header="0.3" footer="0.3"/>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045E3-90D2-43DB-91C8-248B5BEDFA1A}">
  <dimension ref="A1:AK130"/>
  <sheetViews>
    <sheetView topLeftCell="P1"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Summary!K16</f>
        <v>1.8</v>
      </c>
      <c r="K2" s="10">
        <v>1000000000000</v>
      </c>
      <c r="L2" s="15">
        <v>0.1</v>
      </c>
      <c r="M2" s="15">
        <v>0.1</v>
      </c>
      <c r="N2" s="17">
        <f>Summary!K26</f>
        <v>100</v>
      </c>
      <c r="O2" s="15">
        <f>Summary!K88</f>
        <v>0.25</v>
      </c>
      <c r="P2" s="15">
        <f>Summary!K89</f>
        <v>0.25</v>
      </c>
      <c r="Q2" s="5" t="str">
        <f>Summary!K27</f>
        <v>disable</v>
      </c>
      <c r="R2" s="5">
        <f>Summary!K51</f>
        <v>0.3</v>
      </c>
      <c r="S2" s="5">
        <f>Summary!K52</f>
        <v>0.7</v>
      </c>
      <c r="T2" s="5">
        <f>Summary!K53</f>
        <v>0.3</v>
      </c>
      <c r="U2" s="5">
        <f>Summary!K54</f>
        <v>0.7</v>
      </c>
      <c r="V2" s="130">
        <f>Summary!K55</f>
        <v>8.0000000000000002E-8</v>
      </c>
      <c r="W2" s="130">
        <f>Summary!K56</f>
        <v>8.0000000000000002E-8</v>
      </c>
      <c r="X2" s="131">
        <f>V2</f>
        <v>8.0000000000000002E-8</v>
      </c>
      <c r="Y2" s="132">
        <f>IF(Summary!K57="","",Summary!K57)</f>
        <v>2E-8</v>
      </c>
      <c r="Z2" s="132">
        <f>IF(Summary!K58="","",Summary!K58)</f>
        <v>2E-8</v>
      </c>
      <c r="AA2" s="4">
        <f>Summary!K59</f>
        <v>1E-10</v>
      </c>
      <c r="AB2" s="41">
        <f>Summary!K81</f>
        <v>4.9999999999999997E-12</v>
      </c>
      <c r="AC2" s="41">
        <f>Summary!K83</f>
        <v>8.1900000000000013E-12</v>
      </c>
      <c r="AD2" s="3">
        <f>Summary!K84</f>
        <v>0.69</v>
      </c>
      <c r="AE2" s="41">
        <f>Summary!K86</f>
        <v>4.9999999999999997E-12</v>
      </c>
      <c r="AF2" s="5">
        <f>Summary!K87</f>
        <v>2.93</v>
      </c>
      <c r="AG2" s="127" t="str">
        <f>Summary!K50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Summary!K16</f>
        <v>1.8</v>
      </c>
      <c r="K3" s="10">
        <v>1000000000000</v>
      </c>
      <c r="L3" s="15">
        <v>0.1</v>
      </c>
      <c r="M3" s="15">
        <v>0.1</v>
      </c>
      <c r="N3">
        <f>Summary!K97</f>
        <v>50</v>
      </c>
      <c r="O3" s="15">
        <f>Summary!K98</f>
        <v>0.5</v>
      </c>
      <c r="P3" s="15">
        <f>Summary!K99</f>
        <v>0</v>
      </c>
      <c r="Q3"/>
      <c r="R3" s="5">
        <f>Summary!K38</f>
        <v>0.3</v>
      </c>
      <c r="S3" s="5">
        <f>Summary!K39</f>
        <v>0.7</v>
      </c>
      <c r="T3" s="5">
        <f>Summary!K42</f>
        <v>0.3</v>
      </c>
      <c r="U3" s="5">
        <f>Summary!K43</f>
        <v>0.7</v>
      </c>
      <c r="V3" s="130">
        <f>Summary!K44</f>
        <v>8.0000000000000002E-8</v>
      </c>
      <c r="W3" s="130">
        <f>Summary!K45</f>
        <v>8.0000000000000002E-8</v>
      </c>
      <c r="X3" s="131">
        <f>V3</f>
        <v>8.0000000000000002E-8</v>
      </c>
      <c r="Y3" s="132">
        <f>IF(Summary!K46="","",Summary!K46)</f>
        <v>2E-8</v>
      </c>
      <c r="Z3" s="132">
        <f>IF(Summary!K47="","",Summary!K47)</f>
        <v>2E-8</v>
      </c>
      <c r="AA3" s="4">
        <f>Summary!K59</f>
        <v>1E-10</v>
      </c>
      <c r="AB3" s="41">
        <f>Summary!K96</f>
        <v>9.9999999999999994E-12</v>
      </c>
      <c r="AG3" s="127" t="str">
        <f>Summary!K37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427329345.73217905</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427329345.73217905</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185.45760173684255</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378.31470632001259</v>
      </c>
      <c r="F7" s="123">
        <f>_xlfn.IFNA(_xlfn.XLOOKUP($X$2,AB34:AB129,P34:P129,,-1), "Out of support PU range")</f>
        <v>493.5</v>
      </c>
      <c r="G7" s="124">
        <f>_xlfn.IFNA(_xlfn.XLOOKUP($X$3,S34:S129,P34:P129,,-1), "Out of support PU range")</f>
        <v>493.5</v>
      </c>
      <c r="H7" s="124">
        <f>_xlfn.IFNA(MAX(_xlfn.XLOOKUP(MAX($Y$2:$AA$2),AA34:AA129,O34:O129,,1), _xlfn.XLOOKUP($W$2,AD34:AD129,O34:O129,,-1)), "Fail AC VIL")</f>
        <v>190</v>
      </c>
      <c r="I7" s="129">
        <f>_xlfn.IFNA(MAX(_xlfn.XLOOKUP(MAX($Y$3:$AA$3),R34:R129,O34:O129,,1), _xlfn.XLOOKUP($W$3,AC34:AC129,O34:O129,,-1)), "Fail AC VIL")</f>
        <v>446.5</v>
      </c>
      <c r="J7" s="21">
        <v>20000</v>
      </c>
      <c r="K7" s="2">
        <f>MIN(
MIN(FLOOR(B7,10^(LEN(ROUND(B7,0))-1))/10,
FLOOR(C7,10^(LEN(ROUND(C7,0))-1))/10,
IF(F7*10&gt;=J7,FLOOR(F7,10^(LEN(ROUND(F7,0))-1))/10,FLOOR(F7,10^(LEN(ROUND(F7,0))-1))),
FLOOR(G7,10^(LEN(ROUND(G7,0))-1))/10),
MAX(I7,J7)
)</f>
        <v>40</v>
      </c>
      <c r="L7" s="1"/>
      <c r="N7" s="71">
        <f>Summary!K62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191.35714272367039</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191.35714272367039</v>
      </c>
      <c r="E8">
        <f>X2/(1.204*K18)</f>
        <v>414.58210025597964</v>
      </c>
      <c r="F8">
        <f>X3/(1.204*K18)</f>
        <v>414.58210025597964</v>
      </c>
      <c r="H8">
        <f>AA2/(1.204*K18)</f>
        <v>0.51822762531997457</v>
      </c>
      <c r="I8" s="2">
        <f>AA3/(1.204*K18)</f>
        <v>0.51822762531997457</v>
      </c>
      <c r="J8" s="8">
        <v>20000</v>
      </c>
      <c r="K8">
        <f>MIN(MIN(FLOOR(B8,10^(LEN(ROUND(B8,0))-1))/10,FLOOR(C8,10^(LEN(ROUND(C8,0))-1))/10,FLOOR(E8,10^(LEN(ROUND(E8,0))-1))/10,FLOOR(F8,10^(LEN(ROUND(F8,0))-1))/10),MAX(I8,J8))</f>
        <v>10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Summary!K24</f>
        <v>470</v>
      </c>
      <c r="D11" s="1">
        <f>IF(AND(B11="no need", C11=""), "",IF(AND(B11="no need", C11&gt;0), "please remove resistor",   IF(AND(B11="need resistor", ISBLANK(C11)), "please enter resistor",  (1/(1/F2+1/F3))/(1/(1/(1/(1/C2+1/C3))+1/C11)+(1/(1/F2+1/F3))) ) ))</f>
        <v>0.99999999906000003</v>
      </c>
      <c r="F11" s="7">
        <f>IF(B11="no need", 1000000000, C11)</f>
        <v>470</v>
      </c>
      <c r="G11" s="7" t="s">
        <v>281</v>
      </c>
      <c r="H11" s="62">
        <f>Summary!K25</f>
        <v>0.05</v>
      </c>
      <c r="K11" s="6" t="s">
        <v>282</v>
      </c>
      <c r="N11" s="19" t="s">
        <v>283</v>
      </c>
      <c r="P11" s="19" t="s">
        <v>284</v>
      </c>
      <c r="R11" s="127" t="s">
        <v>285</v>
      </c>
      <c r="S11" s="127">
        <f>($J$2+$J$2*Summary!$K$17)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Summary!K10</f>
        <v>25</v>
      </c>
      <c r="L12" t="s">
        <v>287</v>
      </c>
      <c r="N12" s="4">
        <f>SUM(AB2:AC3,AE2:AE3)</f>
        <v>2.8189999999999998E-11</v>
      </c>
      <c r="O12" t="s">
        <v>288</v>
      </c>
      <c r="P12" s="61">
        <f>Summary!K84+Summary!K87</f>
        <v>3.62</v>
      </c>
      <c r="Q12" t="s">
        <v>289</v>
      </c>
      <c r="R12" s="127" t="s">
        <v>290</v>
      </c>
      <c r="S12" s="127">
        <f>($J$2-$J$2*Summary!$K$17)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($J$3+$J$3*Summary!$K$18)</f>
        <v>1.8900000000000001</v>
      </c>
    </row>
    <row r="14" spans="1:37" x14ac:dyDescent="0.35">
      <c r="K14" s="6" t="s">
        <v>293</v>
      </c>
      <c r="N14" s="6" t="s">
        <v>294</v>
      </c>
      <c r="R14" s="127" t="s">
        <v>295</v>
      </c>
      <c r="S14" s="127">
        <f>($J$3-$J$3*Summary!$K$18)</f>
        <v>1.71</v>
      </c>
    </row>
    <row r="15" spans="1:37" x14ac:dyDescent="0.35">
      <c r="B15" s="2"/>
      <c r="C15" s="2"/>
      <c r="K15" s="3">
        <f>Summary!K8</f>
        <v>19.988</v>
      </c>
      <c r="L15" t="s">
        <v>296</v>
      </c>
      <c r="N15" s="41">
        <f>Summary!K9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0.99999945054572204</v>
      </c>
      <c r="C18">
        <f>B42</f>
        <v>0.99999959325914534</v>
      </c>
      <c r="D18">
        <f>B102</f>
        <v>0.99999945054572204</v>
      </c>
      <c r="E18">
        <f>C102</f>
        <v>0.13906534043266167</v>
      </c>
      <c r="F18" s="126">
        <f>_xlfn.LET(
_xlpm.Rbus, (1/(1/((1/(1/($G$91+$G$93)+1/$G$90))+$G$92)+1/($G$89))),
_xlpm.VCC, IF($AG$2="absolute",$S$13,1),
_xlpm.Vspec_abs, $U$2-$N$7,
(LN(1-$T$2/_xlpm.VCC)-LN(1-_xlpm.Vspec_abs/_xlpm.VCC))*$K$19*_xlpm.Rbus
)</f>
        <v>5.0181595867462772E-8</v>
      </c>
      <c r="G18" s="128">
        <f>_xlfn.LET(
_xlpm.Rbus, (1/(1/((1/(1/($D$91+$D$93)+1/$D$90))+$D$92)+1/($D$89))),
_xlpm.VCC, IF($AG$2="absolute",$S$14,1),
_xlpm.Vspec_abs, $U$2+$N$7,
(LN(1-$T$2/_xlpm.VCC)-LN(1-_xlpm.Vspec_abs/_xlpm.VCC))*$K$18*_xlpm.Rbus
)</f>
        <v>7.5721293905315535E-8</v>
      </c>
      <c r="H18" s="126">
        <f>_xlfn.LET(
_xlpm.Rbus, (1/(1/((1/(1/($H$96+$H$93)+1/$H$95))+$H$92)+1/($H$94))),
_xlpm.VCC, IF($AG$2="absolute",$S$14,1),
_xlpm.Vspec_abs, $T$2+$N$7,
_xlpm.Vspec_rel, _xlpm.Vspec_abs/_xlpm.VCC,
IFERROR((LN($U$2)-LN(_xlpm.Vspec_rel))*$K$19*_xlpm.Rbus, "Vlow exceeds VIL spec")
)</f>
        <v>4.6430512865409298E-9</v>
      </c>
      <c r="I18" s="128">
        <f>_xlfn.LET(
_xlpm.Rbus, (1/(1/((1/(1/($F$96+$F$93)+1/$F$95))+$F$92)+1/($F$94))),
_xlpm.VCC, IF($AG$2="absolute",$S$13,1),
_xlpm.Vspec_abs, $T$2-$N$7,
_xlpm.Vspec_rel, _xlpm.Vspec_abs/_xlpm.VCC,
IFERROR((LN($U$2)-LN(_xlpm.Vspec_rel))*$K$18*_xlpm.Rbus,"Vlow exceeds VIL spec")
)</f>
        <v>1.0591474394673357E-8</v>
      </c>
      <c r="J18" s="139" t="s">
        <v>307</v>
      </c>
      <c r="K18" s="4">
        <f>Summary!K102</f>
        <v>1.6027026416052833E-10</v>
      </c>
      <c r="L18" s="22" t="s">
        <v>288</v>
      </c>
      <c r="M18" s="10">
        <f>K18*1000000000000</f>
        <v>160.27026416052834</v>
      </c>
      <c r="N18" t="s">
        <v>308</v>
      </c>
      <c r="O18" s="49">
        <f>N12+K12/39.37*N15</f>
        <v>1.6027026416052833E-10</v>
      </c>
    </row>
    <row r="19" spans="1:26" x14ac:dyDescent="0.35">
      <c r="A19" t="s">
        <v>309</v>
      </c>
      <c r="B19">
        <f>C64</f>
        <v>0.99999945054572204</v>
      </c>
      <c r="C19">
        <f>C44</f>
        <v>0.99999959325914534</v>
      </c>
      <c r="D19">
        <f>B84</f>
        <v>0.99999945054572226</v>
      </c>
      <c r="E19">
        <f>C84</f>
        <v>0.24783833852652642</v>
      </c>
      <c r="F19" s="126">
        <f>_xlfn.LET(
_xlpm.Rbus,(1/(1/((1/(1/($G$77+$G$72)+1/$G$70))+$G$73)+1/($G$71))),
_xlpm.VCC,IF($AG$3="absolute",$S$11,1),
_xlpm.Vspec_abs,$U$3-$N$7,
(LN(1-($T$3/_xlpm.VCC))-LN(1-_xlpm.Vspec_abs/_xlpm.VCC))*$K$19*_xlpm.Rbus
)</f>
        <v>5.0181595867462772E-8</v>
      </c>
      <c r="G19" s="128">
        <f>_xlfn.LET(
_xlpm.Rbus, (1/(1/((1/(1/($D$77+$D$72)+1/$D$70))+$D$73)+1/($D$71))),
_xlpm.VCC, IF($AG$3="absolute",$S$12,1),
_xlpm.Vspec_abs, $U$3+$N$7,
(LN(1-$T$3/_xlpm.VCC)-LN(1-_xlpm.Vspec_abs/_xlpm.VCC))*$K$18*_xlpm.Rbus
)</f>
        <v>7.5721293905315535E-8</v>
      </c>
      <c r="H19" s="126">
        <f>_xlfn.LET(
_xlpm.Rbus, (1/(1/((1/(1/($H$74+$H$72)+1/$H$75))+$H$73)+1/($H$76))),
_xlpm.VCC, IF($AG$3="absolute",$S$12,1),
_xlpm.Vspec_abs, $T$3+$N$7,
_xlpm.Vspec_rel, _xlpm.Vspec_abs/_xlpm.VCC,
IFERROR((LN($U$3)-LN(_xlpm.Vspec_rel))*$K$19*_xlpm.Rbus, "Vlow exceeds VIL spec")
)</f>
        <v>1.0262490295885478E-8</v>
      </c>
      <c r="I19" s="128">
        <f>_xlfn.LET(
_xlpm.Rbus, (1/(1/((1/(1/($F$74+$F$72)+1/$F$75))+$F$73)+1/($F$76))),
_xlpm.VCC, IF($AG$3="absolute",$S$11,1),
_xlpm.Vspec_abs, $T$3-$N$7,
_xlpm.Vspec_rel, _xlpm.Vspec_abs/_xlpm.VCC,
IFERROR((LN($U$3)-LN(_xlpm.Vspec_rel))*$K$18*_xlpm.Rbus,"Vlow exceeds VIL spec")
)</f>
        <v>2.1605534018873997E-8</v>
      </c>
      <c r="J19" s="139" t="s">
        <v>310</v>
      </c>
      <c r="K19" s="122">
        <f>Summary!K101</f>
        <v>1.4358026416052834E-10</v>
      </c>
      <c r="L19" t="s">
        <v>288</v>
      </c>
    </row>
    <row r="20" spans="1:26" x14ac:dyDescent="0.35">
      <c r="J20" s="139"/>
      <c r="K20" s="6" t="s">
        <v>311</v>
      </c>
    </row>
    <row r="21" spans="1:26" x14ac:dyDescent="0.35">
      <c r="E21" s="120" t="s">
        <v>137</v>
      </c>
      <c r="F21" t="str">
        <f>IF(OR(AND(E18&gt;(R2-N7), Summary!K50="relative"), AND(E18&gt;(R2-N7)/(J3+J3*Summary!K18), Summary!K50="absolute")),IF(U29="no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IF(OR(Summary!K24&gt;Summary!K22,Summary!K24&lt;Summary!K21), "- ensure board PU is within recommended range" &amp; CHAR(10),) &amp; "- reduce MB trace length",""))</f>
        <v/>
      </c>
      <c r="J21" s="139" t="s">
        <v>307</v>
      </c>
      <c r="K21" s="5">
        <f>Summary!K104</f>
        <v>22.122405384810769</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Summary!K103</f>
        <v>16.31240538481077</v>
      </c>
      <c r="L22" t="s">
        <v>289</v>
      </c>
    </row>
    <row r="23" spans="1:26" x14ac:dyDescent="0.35">
      <c r="B23" s="171" t="s">
        <v>313</v>
      </c>
      <c r="C23" s="171"/>
      <c r="D23" t="s">
        <v>314</v>
      </c>
      <c r="E23" s="175"/>
      <c r="F23" t="str">
        <f>IF(F22="",IF(OR(AND(E19&lt;=(R3-N7), Summary!K37="relative"),AND(E19&lt;=(R3-N7)/(J2+J2*Summary!K17), Summary!K37="absolute")),IF(OR(G19&gt;V3,I19&gt;W3), IF(N2=MIN(AH2:AH5), "failed max rise/fall time spec, recommendations:" &amp; CHAR(10) &amp; "-reduce MB trace length" &amp; CHAR(10) &amp; "-increase trace width (reduce MB trace resistance per length)", "failed max rise/fall time spec, recommendations:" &amp; CHAR(10) &amp; IF(OR(Summary!K24&gt;Summary!K22,Summary!K24&lt;Summary!K21),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Summary!K13</f>
        <v>0</v>
      </c>
      <c r="L24" t="s">
        <v>305</v>
      </c>
    </row>
    <row r="25" spans="1:26" x14ac:dyDescent="0.35">
      <c r="A25" t="s">
        <v>318</v>
      </c>
      <c r="B25" s="11">
        <f>C2*(1-D2)</f>
        <v>900000000000</v>
      </c>
      <c r="C25" s="11">
        <f>C2*(1-D2)</f>
        <v>900000000000</v>
      </c>
      <c r="K25" s="18">
        <f>Summary!K14</f>
        <v>1</v>
      </c>
      <c r="L25" t="s">
        <v>274</v>
      </c>
      <c r="N25" s="126">
        <f>_xlfn.LET(
_xlpm.Rbus, (1/(1/((1/(1/($H$96+$H$93)+1/$H$95))+$H$92)+1/($H$94))),
_xlpm.VCC, IF($AG$2="absolute",$S$14,1),
_xlpm.VL_rel, $H$102,
_xlpm.Vspec_abs, $T$2-$N$7,
_xlpm.Vspec_rel, (_xlpm.Vspec_abs/_xlpm.VCC-_xlpm.VL_rel)/(1-_xlpm.VL_rel),
IFERROR((LN($D$18-_xlpm.VL_rel)-LN(_xlpm.Vspec_rel))*$K$19*_xlpm.Rbus, "Vlow exceeds VIL spec")
)</f>
        <v>8.0855125896521498E-9</v>
      </c>
      <c r="O25" s="128">
        <f>_xlfn.LET(
_xlpm.Rbus, (1/(1/((1/(1/($F$96+$F$93)+1/$F$95))+$F$92)+1/($F$94))),
_xlpm.VCC, IF($AG$2="absolute",$S$13,1),
_xlpm.VL_rel, $F$102,
_xlpm.Vspec_abs, $T$2-$N$7,
_xlpm.Vspec_rel, (_xlpm.Vspec_abs/_xlpm.VCC-_xlpm.VL_rel)/(1-_xlpm.VL_rel),
IFERROR((LN($D$18-_xlpm.VL_rel)-LN(_xlpm.Vspec_rel))*$K$18*_xlpm.Rbus,"Vlow exceeds VIL spec")
)</f>
        <v>1.9187892331616471E-8</v>
      </c>
    </row>
    <row r="26" spans="1:26" x14ac:dyDescent="0.35">
      <c r="A26" t="s">
        <v>320</v>
      </c>
      <c r="B26" s="11">
        <f>F11*(1-H11)</f>
        <v>446.5</v>
      </c>
      <c r="C26" s="11">
        <f>F11*(1-H11)</f>
        <v>446.5</v>
      </c>
      <c r="N26" s="126">
        <f>_xlfn.LET(
_xlpm.Rbus, (1/(1/((1/(1/($H$74+$H$72)+1/$H$75))+$H$73)+1/($H$76))),
_xlpm.VCC, IF($AG$3="absolute",$S$12,1),
_xlpm.VL_rel, $H$84,
_xlpm.Vspec_abs, $T$3-$N$7,
_xlpm.Vspec_rel, (_xlpm.Vspec_abs/_xlpm.VCC-_xlpm.VL_rel)/(1-_xlpm.VL_rel),
IFERROR((LN($D$19-_xlpm.VL_rel)-LN(_xlpm.Vspec_rel))*$K$19*_xlpm.Rbus, "Vlow exceeds VIL spec")
)</f>
        <v>2.1332173516024864E-8</v>
      </c>
      <c r="O26" s="128">
        <f>_xlfn.LET(
_xlpm.Rbus, (1/(1/((1/(1/($F$74+$F$72)+1/$F$75))+$F$73)+1/($F$76))),
_xlpm.VCC, IF($AG$3="absolute",$S$11,1),
_xlpm.VL_rel, $F$84,
_xlpm.Vspec_abs, $T$3-$N$7,
_xlpm.Vspec_rel, (_xlpm.Vspec_abs/_xlpm.VCC-_xlpm.VL_rel)/(1-_xlpm.VL_rel),
IFERROR((LN($D$19-_xlpm.VL_rel)-LN(_xlpm.Vspec_rel))*$K$18*_xlpm.Rbus,"Vlow exceeds VIL spec")
)</f>
        <v>6.7610736447944935E-8</v>
      </c>
      <c r="Q26" t="s">
        <v>321</v>
      </c>
    </row>
    <row r="27" spans="1:26" x14ac:dyDescent="0.35">
      <c r="A27" t="s">
        <v>322</v>
      </c>
      <c r="B27" s="11">
        <f>C3*(1-D3)</f>
        <v>900000000000</v>
      </c>
      <c r="C27" s="11">
        <f>C3*(1-D3)</f>
        <v>900000000000</v>
      </c>
      <c r="Q27" t="s">
        <v>323</v>
      </c>
    </row>
    <row r="28" spans="1:26" x14ac:dyDescent="0.35">
      <c r="A28" t="s">
        <v>324</v>
      </c>
      <c r="B28" s="1">
        <f>K21</f>
        <v>22.122405384810769</v>
      </c>
      <c r="C28">
        <v>0</v>
      </c>
      <c r="Q28" t="s">
        <v>325</v>
      </c>
      <c r="V28" t="s">
        <v>305</v>
      </c>
      <c r="W28" t="s">
        <v>274</v>
      </c>
      <c r="X28" t="s">
        <v>326</v>
      </c>
    </row>
    <row r="29" spans="1:26" x14ac:dyDescent="0.35">
      <c r="A29" t="s">
        <v>327</v>
      </c>
      <c r="B29">
        <v>0</v>
      </c>
      <c r="C29" s="1">
        <f>K21</f>
        <v>22.122405384810769</v>
      </c>
      <c r="F29" s="11"/>
      <c r="T29" t="s">
        <v>328</v>
      </c>
      <c r="U29">
        <f>IF(IF(ISBLANK(Summary!K25),IF(U30=W82,L30,U30),IF(Summary!K25=5%,L30,U30))=N130,"no solution",IF(ISBLANK(Summary!K25),IF(U30=W82,L30,U30),IF(Summary!K25=5%,L30,U30)))</f>
        <v>470</v>
      </c>
      <c r="V29">
        <f>IFERROR(IF(X29=5%,VLOOKUP(1,M34:N129,2,FALSE),VLOOKUP(1,V34:W81,2,FALSE)),"no solution")</f>
        <v>470</v>
      </c>
      <c r="W29">
        <f>IF(U29="no solution","no solution",IF(X29=5%,VLOOKUP(MAX(M34:M129)-1,M34:N129,2,FALSE),VLOOKUP(MAX(V34:V81)-1,V34:W81,2,FALSE)))</f>
        <v>470</v>
      </c>
      <c r="X29" s="64">
        <f>Summary!K25</f>
        <v>0.05</v>
      </c>
    </row>
    <row r="30" spans="1:26" x14ac:dyDescent="0.35">
      <c r="A30" t="s">
        <v>329</v>
      </c>
      <c r="B30" s="11">
        <f>F2*(1+H2)</f>
        <v>1100000000000</v>
      </c>
      <c r="C30" s="11">
        <f>F2*(1+H2)</f>
        <v>1100000000000</v>
      </c>
      <c r="K30" t="s">
        <v>330</v>
      </c>
      <c r="L30">
        <f>VLOOKUP(Q31,M34:Q154,2)</f>
        <v>470</v>
      </c>
      <c r="T30" t="s">
        <v>331</v>
      </c>
      <c r="U30">
        <f>VLOOKUP(Z31,V34:W82,2)</f>
        <v>9999999</v>
      </c>
    </row>
    <row r="31" spans="1:26" x14ac:dyDescent="0.35">
      <c r="A31" t="s">
        <v>332</v>
      </c>
      <c r="B31" s="11">
        <f>F12*(1+H12)</f>
        <v>1100000000</v>
      </c>
      <c r="C31" s="11">
        <f>F12*(1+H12)</f>
        <v>1100000000</v>
      </c>
      <c r="Q31" cm="1">
        <f t="array" ref="Q31">MAX(M34:M129+1)/2</f>
        <v>1.5</v>
      </c>
      <c r="Z31" cm="1">
        <f t="array" ref="Z31">MAX(V34:V81+1)/2</f>
        <v>0.5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4.7907358629788475E-9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4.7907358629788475E-9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1.1744628837115299E-9</v>
      </c>
      <c r="S35" s="126">
        <f t="shared" si="4"/>
        <v>4.9449327284909522E-9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4.9449327284909522E-9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1.281232236772157E-9</v>
      </c>
      <c r="S36" s="126">
        <f t="shared" si="4"/>
        <v>5.0991295940021736E-9</v>
      </c>
      <c r="T36">
        <v>1</v>
      </c>
      <c r="U36">
        <v>15</v>
      </c>
      <c r="V36">
        <f t="shared" si="11"/>
        <v>0</v>
      </c>
      <c r="W36">
        <f t="shared" si="12"/>
        <v>15</v>
      </c>
      <c r="X36">
        <f t="shared" si="5"/>
        <v>13.5</v>
      </c>
      <c r="Y36">
        <f t="shared" si="6"/>
        <v>16.5</v>
      </c>
      <c r="Z36">
        <f t="shared" si="13"/>
        <v>0</v>
      </c>
      <c r="AA36" s="126">
        <f t="shared" si="14"/>
        <v>1.281232236772157E-9</v>
      </c>
      <c r="AB36" s="126">
        <f t="shared" si="15"/>
        <v>5.0991295940021736E-9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1.3880015898321084E-9</v>
      </c>
      <c r="S37" s="126">
        <f t="shared" si="4"/>
        <v>5.2533264595125131E-9</v>
      </c>
      <c r="T37">
        <v>1</v>
      </c>
      <c r="U37">
        <v>18</v>
      </c>
      <c r="V37">
        <f t="shared" si="11"/>
        <v>0</v>
      </c>
      <c r="W37">
        <f t="shared" si="12"/>
        <v>18</v>
      </c>
      <c r="X37">
        <f t="shared" si="5"/>
        <v>16.2</v>
      </c>
      <c r="Y37">
        <f t="shared" si="6"/>
        <v>19.8</v>
      </c>
      <c r="Z37">
        <f t="shared" si="13"/>
        <v>0</v>
      </c>
      <c r="AA37" s="126">
        <f t="shared" si="14"/>
        <v>1.3880015898321084E-9</v>
      </c>
      <c r="AB37" s="126">
        <f t="shared" si="15"/>
        <v>5.2533264595125131E-9</v>
      </c>
      <c r="AC37" s="126" t="str">
        <f t="shared" si="7"/>
        <v>Vlow exceeds VIL spec</v>
      </c>
      <c r="AD37" s="126" t="str">
        <f t="shared" si="8"/>
        <v>Vlow exceeds VIL spec</v>
      </c>
    </row>
    <row r="38" spans="1:30" x14ac:dyDescent="0.35">
      <c r="A38" t="s">
        <v>347</v>
      </c>
      <c r="B38" s="125">
        <f>IF(Summary!K50="absolute",(S2+N7)/(J3-J3*Summary!K18),S2+N7)</f>
        <v>0.72</v>
      </c>
      <c r="K38">
        <v>1</v>
      </c>
      <c r="L38">
        <v>15</v>
      </c>
      <c r="M38">
        <f t="shared" si="9"/>
        <v>0</v>
      </c>
      <c r="N38">
        <f t="shared" si="0"/>
        <v>15</v>
      </c>
      <c r="O38">
        <f t="shared" si="1"/>
        <v>14.25</v>
      </c>
      <c r="P38">
        <f t="shared" si="2"/>
        <v>15.75</v>
      </c>
      <c r="Q38">
        <f t="shared" si="10"/>
        <v>0</v>
      </c>
      <c r="R38" s="126">
        <f t="shared" si="3"/>
        <v>1.601540295949982E-9</v>
      </c>
      <c r="S38" s="126">
        <f t="shared" si="4"/>
        <v>5.5617201905305428E-9</v>
      </c>
      <c r="T38">
        <v>1</v>
      </c>
      <c r="U38">
        <v>22</v>
      </c>
      <c r="V38">
        <f t="shared" si="11"/>
        <v>0</v>
      </c>
      <c r="W38">
        <f t="shared" si="12"/>
        <v>22</v>
      </c>
      <c r="X38">
        <f t="shared" si="5"/>
        <v>19.8</v>
      </c>
      <c r="Y38">
        <f t="shared" si="6"/>
        <v>24.200000000000003</v>
      </c>
      <c r="Z38">
        <f t="shared" si="13"/>
        <v>0</v>
      </c>
      <c r="AA38" s="126">
        <f t="shared" si="14"/>
        <v>1.601540295949982E-9</v>
      </c>
      <c r="AB38" s="126">
        <f t="shared" si="15"/>
        <v>5.5617201905305428E-9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1.7083096490079043E-9</v>
      </c>
      <c r="S39" s="126">
        <f t="shared" si="4"/>
        <v>5.7159170560382321E-9</v>
      </c>
      <c r="T39">
        <v>1</v>
      </c>
      <c r="U39">
        <v>27</v>
      </c>
      <c r="V39">
        <f t="shared" si="11"/>
        <v>0</v>
      </c>
      <c r="W39">
        <f t="shared" si="12"/>
        <v>27</v>
      </c>
      <c r="X39">
        <f t="shared" si="5"/>
        <v>24.3</v>
      </c>
      <c r="Y39">
        <f t="shared" si="6"/>
        <v>29.700000000000003</v>
      </c>
      <c r="Z39">
        <f t="shared" si="13"/>
        <v>0</v>
      </c>
      <c r="AA39" s="126">
        <f t="shared" si="14"/>
        <v>1.7083096490079043E-9</v>
      </c>
      <c r="AB39" s="126">
        <f t="shared" si="15"/>
        <v>5.7159170560382321E-9</v>
      </c>
      <c r="AC39" s="126" t="str">
        <f t="shared" si="7"/>
        <v>Vlow exceeds VIL spec</v>
      </c>
      <c r="AD39" s="126" t="str">
        <f t="shared" si="8"/>
        <v>Vlow exceeds VIL spec</v>
      </c>
    </row>
    <row r="40" spans="1:30" x14ac:dyDescent="0.35">
      <c r="A40" t="s">
        <v>349</v>
      </c>
      <c r="C40" s="125">
        <f>IF(Summary!K37="absolute",(S3+N7)/(J2-J2*Summary!K17),S3+N7)</f>
        <v>0.72</v>
      </c>
      <c r="K40">
        <v>1</v>
      </c>
      <c r="L40">
        <v>18</v>
      </c>
      <c r="M40">
        <f t="shared" si="9"/>
        <v>0</v>
      </c>
      <c r="N40">
        <f t="shared" si="0"/>
        <v>18</v>
      </c>
      <c r="O40">
        <f t="shared" si="1"/>
        <v>17.099999999999998</v>
      </c>
      <c r="P40">
        <f t="shared" si="2"/>
        <v>18.900000000000002</v>
      </c>
      <c r="Q40">
        <f t="shared" si="10"/>
        <v>0</v>
      </c>
      <c r="R40" s="126">
        <f t="shared" si="3"/>
        <v>1.9218483551217202E-9</v>
      </c>
      <c r="S40" s="126">
        <f t="shared" si="4"/>
        <v>6.0243107870509612E-9</v>
      </c>
      <c r="T40">
        <v>1</v>
      </c>
      <c r="U40">
        <v>33</v>
      </c>
      <c r="V40">
        <f t="shared" si="11"/>
        <v>0</v>
      </c>
      <c r="W40">
        <f t="shared" si="12"/>
        <v>33</v>
      </c>
      <c r="X40">
        <f t="shared" si="5"/>
        <v>29.7</v>
      </c>
      <c r="Y40">
        <f t="shared" si="6"/>
        <v>36.300000000000004</v>
      </c>
      <c r="Z40">
        <f t="shared" si="13"/>
        <v>0</v>
      </c>
      <c r="AA40" s="126">
        <f t="shared" si="14"/>
        <v>1.9218483551217202E-9</v>
      </c>
      <c r="AB40" s="126">
        <f t="shared" si="15"/>
        <v>6.0243107870509612E-9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2.1353870612328322E-9</v>
      </c>
      <c r="S41" s="126">
        <f t="shared" si="4"/>
        <v>6.332704518060159E-9</v>
      </c>
      <c r="T41">
        <v>1</v>
      </c>
      <c r="U41">
        <v>39</v>
      </c>
      <c r="V41">
        <f t="shared" si="11"/>
        <v>0</v>
      </c>
      <c r="W41">
        <f t="shared" si="12"/>
        <v>39</v>
      </c>
      <c r="X41">
        <f t="shared" si="5"/>
        <v>35.1</v>
      </c>
      <c r="Y41">
        <f t="shared" si="6"/>
        <v>42.900000000000006</v>
      </c>
      <c r="Z41">
        <f t="shared" si="13"/>
        <v>0</v>
      </c>
      <c r="AA41" s="126">
        <f t="shared" si="14"/>
        <v>2.1353870612328322E-9</v>
      </c>
      <c r="AB41" s="126">
        <f t="shared" si="15"/>
        <v>6.332704518060159E-9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0.99999959325914534</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0.99999959327925669</v>
      </c>
      <c r="K42">
        <v>1</v>
      </c>
      <c r="L42">
        <v>22</v>
      </c>
      <c r="M42">
        <f t="shared" si="9"/>
        <v>0</v>
      </c>
      <c r="N42">
        <f t="shared" si="0"/>
        <v>22</v>
      </c>
      <c r="O42">
        <f t="shared" si="1"/>
        <v>20.9</v>
      </c>
      <c r="P42">
        <f t="shared" si="2"/>
        <v>23.1</v>
      </c>
      <c r="Q42">
        <f t="shared" si="10"/>
        <v>0</v>
      </c>
      <c r="R42" s="126">
        <f t="shared" si="3"/>
        <v>2.3489257673412385E-9</v>
      </c>
      <c r="S42" s="126">
        <f t="shared" si="4"/>
        <v>6.6410982490658232E-9</v>
      </c>
      <c r="T42">
        <v>1</v>
      </c>
      <c r="U42">
        <v>47</v>
      </c>
      <c r="V42">
        <f t="shared" si="11"/>
        <v>0</v>
      </c>
      <c r="W42">
        <f t="shared" si="12"/>
        <v>47</v>
      </c>
      <c r="X42">
        <f t="shared" si="5"/>
        <v>42.300000000000004</v>
      </c>
      <c r="Y42">
        <f t="shared" si="6"/>
        <v>51.7</v>
      </c>
      <c r="Z42">
        <f t="shared" si="13"/>
        <v>0</v>
      </c>
      <c r="AA42" s="126">
        <f t="shared" si="14"/>
        <v>2.3489257673412385E-9</v>
      </c>
      <c r="AB42" s="126">
        <f t="shared" si="15"/>
        <v>6.6410982490658232E-9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0.99999959327925669</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0.99999959327925669</v>
      </c>
      <c r="K43">
        <v>1</v>
      </c>
      <c r="L43">
        <v>24</v>
      </c>
      <c r="M43">
        <f t="shared" si="9"/>
        <v>0</v>
      </c>
      <c r="N43">
        <f t="shared" si="0"/>
        <v>24</v>
      </c>
      <c r="O43">
        <f t="shared" si="1"/>
        <v>22.799999999999997</v>
      </c>
      <c r="P43">
        <f t="shared" si="2"/>
        <v>25.200000000000003</v>
      </c>
      <c r="Q43">
        <f t="shared" si="10"/>
        <v>0</v>
      </c>
      <c r="R43" s="126">
        <f t="shared" si="3"/>
        <v>2.5624644734469403E-9</v>
      </c>
      <c r="S43" s="126">
        <f t="shared" si="4"/>
        <v>6.9494919800679569E-9</v>
      </c>
      <c r="T43">
        <v>1</v>
      </c>
      <c r="U43">
        <v>56</v>
      </c>
      <c r="V43">
        <f t="shared" si="11"/>
        <v>0</v>
      </c>
      <c r="W43">
        <f t="shared" si="12"/>
        <v>56</v>
      </c>
      <c r="X43">
        <f t="shared" si="5"/>
        <v>50.4</v>
      </c>
      <c r="Y43">
        <f t="shared" si="6"/>
        <v>61.600000000000009</v>
      </c>
      <c r="Z43">
        <f t="shared" si="13"/>
        <v>0</v>
      </c>
      <c r="AA43" s="126">
        <f t="shared" si="14"/>
        <v>2.5624644734469403E-9</v>
      </c>
      <c r="AB43" s="126">
        <f t="shared" si="15"/>
        <v>6.9494919800679569E-9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0.99999959327925669</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0.99999959325914534</v>
      </c>
      <c r="K44">
        <v>1</v>
      </c>
      <c r="L44">
        <v>27</v>
      </c>
      <c r="M44">
        <f t="shared" si="9"/>
        <v>0</v>
      </c>
      <c r="N44">
        <f t="shared" si="0"/>
        <v>27</v>
      </c>
      <c r="O44">
        <f t="shared" si="1"/>
        <v>25.65</v>
      </c>
      <c r="P44">
        <f t="shared" si="2"/>
        <v>28.35</v>
      </c>
      <c r="Q44">
        <f t="shared" si="10"/>
        <v>0</v>
      </c>
      <c r="R44" s="126">
        <f t="shared" si="3"/>
        <v>2.8827725326004216E-9</v>
      </c>
      <c r="S44" s="126">
        <f t="shared" si="4"/>
        <v>7.412082576564531E-9</v>
      </c>
      <c r="T44">
        <v>1</v>
      </c>
      <c r="U44">
        <v>68</v>
      </c>
      <c r="V44">
        <f t="shared" si="11"/>
        <v>0</v>
      </c>
      <c r="W44">
        <f t="shared" si="12"/>
        <v>68</v>
      </c>
      <c r="X44">
        <f t="shared" si="5"/>
        <v>61.2</v>
      </c>
      <c r="Y44">
        <f t="shared" si="6"/>
        <v>74.800000000000011</v>
      </c>
      <c r="Z44">
        <f t="shared" si="13"/>
        <v>0</v>
      </c>
      <c r="AA44" s="126">
        <f t="shared" si="14"/>
        <v>2.8827725326004216E-9</v>
      </c>
      <c r="AB44" s="126">
        <f t="shared" si="15"/>
        <v>7.412082576564531E-9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3.2030805917478173E-9</v>
      </c>
      <c r="S45" s="126">
        <f t="shared" si="4"/>
        <v>7.8746731730531583E-9</v>
      </c>
      <c r="T45">
        <v>1</v>
      </c>
      <c r="U45">
        <v>82</v>
      </c>
      <c r="V45">
        <f t="shared" si="11"/>
        <v>0</v>
      </c>
      <c r="W45">
        <f t="shared" si="12"/>
        <v>82</v>
      </c>
      <c r="X45">
        <f t="shared" si="5"/>
        <v>73.8</v>
      </c>
      <c r="Y45">
        <f t="shared" si="6"/>
        <v>90.2</v>
      </c>
      <c r="Z45">
        <f t="shared" si="13"/>
        <v>0</v>
      </c>
      <c r="AA45" s="126">
        <f t="shared" si="14"/>
        <v>3.2030805917478173E-9</v>
      </c>
      <c r="AB45" s="126">
        <f t="shared" si="15"/>
        <v>7.8746731730531583E-9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3.5233886508891263E-9</v>
      </c>
      <c r="S46" s="126">
        <f t="shared" si="4"/>
        <v>8.3372637695338381E-9</v>
      </c>
      <c r="T46">
        <v>10</v>
      </c>
      <c r="U46">
        <v>10</v>
      </c>
      <c r="V46">
        <f t="shared" si="11"/>
        <v>0</v>
      </c>
      <c r="W46">
        <f t="shared" si="12"/>
        <v>100</v>
      </c>
      <c r="X46">
        <f t="shared" si="5"/>
        <v>90</v>
      </c>
      <c r="Y46">
        <f t="shared" si="6"/>
        <v>110.00000000000001</v>
      </c>
      <c r="Z46">
        <f t="shared" si="13"/>
        <v>0</v>
      </c>
      <c r="AA46" s="126">
        <f t="shared" si="14"/>
        <v>3.5233886508891263E-9</v>
      </c>
      <c r="AB46" s="126">
        <f t="shared" si="15"/>
        <v>8.3372637695338381E-9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3.8436967100243492E-9</v>
      </c>
      <c r="S47" s="126">
        <f t="shared" si="4"/>
        <v>8.7998543660065687E-9</v>
      </c>
      <c r="T47">
        <v>10</v>
      </c>
      <c r="U47">
        <v>12</v>
      </c>
      <c r="V47">
        <f t="shared" si="11"/>
        <v>0</v>
      </c>
      <c r="W47">
        <f>U47*T47</f>
        <v>120</v>
      </c>
      <c r="X47">
        <f t="shared" si="5"/>
        <v>108</v>
      </c>
      <c r="Y47">
        <f t="shared" si="6"/>
        <v>132</v>
      </c>
      <c r="Z47">
        <f t="shared" si="13"/>
        <v>0</v>
      </c>
      <c r="AA47" s="126">
        <f t="shared" si="14"/>
        <v>3.8436967100243492E-9</v>
      </c>
      <c r="AB47" s="126">
        <f t="shared" si="15"/>
        <v>8.7998543660065687E-9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4.164004769153487E-9</v>
      </c>
      <c r="S48" s="126">
        <f t="shared" si="4"/>
        <v>9.2624449624713517E-9</v>
      </c>
      <c r="T48">
        <v>10</v>
      </c>
      <c r="U48">
        <v>15</v>
      </c>
      <c r="V48">
        <f t="shared" si="11"/>
        <v>0</v>
      </c>
      <c r="W48">
        <f t="shared" si="12"/>
        <v>150</v>
      </c>
      <c r="X48">
        <f t="shared" si="5"/>
        <v>135</v>
      </c>
      <c r="Y48">
        <f t="shared" si="6"/>
        <v>165</v>
      </c>
      <c r="Z48">
        <f t="shared" si="13"/>
        <v>0</v>
      </c>
      <c r="AA48" s="126">
        <f t="shared" si="14"/>
        <v>4.164004769153487E-9</v>
      </c>
      <c r="AB48" s="126">
        <f t="shared" si="15"/>
        <v>9.2624449624713517E-9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4.5910821813162061E-9</v>
      </c>
      <c r="S49" s="126">
        <f t="shared" si="4"/>
        <v>9.8792324244120321E-9</v>
      </c>
      <c r="T49">
        <v>10</v>
      </c>
      <c r="U49">
        <v>18</v>
      </c>
      <c r="V49">
        <f t="shared" si="11"/>
        <v>0</v>
      </c>
      <c r="W49">
        <f t="shared" si="12"/>
        <v>180</v>
      </c>
      <c r="X49">
        <f t="shared" si="5"/>
        <v>162</v>
      </c>
      <c r="Y49">
        <f t="shared" si="6"/>
        <v>198.00000000000003</v>
      </c>
      <c r="Z49">
        <f t="shared" si="13"/>
        <v>0</v>
      </c>
      <c r="AA49" s="126">
        <f t="shared" si="14"/>
        <v>4.5910821813162061E-9</v>
      </c>
      <c r="AB49" s="126">
        <f t="shared" si="15"/>
        <v>9.8792324244120321E-9</v>
      </c>
      <c r="AC49" s="126" t="str">
        <f t="shared" si="7"/>
        <v>Vlow exceeds VIL spec</v>
      </c>
      <c r="AD49" s="126" t="str">
        <f t="shared" si="8"/>
        <v>Vlow exceeds VIL spec</v>
      </c>
    </row>
    <row r="50" spans="1:30" x14ac:dyDescent="0.35">
      <c r="A50" t="s">
        <v>320</v>
      </c>
      <c r="B50" s="11">
        <f>F11*(1+H11)</f>
        <v>493.5</v>
      </c>
      <c r="C50" s="11">
        <f>F11*(1+H11)</f>
        <v>493.5</v>
      </c>
      <c r="K50">
        <v>1</v>
      </c>
      <c r="L50">
        <v>47</v>
      </c>
      <c r="M50">
        <f t="shared" si="9"/>
        <v>0</v>
      </c>
      <c r="N50">
        <f t="shared" si="0"/>
        <v>47</v>
      </c>
      <c r="O50">
        <f t="shared" si="1"/>
        <v>44.65</v>
      </c>
      <c r="P50">
        <f t="shared" si="2"/>
        <v>49.35</v>
      </c>
      <c r="Q50">
        <f t="shared" si="10"/>
        <v>0</v>
      </c>
      <c r="R50" s="126">
        <f t="shared" si="3"/>
        <v>5.0181595934681032E-9</v>
      </c>
      <c r="S50" s="126">
        <f t="shared" si="4"/>
        <v>1.0496019886338583E-8</v>
      </c>
      <c r="T50">
        <v>10</v>
      </c>
      <c r="U50">
        <v>22</v>
      </c>
      <c r="V50">
        <f t="shared" si="11"/>
        <v>0</v>
      </c>
      <c r="W50">
        <f t="shared" si="12"/>
        <v>220</v>
      </c>
      <c r="X50">
        <f t="shared" si="5"/>
        <v>198</v>
      </c>
      <c r="Y50">
        <f t="shared" si="6"/>
        <v>242.00000000000003</v>
      </c>
      <c r="Z50">
        <f t="shared" si="13"/>
        <v>0</v>
      </c>
      <c r="AA50" s="126">
        <f t="shared" si="14"/>
        <v>5.0181595934681032E-9</v>
      </c>
      <c r="AB50" s="126">
        <f t="shared" si="15"/>
        <v>1.0496019886338583E-8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5.44523700560918E-9</v>
      </c>
      <c r="S51" s="126">
        <f t="shared" si="4"/>
        <v>1.1112807348251003E-8</v>
      </c>
      <c r="T51">
        <v>10</v>
      </c>
      <c r="U51">
        <v>27</v>
      </c>
      <c r="V51">
        <f t="shared" si="11"/>
        <v>0</v>
      </c>
      <c r="W51">
        <f t="shared" si="12"/>
        <v>270</v>
      </c>
      <c r="X51">
        <f t="shared" si="5"/>
        <v>243</v>
      </c>
      <c r="Y51">
        <f t="shared" si="6"/>
        <v>297</v>
      </c>
      <c r="Z51">
        <f t="shared" si="13"/>
        <v>0</v>
      </c>
      <c r="AA51" s="126">
        <f t="shared" si="14"/>
        <v>5.44523700560918E-9</v>
      </c>
      <c r="AB51" s="126">
        <f t="shared" si="15"/>
        <v>1.1112807348251003E-8</v>
      </c>
      <c r="AC51" s="126" t="str">
        <f t="shared" si="7"/>
        <v>Vlow exceeds VIL spec</v>
      </c>
      <c r="AD51" s="126" t="str">
        <f t="shared" si="8"/>
        <v>Vlow exceeds VIL spec</v>
      </c>
    </row>
    <row r="52" spans="1:30" x14ac:dyDescent="0.35">
      <c r="A52" t="s">
        <v>324</v>
      </c>
      <c r="B52" s="1">
        <f>K21</f>
        <v>22.122405384810769</v>
      </c>
      <c r="C52">
        <v>0</v>
      </c>
      <c r="K52">
        <v>1</v>
      </c>
      <c r="L52">
        <v>56</v>
      </c>
      <c r="M52">
        <f t="shared" si="9"/>
        <v>0</v>
      </c>
      <c r="N52">
        <f t="shared" si="0"/>
        <v>56</v>
      </c>
      <c r="O52">
        <f t="shared" si="1"/>
        <v>53.199999999999996</v>
      </c>
      <c r="P52">
        <f t="shared" si="2"/>
        <v>58.800000000000004</v>
      </c>
      <c r="Q52">
        <f t="shared" si="10"/>
        <v>0</v>
      </c>
      <c r="R52" s="126">
        <f t="shared" si="3"/>
        <v>5.9790837707703136E-9</v>
      </c>
      <c r="S52" s="126">
        <f t="shared" si="4"/>
        <v>1.1883791675621658E-8</v>
      </c>
      <c r="T52">
        <v>10</v>
      </c>
      <c r="U52">
        <v>33</v>
      </c>
      <c r="V52">
        <f t="shared" si="11"/>
        <v>0</v>
      </c>
      <c r="W52">
        <f t="shared" si="12"/>
        <v>330</v>
      </c>
      <c r="X52">
        <f t="shared" si="5"/>
        <v>297</v>
      </c>
      <c r="Y52">
        <f t="shared" si="6"/>
        <v>363.00000000000006</v>
      </c>
      <c r="Z52">
        <f t="shared" si="13"/>
        <v>0</v>
      </c>
      <c r="AA52" s="126">
        <f t="shared" si="14"/>
        <v>5.9790837707703136E-9</v>
      </c>
      <c r="AB52" s="126">
        <f t="shared" si="15"/>
        <v>1.1883791675621658E-8</v>
      </c>
      <c r="AC52" s="126" t="str">
        <f t="shared" si="7"/>
        <v>Vlow exceeds VIL spec</v>
      </c>
      <c r="AD52" s="126" t="str">
        <f t="shared" si="8"/>
        <v>Vlow exceeds VIL spec</v>
      </c>
    </row>
    <row r="53" spans="1:30" x14ac:dyDescent="0.35">
      <c r="A53" t="s">
        <v>327</v>
      </c>
      <c r="B53">
        <v>0</v>
      </c>
      <c r="C53" s="1">
        <f>K21</f>
        <v>22.122405384810769</v>
      </c>
      <c r="K53">
        <v>1</v>
      </c>
      <c r="L53">
        <v>62</v>
      </c>
      <c r="M53">
        <f t="shared" si="9"/>
        <v>0</v>
      </c>
      <c r="N53">
        <f t="shared" si="0"/>
        <v>62</v>
      </c>
      <c r="O53">
        <f t="shared" si="1"/>
        <v>58.9</v>
      </c>
      <c r="P53">
        <f t="shared" si="2"/>
        <v>65.100000000000009</v>
      </c>
      <c r="Q53">
        <f t="shared" si="10"/>
        <v>0</v>
      </c>
      <c r="R53" s="126">
        <f t="shared" si="3"/>
        <v>6.6196998889413597E-9</v>
      </c>
      <c r="S53" s="126">
        <f t="shared" si="4"/>
        <v>1.2808972868437298E-8</v>
      </c>
      <c r="T53">
        <v>10</v>
      </c>
      <c r="U53">
        <v>39</v>
      </c>
      <c r="V53">
        <f t="shared" si="11"/>
        <v>0</v>
      </c>
      <c r="W53">
        <f t="shared" si="12"/>
        <v>390</v>
      </c>
      <c r="X53">
        <f t="shared" si="5"/>
        <v>351</v>
      </c>
      <c r="Y53">
        <f t="shared" si="6"/>
        <v>429.00000000000006</v>
      </c>
      <c r="Z53">
        <f t="shared" si="13"/>
        <v>0</v>
      </c>
      <c r="AA53" s="126">
        <f t="shared" si="14"/>
        <v>6.6196998889413597E-9</v>
      </c>
      <c r="AB53" s="126">
        <f t="shared" si="15"/>
        <v>1.2808972868437298E-8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7.2603160070880602E-9</v>
      </c>
      <c r="S54" s="126">
        <f t="shared" si="4"/>
        <v>1.3734154061221149E-8</v>
      </c>
      <c r="T54">
        <v>10</v>
      </c>
      <c r="U54">
        <v>47</v>
      </c>
      <c r="V54">
        <f t="shared" si="11"/>
        <v>0</v>
      </c>
      <c r="W54">
        <f t="shared" si="12"/>
        <v>470</v>
      </c>
      <c r="X54">
        <f t="shared" si="5"/>
        <v>423</v>
      </c>
      <c r="Y54">
        <f t="shared" si="6"/>
        <v>517</v>
      </c>
      <c r="Z54">
        <f t="shared" si="13"/>
        <v>0</v>
      </c>
      <c r="AA54" s="126">
        <f t="shared" si="14"/>
        <v>7.2603160070880602E-9</v>
      </c>
      <c r="AB54" s="126">
        <f t="shared" si="15"/>
        <v>1.3734154061221149E-8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8.0077014782284446E-9</v>
      </c>
      <c r="S55" s="126">
        <f t="shared" si="4"/>
        <v>1.4813532119428789E-8</v>
      </c>
      <c r="T55">
        <v>10</v>
      </c>
      <c r="U55">
        <v>56</v>
      </c>
      <c r="V55">
        <f t="shared" si="11"/>
        <v>0</v>
      </c>
      <c r="W55">
        <f t="shared" si="12"/>
        <v>560</v>
      </c>
      <c r="X55">
        <f t="shared" si="5"/>
        <v>504</v>
      </c>
      <c r="Y55">
        <f t="shared" si="6"/>
        <v>616</v>
      </c>
      <c r="Z55">
        <f t="shared" si="13"/>
        <v>0</v>
      </c>
      <c r="AA55" s="126">
        <f t="shared" si="14"/>
        <v>8.0077014782284446E-9</v>
      </c>
      <c r="AB55" s="126">
        <f t="shared" si="15"/>
        <v>1.4813532119428789E-8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8.7550869493356963E-9</v>
      </c>
      <c r="S56" s="126">
        <f t="shared" si="4"/>
        <v>1.5892910177593163E-8</v>
      </c>
      <c r="T56">
        <v>10</v>
      </c>
      <c r="U56">
        <v>68</v>
      </c>
      <c r="V56">
        <f t="shared" si="11"/>
        <v>0</v>
      </c>
      <c r="W56">
        <f t="shared" si="12"/>
        <v>680</v>
      </c>
      <c r="X56">
        <f t="shared" si="5"/>
        <v>612</v>
      </c>
      <c r="Y56">
        <f t="shared" si="6"/>
        <v>748.00000000000011</v>
      </c>
      <c r="Z56">
        <f t="shared" si="13"/>
        <v>0</v>
      </c>
      <c r="AA56" s="126">
        <f t="shared" si="14"/>
        <v>8.7550869493356963E-9</v>
      </c>
      <c r="AB56" s="126">
        <f t="shared" si="15"/>
        <v>1.5892910177593163E-8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9.7160111264249028E-9</v>
      </c>
      <c r="S57" s="126">
        <f t="shared" si="4"/>
        <v>1.7280681966598049E-8</v>
      </c>
      <c r="T57">
        <v>10</v>
      </c>
      <c r="U57">
        <v>82</v>
      </c>
      <c r="V57">
        <f t="shared" si="11"/>
        <v>0</v>
      </c>
      <c r="W57">
        <f t="shared" si="12"/>
        <v>820</v>
      </c>
      <c r="X57">
        <f t="shared" si="5"/>
        <v>738</v>
      </c>
      <c r="Y57">
        <f t="shared" si="6"/>
        <v>902.00000000000011</v>
      </c>
      <c r="Z57">
        <f t="shared" si="13"/>
        <v>0</v>
      </c>
      <c r="AA57" s="126">
        <f t="shared" si="14"/>
        <v>9.7160111264249028E-9</v>
      </c>
      <c r="AB57" s="126">
        <f t="shared" si="15"/>
        <v>1.7280681966598049E-8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1.0676935303459338E-8</v>
      </c>
      <c r="S58" s="126">
        <f t="shared" si="4"/>
        <v>1.8668453755531403E-8</v>
      </c>
      <c r="T58">
        <v>100</v>
      </c>
      <c r="U58">
        <v>10</v>
      </c>
      <c r="V58">
        <f t="shared" si="11"/>
        <v>0</v>
      </c>
      <c r="W58">
        <f t="shared" si="12"/>
        <v>1000</v>
      </c>
      <c r="X58">
        <f t="shared" si="5"/>
        <v>900</v>
      </c>
      <c r="Y58">
        <f t="shared" si="6"/>
        <v>1100</v>
      </c>
      <c r="Z58">
        <f t="shared" si="13"/>
        <v>0</v>
      </c>
      <c r="AA58" s="126">
        <f t="shared" si="14"/>
        <v>1.0676935303459338E-8</v>
      </c>
      <c r="AB58" s="126">
        <f t="shared" si="15"/>
        <v>1.8668453755531403E-8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1.1744628833433358E-8</v>
      </c>
      <c r="S59" s="126">
        <f t="shared" si="4"/>
        <v>2.0210422409817902E-8</v>
      </c>
      <c r="T59">
        <v>100</v>
      </c>
      <c r="U59">
        <v>12</v>
      </c>
      <c r="V59">
        <f t="shared" si="11"/>
        <v>0</v>
      </c>
      <c r="W59">
        <f t="shared" si="12"/>
        <v>1200</v>
      </c>
      <c r="X59">
        <f t="shared" si="5"/>
        <v>1080</v>
      </c>
      <c r="Y59">
        <f t="shared" si="6"/>
        <v>1320</v>
      </c>
      <c r="Z59">
        <f t="shared" si="13"/>
        <v>0</v>
      </c>
      <c r="AA59" s="126">
        <f t="shared" si="14"/>
        <v>1.1744628833433358E-8</v>
      </c>
      <c r="AB59" s="126">
        <f t="shared" si="15"/>
        <v>2.0210422409817902E-8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1.2812322363339758E-8</v>
      </c>
      <c r="S60" s="126">
        <f t="shared" si="4"/>
        <v>2.1752391064016091E-8</v>
      </c>
      <c r="T60">
        <v>100</v>
      </c>
      <c r="U60">
        <v>15</v>
      </c>
      <c r="V60">
        <f t="shared" si="11"/>
        <v>0</v>
      </c>
      <c r="W60">
        <f t="shared" si="12"/>
        <v>1500</v>
      </c>
      <c r="X60">
        <f t="shared" si="5"/>
        <v>1350</v>
      </c>
      <c r="Y60">
        <f t="shared" si="6"/>
        <v>1650.0000000000002</v>
      </c>
      <c r="Z60">
        <f t="shared" si="13"/>
        <v>0</v>
      </c>
      <c r="AA60" s="126">
        <f t="shared" si="14"/>
        <v>1.2812322363339758E-8</v>
      </c>
      <c r="AB60" s="126">
        <f t="shared" si="15"/>
        <v>2.1752391064016091E-8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1.3880015893178537E-8</v>
      </c>
      <c r="S61" s="126">
        <f t="shared" si="4"/>
        <v>2.329435971812596E-8</v>
      </c>
      <c r="T61">
        <v>100</v>
      </c>
      <c r="U61">
        <v>18</v>
      </c>
      <c r="V61">
        <f t="shared" si="11"/>
        <v>0</v>
      </c>
      <c r="W61">
        <f t="shared" si="12"/>
        <v>1800</v>
      </c>
      <c r="X61">
        <f t="shared" si="5"/>
        <v>1620</v>
      </c>
      <c r="Y61">
        <f t="shared" si="6"/>
        <v>1980.0000000000002</v>
      </c>
      <c r="Z61">
        <f t="shared" si="13"/>
        <v>0</v>
      </c>
      <c r="AA61" s="126">
        <f t="shared" si="14"/>
        <v>1.3880015893178537E-8</v>
      </c>
      <c r="AB61" s="126">
        <f t="shared" si="15"/>
        <v>2.329435971812596E-8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0.99999945054572204</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0.99999945057030237</v>
      </c>
      <c r="K62">
        <v>10</v>
      </c>
      <c r="L62">
        <v>15</v>
      </c>
      <c r="M62">
        <f t="shared" si="9"/>
        <v>0</v>
      </c>
      <c r="N62">
        <f t="shared" si="0"/>
        <v>150</v>
      </c>
      <c r="O62">
        <f t="shared" si="1"/>
        <v>142.5</v>
      </c>
      <c r="P62">
        <f t="shared" si="2"/>
        <v>157.5</v>
      </c>
      <c r="Q62">
        <f t="shared" si="10"/>
        <v>0</v>
      </c>
      <c r="R62" s="126">
        <f t="shared" si="3"/>
        <v>1.6015402952653235E-8</v>
      </c>
      <c r="S62" s="126">
        <f t="shared" si="4"/>
        <v>2.6378297026080768E-8</v>
      </c>
      <c r="T62">
        <v>100</v>
      </c>
      <c r="U62">
        <v>22</v>
      </c>
      <c r="V62">
        <f t="shared" si="11"/>
        <v>0</v>
      </c>
      <c r="W62">
        <f t="shared" si="12"/>
        <v>2200</v>
      </c>
      <c r="X62">
        <f t="shared" si="5"/>
        <v>1980</v>
      </c>
      <c r="Y62">
        <f t="shared" si="6"/>
        <v>2420</v>
      </c>
      <c r="Z62">
        <f t="shared" si="13"/>
        <v>0</v>
      </c>
      <c r="AA62" s="126">
        <f t="shared" si="14"/>
        <v>1.6015402952653235E-8</v>
      </c>
      <c r="AB62" s="126">
        <f t="shared" si="15"/>
        <v>2.6378297026080768E-8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0.99999945057030237</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0.99999945057030237</v>
      </c>
      <c r="K63">
        <v>10</v>
      </c>
      <c r="L63">
        <v>16</v>
      </c>
      <c r="M63">
        <f t="shared" si="9"/>
        <v>0</v>
      </c>
      <c r="N63">
        <f t="shared" si="0"/>
        <v>160</v>
      </c>
      <c r="O63">
        <f t="shared" si="1"/>
        <v>152</v>
      </c>
      <c r="P63">
        <f t="shared" si="2"/>
        <v>168</v>
      </c>
      <c r="Q63">
        <f t="shared" si="10"/>
        <v>0</v>
      </c>
      <c r="R63" s="126">
        <f t="shared" si="3"/>
        <v>1.7083096482289151E-8</v>
      </c>
      <c r="S63" s="126">
        <f t="shared" si="4"/>
        <v>2.7920265679925704E-8</v>
      </c>
      <c r="T63">
        <v>100</v>
      </c>
      <c r="U63">
        <v>27</v>
      </c>
      <c r="V63">
        <f t="shared" si="11"/>
        <v>0</v>
      </c>
      <c r="W63">
        <f t="shared" si="12"/>
        <v>2700</v>
      </c>
      <c r="X63">
        <f t="shared" si="5"/>
        <v>2430</v>
      </c>
      <c r="Y63">
        <f t="shared" si="6"/>
        <v>2970.0000000000005</v>
      </c>
      <c r="Z63">
        <f t="shared" si="13"/>
        <v>0</v>
      </c>
      <c r="AA63" s="126">
        <f t="shared" si="14"/>
        <v>1.7083096482289151E-8</v>
      </c>
      <c r="AB63" s="126">
        <f t="shared" si="15"/>
        <v>2.7920265679925704E-8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0.99999945057030237</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0.99999945054572204</v>
      </c>
      <c r="K64">
        <v>10</v>
      </c>
      <c r="L64">
        <v>18</v>
      </c>
      <c r="M64">
        <f t="shared" si="9"/>
        <v>0</v>
      </c>
      <c r="N64">
        <f t="shared" si="0"/>
        <v>180</v>
      </c>
      <c r="O64">
        <f t="shared" si="1"/>
        <v>171</v>
      </c>
      <c r="P64">
        <f t="shared" si="2"/>
        <v>189</v>
      </c>
      <c r="Q64">
        <f t="shared" si="10"/>
        <v>0</v>
      </c>
      <c r="R64" s="126">
        <f t="shared" si="3"/>
        <v>1.9218483541358125E-8</v>
      </c>
      <c r="S64" s="126">
        <f t="shared" si="4"/>
        <v>3.1004202987350634E-8</v>
      </c>
      <c r="T64">
        <v>100</v>
      </c>
      <c r="U64">
        <v>33</v>
      </c>
      <c r="V64">
        <f t="shared" si="11"/>
        <v>0</v>
      </c>
      <c r="W64">
        <f t="shared" si="12"/>
        <v>3300</v>
      </c>
      <c r="X64">
        <f t="shared" si="5"/>
        <v>2970</v>
      </c>
      <c r="Y64">
        <f t="shared" si="6"/>
        <v>3630.0000000000005</v>
      </c>
      <c r="Z64">
        <f t="shared" si="13"/>
        <v>0</v>
      </c>
      <c r="AA64" s="126">
        <f t="shared" si="14"/>
        <v>1.9218483541358125E-8</v>
      </c>
      <c r="AB64" s="126">
        <f t="shared" si="15"/>
        <v>3.1004202987350634E-8</v>
      </c>
      <c r="AC64" s="126" t="str">
        <f t="shared" si="7"/>
        <v>Vlow exceeds VIL spec</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2.1353870600156614E-8</v>
      </c>
      <c r="S65" s="126">
        <f t="shared" si="4"/>
        <v>3.4088140294422305E-8</v>
      </c>
      <c r="T65">
        <v>100</v>
      </c>
      <c r="U65">
        <v>39</v>
      </c>
      <c r="V65">
        <f t="shared" si="11"/>
        <v>0</v>
      </c>
      <c r="W65">
        <f t="shared" si="12"/>
        <v>3900</v>
      </c>
      <c r="X65">
        <f t="shared" si="5"/>
        <v>3510</v>
      </c>
      <c r="Y65">
        <f t="shared" si="6"/>
        <v>4290</v>
      </c>
      <c r="Z65">
        <f t="shared" si="13"/>
        <v>0</v>
      </c>
      <c r="AA65" s="126">
        <f t="shared" si="14"/>
        <v>2.1353870600156614E-8</v>
      </c>
      <c r="AB65" s="126">
        <f t="shared" si="15"/>
        <v>3.4088140294422305E-8</v>
      </c>
      <c r="AC65" s="126" t="str">
        <f t="shared" si="7"/>
        <v>Vlow exceeds VIL spec</v>
      </c>
      <c r="AD65" s="126">
        <f t="shared" si="8"/>
        <v>5.4151340308706354E-8</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2.3489257658684622E-8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3.7172077601140743E-8</v>
      </c>
      <c r="T66">
        <v>100</v>
      </c>
      <c r="U66">
        <v>47</v>
      </c>
      <c r="V66">
        <f t="shared" si="11"/>
        <v>0</v>
      </c>
      <c r="W66">
        <f t="shared" si="12"/>
        <v>4700</v>
      </c>
      <c r="X66">
        <f t="shared" si="5"/>
        <v>4230</v>
      </c>
      <c r="Y66">
        <f t="shared" si="6"/>
        <v>5170</v>
      </c>
      <c r="Z66">
        <f t="shared" si="13"/>
        <v>0</v>
      </c>
      <c r="AA66" s="126">
        <f t="shared" si="14"/>
        <v>2.3489257658684622E-8</v>
      </c>
      <c r="AB66" s="126">
        <f t="shared" si="15"/>
        <v>3.7172077601140743E-8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3.6527146650277372E-8</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2.5624644716942152E-8</v>
      </c>
      <c r="S67" s="126">
        <f t="shared" si="17"/>
        <v>4.0256014907505916E-8</v>
      </c>
      <c r="T67">
        <v>100</v>
      </c>
      <c r="U67">
        <v>56</v>
      </c>
      <c r="V67">
        <f t="shared" si="11"/>
        <v>0</v>
      </c>
      <c r="W67">
        <f t="shared" si="12"/>
        <v>5600</v>
      </c>
      <c r="X67">
        <f t="shared" si="5"/>
        <v>5040</v>
      </c>
      <c r="Y67">
        <f t="shared" si="6"/>
        <v>6160.0000000000009</v>
      </c>
      <c r="Z67">
        <f t="shared" si="13"/>
        <v>0</v>
      </c>
      <c r="AA67" s="126">
        <f t="shared" si="14"/>
        <v>2.5624644716942152E-8</v>
      </c>
      <c r="AB67" s="126">
        <f t="shared" si="15"/>
        <v>4.0256014907505916E-8</v>
      </c>
      <c r="AC67" s="126" t="str">
        <f t="shared" si="18"/>
        <v>Vlow exceeds VIL spec</v>
      </c>
      <c r="AD67" s="126">
        <f t="shared" si="19"/>
        <v>3.09432381885188E-8</v>
      </c>
    </row>
    <row r="68" spans="1:31" ht="28.4" customHeight="1" x14ac:dyDescent="0.35">
      <c r="B68" s="32" t="s">
        <v>355</v>
      </c>
      <c r="C68" s="32" t="s">
        <v>356</v>
      </c>
      <c r="D68" s="32" t="s">
        <v>357</v>
      </c>
      <c r="E68" s="32" t="str">
        <f>IF(Summary!K37="absolute","find min R2, so that max (Vz) = " &amp; TRUNC(R3/J2,3),"find min R2, so that max (Vz) = " &amp; R3)</f>
        <v>find min R2, so that max (Vz) = 0.3</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2.8827725303821282E-8</v>
      </c>
      <c r="S68" s="126">
        <f t="shared" si="17"/>
        <v>4.4881920866391328E-8</v>
      </c>
      <c r="T68">
        <v>100</v>
      </c>
      <c r="U68">
        <v>68</v>
      </c>
      <c r="V68">
        <f t="shared" si="11"/>
        <v>0</v>
      </c>
      <c r="W68">
        <f t="shared" si="12"/>
        <v>6800</v>
      </c>
      <c r="X68">
        <f t="shared" si="5"/>
        <v>6120</v>
      </c>
      <c r="Y68">
        <f t="shared" si="6"/>
        <v>7480.0000000000009</v>
      </c>
      <c r="Z68">
        <f t="shared" si="13"/>
        <v>0</v>
      </c>
      <c r="AA68" s="126">
        <f t="shared" si="14"/>
        <v>2.8827725303821282E-8</v>
      </c>
      <c r="AB68" s="126">
        <f t="shared" si="15"/>
        <v>4.4881920866391328E-8</v>
      </c>
      <c r="AC68" s="126" t="str">
        <f t="shared" si="18"/>
        <v>Vlow exceeds VIL spec</v>
      </c>
      <c r="AD68" s="126">
        <f t="shared" si="19"/>
        <v>2.6690323903987102E-8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3.2030805890091832E-8</v>
      </c>
      <c r="S69" s="126">
        <f t="shared" si="17"/>
        <v>4.9507826824481939E-8</v>
      </c>
      <c r="T69">
        <v>100</v>
      </c>
      <c r="U69">
        <v>82</v>
      </c>
      <c r="V69">
        <f t="shared" si="11"/>
        <v>0</v>
      </c>
      <c r="W69">
        <f t="shared" si="12"/>
        <v>8200</v>
      </c>
      <c r="X69">
        <f t="shared" si="5"/>
        <v>7380</v>
      </c>
      <c r="Y69">
        <f t="shared" si="6"/>
        <v>9020</v>
      </c>
      <c r="Z69">
        <f t="shared" si="13"/>
        <v>0</v>
      </c>
      <c r="AA69" s="126">
        <f t="shared" si="14"/>
        <v>3.2030805890091832E-8</v>
      </c>
      <c r="AB69" s="126">
        <f t="shared" si="15"/>
        <v>4.9507826824481939E-8</v>
      </c>
      <c r="AC69" s="126" t="str">
        <f t="shared" si="18"/>
        <v>Vlow exceeds VIL spec</v>
      </c>
      <c r="AD69" s="126">
        <f t="shared" si="19"/>
        <v>2.4265750207190182E-8</v>
      </c>
    </row>
    <row r="70" spans="1:31" x14ac:dyDescent="0.35">
      <c r="A70" t="s">
        <v>320</v>
      </c>
      <c r="B70" s="11">
        <f>F11*(1+H11)</f>
        <v>493.5</v>
      </c>
      <c r="C70" s="11">
        <f>F11*(1-H11)</f>
        <v>446.5</v>
      </c>
      <c r="D70" s="11">
        <f>F11*(1+H11)</f>
        <v>493.5</v>
      </c>
      <c r="E70" s="11"/>
      <c r="F70" s="11">
        <f>F11*(1-H11)</f>
        <v>446.5</v>
      </c>
      <c r="G70" s="11">
        <f>F11*(1-H11)</f>
        <v>446.5</v>
      </c>
      <c r="H70" s="11">
        <f>F11*(1+H11)</f>
        <v>493.5</v>
      </c>
      <c r="K70">
        <v>10</v>
      </c>
      <c r="L70">
        <v>33</v>
      </c>
      <c r="M70">
        <f t="shared" si="9"/>
        <v>0</v>
      </c>
      <c r="N70">
        <f t="shared" si="0"/>
        <v>330</v>
      </c>
      <c r="O70">
        <f t="shared" si="1"/>
        <v>313.5</v>
      </c>
      <c r="P70">
        <f t="shared" si="2"/>
        <v>346.5</v>
      </c>
      <c r="Q70">
        <f t="shared" si="10"/>
        <v>0</v>
      </c>
      <c r="R70" s="126">
        <f t="shared" si="16"/>
        <v>3.5233886475753796E-8</v>
      </c>
      <c r="S70" s="126">
        <f t="shared" si="17"/>
        <v>5.4133732781777735E-8</v>
      </c>
      <c r="T70">
        <v>1000</v>
      </c>
      <c r="U70">
        <v>10</v>
      </c>
      <c r="V70">
        <f t="shared" si="11"/>
        <v>0</v>
      </c>
      <c r="W70">
        <f t="shared" si="12"/>
        <v>10000</v>
      </c>
      <c r="X70">
        <f t="shared" si="5"/>
        <v>9000</v>
      </c>
      <c r="Y70">
        <f t="shared" si="6"/>
        <v>11000</v>
      </c>
      <c r="Z70">
        <f t="shared" si="13"/>
        <v>0</v>
      </c>
      <c r="AA70" s="126">
        <f t="shared" si="14"/>
        <v>3.5233886475753796E-8</v>
      </c>
      <c r="AB70" s="126">
        <f t="shared" si="15"/>
        <v>5.4133732781777735E-8</v>
      </c>
      <c r="AC70" s="126" t="str">
        <f t="shared" si="18"/>
        <v>Vlow exceeds VIL spec</v>
      </c>
      <c r="AD70" s="126">
        <f t="shared" si="19"/>
        <v>2.267132037879959E-8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3.8436967060807173E-8</v>
      </c>
      <c r="S71" s="126">
        <f t="shared" si="17"/>
        <v>5.8759638738278703E-8</v>
      </c>
      <c r="T71">
        <v>1000</v>
      </c>
      <c r="U71">
        <v>12</v>
      </c>
      <c r="V71">
        <f t="shared" si="11"/>
        <v>0</v>
      </c>
      <c r="W71">
        <f t="shared" si="12"/>
        <v>12000</v>
      </c>
      <c r="X71">
        <f t="shared" si="5"/>
        <v>10800</v>
      </c>
      <c r="Y71">
        <f t="shared" si="6"/>
        <v>13200.000000000002</v>
      </c>
      <c r="Z71">
        <f t="shared" si="13"/>
        <v>0</v>
      </c>
      <c r="AA71" s="126">
        <f t="shared" si="14"/>
        <v>3.8436967060807173E-8</v>
      </c>
      <c r="AB71" s="126">
        <f t="shared" si="15"/>
        <v>5.8759638738278703E-8</v>
      </c>
      <c r="AC71" s="126" t="str">
        <f t="shared" si="18"/>
        <v>Vlow exceeds VIL spec</v>
      </c>
      <c r="AD71" s="126">
        <f t="shared" si="19"/>
        <v>2.1535691902436299E-8</v>
      </c>
    </row>
    <row r="72" spans="1:31" x14ac:dyDescent="0.35">
      <c r="A72" t="s">
        <v>324</v>
      </c>
      <c r="B72" s="1">
        <f>K21*MIN(K25,K24)</f>
        <v>0</v>
      </c>
      <c r="C72" s="1">
        <f>K21*MAX(K25,K24)</f>
        <v>22.122405384810769</v>
      </c>
      <c r="D72" s="1">
        <f>K21*MIN(K25,K24)</f>
        <v>0</v>
      </c>
      <c r="E72" s="1">
        <f>K21*MAX(K25,K24)</f>
        <v>22.122405384810769</v>
      </c>
      <c r="F72" s="125">
        <f>K21*MAX(K25,K24)</f>
        <v>22.122405384810769</v>
      </c>
      <c r="G72" s="125">
        <f>K22*MAX(K25,K24)</f>
        <v>16.31240538481077</v>
      </c>
      <c r="H72" s="1">
        <f>K22*MIN(K25,K24)</f>
        <v>0</v>
      </c>
      <c r="K72">
        <v>10</v>
      </c>
      <c r="L72">
        <v>39</v>
      </c>
      <c r="M72">
        <f t="shared" si="9"/>
        <v>0</v>
      </c>
      <c r="N72">
        <f t="shared" si="0"/>
        <v>390</v>
      </c>
      <c r="O72">
        <f t="shared" si="1"/>
        <v>370.5</v>
      </c>
      <c r="P72">
        <f t="shared" si="2"/>
        <v>409.5</v>
      </c>
      <c r="Q72">
        <f t="shared" si="10"/>
        <v>0</v>
      </c>
      <c r="R72" s="126">
        <f t="shared" si="16"/>
        <v>4.164004764525197E-8</v>
      </c>
      <c r="S72" s="126">
        <f t="shared" si="17"/>
        <v>6.338554469398485E-8</v>
      </c>
      <c r="T72">
        <v>1000</v>
      </c>
      <c r="U72">
        <v>15</v>
      </c>
      <c r="V72">
        <f t="shared" si="11"/>
        <v>0</v>
      </c>
      <c r="W72">
        <f t="shared" si="12"/>
        <v>15000</v>
      </c>
      <c r="X72">
        <f t="shared" si="5"/>
        <v>13500</v>
      </c>
      <c r="Y72">
        <f t="shared" si="6"/>
        <v>16500</v>
      </c>
      <c r="Z72">
        <f t="shared" si="13"/>
        <v>0</v>
      </c>
      <c r="AA72" s="126">
        <f t="shared" si="14"/>
        <v>4.164004764525197E-8</v>
      </c>
      <c r="AB72" s="126">
        <f t="shared" si="15"/>
        <v>6.338554469398485E-8</v>
      </c>
      <c r="AC72" s="126" t="str">
        <f t="shared" si="18"/>
        <v>Vlow exceeds VIL spec</v>
      </c>
      <c r="AD72" s="126">
        <f t="shared" si="19"/>
        <v>2.0683462949057473E-8</v>
      </c>
    </row>
    <row r="73" spans="1:31" x14ac:dyDescent="0.35">
      <c r="A73" t="s">
        <v>327</v>
      </c>
      <c r="B73" s="1">
        <f>K21-B72</f>
        <v>22.122405384810769</v>
      </c>
      <c r="C73" s="1">
        <f>K21-C72</f>
        <v>0</v>
      </c>
      <c r="D73" s="1">
        <f>K21-D72</f>
        <v>22.122405384810769</v>
      </c>
      <c r="E73" s="1">
        <f>K21-E72</f>
        <v>0</v>
      </c>
      <c r="F73" s="1">
        <f>K21-F72</f>
        <v>0</v>
      </c>
      <c r="G73" s="1">
        <f>K22-G72</f>
        <v>0</v>
      </c>
      <c r="H73" s="1">
        <f>K22-H72</f>
        <v>16.31240538481077</v>
      </c>
      <c r="K73">
        <v>10</v>
      </c>
      <c r="L73">
        <v>43</v>
      </c>
      <c r="M73">
        <f t="shared" si="9"/>
        <v>0</v>
      </c>
      <c r="N73">
        <f t="shared" si="0"/>
        <v>430</v>
      </c>
      <c r="O73">
        <f t="shared" si="1"/>
        <v>408.5</v>
      </c>
      <c r="P73">
        <f t="shared" si="2"/>
        <v>451.5</v>
      </c>
      <c r="Q73">
        <f t="shared" si="10"/>
        <v>0</v>
      </c>
      <c r="R73" s="126">
        <f t="shared" si="16"/>
        <v>4.5910821756898344E-8</v>
      </c>
      <c r="S73" s="126">
        <f t="shared" si="17"/>
        <v>6.9553419300356691E-8</v>
      </c>
      <c r="T73">
        <v>1000</v>
      </c>
      <c r="U73">
        <v>18</v>
      </c>
      <c r="V73">
        <f t="shared" si="11"/>
        <v>0</v>
      </c>
      <c r="W73">
        <f t="shared" si="12"/>
        <v>18000</v>
      </c>
      <c r="X73">
        <f t="shared" si="5"/>
        <v>16200</v>
      </c>
      <c r="Y73">
        <f t="shared" si="6"/>
        <v>19800</v>
      </c>
      <c r="Z73">
        <f t="shared" si="13"/>
        <v>0</v>
      </c>
      <c r="AA73" s="126">
        <f t="shared" si="14"/>
        <v>4.5910821756898344E-8</v>
      </c>
      <c r="AB73" s="126">
        <f t="shared" si="15"/>
        <v>6.9553419300356691E-8</v>
      </c>
      <c r="AC73" s="126">
        <f t="shared" si="18"/>
        <v>8.4190164749000968E-8</v>
      </c>
      <c r="AD73" s="126">
        <f t="shared" si="19"/>
        <v>1.9829653558442411E-8</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9"/>
        <v>1</v>
      </c>
      <c r="N74">
        <f t="shared" si="0"/>
        <v>470</v>
      </c>
      <c r="O74">
        <f t="shared" si="1"/>
        <v>446.5</v>
      </c>
      <c r="P74">
        <f t="shared" si="2"/>
        <v>493.5</v>
      </c>
      <c r="Q74">
        <f t="shared" si="10"/>
        <v>1</v>
      </c>
      <c r="R74" s="126">
        <f t="shared" si="16"/>
        <v>5.0181595867462772E-8</v>
      </c>
      <c r="S74" s="126">
        <f t="shared" si="17"/>
        <v>7.5721293905315535E-8</v>
      </c>
      <c r="T74">
        <v>1000</v>
      </c>
      <c r="U74">
        <v>22</v>
      </c>
      <c r="V74">
        <f t="shared" si="11"/>
        <v>0</v>
      </c>
      <c r="W74">
        <f t="shared" si="12"/>
        <v>22000</v>
      </c>
      <c r="X74">
        <f t="shared" si="5"/>
        <v>19800</v>
      </c>
      <c r="Y74">
        <f t="shared" si="6"/>
        <v>24200.000000000004</v>
      </c>
      <c r="Z74">
        <f t="shared" si="13"/>
        <v>0</v>
      </c>
      <c r="AA74" s="126">
        <f t="shared" si="14"/>
        <v>5.0181595867462772E-8</v>
      </c>
      <c r="AB74" s="126">
        <f t="shared" si="15"/>
        <v>7.5721293905315535E-8</v>
      </c>
      <c r="AC74" s="126">
        <f t="shared" si="18"/>
        <v>6.7610736447944935E-8</v>
      </c>
      <c r="AD74" s="126">
        <f t="shared" si="19"/>
        <v>1.9187892331616471E-8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2</v>
      </c>
      <c r="N75">
        <f t="shared" si="0"/>
        <v>510</v>
      </c>
      <c r="O75">
        <f t="shared" si="1"/>
        <v>484.5</v>
      </c>
      <c r="P75">
        <f t="shared" si="2"/>
        <v>535.5</v>
      </c>
      <c r="Q75">
        <f t="shared" si="10"/>
        <v>0</v>
      </c>
      <c r="R75" s="126">
        <f t="shared" si="16"/>
        <v>5.4452369976945294E-8</v>
      </c>
      <c r="S75" s="126">
        <f t="shared" si="17"/>
        <v>8.1889168508861356E-8</v>
      </c>
      <c r="T75">
        <v>1000</v>
      </c>
      <c r="U75">
        <v>27</v>
      </c>
      <c r="V75">
        <f t="shared" si="11"/>
        <v>0</v>
      </c>
      <c r="W75">
        <f t="shared" si="12"/>
        <v>27000</v>
      </c>
      <c r="X75">
        <f t="shared" si="5"/>
        <v>24300</v>
      </c>
      <c r="Y75">
        <f t="shared" si="6"/>
        <v>29700.000000000004</v>
      </c>
      <c r="Z75">
        <f t="shared" si="13"/>
        <v>0</v>
      </c>
      <c r="AA75" s="126">
        <f t="shared" si="14"/>
        <v>5.4452369976945294E-8</v>
      </c>
      <c r="AB75" s="126">
        <f t="shared" si="15"/>
        <v>8.1889168508861356E-8</v>
      </c>
      <c r="AC75" s="126">
        <f t="shared" si="18"/>
        <v>5.9554878189908215E-8</v>
      </c>
      <c r="AD75" s="126">
        <f t="shared" si="19"/>
        <v>1.8687875799101287E-8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2</v>
      </c>
      <c r="N76">
        <f t="shared" si="0"/>
        <v>560</v>
      </c>
      <c r="O76">
        <f t="shared" si="1"/>
        <v>532</v>
      </c>
      <c r="P76">
        <f t="shared" si="2"/>
        <v>588</v>
      </c>
      <c r="Q76">
        <f t="shared" si="10"/>
        <v>0</v>
      </c>
      <c r="R76" s="126">
        <f t="shared" si="16"/>
        <v>5.9790837612276972E-8</v>
      </c>
      <c r="S76" s="126">
        <f t="shared" si="17"/>
        <v>8.9599011761306616E-8</v>
      </c>
      <c r="T76">
        <v>1000</v>
      </c>
      <c r="U76">
        <v>33</v>
      </c>
      <c r="V76">
        <f t="shared" si="11"/>
        <v>0</v>
      </c>
      <c r="W76">
        <f t="shared" si="12"/>
        <v>33000</v>
      </c>
      <c r="X76">
        <f t="shared" si="5"/>
        <v>29700</v>
      </c>
      <c r="Y76">
        <f t="shared" si="6"/>
        <v>36300</v>
      </c>
      <c r="Z76">
        <f t="shared" si="13"/>
        <v>0</v>
      </c>
      <c r="AA76" s="126">
        <f t="shared" si="14"/>
        <v>5.9790837612276972E-8</v>
      </c>
      <c r="AB76" s="126">
        <f t="shared" si="15"/>
        <v>8.9599011761306616E-8</v>
      </c>
      <c r="AC76" s="126">
        <f t="shared" si="18"/>
        <v>5.3537928576241831E-8</v>
      </c>
      <c r="AD76" s="126">
        <f t="shared" si="19"/>
        <v>1.8199419067008791E-8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2</v>
      </c>
      <c r="N77">
        <f t="shared" si="0"/>
        <v>620</v>
      </c>
      <c r="O77">
        <f t="shared" si="1"/>
        <v>589</v>
      </c>
      <c r="P77">
        <f t="shared" si="2"/>
        <v>651</v>
      </c>
      <c r="Q77">
        <f t="shared" si="10"/>
        <v>0</v>
      </c>
      <c r="R77" s="126">
        <f t="shared" si="16"/>
        <v>6.6196998772443504E-8</v>
      </c>
      <c r="S77" s="126">
        <f t="shared" si="17"/>
        <v>9.8850823661326581E-8</v>
      </c>
      <c r="T77">
        <v>1000</v>
      </c>
      <c r="U77">
        <v>39</v>
      </c>
      <c r="V77">
        <f t="shared" si="11"/>
        <v>0</v>
      </c>
      <c r="W77">
        <f t="shared" si="12"/>
        <v>39000</v>
      </c>
      <c r="X77">
        <f t="shared" si="5"/>
        <v>35100</v>
      </c>
      <c r="Y77">
        <f t="shared" si="6"/>
        <v>42900</v>
      </c>
      <c r="Z77">
        <f t="shared" si="13"/>
        <v>0</v>
      </c>
      <c r="AA77" s="126">
        <f t="shared" si="14"/>
        <v>6.6196998772443504E-8</v>
      </c>
      <c r="AB77" s="126">
        <f t="shared" si="15"/>
        <v>9.8850823661326581E-8</v>
      </c>
      <c r="AC77" s="126">
        <f t="shared" si="18"/>
        <v>4.8999183440991455E-8</v>
      </c>
      <c r="AD77" s="126">
        <f t="shared" si="19"/>
        <v>1.7750081246593485E-8</v>
      </c>
    </row>
    <row r="78" spans="1:31" x14ac:dyDescent="0.35">
      <c r="A78" t="s">
        <v>344</v>
      </c>
      <c r="B78">
        <v>1</v>
      </c>
      <c r="C78">
        <v>1</v>
      </c>
      <c r="D78">
        <v>1</v>
      </c>
      <c r="E78">
        <v>1</v>
      </c>
      <c r="F78">
        <v>1</v>
      </c>
      <c r="G78">
        <v>1</v>
      </c>
      <c r="H78">
        <v>1</v>
      </c>
      <c r="K78">
        <v>10</v>
      </c>
      <c r="L78">
        <v>68</v>
      </c>
      <c r="M78">
        <f t="shared" si="9"/>
        <v>2</v>
      </c>
      <c r="N78">
        <f t="shared" si="0"/>
        <v>680</v>
      </c>
      <c r="O78">
        <f t="shared" si="1"/>
        <v>646</v>
      </c>
      <c r="P78">
        <f t="shared" si="2"/>
        <v>714</v>
      </c>
      <c r="Q78">
        <f t="shared" si="10"/>
        <v>0</v>
      </c>
      <c r="R78" s="126">
        <f t="shared" si="16"/>
        <v>7.2603159930175676E-8</v>
      </c>
      <c r="S78" s="126">
        <f t="shared" si="17"/>
        <v>1.081026355581673E-7</v>
      </c>
      <c r="T78">
        <v>1000</v>
      </c>
      <c r="U78">
        <v>47</v>
      </c>
      <c r="V78">
        <f t="shared" si="11"/>
        <v>0</v>
      </c>
      <c r="W78">
        <f t="shared" si="12"/>
        <v>47000</v>
      </c>
      <c r="X78">
        <f t="shared" si="5"/>
        <v>42300</v>
      </c>
      <c r="Y78">
        <f t="shared" si="6"/>
        <v>51700.000000000007</v>
      </c>
      <c r="Z78">
        <f t="shared" si="13"/>
        <v>0</v>
      </c>
      <c r="AA78" s="126">
        <f t="shared" si="14"/>
        <v>7.2603159930175676E-8</v>
      </c>
      <c r="AB78" s="126">
        <f t="shared" si="15"/>
        <v>1.081026355581673E-7</v>
      </c>
      <c r="AC78" s="126">
        <f t="shared" si="18"/>
        <v>4.5950822496414923E-8</v>
      </c>
      <c r="AD78" s="126">
        <f t="shared" si="19"/>
        <v>1.7402410263216009E-8</v>
      </c>
    </row>
    <row r="79" spans="1:31" x14ac:dyDescent="0.35">
      <c r="A79" t="s">
        <v>345</v>
      </c>
      <c r="B79">
        <v>1</v>
      </c>
      <c r="C79">
        <v>1</v>
      </c>
      <c r="D79">
        <v>1</v>
      </c>
      <c r="E79">
        <v>1</v>
      </c>
      <c r="F79">
        <v>1</v>
      </c>
      <c r="G79">
        <v>1</v>
      </c>
      <c r="H79">
        <v>1</v>
      </c>
      <c r="K79">
        <v>10</v>
      </c>
      <c r="L79">
        <v>75</v>
      </c>
      <c r="M79">
        <f t="shared" si="9"/>
        <v>2</v>
      </c>
      <c r="N79">
        <f t="shared" si="0"/>
        <v>750</v>
      </c>
      <c r="O79">
        <f t="shared" si="1"/>
        <v>712.5</v>
      </c>
      <c r="P79">
        <f t="shared" si="2"/>
        <v>787.5</v>
      </c>
      <c r="Q79">
        <f t="shared" si="10"/>
        <v>0</v>
      </c>
      <c r="R79" s="126">
        <f t="shared" si="16"/>
        <v>8.0077014611119853E-8</v>
      </c>
      <c r="S79" s="126">
        <f t="shared" si="17"/>
        <v>1.1889641610046324E-7</v>
      </c>
      <c r="T79">
        <v>1000</v>
      </c>
      <c r="U79">
        <v>56</v>
      </c>
      <c r="V79">
        <f t="shared" si="11"/>
        <v>0</v>
      </c>
      <c r="W79">
        <f t="shared" si="12"/>
        <v>56000</v>
      </c>
      <c r="X79">
        <f t="shared" si="5"/>
        <v>50400</v>
      </c>
      <c r="Y79">
        <f t="shared" si="6"/>
        <v>61600.000000000007</v>
      </c>
      <c r="Z79">
        <f t="shared" si="13"/>
        <v>0</v>
      </c>
      <c r="AA79" s="126">
        <f t="shared" si="14"/>
        <v>8.0077014611119853E-8</v>
      </c>
      <c r="AB79" s="126">
        <f t="shared" si="15"/>
        <v>1.1889641610046324E-7</v>
      </c>
      <c r="AC79" s="126">
        <f t="shared" si="18"/>
        <v>4.3441074102987132E-8</v>
      </c>
      <c r="AD79" s="126">
        <f t="shared" si="19"/>
        <v>1.7084792183429048E-8</v>
      </c>
      <c r="AE79" s="128"/>
    </row>
    <row r="80" spans="1:31" x14ac:dyDescent="0.35">
      <c r="A80" t="s">
        <v>346</v>
      </c>
      <c r="B80">
        <v>1</v>
      </c>
      <c r="C80">
        <v>1</v>
      </c>
      <c r="D80">
        <v>1</v>
      </c>
      <c r="E80">
        <v>1</v>
      </c>
      <c r="F80">
        <v>1</v>
      </c>
      <c r="G80">
        <v>1</v>
      </c>
      <c r="H80">
        <v>1</v>
      </c>
      <c r="K80">
        <v>10</v>
      </c>
      <c r="L80">
        <v>82</v>
      </c>
      <c r="M80">
        <f t="shared" si="9"/>
        <v>2</v>
      </c>
      <c r="N80">
        <f t="shared" si="0"/>
        <v>820</v>
      </c>
      <c r="O80">
        <f t="shared" si="1"/>
        <v>779</v>
      </c>
      <c r="P80">
        <f t="shared" si="2"/>
        <v>861</v>
      </c>
      <c r="Q80">
        <f t="shared" si="10"/>
        <v>0</v>
      </c>
      <c r="R80" s="126">
        <f t="shared" si="16"/>
        <v>8.7550869288750583E-8</v>
      </c>
      <c r="S80" s="126">
        <f t="shared" si="17"/>
        <v>1.2969019663843186E-7</v>
      </c>
      <c r="T80">
        <v>1000</v>
      </c>
      <c r="U80">
        <v>68</v>
      </c>
      <c r="V80">
        <f t="shared" si="11"/>
        <v>0</v>
      </c>
      <c r="W80">
        <f>U80*T80</f>
        <v>68000</v>
      </c>
      <c r="X80">
        <f t="shared" si="5"/>
        <v>61200</v>
      </c>
      <c r="Y80">
        <f t="shared" si="6"/>
        <v>74800</v>
      </c>
      <c r="Z80">
        <f t="shared" si="13"/>
        <v>0</v>
      </c>
      <c r="AA80" s="126">
        <f t="shared" si="14"/>
        <v>8.7550869288750583E-8</v>
      </c>
      <c r="AB80" s="126">
        <f t="shared" si="15"/>
        <v>1.2969019663843186E-7</v>
      </c>
      <c r="AC80" s="126">
        <f t="shared" si="18"/>
        <v>4.1612929555228208E-8</v>
      </c>
      <c r="AD80" s="126">
        <f t="shared" si="19"/>
        <v>1.6833743548326138E-8</v>
      </c>
      <c r="AE80" s="128"/>
    </row>
    <row r="81" spans="1:31" x14ac:dyDescent="0.35">
      <c r="K81">
        <v>10</v>
      </c>
      <c r="L81">
        <v>91</v>
      </c>
      <c r="M81">
        <f t="shared" si="9"/>
        <v>2</v>
      </c>
      <c r="N81">
        <f t="shared" si="0"/>
        <v>910</v>
      </c>
      <c r="O81">
        <f t="shared" si="1"/>
        <v>864.5</v>
      </c>
      <c r="P81">
        <f t="shared" si="2"/>
        <v>955.5</v>
      </c>
      <c r="Q81">
        <f t="shared" si="10"/>
        <v>0</v>
      </c>
      <c r="R81" s="126">
        <f t="shared" si="16"/>
        <v>9.716011101226428E-8</v>
      </c>
      <c r="S81" s="126">
        <f t="shared" si="17"/>
        <v>1.4356791446660439E-7</v>
      </c>
      <c r="T81">
        <v>1000</v>
      </c>
      <c r="U81">
        <v>82</v>
      </c>
      <c r="V81">
        <f t="shared" si="11"/>
        <v>0</v>
      </c>
      <c r="W81">
        <f t="shared" ref="W81" si="20">U81*T81</f>
        <v>82000</v>
      </c>
      <c r="X81">
        <f t="shared" si="5"/>
        <v>73800</v>
      </c>
      <c r="Y81">
        <f t="shared" si="6"/>
        <v>90200.000000000015</v>
      </c>
      <c r="Z81">
        <f t="shared" si="13"/>
        <v>0</v>
      </c>
      <c r="AA81" s="126">
        <f t="shared" si="14"/>
        <v>9.716011101226428E-8</v>
      </c>
      <c r="AB81" s="126">
        <f t="shared" si="15"/>
        <v>1.4356791446660439E-7</v>
      </c>
      <c r="AC81" s="126">
        <f t="shared" si="18"/>
        <v>3.9881328074834623E-8</v>
      </c>
      <c r="AD81" s="126">
        <f t="shared" si="19"/>
        <v>1.6579228193525719E-8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0.99999945057030259</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0.21057154575934106</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0.13192611196361273</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0.84963265568815516</v>
      </c>
      <c r="F82" s="13"/>
      <c r="K82">
        <v>100</v>
      </c>
      <c r="L82">
        <v>10</v>
      </c>
      <c r="M82">
        <f>IF(AND(Q81=1,Q82=0),Q82+M81+1, Q82+M81)</f>
        <v>2</v>
      </c>
      <c r="N82">
        <f t="shared" si="0"/>
        <v>1000</v>
      </c>
      <c r="O82">
        <f t="shared" si="1"/>
        <v>950</v>
      </c>
      <c r="P82">
        <f t="shared" si="2"/>
        <v>1050</v>
      </c>
      <c r="Q82">
        <f t="shared" si="10"/>
        <v>0</v>
      </c>
      <c r="R82" s="126">
        <f t="shared" si="16"/>
        <v>1.0676935273030072E-7</v>
      </c>
      <c r="S82" s="126">
        <f t="shared" si="17"/>
        <v>1.5744563228762362E-7</v>
      </c>
      <c r="V82">
        <f t="shared" si="11"/>
        <v>0</v>
      </c>
      <c r="W82">
        <v>9999999</v>
      </c>
      <c r="AA82" s="126">
        <f t="shared" si="14"/>
        <v>1.0676935273030072E-7</v>
      </c>
      <c r="AB82" s="126">
        <f t="shared" si="15"/>
        <v>1.5744563228762362E-7</v>
      </c>
      <c r="AC82" s="126">
        <f t="shared" si="18"/>
        <v>3.8595950916244348E-8</v>
      </c>
      <c r="AD82" s="126">
        <f t="shared" si="19"/>
        <v>1.6378922491204073E-8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0.99999945057030259</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0.24783833852652642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0.13192611196361273</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2</v>
      </c>
      <c r="N83">
        <f t="shared" si="0"/>
        <v>1100</v>
      </c>
      <c r="O83">
        <f t="shared" si="1"/>
        <v>1045</v>
      </c>
      <c r="P83">
        <f t="shared" si="2"/>
        <v>1155</v>
      </c>
      <c r="Q83">
        <f t="shared" si="10"/>
        <v>0</v>
      </c>
      <c r="R83" s="126">
        <f t="shared" si="16"/>
        <v>1.1744628796613945E-7</v>
      </c>
      <c r="S83" s="126">
        <f t="shared" si="17"/>
        <v>1.7286531874703305E-7</v>
      </c>
      <c r="AA83" s="126">
        <f t="shared" si="14"/>
        <v>1.1744628796613945E-7</v>
      </c>
      <c r="AB83" s="126">
        <f t="shared" si="15"/>
        <v>1.7286531874703305E-7</v>
      </c>
      <c r="AC83" s="126">
        <f t="shared" si="18"/>
        <v>3.7507679641525603E-8</v>
      </c>
      <c r="AD83" s="126">
        <f t="shared" si="19"/>
        <v>1.6201176842157476E-8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0.99999945054572226</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0.24783833852652642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0.13192611197782803</v>
      </c>
      <c r="E84" s="12">
        <f>IF(Summary!K37="absolute",(R3-N7)/(J2+J2*Summary!K17),R3-N7)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0.24783833860899557</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0.24040389489408978</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0.13192611197409471</v>
      </c>
      <c r="K84">
        <v>100</v>
      </c>
      <c r="L84">
        <v>12</v>
      </c>
      <c r="M84">
        <f t="shared" si="21"/>
        <v>2</v>
      </c>
      <c r="N84">
        <f t="shared" si="0"/>
        <v>1200</v>
      </c>
      <c r="O84">
        <f t="shared" si="1"/>
        <v>1140</v>
      </c>
      <c r="P84">
        <f t="shared" si="2"/>
        <v>1260</v>
      </c>
      <c r="Q84">
        <f t="shared" si="10"/>
        <v>0</v>
      </c>
      <c r="R84" s="126">
        <f t="shared" si="16"/>
        <v>1.2812322319521616E-7</v>
      </c>
      <c r="S84" s="126">
        <f t="shared" si="17"/>
        <v>1.8828500519761124E-7</v>
      </c>
      <c r="AA84" s="126">
        <f t="shared" si="14"/>
        <v>1.2812322319521616E-7</v>
      </c>
      <c r="AB84" s="126">
        <f t="shared" si="15"/>
        <v>1.8828500519761124E-7</v>
      </c>
      <c r="AC84" s="126">
        <f t="shared" si="18"/>
        <v>3.6661973931497824E-8</v>
      </c>
      <c r="AD84" s="126">
        <f t="shared" si="19"/>
        <v>1.6057544557862603E-8</v>
      </c>
      <c r="AE84" s="128"/>
    </row>
    <row r="85" spans="1:31" x14ac:dyDescent="0.35">
      <c r="E85" s="73"/>
      <c r="K85">
        <v>100</v>
      </c>
      <c r="L85">
        <v>13</v>
      </c>
      <c r="M85">
        <f t="shared" si="21"/>
        <v>2</v>
      </c>
      <c r="N85">
        <f t="shared" si="0"/>
        <v>1300</v>
      </c>
      <c r="O85">
        <f t="shared" si="1"/>
        <v>1235</v>
      </c>
      <c r="P85">
        <f t="shared" si="2"/>
        <v>1365</v>
      </c>
      <c r="Q85">
        <f t="shared" si="10"/>
        <v>0</v>
      </c>
      <c r="R85" s="126">
        <f t="shared" si="16"/>
        <v>1.388001584175308E-7</v>
      </c>
      <c r="S85" s="126">
        <f t="shared" si="17"/>
        <v>2.037046916393581E-7</v>
      </c>
      <c r="AA85" s="126">
        <f t="shared" si="14"/>
        <v>1.388001584175308E-7</v>
      </c>
      <c r="AB85" s="126">
        <f t="shared" si="15"/>
        <v>2.037046916393581E-7</v>
      </c>
      <c r="AC85" s="126">
        <f t="shared" si="18"/>
        <v>3.5986119150275242E-8</v>
      </c>
      <c r="AD85" s="126">
        <f t="shared" si="19"/>
        <v>1.5939095645576317E-8</v>
      </c>
      <c r="AE85" s="128"/>
    </row>
    <row r="86" spans="1:31" x14ac:dyDescent="0.35">
      <c r="K86">
        <v>100</v>
      </c>
      <c r="L86">
        <v>15</v>
      </c>
      <c r="M86">
        <f t="shared" si="21"/>
        <v>2</v>
      </c>
      <c r="N86">
        <f t="shared" si="0"/>
        <v>1500</v>
      </c>
      <c r="O86">
        <f t="shared" si="1"/>
        <v>1425</v>
      </c>
      <c r="P86">
        <f t="shared" si="2"/>
        <v>1575</v>
      </c>
      <c r="Q86">
        <f t="shared" si="10"/>
        <v>0</v>
      </c>
      <c r="R86" s="126">
        <f t="shared" si="16"/>
        <v>1.601540288418739E-7</v>
      </c>
      <c r="S86" s="126">
        <f t="shared" si="17"/>
        <v>2.3454406449635806E-7</v>
      </c>
      <c r="AA86" s="126">
        <f t="shared" si="14"/>
        <v>1.601540288418739E-7</v>
      </c>
      <c r="AB86" s="126">
        <f t="shared" si="15"/>
        <v>2.3454406449635806E-7</v>
      </c>
      <c r="AC86" s="126">
        <f t="shared" si="18"/>
        <v>3.497415210146848E-8</v>
      </c>
      <c r="AD86" s="126">
        <f t="shared" si="19"/>
        <v>1.5755270338754209E-8</v>
      </c>
      <c r="AE86" s="128"/>
    </row>
    <row r="87" spans="1:31" x14ac:dyDescent="0.35">
      <c r="B87" s="171" t="s">
        <v>362</v>
      </c>
      <c r="C87" s="171"/>
      <c r="K87">
        <v>100</v>
      </c>
      <c r="L87">
        <v>16</v>
      </c>
      <c r="M87">
        <f t="shared" si="21"/>
        <v>2</v>
      </c>
      <c r="N87">
        <f t="shared" si="0"/>
        <v>1600</v>
      </c>
      <c r="O87">
        <f t="shared" si="1"/>
        <v>1520</v>
      </c>
      <c r="P87">
        <f t="shared" si="2"/>
        <v>1680</v>
      </c>
      <c r="Q87">
        <f t="shared" si="10"/>
        <v>0</v>
      </c>
      <c r="R87" s="126">
        <f t="shared" si="16"/>
        <v>1.7083096404390233E-7</v>
      </c>
      <c r="S87" s="126">
        <f t="shared" si="17"/>
        <v>2.4996375091161105E-7</v>
      </c>
      <c r="AA87" s="126">
        <f t="shared" si="14"/>
        <v>1.7083096404390233E-7</v>
      </c>
      <c r="AB87" s="126">
        <f t="shared" si="15"/>
        <v>2.4996375091161105E-7</v>
      </c>
      <c r="AC87" s="126">
        <f t="shared" si="18"/>
        <v>3.4585738570292988E-8</v>
      </c>
      <c r="AD87" s="126">
        <f t="shared" si="19"/>
        <v>1.5682537838179881E-8</v>
      </c>
      <c r="AE87" s="128"/>
    </row>
    <row r="88" spans="1:31" ht="29" x14ac:dyDescent="0.35">
      <c r="B88" t="s">
        <v>355</v>
      </c>
      <c r="C88" t="s">
        <v>363</v>
      </c>
      <c r="D88" t="s">
        <v>364</v>
      </c>
      <c r="E88" s="32" t="str">
        <f>IF(Summary!K37="absolute","find min R2, so that max (Vx) = " &amp; TRUNC(R2/J3,3),"find min R2, so that max (Vx) = " &amp; R2)</f>
        <v>find min R2, so that max (Vx) = 0.3</v>
      </c>
      <c r="F88" s="32" t="s">
        <v>365</v>
      </c>
      <c r="G88" s="32" t="s">
        <v>366</v>
      </c>
      <c r="H88" s="32" t="s">
        <v>367</v>
      </c>
      <c r="K88">
        <v>100</v>
      </c>
      <c r="L88">
        <v>18</v>
      </c>
      <c r="M88">
        <f t="shared" si="21"/>
        <v>2</v>
      </c>
      <c r="N88">
        <f t="shared" si="0"/>
        <v>1800</v>
      </c>
      <c r="O88">
        <f t="shared" si="1"/>
        <v>1710</v>
      </c>
      <c r="P88">
        <f t="shared" si="2"/>
        <v>1890</v>
      </c>
      <c r="Q88">
        <f t="shared" si="10"/>
        <v>0</v>
      </c>
      <c r="R88" s="126">
        <f t="shared" si="16"/>
        <v>1.9218483442767305E-7</v>
      </c>
      <c r="S88" s="126">
        <f t="shared" si="17"/>
        <v>2.8080312371562333E-7</v>
      </c>
      <c r="AA88" s="126">
        <f t="shared" si="14"/>
        <v>1.9218483442767305E-7</v>
      </c>
      <c r="AB88" s="126">
        <f t="shared" si="15"/>
        <v>2.8080312371562333E-7</v>
      </c>
      <c r="AC88" s="126">
        <f t="shared" si="18"/>
        <v>3.3965534162755705E-8</v>
      </c>
      <c r="AD88" s="126">
        <f t="shared" si="19"/>
        <v>1.556374742580091E-8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2</v>
      </c>
      <c r="N89">
        <f t="shared" si="0"/>
        <v>2000</v>
      </c>
      <c r="O89">
        <f t="shared" si="1"/>
        <v>1900</v>
      </c>
      <c r="P89">
        <f t="shared" si="2"/>
        <v>2100</v>
      </c>
      <c r="Q89">
        <f t="shared" si="10"/>
        <v>0</v>
      </c>
      <c r="R89" s="126">
        <f t="shared" si="16"/>
        <v>2.1353870478439558E-7</v>
      </c>
      <c r="S89" s="126">
        <f t="shared" si="17"/>
        <v>3.1164249648431063E-7</v>
      </c>
      <c r="AA89" s="126">
        <f t="shared" si="14"/>
        <v>2.1353870478439558E-7</v>
      </c>
      <c r="AB89" s="126">
        <f t="shared" si="15"/>
        <v>3.1164249648431063E-7</v>
      </c>
      <c r="AC89" s="126">
        <f t="shared" si="18"/>
        <v>3.3492554700530166E-8</v>
      </c>
      <c r="AD89" s="126">
        <f t="shared" si="19"/>
        <v>1.5470856383132501E-8</v>
      </c>
      <c r="AE89" s="128"/>
    </row>
    <row r="90" spans="1:31" x14ac:dyDescent="0.35">
      <c r="A90" t="s">
        <v>320</v>
      </c>
      <c r="B90" s="11">
        <f>F11*(1+H11)</f>
        <v>493.5</v>
      </c>
      <c r="C90" s="11">
        <f>F11*(1-H11)</f>
        <v>446.5</v>
      </c>
      <c r="D90" s="11">
        <f>F11*(1+H11)</f>
        <v>493.5</v>
      </c>
      <c r="E90" s="11"/>
      <c r="F90" s="11">
        <f>F11*(1-H11)</f>
        <v>446.5</v>
      </c>
      <c r="G90">
        <f>F11*(1-H11)</f>
        <v>446.5</v>
      </c>
      <c r="H90">
        <f>F11*(1+H11)</f>
        <v>493.5</v>
      </c>
      <c r="K90">
        <v>100</v>
      </c>
      <c r="L90">
        <v>22</v>
      </c>
      <c r="M90">
        <f t="shared" si="21"/>
        <v>2</v>
      </c>
      <c r="N90">
        <f t="shared" si="0"/>
        <v>2200</v>
      </c>
      <c r="O90">
        <f t="shared" si="1"/>
        <v>2090</v>
      </c>
      <c r="P90">
        <f t="shared" si="2"/>
        <v>2310</v>
      </c>
      <c r="Q90">
        <f t="shared" si="10"/>
        <v>0</v>
      </c>
      <c r="R90" s="126">
        <f t="shared" si="16"/>
        <v>2.3489257511406977E-7</v>
      </c>
      <c r="S90" s="126">
        <f t="shared" si="17"/>
        <v>3.4248186921767268E-7</v>
      </c>
      <c r="AA90" s="126">
        <f t="shared" si="14"/>
        <v>2.3489257511406977E-7</v>
      </c>
      <c r="AB90" s="126">
        <f t="shared" si="15"/>
        <v>3.4248186921767268E-7</v>
      </c>
      <c r="AC90" s="126">
        <f t="shared" si="18"/>
        <v>3.3120121205617166E-8</v>
      </c>
      <c r="AD90" s="126">
        <f t="shared" si="19"/>
        <v>1.5396240302582438E-8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2</v>
      </c>
      <c r="N91">
        <f t="shared" si="0"/>
        <v>2400</v>
      </c>
      <c r="O91">
        <f t="shared" si="1"/>
        <v>2280</v>
      </c>
      <c r="P91">
        <f t="shared" si="2"/>
        <v>2520</v>
      </c>
      <c r="Q91">
        <f t="shared" si="10"/>
        <v>0</v>
      </c>
      <c r="R91" s="126">
        <f t="shared" si="16"/>
        <v>2.562464454166958E-7</v>
      </c>
      <c r="S91" s="126">
        <f t="shared" si="17"/>
        <v>3.733212419157097E-7</v>
      </c>
      <c r="AA91" s="126">
        <f t="shared" si="14"/>
        <v>2.562464454166958E-7</v>
      </c>
      <c r="AB91" s="126">
        <f t="shared" si="15"/>
        <v>3.733212419157097E-7</v>
      </c>
      <c r="AC91" s="126">
        <f t="shared" si="18"/>
        <v>3.2819360619643584E-8</v>
      </c>
      <c r="AD91" s="126">
        <f t="shared" si="19"/>
        <v>1.5334996651654713E-8</v>
      </c>
      <c r="AE91" s="128"/>
    </row>
    <row r="92" spans="1:31" x14ac:dyDescent="0.35">
      <c r="A92" t="s">
        <v>324</v>
      </c>
      <c r="B92" s="1">
        <f>K21-B93</f>
        <v>22.122405384810769</v>
      </c>
      <c r="C92" s="1">
        <f>K21-C93</f>
        <v>0</v>
      </c>
      <c r="D92" s="1">
        <f>K21-D93</f>
        <v>22.122405384810769</v>
      </c>
      <c r="E92" s="1">
        <f>K21-E93</f>
        <v>0</v>
      </c>
      <c r="F92" s="1">
        <f>K21-F93</f>
        <v>0</v>
      </c>
      <c r="G92" s="1">
        <f>K22-G93</f>
        <v>0</v>
      </c>
      <c r="H92" s="1">
        <f>K22-H93</f>
        <v>16.31240538481077</v>
      </c>
      <c r="K92">
        <v>100</v>
      </c>
      <c r="L92">
        <v>27</v>
      </c>
      <c r="M92">
        <f t="shared" si="21"/>
        <v>2</v>
      </c>
      <c r="N92">
        <f t="shared" si="0"/>
        <v>2700</v>
      </c>
      <c r="O92">
        <f t="shared" si="1"/>
        <v>2565</v>
      </c>
      <c r="P92">
        <f t="shared" si="2"/>
        <v>2835</v>
      </c>
      <c r="Q92">
        <f t="shared" si="10"/>
        <v>0</v>
      </c>
      <c r="R92" s="126">
        <f t="shared" si="16"/>
        <v>2.8827725081991944E-7</v>
      </c>
      <c r="S92" s="126">
        <f t="shared" si="17"/>
        <v>4.1958030089653062E-7</v>
      </c>
      <c r="AA92" s="126">
        <f t="shared" si="14"/>
        <v>2.8827725081991944E-7</v>
      </c>
      <c r="AB92" s="126">
        <f t="shared" si="15"/>
        <v>4.1958030089653062E-7</v>
      </c>
      <c r="AC92" s="126">
        <f t="shared" si="18"/>
        <v>3.2463184917664269E-8</v>
      </c>
      <c r="AD92" s="126">
        <f t="shared" si="19"/>
        <v>1.5261281237018844E-8</v>
      </c>
      <c r="AE92" s="128"/>
    </row>
    <row r="93" spans="1:31" x14ac:dyDescent="0.35">
      <c r="A93" t="s">
        <v>327</v>
      </c>
      <c r="B93" s="1">
        <f>K21*(1-MAX(K25,K24))</f>
        <v>0</v>
      </c>
      <c r="C93" s="1">
        <f>K21*(1-MIN(K25,K24))</f>
        <v>22.122405384810769</v>
      </c>
      <c r="D93" s="1">
        <f>K21*(1-MAX(K25,K24))</f>
        <v>0</v>
      </c>
      <c r="E93" s="1">
        <f>K21*(1-MIN(K25,K24))</f>
        <v>22.122405384810769</v>
      </c>
      <c r="F93" s="125">
        <f>K21*(1-MIN(K25,K24))</f>
        <v>22.122405384810769</v>
      </c>
      <c r="G93" s="125">
        <f>K22*(1-MIN(K25,K24))</f>
        <v>16.31240538481077</v>
      </c>
      <c r="H93" s="1">
        <f>K22*(1-MAX(K25,K24))</f>
        <v>0</v>
      </c>
      <c r="K93">
        <v>100</v>
      </c>
      <c r="L93">
        <v>30</v>
      </c>
      <c r="M93">
        <f t="shared" si="21"/>
        <v>2</v>
      </c>
      <c r="N93">
        <f t="shared" si="0"/>
        <v>3000</v>
      </c>
      <c r="O93">
        <f t="shared" si="1"/>
        <v>2850</v>
      </c>
      <c r="P93">
        <f t="shared" si="2"/>
        <v>3150</v>
      </c>
      <c r="Q93">
        <f t="shared" si="10"/>
        <v>0</v>
      </c>
      <c r="R93" s="126">
        <f t="shared" si="16"/>
        <v>3.2030805616228445E-7</v>
      </c>
      <c r="S93" s="126">
        <f t="shared" si="17"/>
        <v>4.6583935979787004E-7</v>
      </c>
      <c r="AA93" s="126">
        <f t="shared" si="14"/>
        <v>3.2030805616228445E-7</v>
      </c>
      <c r="AB93" s="126">
        <f t="shared" si="15"/>
        <v>4.6583935979787004E-7</v>
      </c>
      <c r="AC93" s="126">
        <f t="shared" si="18"/>
        <v>3.2186988677318983E-8</v>
      </c>
      <c r="AD93" s="126">
        <f t="shared" si="19"/>
        <v>1.5203197094615374E-8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2</v>
      </c>
      <c r="N94">
        <f t="shared" si="0"/>
        <v>3300</v>
      </c>
      <c r="O94">
        <f t="shared" si="1"/>
        <v>3135</v>
      </c>
      <c r="P94">
        <f t="shared" si="2"/>
        <v>3465</v>
      </c>
      <c r="Q94">
        <f t="shared" si="10"/>
        <v>0</v>
      </c>
      <c r="R94" s="126">
        <f t="shared" si="16"/>
        <v>3.5233886144379104E-7</v>
      </c>
      <c r="S94" s="126">
        <f t="shared" si="17"/>
        <v>5.1209841861972807E-7</v>
      </c>
      <c r="AA94" s="126">
        <f t="shared" si="14"/>
        <v>3.5233886144379104E-7</v>
      </c>
      <c r="AB94" s="126">
        <f t="shared" si="15"/>
        <v>5.1209841861972807E-7</v>
      </c>
      <c r="AC94" s="126">
        <f t="shared" si="18"/>
        <v>3.1966614940810943E-8</v>
      </c>
      <c r="AD94" s="126">
        <f t="shared" si="19"/>
        <v>1.5156253048192477E-8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2</v>
      </c>
      <c r="N95">
        <f t="shared" si="0"/>
        <v>3600</v>
      </c>
      <c r="O95">
        <f t="shared" si="1"/>
        <v>3420</v>
      </c>
      <c r="P95">
        <f t="shared" si="2"/>
        <v>3780</v>
      </c>
      <c r="Q95">
        <f t="shared" si="10"/>
        <v>0</v>
      </c>
      <c r="R95" s="126">
        <f t="shared" si="16"/>
        <v>3.8436966666443901E-7</v>
      </c>
      <c r="S95" s="126">
        <f t="shared" si="17"/>
        <v>5.5835747736210461E-7</v>
      </c>
      <c r="AA95" s="126">
        <f t="shared" si="14"/>
        <v>3.8436966666443901E-7</v>
      </c>
      <c r="AB95" s="126">
        <f t="shared" si="15"/>
        <v>5.5835747736210461E-7</v>
      </c>
      <c r="AC95" s="126">
        <f t="shared" si="18"/>
        <v>3.1786729647632731E-8</v>
      </c>
      <c r="AD95" s="126">
        <f t="shared" si="19"/>
        <v>1.5117526989217646E-8</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1"/>
        <v>2</v>
      </c>
      <c r="N96">
        <f t="shared" si="0"/>
        <v>3900</v>
      </c>
      <c r="O96">
        <f t="shared" si="1"/>
        <v>3705</v>
      </c>
      <c r="P96">
        <f t="shared" si="2"/>
        <v>4095</v>
      </c>
      <c r="Q96">
        <f t="shared" si="10"/>
        <v>0</v>
      </c>
      <c r="R96" s="126">
        <f t="shared" si="16"/>
        <v>4.164004718242285E-7</v>
      </c>
      <c r="S96" s="126">
        <f t="shared" si="17"/>
        <v>6.0461653602499949E-7</v>
      </c>
      <c r="AA96" s="126">
        <f t="shared" si="14"/>
        <v>4.164004718242285E-7</v>
      </c>
      <c r="AB96" s="126">
        <f t="shared" si="15"/>
        <v>6.0461653602499949E-7</v>
      </c>
      <c r="AC96" s="126">
        <f t="shared" si="18"/>
        <v>3.1637135261742631E-8</v>
      </c>
      <c r="AD96" s="126">
        <f t="shared" si="19"/>
        <v>1.5085036034674045E-8</v>
      </c>
      <c r="AE96" s="128"/>
    </row>
    <row r="97" spans="1:31" x14ac:dyDescent="0.35">
      <c r="K97">
        <v>100</v>
      </c>
      <c r="L97">
        <v>43</v>
      </c>
      <c r="M97">
        <f t="shared" si="21"/>
        <v>2</v>
      </c>
      <c r="N97">
        <f t="shared" si="0"/>
        <v>4300</v>
      </c>
      <c r="O97">
        <f t="shared" si="1"/>
        <v>4085</v>
      </c>
      <c r="P97">
        <f t="shared" si="2"/>
        <v>4515</v>
      </c>
      <c r="Q97">
        <f t="shared" si="10"/>
        <v>0</v>
      </c>
      <c r="R97" s="126">
        <f t="shared" si="16"/>
        <v>4.5910821194261226E-7</v>
      </c>
      <c r="S97" s="126">
        <f t="shared" si="17"/>
        <v>6.6629528078522168E-7</v>
      </c>
      <c r="AA97" s="126">
        <f t="shared" si="14"/>
        <v>4.5910821194261226E-7</v>
      </c>
      <c r="AB97" s="126">
        <f t="shared" si="15"/>
        <v>6.6629528078522168E-7</v>
      </c>
      <c r="AC97" s="126">
        <f t="shared" si="18"/>
        <v>3.147292797815912E-8</v>
      </c>
      <c r="AD97" s="126">
        <f t="shared" si="19"/>
        <v>1.5049064814408641E-8</v>
      </c>
      <c r="AE97" s="128"/>
    </row>
    <row r="98" spans="1:31" x14ac:dyDescent="0.35">
      <c r="A98" t="s">
        <v>344</v>
      </c>
      <c r="B98">
        <v>1</v>
      </c>
      <c r="C98">
        <v>1</v>
      </c>
      <c r="D98">
        <v>1</v>
      </c>
      <c r="E98">
        <v>1</v>
      </c>
      <c r="F98">
        <v>1</v>
      </c>
      <c r="G98">
        <v>1</v>
      </c>
      <c r="H98">
        <v>1</v>
      </c>
      <c r="K98">
        <v>100</v>
      </c>
      <c r="L98">
        <v>47</v>
      </c>
      <c r="M98">
        <f t="shared" si="21"/>
        <v>2</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5.0181595195280307E-7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7.2797402540414363E-7</v>
      </c>
      <c r="AA98" s="126">
        <f t="shared" si="14"/>
        <v>5.0181595195280307E-7</v>
      </c>
      <c r="AB98" s="126">
        <f t="shared" si="15"/>
        <v>7.2797402540414363E-7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3.133886229436258E-8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1.501945304358674E-8</v>
      </c>
      <c r="AE98" s="128"/>
    </row>
    <row r="99" spans="1:31" x14ac:dyDescent="0.35">
      <c r="A99" t="s">
        <v>345</v>
      </c>
      <c r="B99">
        <v>1</v>
      </c>
      <c r="C99">
        <v>1</v>
      </c>
      <c r="D99">
        <v>1</v>
      </c>
      <c r="E99">
        <v>1</v>
      </c>
      <c r="F99">
        <v>1</v>
      </c>
      <c r="G99">
        <v>1</v>
      </c>
      <c r="H99">
        <v>1</v>
      </c>
      <c r="K99">
        <v>100</v>
      </c>
      <c r="L99">
        <v>51</v>
      </c>
      <c r="M99">
        <f t="shared" si="21"/>
        <v>2</v>
      </c>
      <c r="N99">
        <f t="shared" si="23"/>
        <v>5100</v>
      </c>
      <c r="O99">
        <f t="shared" si="24"/>
        <v>4845</v>
      </c>
      <c r="P99">
        <f t="shared" si="25"/>
        <v>5355</v>
      </c>
      <c r="Q99">
        <f t="shared" ref="Q99:Q129" si="30">IF($Q$2="N/A",IF(AND((O99&gt;=MAX($H$7:$I$7)),(P99&lt;=MIN($F$7:$G$7)),(P99&lt;=MIN($B$7:$C$7)),(O99&gt;=MAX($D$7:$E$7))),1,0),IF(AND((O99&gt;=MAX($I$7)),(P99&lt;=MIN($G$7)),(P99&lt;=MIN($C$7)),(O99&gt;=MAX($E$7))),1,0))</f>
        <v>0</v>
      </c>
      <c r="R99" s="126">
        <f t="shared" si="26"/>
        <v>5.445236918548012E-7</v>
      </c>
      <c r="S99" s="126">
        <f t="shared" si="27"/>
        <v>7.8965276988176502E-7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7.8965276988176502E-7</v>
      </c>
      <c r="AC99" s="126">
        <f t="shared" si="28"/>
        <v>3.1227347704013168E-8</v>
      </c>
      <c r="AD99" s="126">
        <f t="shared" si="29"/>
        <v>1.4994651912230556E-8</v>
      </c>
      <c r="AE99" s="128"/>
    </row>
    <row r="100" spans="1:31" x14ac:dyDescent="0.35">
      <c r="A100" t="s">
        <v>346</v>
      </c>
      <c r="B100">
        <v>1</v>
      </c>
      <c r="C100">
        <v>1</v>
      </c>
      <c r="D100">
        <v>1</v>
      </c>
      <c r="E100">
        <v>1</v>
      </c>
      <c r="F100">
        <v>1</v>
      </c>
      <c r="G100">
        <v>1</v>
      </c>
      <c r="H100">
        <v>1</v>
      </c>
      <c r="K100">
        <v>100</v>
      </c>
      <c r="L100">
        <v>56</v>
      </c>
      <c r="M100">
        <f t="shared" si="21"/>
        <v>2</v>
      </c>
      <c r="N100">
        <f t="shared" si="23"/>
        <v>5600</v>
      </c>
      <c r="O100">
        <f t="shared" si="24"/>
        <v>5320</v>
      </c>
      <c r="P100">
        <f t="shared" si="25"/>
        <v>5880</v>
      </c>
      <c r="Q100">
        <f t="shared" si="30"/>
        <v>0</v>
      </c>
      <c r="R100" s="126">
        <f t="shared" si="26"/>
        <v>5.9790836658015212E-7</v>
      </c>
      <c r="S100" s="126">
        <f t="shared" si="27"/>
        <v>8.6675120028008819E-7</v>
      </c>
      <c r="AA100" s="126">
        <f t="shared" si="31"/>
        <v>5.9790836658015212E-7</v>
      </c>
      <c r="AB100" s="126">
        <f t="shared" si="32"/>
        <v>8.6675120028008819E-7</v>
      </c>
      <c r="AC100" s="126">
        <f t="shared" si="28"/>
        <v>3.111183300975116E-8</v>
      </c>
      <c r="AD100" s="126">
        <f t="shared" si="29"/>
        <v>1.4968794776980358E-8</v>
      </c>
      <c r="AE100" s="128"/>
    </row>
    <row r="101" spans="1:31" x14ac:dyDescent="0.35">
      <c r="K101">
        <v>100</v>
      </c>
      <c r="L101">
        <v>62</v>
      </c>
      <c r="M101">
        <f t="shared" si="21"/>
        <v>2</v>
      </c>
      <c r="N101">
        <f t="shared" si="23"/>
        <v>6200</v>
      </c>
      <c r="O101">
        <f t="shared" si="24"/>
        <v>5890</v>
      </c>
      <c r="P101">
        <f t="shared" si="25"/>
        <v>6510</v>
      </c>
      <c r="Q101">
        <f t="shared" si="30"/>
        <v>0</v>
      </c>
      <c r="R101" s="126">
        <f t="shared" si="26"/>
        <v>6.6196997602742545E-7</v>
      </c>
      <c r="S101" s="126">
        <f t="shared" si="27"/>
        <v>9.5926931646664373E-7</v>
      </c>
      <c r="AA101" s="126">
        <f t="shared" si="31"/>
        <v>6.6196997602742545E-7</v>
      </c>
      <c r="AB101" s="126">
        <f t="shared" si="32"/>
        <v>9.5926931646664373E-7</v>
      </c>
      <c r="AC101" s="126">
        <f t="shared" si="28"/>
        <v>3.0999272581654659E-8</v>
      </c>
      <c r="AD101" s="126">
        <f t="shared" si="29"/>
        <v>1.4943432934232937E-8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0.99999945054572204</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0.13906534043266167</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4.8216006516977349E-2</v>
      </c>
      <c r="E102" s="12">
        <f>IF(Summary!K50="absolute",(R2-N7)/(J3+J3*Summary!K18),R2-N7)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0.13906534047588012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0.12931122819145446</v>
      </c>
      <c r="H102" s="12">
        <f t="shared" si="33"/>
        <v>4.8216006512261475E-2</v>
      </c>
      <c r="K102">
        <v>100</v>
      </c>
      <c r="L102">
        <v>68</v>
      </c>
      <c r="M102">
        <f t="shared" si="21"/>
        <v>2</v>
      </c>
      <c r="N102">
        <f t="shared" si="23"/>
        <v>6800</v>
      </c>
      <c r="O102">
        <f t="shared" si="24"/>
        <v>6460</v>
      </c>
      <c r="P102">
        <f t="shared" si="25"/>
        <v>7140</v>
      </c>
      <c r="Q102">
        <f t="shared" si="30"/>
        <v>0</v>
      </c>
      <c r="R102" s="126">
        <f t="shared" si="26"/>
        <v>7.2603158523126469E-7</v>
      </c>
      <c r="S102" s="126">
        <f t="shared" si="27"/>
        <v>1.0517874323352736E-6</v>
      </c>
      <c r="AA102" s="126">
        <f t="shared" si="31"/>
        <v>7.2603158523126469E-7</v>
      </c>
      <c r="AB102" s="126">
        <f t="shared" si="32"/>
        <v>1.0517874323352736E-6</v>
      </c>
      <c r="AC102" s="126">
        <f t="shared" si="28"/>
        <v>3.0907654816947022E-8</v>
      </c>
      <c r="AD102" s="126">
        <f t="shared" si="29"/>
        <v>1.4922666639486469E-8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0.99999945057030259</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0.13906534043266167</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4.8216006499020928E-2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0.13906534047588012</v>
      </c>
      <c r="K103">
        <v>100</v>
      </c>
      <c r="L103">
        <v>75</v>
      </c>
      <c r="M103">
        <f t="shared" si="21"/>
        <v>2</v>
      </c>
      <c r="N103">
        <f t="shared" si="23"/>
        <v>7500</v>
      </c>
      <c r="O103">
        <f t="shared" si="24"/>
        <v>7125</v>
      </c>
      <c r="P103">
        <f t="shared" si="25"/>
        <v>7875</v>
      </c>
      <c r="Q103">
        <f t="shared" si="30"/>
        <v>0</v>
      </c>
      <c r="R103" s="126">
        <f t="shared" si="26"/>
        <v>8.0077012899473694E-7</v>
      </c>
      <c r="S103" s="126">
        <f t="shared" si="27"/>
        <v>1.1597252337801854E-6</v>
      </c>
      <c r="AA103" s="126">
        <f t="shared" si="31"/>
        <v>8.0077012899473694E-7</v>
      </c>
      <c r="AB103" s="126">
        <f t="shared" si="32"/>
        <v>1.1597252337801854E-6</v>
      </c>
      <c r="AC103" s="126">
        <f t="shared" si="28"/>
        <v>3.0820207881123618E-8</v>
      </c>
      <c r="AD103" s="126">
        <f t="shared" si="29"/>
        <v>1.4902740798407659E-8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0.99999945057030259</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9.6409250156693369E-2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4.8216006499020928E-2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0.69326584066218677</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9.6409250202053154E-2</v>
      </c>
      <c r="K104">
        <v>100</v>
      </c>
      <c r="L104">
        <v>82</v>
      </c>
      <c r="M104">
        <f t="shared" si="21"/>
        <v>2</v>
      </c>
      <c r="N104">
        <f t="shared" si="23"/>
        <v>8200</v>
      </c>
      <c r="O104">
        <f t="shared" si="24"/>
        <v>7790</v>
      </c>
      <c r="P104">
        <f t="shared" si="25"/>
        <v>8610</v>
      </c>
      <c r="Q104">
        <f t="shared" si="30"/>
        <v>0</v>
      </c>
      <c r="R104" s="126">
        <f t="shared" si="26"/>
        <v>8.7550867242686811E-7</v>
      </c>
      <c r="S104" s="126">
        <f t="shared" si="27"/>
        <v>1.2676630347923645E-6</v>
      </c>
      <c r="AA104" s="126">
        <f t="shared" si="31"/>
        <v>8.7550867242686811E-7</v>
      </c>
      <c r="AB104" s="126">
        <f t="shared" si="32"/>
        <v>1.2676630347923645E-6</v>
      </c>
      <c r="AC104" s="126">
        <f t="shared" si="28"/>
        <v>3.0748364766963295E-8</v>
      </c>
      <c r="AD104" s="126">
        <f t="shared" si="29"/>
        <v>1.4886292634436777E-8</v>
      </c>
      <c r="AE104" s="128"/>
    </row>
    <row r="105" spans="1:31" x14ac:dyDescent="0.35">
      <c r="K105">
        <v>100</v>
      </c>
      <c r="L105">
        <v>91</v>
      </c>
      <c r="M105">
        <f t="shared" si="21"/>
        <v>2</v>
      </c>
      <c r="N105">
        <f t="shared" si="23"/>
        <v>9100</v>
      </c>
      <c r="O105">
        <f t="shared" si="24"/>
        <v>8645</v>
      </c>
      <c r="P105">
        <f t="shared" si="25"/>
        <v>9555</v>
      </c>
      <c r="Q105">
        <f t="shared" si="30"/>
        <v>0</v>
      </c>
      <c r="R105" s="126">
        <f t="shared" si="26"/>
        <v>9.7160108492416891E-7</v>
      </c>
      <c r="S105" s="126">
        <f t="shared" si="27"/>
        <v>1.4064402068864574E-6</v>
      </c>
      <c r="AA105" s="126">
        <f t="shared" si="31"/>
        <v>9.7160108492416891E-7</v>
      </c>
      <c r="AB105" s="126">
        <f t="shared" si="32"/>
        <v>1.4064402068864574E-6</v>
      </c>
      <c r="AC105" s="126">
        <f t="shared" si="28"/>
        <v>3.0672896784878734E-8</v>
      </c>
      <c r="AD105" s="126">
        <f t="shared" si="29"/>
        <v>1.4868937856034448E-8</v>
      </c>
      <c r="AE105" s="128"/>
    </row>
    <row r="106" spans="1:31" x14ac:dyDescent="0.35">
      <c r="K106">
        <v>1000</v>
      </c>
      <c r="L106">
        <v>10</v>
      </c>
      <c r="M106">
        <f t="shared" si="21"/>
        <v>2</v>
      </c>
      <c r="N106">
        <f t="shared" si="23"/>
        <v>10000</v>
      </c>
      <c r="O106">
        <f t="shared" si="24"/>
        <v>9500</v>
      </c>
      <c r="P106">
        <f t="shared" si="25"/>
        <v>10500</v>
      </c>
      <c r="Q106">
        <f t="shared" si="30"/>
        <v>0</v>
      </c>
      <c r="R106" s="126">
        <f t="shared" si="26"/>
        <v>1.0676934968737427E-6</v>
      </c>
      <c r="S106" s="126">
        <f t="shared" si="27"/>
        <v>1.5452173782652172E-6</v>
      </c>
      <c r="AA106" s="126">
        <f t="shared" si="31"/>
        <v>1.0676934968737427E-6</v>
      </c>
      <c r="AB106" s="126">
        <f t="shared" si="32"/>
        <v>1.5452173782652172E-6</v>
      </c>
      <c r="AC106" s="126">
        <f t="shared" si="28"/>
        <v>3.0611516550866336E-8</v>
      </c>
      <c r="AD106" s="126">
        <f t="shared" si="29"/>
        <v>1.4854764002145509E-8</v>
      </c>
      <c r="AE106" s="128"/>
    </row>
    <row r="107" spans="1:31" x14ac:dyDescent="0.35">
      <c r="K107">
        <v>1000</v>
      </c>
      <c r="L107">
        <v>11</v>
      </c>
      <c r="M107">
        <f t="shared" si="21"/>
        <v>2</v>
      </c>
      <c r="N107">
        <f t="shared" si="23"/>
        <v>11000</v>
      </c>
      <c r="O107">
        <f t="shared" si="24"/>
        <v>10450</v>
      </c>
      <c r="P107">
        <f t="shared" si="25"/>
        <v>11550</v>
      </c>
      <c r="Q107">
        <f t="shared" si="30"/>
        <v>0</v>
      </c>
      <c r="R107" s="126">
        <f t="shared" si="26"/>
        <v>1.1744628428419847E-6</v>
      </c>
      <c r="S107" s="126">
        <f t="shared" si="27"/>
        <v>1.6994142345137572E-6</v>
      </c>
      <c r="AA107" s="126">
        <f t="shared" si="31"/>
        <v>1.1744628428419847E-6</v>
      </c>
      <c r="AB107" s="126">
        <f t="shared" si="32"/>
        <v>1.6994142345137572E-6</v>
      </c>
      <c r="AC107" s="126">
        <f t="shared" si="28"/>
        <v>3.0555493659058899E-8</v>
      </c>
      <c r="AD107" s="126">
        <f t="shared" si="29"/>
        <v>1.484178071129256E-8</v>
      </c>
      <c r="AE107" s="128"/>
    </row>
    <row r="108" spans="1:31" x14ac:dyDescent="0.35">
      <c r="K108">
        <v>1000</v>
      </c>
      <c r="L108">
        <v>12</v>
      </c>
      <c r="M108">
        <f t="shared" si="21"/>
        <v>2</v>
      </c>
      <c r="N108">
        <f t="shared" si="23"/>
        <v>12000</v>
      </c>
      <c r="O108">
        <f t="shared" si="24"/>
        <v>11400</v>
      </c>
      <c r="P108">
        <f t="shared" si="25"/>
        <v>12600</v>
      </c>
      <c r="Q108">
        <f t="shared" si="30"/>
        <v>0</v>
      </c>
      <c r="R108" s="126">
        <f t="shared" si="26"/>
        <v>1.2812321881340211E-6</v>
      </c>
      <c r="S108" s="126">
        <f t="shared" si="27"/>
        <v>1.8536110898791696E-6</v>
      </c>
      <c r="AA108" s="126">
        <f t="shared" si="31"/>
        <v>1.2812321881340211E-6</v>
      </c>
      <c r="AB108" s="126">
        <f t="shared" si="32"/>
        <v>1.8536110898791696E-6</v>
      </c>
      <c r="AC108" s="126">
        <f t="shared" si="28"/>
        <v>3.050909687002924E-8</v>
      </c>
      <c r="AD108" s="126">
        <f t="shared" si="29"/>
        <v>1.4830994280829292E-8</v>
      </c>
      <c r="AE108" s="128"/>
    </row>
    <row r="109" spans="1:31" x14ac:dyDescent="0.35">
      <c r="K109">
        <v>1000</v>
      </c>
      <c r="L109">
        <v>13</v>
      </c>
      <c r="M109">
        <f t="shared" si="21"/>
        <v>2</v>
      </c>
      <c r="N109">
        <f t="shared" si="23"/>
        <v>13000</v>
      </c>
      <c r="O109">
        <f t="shared" si="24"/>
        <v>12350</v>
      </c>
      <c r="P109">
        <f t="shared" si="25"/>
        <v>13650</v>
      </c>
      <c r="Q109">
        <f t="shared" si="30"/>
        <v>0</v>
      </c>
      <c r="R109" s="126">
        <f t="shared" si="26"/>
        <v>1.3880015327498513E-6</v>
      </c>
      <c r="S109" s="126">
        <f t="shared" si="27"/>
        <v>2.0078079443614545E-6</v>
      </c>
      <c r="AA109" s="126">
        <f t="shared" si="31"/>
        <v>1.3880015327498513E-6</v>
      </c>
      <c r="AB109" s="126">
        <f t="shared" si="32"/>
        <v>2.0078079443614545E-6</v>
      </c>
      <c r="AC109" s="126">
        <f t="shared" si="28"/>
        <v>3.0470042138418982E-8</v>
      </c>
      <c r="AD109" s="126">
        <f t="shared" si="29"/>
        <v>1.4821890658904607E-8</v>
      </c>
      <c r="AE109" s="128"/>
    </row>
    <row r="110" spans="1:31" x14ac:dyDescent="0.35">
      <c r="K110">
        <v>1000</v>
      </c>
      <c r="L110">
        <v>15</v>
      </c>
      <c r="M110">
        <f t="shared" si="21"/>
        <v>2</v>
      </c>
      <c r="N110">
        <f t="shared" si="23"/>
        <v>15000</v>
      </c>
      <c r="O110">
        <f t="shared" si="24"/>
        <v>14250</v>
      </c>
      <c r="P110">
        <f t="shared" si="25"/>
        <v>15750</v>
      </c>
      <c r="Q110">
        <f t="shared" si="30"/>
        <v>0</v>
      </c>
      <c r="R110" s="126">
        <f t="shared" si="26"/>
        <v>1.6015402199528948E-6</v>
      </c>
      <c r="S110" s="126">
        <f t="shared" si="27"/>
        <v>2.3162016506766423E-6</v>
      </c>
      <c r="AA110" s="126">
        <f t="shared" si="31"/>
        <v>1.6015402199528948E-6</v>
      </c>
      <c r="AB110" s="126">
        <f t="shared" si="32"/>
        <v>2.3162016506766423E-6</v>
      </c>
      <c r="AC110" s="126">
        <f t="shared" si="28"/>
        <v>3.0407941550559234E-8</v>
      </c>
      <c r="AD110" s="126">
        <f t="shared" si="29"/>
        <v>1.4807369281535142E-8</v>
      </c>
      <c r="AE110" s="128"/>
    </row>
    <row r="111" spans="1:31" x14ac:dyDescent="0.35">
      <c r="K111">
        <v>1000</v>
      </c>
      <c r="L111">
        <v>16</v>
      </c>
      <c r="M111">
        <f t="shared" si="21"/>
        <v>2</v>
      </c>
      <c r="N111">
        <f t="shared" si="23"/>
        <v>16000</v>
      </c>
      <c r="O111">
        <f t="shared" si="24"/>
        <v>15200</v>
      </c>
      <c r="P111">
        <f t="shared" si="25"/>
        <v>16800</v>
      </c>
      <c r="Q111">
        <f t="shared" si="30"/>
        <v>0</v>
      </c>
      <c r="R111" s="126">
        <f t="shared" si="26"/>
        <v>1.7083095625401078E-6</v>
      </c>
      <c r="S111" s="126">
        <f t="shared" si="27"/>
        <v>2.4703985025095445E-6</v>
      </c>
      <c r="AA111" s="126">
        <f t="shared" si="31"/>
        <v>1.7083095625401078E-6</v>
      </c>
      <c r="AB111" s="126">
        <f t="shared" si="32"/>
        <v>2.4703985025095445E-6</v>
      </c>
      <c r="AC111" s="126">
        <f t="shared" si="28"/>
        <v>3.0382848592273084E-8</v>
      </c>
      <c r="AD111" s="126">
        <f t="shared" si="29"/>
        <v>1.4801485552201655E-8</v>
      </c>
      <c r="AE111" s="128"/>
    </row>
    <row r="112" spans="1:31" x14ac:dyDescent="0.35">
      <c r="K112">
        <v>1000</v>
      </c>
      <c r="L112">
        <v>18</v>
      </c>
      <c r="M112">
        <f t="shared" si="21"/>
        <v>2</v>
      </c>
      <c r="N112">
        <f t="shared" si="23"/>
        <v>18000</v>
      </c>
      <c r="O112">
        <f t="shared" si="24"/>
        <v>17100</v>
      </c>
      <c r="P112">
        <f t="shared" si="25"/>
        <v>18900</v>
      </c>
      <c r="Q112">
        <f t="shared" si="30"/>
        <v>0</v>
      </c>
      <c r="R112" s="126">
        <f t="shared" si="26"/>
        <v>1.9218482456859162E-6</v>
      </c>
      <c r="S112" s="126">
        <f t="shared" si="27"/>
        <v>2.7787922035259678E-6</v>
      </c>
      <c r="AA112" s="126">
        <f t="shared" si="31"/>
        <v>1.9218482456859162E-6</v>
      </c>
      <c r="AB112" s="126">
        <f t="shared" si="32"/>
        <v>2.7787922035259678E-6</v>
      </c>
      <c r="AC112" s="126">
        <f t="shared" si="28"/>
        <v>3.0341200010031012E-8</v>
      </c>
      <c r="AD112" s="126">
        <f t="shared" si="29"/>
        <v>1.4791699294501124E-8</v>
      </c>
      <c r="AE112" s="128"/>
    </row>
    <row r="113" spans="11:31" x14ac:dyDescent="0.35">
      <c r="K113">
        <v>1000</v>
      </c>
      <c r="L113">
        <v>20</v>
      </c>
      <c r="M113">
        <f t="shared" si="21"/>
        <v>2</v>
      </c>
      <c r="N113">
        <f t="shared" si="23"/>
        <v>20000</v>
      </c>
      <c r="O113">
        <f t="shared" si="24"/>
        <v>19000</v>
      </c>
      <c r="P113">
        <f t="shared" si="25"/>
        <v>21000</v>
      </c>
      <c r="Q113">
        <f t="shared" si="30"/>
        <v>0</v>
      </c>
      <c r="R113" s="126">
        <f t="shared" si="26"/>
        <v>2.1353869261269018E-6</v>
      </c>
      <c r="S113" s="126">
        <f t="shared" si="27"/>
        <v>3.0871859010098822E-6</v>
      </c>
      <c r="AA113" s="126">
        <f t="shared" si="31"/>
        <v>2.1353869261269018E-6</v>
      </c>
      <c r="AB113" s="126">
        <f t="shared" si="32"/>
        <v>3.0871859010098822E-6</v>
      </c>
      <c r="AC113" s="126">
        <f t="shared" si="28"/>
        <v>3.0308036273800165E-8</v>
      </c>
      <c r="AD113" s="126">
        <f t="shared" si="29"/>
        <v>1.4783888217990918E-8</v>
      </c>
      <c r="AE113" s="128"/>
    </row>
    <row r="114" spans="11:31" x14ac:dyDescent="0.35">
      <c r="K114">
        <v>1000</v>
      </c>
      <c r="L114">
        <v>22</v>
      </c>
      <c r="M114">
        <f t="shared" si="21"/>
        <v>2</v>
      </c>
      <c r="N114">
        <f t="shared" si="23"/>
        <v>22000</v>
      </c>
      <c r="O114">
        <f t="shared" si="24"/>
        <v>20900</v>
      </c>
      <c r="P114">
        <f t="shared" si="25"/>
        <v>23100</v>
      </c>
      <c r="Q114">
        <f t="shared" si="30"/>
        <v>0</v>
      </c>
      <c r="R114" s="126">
        <f t="shared" si="26"/>
        <v>2.3489256038630638E-6</v>
      </c>
      <c r="S114" s="126">
        <f t="shared" si="27"/>
        <v>3.3955795949612871E-6</v>
      </c>
      <c r="AA114" s="126">
        <f t="shared" si="31"/>
        <v>2.3489256038630638E-6</v>
      </c>
      <c r="AB114" s="126">
        <f t="shared" si="32"/>
        <v>3.3955795949612871E-6</v>
      </c>
      <c r="AC114" s="126">
        <f t="shared" si="28"/>
        <v>3.0281004480752634E-8</v>
      </c>
      <c r="AD114" s="126">
        <f t="shared" si="29"/>
        <v>1.4777509169676865E-8</v>
      </c>
      <c r="AE114" s="128"/>
    </row>
    <row r="115" spans="11:31" x14ac:dyDescent="0.35">
      <c r="K115">
        <v>1000</v>
      </c>
      <c r="L115">
        <v>24</v>
      </c>
      <c r="M115">
        <f t="shared" si="21"/>
        <v>2</v>
      </c>
      <c r="N115">
        <f t="shared" si="23"/>
        <v>24000</v>
      </c>
      <c r="O115">
        <f t="shared" si="24"/>
        <v>22800</v>
      </c>
      <c r="P115">
        <f t="shared" si="25"/>
        <v>25200</v>
      </c>
      <c r="Q115">
        <f t="shared" si="30"/>
        <v>0</v>
      </c>
      <c r="R115" s="126">
        <f t="shared" si="26"/>
        <v>2.5624642788944031E-6</v>
      </c>
      <c r="S115" s="126">
        <f t="shared" si="27"/>
        <v>3.7039732853801823E-6</v>
      </c>
      <c r="AA115" s="126">
        <f t="shared" si="31"/>
        <v>2.5624642788944031E-6</v>
      </c>
      <c r="AB115" s="126">
        <f t="shared" si="32"/>
        <v>3.7039732853801823E-6</v>
      </c>
      <c r="AC115" s="126">
        <f t="shared" si="28"/>
        <v>3.0258548012340636E-8</v>
      </c>
      <c r="AD115" s="126">
        <f t="shared" si="29"/>
        <v>1.4772201418705212E-8</v>
      </c>
      <c r="AE115" s="128"/>
    </row>
    <row r="116" spans="11:31" x14ac:dyDescent="0.35">
      <c r="K116">
        <v>1000</v>
      </c>
      <c r="L116">
        <v>27</v>
      </c>
      <c r="M116">
        <f t="shared" si="21"/>
        <v>2</v>
      </c>
      <c r="N116">
        <f t="shared" si="23"/>
        <v>27000</v>
      </c>
      <c r="O116">
        <f t="shared" si="24"/>
        <v>25650</v>
      </c>
      <c r="P116">
        <f t="shared" si="25"/>
        <v>28350</v>
      </c>
      <c r="Q116">
        <f t="shared" si="30"/>
        <v>0</v>
      </c>
      <c r="R116" s="126">
        <f t="shared" si="26"/>
        <v>2.8827722863698686E-6</v>
      </c>
      <c r="S116" s="126">
        <f t="shared" si="27"/>
        <v>4.1665638143850708E-6</v>
      </c>
      <c r="AA116" s="126">
        <f t="shared" si="31"/>
        <v>2.8827722863698686E-6</v>
      </c>
      <c r="AB116" s="126">
        <f t="shared" si="32"/>
        <v>4.1665638143850708E-6</v>
      </c>
      <c r="AC116" s="126">
        <f t="shared" si="28"/>
        <v>3.0231187419410354E-8</v>
      </c>
      <c r="AD116" s="126">
        <f t="shared" si="29"/>
        <v>1.4765724181434381E-8</v>
      </c>
      <c r="AE116" s="128"/>
    </row>
    <row r="117" spans="11:31" x14ac:dyDescent="0.35">
      <c r="K117">
        <v>1000</v>
      </c>
      <c r="L117">
        <v>30</v>
      </c>
      <c r="M117">
        <f t="shared" si="21"/>
        <v>2</v>
      </c>
      <c r="N117">
        <f t="shared" si="23"/>
        <v>30000</v>
      </c>
      <c r="O117">
        <f t="shared" si="24"/>
        <v>28500</v>
      </c>
      <c r="P117">
        <f t="shared" si="25"/>
        <v>31500</v>
      </c>
      <c r="Q117">
        <f t="shared" si="30"/>
        <v>0</v>
      </c>
      <c r="R117" s="126">
        <f t="shared" si="26"/>
        <v>3.2030802877594832E-6</v>
      </c>
      <c r="S117" s="126">
        <f t="shared" si="27"/>
        <v>4.6291543354418129E-6</v>
      </c>
      <c r="AA117" s="126">
        <f t="shared" si="31"/>
        <v>3.2030802877594832E-6</v>
      </c>
      <c r="AB117" s="126">
        <f t="shared" si="32"/>
        <v>4.6291543354418129E-6</v>
      </c>
      <c r="AC117" s="126">
        <f t="shared" si="28"/>
        <v>3.0209367032900378E-8</v>
      </c>
      <c r="AD117" s="126">
        <f t="shared" si="29"/>
        <v>1.476055031228951E-8</v>
      </c>
      <c r="AE117" s="128"/>
    </row>
    <row r="118" spans="11:31" x14ac:dyDescent="0.35">
      <c r="K118">
        <v>1000</v>
      </c>
      <c r="L118">
        <v>33</v>
      </c>
      <c r="M118">
        <f t="shared" si="21"/>
        <v>2</v>
      </c>
      <c r="N118">
        <f t="shared" si="23"/>
        <v>33000</v>
      </c>
      <c r="O118">
        <f t="shared" si="24"/>
        <v>31350</v>
      </c>
      <c r="P118">
        <f t="shared" si="25"/>
        <v>34650</v>
      </c>
      <c r="Q118">
        <f t="shared" si="30"/>
        <v>0</v>
      </c>
      <c r="R118" s="126">
        <f t="shared" si="26"/>
        <v>3.5233882830632454E-6</v>
      </c>
      <c r="S118" s="126">
        <f t="shared" si="27"/>
        <v>5.0917448485504104E-6</v>
      </c>
      <c r="AA118" s="126">
        <f t="shared" si="31"/>
        <v>3.5233882830632454E-6</v>
      </c>
      <c r="AB118" s="126">
        <f t="shared" si="32"/>
        <v>5.0917448485504104E-6</v>
      </c>
      <c r="AC118" s="126">
        <f t="shared" si="28"/>
        <v>3.0191558892664936E-8</v>
      </c>
      <c r="AD118" s="126">
        <f t="shared" si="29"/>
        <v>1.4756322377033387E-8</v>
      </c>
      <c r="AE118" s="128"/>
    </row>
    <row r="119" spans="11:31" x14ac:dyDescent="0.35">
      <c r="K119">
        <v>1000</v>
      </c>
      <c r="L119">
        <v>36</v>
      </c>
      <c r="M119">
        <f t="shared" si="21"/>
        <v>2</v>
      </c>
      <c r="N119">
        <f t="shared" si="23"/>
        <v>36000</v>
      </c>
      <c r="O119">
        <f t="shared" si="24"/>
        <v>34200</v>
      </c>
      <c r="P119">
        <f t="shared" si="25"/>
        <v>37800</v>
      </c>
      <c r="Q119">
        <f t="shared" si="30"/>
        <v>0</v>
      </c>
      <c r="R119" s="126">
        <f t="shared" si="26"/>
        <v>3.8436962722811567E-6</v>
      </c>
      <c r="S119" s="126">
        <f t="shared" si="27"/>
        <v>5.5543353537108607E-6</v>
      </c>
      <c r="AA119" s="126">
        <f t="shared" si="31"/>
        <v>3.8436962722811567E-6</v>
      </c>
      <c r="AB119" s="126">
        <f t="shared" si="32"/>
        <v>5.5543353537108607E-6</v>
      </c>
      <c r="AC119" s="126">
        <f t="shared" si="28"/>
        <v>3.017674958352231E-8</v>
      </c>
      <c r="AD119" s="126">
        <f t="shared" si="29"/>
        <v>1.4752802689981479E-8</v>
      </c>
      <c r="AE119" s="128"/>
    </row>
    <row r="120" spans="11:31" x14ac:dyDescent="0.35">
      <c r="K120">
        <v>1000</v>
      </c>
      <c r="L120">
        <v>39</v>
      </c>
      <c r="M120">
        <f t="shared" si="21"/>
        <v>2</v>
      </c>
      <c r="N120">
        <f t="shared" si="23"/>
        <v>39000</v>
      </c>
      <c r="O120">
        <f t="shared" si="24"/>
        <v>37050</v>
      </c>
      <c r="P120">
        <f t="shared" si="25"/>
        <v>40950</v>
      </c>
      <c r="Q120">
        <f t="shared" si="30"/>
        <v>0</v>
      </c>
      <c r="R120" s="126">
        <f t="shared" si="26"/>
        <v>4.1640042554132176E-6</v>
      </c>
      <c r="S120" s="126">
        <f t="shared" si="27"/>
        <v>6.0169258509231688E-6</v>
      </c>
      <c r="AA120" s="126">
        <f t="shared" si="31"/>
        <v>4.1640042554132176E-6</v>
      </c>
      <c r="AB120" s="126">
        <f t="shared" si="32"/>
        <v>6.0169258509231688E-6</v>
      </c>
      <c r="AC120" s="126">
        <f t="shared" si="28"/>
        <v>3.0164240467747192E-8</v>
      </c>
      <c r="AD120" s="126">
        <f t="shared" si="29"/>
        <v>1.4749827041904498E-8</v>
      </c>
      <c r="AE120" s="128"/>
    </row>
    <row r="121" spans="11:31" x14ac:dyDescent="0.35">
      <c r="K121">
        <v>1000</v>
      </c>
      <c r="L121">
        <v>43</v>
      </c>
      <c r="M121">
        <f t="shared" si="21"/>
        <v>2</v>
      </c>
      <c r="N121">
        <f t="shared" si="23"/>
        <v>43000</v>
      </c>
      <c r="O121">
        <f t="shared" si="24"/>
        <v>40850</v>
      </c>
      <c r="P121">
        <f t="shared" si="25"/>
        <v>45150</v>
      </c>
      <c r="Q121">
        <f t="shared" si="30"/>
        <v>0</v>
      </c>
      <c r="R121" s="126">
        <f t="shared" si="26"/>
        <v>4.5910815567890853E-6</v>
      </c>
      <c r="S121" s="126">
        <f t="shared" si="27"/>
        <v>6.6337131681757958E-6</v>
      </c>
      <c r="AA121" s="126">
        <f t="shared" si="31"/>
        <v>4.5910815567890853E-6</v>
      </c>
      <c r="AB121" s="126">
        <f t="shared" si="32"/>
        <v>6.6337131681757958E-6</v>
      </c>
      <c r="AC121" s="126">
        <f t="shared" si="28"/>
        <v>3.0150300412020137E-8</v>
      </c>
      <c r="AD121" s="126">
        <f t="shared" si="29"/>
        <v>1.474650814570541E-8</v>
      </c>
      <c r="AE121" s="128"/>
    </row>
    <row r="122" spans="11:31" x14ac:dyDescent="0.35">
      <c r="K122">
        <v>1000</v>
      </c>
      <c r="L122">
        <v>47</v>
      </c>
      <c r="M122">
        <f t="shared" si="21"/>
        <v>2</v>
      </c>
      <c r="N122">
        <f t="shared" si="23"/>
        <v>47000</v>
      </c>
      <c r="O122">
        <f t="shared" si="24"/>
        <v>44650</v>
      </c>
      <c r="P122">
        <f t="shared" si="25"/>
        <v>49350</v>
      </c>
      <c r="Q122">
        <f t="shared" si="30"/>
        <v>0</v>
      </c>
      <c r="R122" s="126">
        <f t="shared" si="26"/>
        <v>5.0181588473456631E-6</v>
      </c>
      <c r="S122" s="126">
        <f t="shared" si="27"/>
        <v>7.2505004712983902E-6</v>
      </c>
      <c r="AA122" s="126">
        <f t="shared" si="31"/>
        <v>5.0181588473456631E-6</v>
      </c>
      <c r="AB122" s="126">
        <f t="shared" si="32"/>
        <v>7.2505004712983902E-6</v>
      </c>
      <c r="AC122" s="126">
        <f t="shared" si="28"/>
        <v>3.0138752012129588E-8</v>
      </c>
      <c r="AD122" s="126">
        <f t="shared" si="29"/>
        <v>1.4743756374869154E-8</v>
      </c>
      <c r="AE122" s="128"/>
    </row>
    <row r="123" spans="11:31" x14ac:dyDescent="0.35">
      <c r="K123">
        <v>1000</v>
      </c>
      <c r="L123">
        <v>51</v>
      </c>
      <c r="M123">
        <f t="shared" si="21"/>
        <v>2</v>
      </c>
      <c r="N123">
        <f t="shared" si="23"/>
        <v>51000</v>
      </c>
      <c r="O123">
        <f t="shared" si="24"/>
        <v>48450</v>
      </c>
      <c r="P123">
        <f t="shared" si="25"/>
        <v>53550</v>
      </c>
      <c r="Q123">
        <f t="shared" si="30"/>
        <v>0</v>
      </c>
      <c r="R123" s="126">
        <f t="shared" si="26"/>
        <v>5.4452361270829519E-6</v>
      </c>
      <c r="S123" s="126">
        <f t="shared" si="27"/>
        <v>7.867287760290947E-6</v>
      </c>
      <c r="AA123" s="126">
        <f t="shared" si="31"/>
        <v>5.4452361270829519E-6</v>
      </c>
      <c r="AB123" s="126">
        <f t="shared" si="32"/>
        <v>7.867287760290947E-6</v>
      </c>
      <c r="AC123" s="126">
        <f t="shared" si="28"/>
        <v>3.0129028413840572E-8</v>
      </c>
      <c r="AD123" s="126">
        <f t="shared" si="29"/>
        <v>1.4741437808593707E-8</v>
      </c>
      <c r="AE123" s="128"/>
    </row>
    <row r="124" spans="11:31" x14ac:dyDescent="0.35">
      <c r="K124">
        <v>1000</v>
      </c>
      <c r="L124">
        <v>56</v>
      </c>
      <c r="M124">
        <f t="shared" si="21"/>
        <v>2</v>
      </c>
      <c r="N124">
        <f t="shared" si="23"/>
        <v>56000</v>
      </c>
      <c r="O124">
        <f t="shared" si="24"/>
        <v>53200</v>
      </c>
      <c r="P124">
        <f t="shared" si="25"/>
        <v>58800</v>
      </c>
      <c r="Q124">
        <f t="shared" si="30"/>
        <v>0</v>
      </c>
      <c r="R124" s="126">
        <f t="shared" si="26"/>
        <v>5.9790827115399383E-6</v>
      </c>
      <c r="S124" s="126">
        <f t="shared" si="27"/>
        <v>8.6382718516612867E-6</v>
      </c>
      <c r="AA124" s="126">
        <f t="shared" si="31"/>
        <v>5.9790827115399383E-6</v>
      </c>
      <c r="AB124" s="126">
        <f t="shared" si="32"/>
        <v>8.6382718516612867E-6</v>
      </c>
      <c r="AC124" s="126">
        <f t="shared" si="28"/>
        <v>3.0118840369075597E-8</v>
      </c>
      <c r="AD124" s="126">
        <f t="shared" si="29"/>
        <v>1.4739006911684888E-8</v>
      </c>
      <c r="AE124" s="128"/>
    </row>
    <row r="125" spans="11:31" x14ac:dyDescent="0.35">
      <c r="K125">
        <v>1000</v>
      </c>
      <c r="L125">
        <v>62</v>
      </c>
      <c r="M125">
        <f t="shared" si="21"/>
        <v>2</v>
      </c>
      <c r="N125">
        <f t="shared" si="23"/>
        <v>62000</v>
      </c>
      <c r="O125">
        <f t="shared" si="24"/>
        <v>58900</v>
      </c>
      <c r="P125">
        <f t="shared" si="25"/>
        <v>65100</v>
      </c>
      <c r="Q125">
        <f t="shared" si="30"/>
        <v>0</v>
      </c>
      <c r="R125" s="126">
        <f t="shared" si="26"/>
        <v>6.6196985905735367E-6</v>
      </c>
      <c r="S125" s="126">
        <f t="shared" si="27"/>
        <v>9.5634527321624991E-6</v>
      </c>
      <c r="AA125" s="126">
        <f t="shared" si="31"/>
        <v>6.6196985905735367E-6</v>
      </c>
      <c r="AB125" s="126">
        <f t="shared" si="32"/>
        <v>9.5634527321624991E-6</v>
      </c>
      <c r="AC125" s="126">
        <f t="shared" si="28"/>
        <v>3.0108796875024272E-8</v>
      </c>
      <c r="AD125" s="126">
        <f t="shared" si="29"/>
        <v>1.4736608914338858E-8</v>
      </c>
      <c r="AE125" s="128"/>
    </row>
    <row r="126" spans="11:31" x14ac:dyDescent="0.35">
      <c r="K126">
        <v>1000</v>
      </c>
      <c r="L126">
        <v>68</v>
      </c>
      <c r="M126">
        <f t="shared" si="21"/>
        <v>2</v>
      </c>
      <c r="N126">
        <f t="shared" si="23"/>
        <v>68000</v>
      </c>
      <c r="O126">
        <f t="shared" si="24"/>
        <v>64600</v>
      </c>
      <c r="P126">
        <f t="shared" si="25"/>
        <v>71400</v>
      </c>
      <c r="Q126">
        <f t="shared" si="30"/>
        <v>0</v>
      </c>
      <c r="R126" s="126">
        <f t="shared" si="26"/>
        <v>7.2603144452637376E-6</v>
      </c>
      <c r="S126" s="126">
        <f t="shared" si="27"/>
        <v>1.0488633580871136E-5</v>
      </c>
      <c r="AA126" s="126">
        <f t="shared" si="31"/>
        <v>7.2603144452637376E-6</v>
      </c>
      <c r="AB126" s="126">
        <f t="shared" si="32"/>
        <v>1.0488633580871136E-5</v>
      </c>
      <c r="AC126" s="126">
        <f t="shared" si="28"/>
        <v>3.0100535518320504E-8</v>
      </c>
      <c r="AD126" s="126">
        <f t="shared" si="29"/>
        <v>1.4734635236109751E-8</v>
      </c>
      <c r="AE126" s="128"/>
    </row>
    <row r="127" spans="11:31" x14ac:dyDescent="0.35">
      <c r="K127">
        <v>1000</v>
      </c>
      <c r="L127">
        <v>75</v>
      </c>
      <c r="M127">
        <f t="shared" si="21"/>
        <v>2</v>
      </c>
      <c r="N127">
        <f t="shared" si="23"/>
        <v>75000</v>
      </c>
      <c r="O127">
        <f t="shared" si="24"/>
        <v>71250</v>
      </c>
      <c r="P127">
        <f t="shared" si="25"/>
        <v>78750</v>
      </c>
      <c r="Q127">
        <f t="shared" si="30"/>
        <v>0</v>
      </c>
      <c r="R127" s="126">
        <f t="shared" si="26"/>
        <v>8.0076995783016263E-6</v>
      </c>
      <c r="S127" s="126">
        <f t="shared" si="27"/>
        <v>1.1568011197515605E-5</v>
      </c>
      <c r="AA127" s="126">
        <f t="shared" si="31"/>
        <v>8.0076995783016263E-6</v>
      </c>
      <c r="AB127" s="126">
        <f t="shared" si="32"/>
        <v>1.1568011197515605E-5</v>
      </c>
      <c r="AC127" s="126">
        <f t="shared" si="28"/>
        <v>3.0092576237981623E-8</v>
      </c>
      <c r="AD127" s="126">
        <f t="shared" si="29"/>
        <v>1.4732732710710723E-8</v>
      </c>
      <c r="AE127" s="128"/>
    </row>
    <row r="128" spans="11:31" x14ac:dyDescent="0.35">
      <c r="K128">
        <v>1000</v>
      </c>
      <c r="L128">
        <v>82</v>
      </c>
      <c r="M128">
        <f t="shared" si="21"/>
        <v>2</v>
      </c>
      <c r="N128">
        <f t="shared" si="23"/>
        <v>82000</v>
      </c>
      <c r="O128">
        <f t="shared" si="24"/>
        <v>77900</v>
      </c>
      <c r="P128">
        <f t="shared" si="25"/>
        <v>86100</v>
      </c>
      <c r="Q128">
        <f t="shared" si="30"/>
        <v>0</v>
      </c>
      <c r="R128" s="126">
        <f t="shared" si="26"/>
        <v>8.7550846782054452E-6</v>
      </c>
      <c r="S128" s="126">
        <f t="shared" si="27"/>
        <v>1.2647388770886854E-5</v>
      </c>
      <c r="AA128" s="126">
        <f t="shared" si="31"/>
        <v>8.7550846782054452E-6</v>
      </c>
      <c r="AB128" s="126">
        <f t="shared" si="32"/>
        <v>1.2647388770886854E-5</v>
      </c>
      <c r="AC128" s="126">
        <f t="shared" si="28"/>
        <v>3.0085982064453777E-8</v>
      </c>
      <c r="AD128" s="126">
        <f t="shared" si="29"/>
        <v>1.4731155734484958E-8</v>
      </c>
      <c r="AE128" s="128"/>
    </row>
    <row r="129" spans="11:31" x14ac:dyDescent="0.35">
      <c r="K129">
        <v>1000</v>
      </c>
      <c r="L129">
        <v>91</v>
      </c>
      <c r="M129">
        <f t="shared" si="21"/>
        <v>2</v>
      </c>
      <c r="N129">
        <f t="shared" si="23"/>
        <v>91000</v>
      </c>
      <c r="O129">
        <f t="shared" si="24"/>
        <v>86450</v>
      </c>
      <c r="P129">
        <f t="shared" si="25"/>
        <v>95550</v>
      </c>
      <c r="Q129">
        <f t="shared" si="30"/>
        <v>0</v>
      </c>
      <c r="R129" s="126">
        <f t="shared" si="26"/>
        <v>9.7160083293949993E-6</v>
      </c>
      <c r="S129" s="126">
        <f t="shared" si="27"/>
        <v>1.4035159873064752E-5</v>
      </c>
      <c r="AA129" s="126">
        <f t="shared" si="31"/>
        <v>9.7160083293949993E-6</v>
      </c>
      <c r="AB129" s="126">
        <f t="shared" si="32"/>
        <v>1.4035159873064752E-5</v>
      </c>
      <c r="AC129" s="126">
        <f t="shared" si="28"/>
        <v>3.0079000652521831E-8</v>
      </c>
      <c r="AD129" s="126">
        <f t="shared" si="29"/>
        <v>1.4729485404095178E-8</v>
      </c>
      <c r="AE129" s="128"/>
    </row>
    <row r="130" spans="11:31" x14ac:dyDescent="0.35">
      <c r="M130">
        <f t="shared" si="21"/>
        <v>2</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815" priority="36" stopIfTrue="1">
      <formula>AND($B$11="need resistor",$C$11&gt;0)</formula>
    </cfRule>
    <cfRule type="containsText" dxfId="814" priority="40" operator="containsText" text="need resistor">
      <formula>NOT(ISERROR(SEARCH("need resistor",B11)))</formula>
    </cfRule>
  </conditionalFormatting>
  <conditionalFormatting sqref="B11:B12">
    <cfRule type="containsText" dxfId="813" priority="38" operator="containsText" text="no need">
      <formula>NOT(ISERROR(SEARCH("no need",B11)))</formula>
    </cfRule>
  </conditionalFormatting>
  <conditionalFormatting sqref="B12">
    <cfRule type="expression" dxfId="812" priority="35" stopIfTrue="1">
      <formula>AND($B$12="need resistor",$C$12&gt;0)</formula>
    </cfRule>
    <cfRule type="containsText" dxfId="811" priority="37" operator="containsText" text="need resistor">
      <formula>NOT(ISERROR(SEARCH("need resistor",B12)))</formula>
    </cfRule>
  </conditionalFormatting>
  <conditionalFormatting sqref="B42">
    <cfRule type="expression" dxfId="810" priority="63">
      <formula>AND($B$42&gt;$S$2,$B$2=1)</formula>
    </cfRule>
    <cfRule type="expression" dxfId="809" priority="62">
      <formula>AND($B$42&lt;$R$2,$B$2=0)</formula>
    </cfRule>
    <cfRule type="expression" dxfId="808" priority="61" stopIfTrue="1">
      <formula>AND($B$42&lt;=$S$2,$B$2=1)</formula>
    </cfRule>
    <cfRule type="expression" dxfId="807" priority="60" stopIfTrue="1">
      <formula>AND($B$42&gt;=$R$2,$B$2=0)</formula>
    </cfRule>
  </conditionalFormatting>
  <conditionalFormatting sqref="B62">
    <cfRule type="expression" dxfId="806" priority="71">
      <formula>AND($B$62&gt;$S$2,$B$2=1)</formula>
    </cfRule>
    <cfRule type="expression" dxfId="805" priority="70">
      <formula>AND($B$62&lt;$R$2,$B$2=0)</formula>
    </cfRule>
    <cfRule type="expression" dxfId="804" priority="69" stopIfTrue="1">
      <formula>AND($B$62&lt;=$S$2,$B$2=1)</formula>
    </cfRule>
    <cfRule type="expression" dxfId="803" priority="68" stopIfTrue="1">
      <formula>AND($B$62&gt;=$R$2,$B$2=0)</formula>
    </cfRule>
  </conditionalFormatting>
  <conditionalFormatting sqref="B84">
    <cfRule type="cellIs" dxfId="802" priority="49" operator="greaterThan">
      <formula>$S$3</formula>
    </cfRule>
    <cfRule type="cellIs" dxfId="801" priority="48" operator="lessThanOrEqual">
      <formula>$S$3</formula>
    </cfRule>
  </conditionalFormatting>
  <conditionalFormatting sqref="B102">
    <cfRule type="cellIs" dxfId="800" priority="53" operator="greaterThan">
      <formula>$S$2</formula>
    </cfRule>
    <cfRule type="cellIs" dxfId="799" priority="52" operator="lessThanOrEqual">
      <formula>$S$2</formula>
    </cfRule>
  </conditionalFormatting>
  <conditionalFormatting sqref="B18:C18">
    <cfRule type="expression" dxfId="798" priority="56" stopIfTrue="1">
      <formula>OR(AND($B$2=0,$C$18&gt;=$R$2),AND($B$2=1,$C$18&lt;=$S$2))</formula>
    </cfRule>
    <cfRule type="expression" dxfId="797" priority="57">
      <formula>OR(AND($B$2=0,$C$18&lt;$R$2),AND($B$2=1,$C$18&gt;$S$2))</formula>
    </cfRule>
  </conditionalFormatting>
  <conditionalFormatting sqref="B19:C19">
    <cfRule type="expression" dxfId="796" priority="59">
      <formula>OR(AND($B$3=0,$C$19&lt;$R$3),AND($B$3=1,$C$19&gt;$S$3))</formula>
    </cfRule>
    <cfRule type="expression" dxfId="795" priority="58" stopIfTrue="1">
      <formula>OR(AND($B$3=0,$C$19&gt;=$R$3),AND($B$3=1,$C$19&lt;=$S$3))</formula>
    </cfRule>
  </conditionalFormatting>
  <conditionalFormatting sqref="C14">
    <cfRule type="cellIs" dxfId="794" priority="30" operator="equal">
      <formula>"no solution"</formula>
    </cfRule>
  </conditionalFormatting>
  <conditionalFormatting sqref="C44">
    <cfRule type="expression" dxfId="793" priority="67">
      <formula>AND($B$44&gt;$S$3,$B$3=1)</formula>
    </cfRule>
    <cfRule type="expression" dxfId="792" priority="66">
      <formula>AND($B$44&lt;$R$3,$B$3=0)</formula>
    </cfRule>
    <cfRule type="expression" dxfId="791" priority="65" stopIfTrue="1">
      <formula>AND($C$44&lt;=$S$3,$B$3=1)</formula>
    </cfRule>
    <cfRule type="expression" dxfId="790" priority="64" stopIfTrue="1">
      <formula>AND($C$44&gt;=$R$3,$B$3=0)</formula>
    </cfRule>
  </conditionalFormatting>
  <conditionalFormatting sqref="C64">
    <cfRule type="expression" dxfId="789" priority="72" stopIfTrue="1">
      <formula>AND($C$64&gt;=$R$3,$B$3=0)</formula>
    </cfRule>
    <cfRule type="expression" dxfId="788" priority="73" stopIfTrue="1">
      <formula>AND($C$64&lt;=$S$3,$B$3=1)</formula>
    </cfRule>
    <cfRule type="expression" dxfId="787" priority="74">
      <formula>AND($B$64&lt;$R$3,$B$3=0)</formula>
    </cfRule>
    <cfRule type="expression" dxfId="786" priority="75">
      <formula>AND($B$64&gt;$S$3,$B$3=1)</formula>
    </cfRule>
  </conditionalFormatting>
  <conditionalFormatting sqref="C102:D102">
    <cfRule type="cellIs" dxfId="785" priority="32" operator="lessThan">
      <formula>$R$2</formula>
    </cfRule>
    <cfRule type="cellIs" dxfId="784" priority="31" operator="greaterThanOrEqual">
      <formula>$R$2</formula>
    </cfRule>
  </conditionalFormatting>
  <conditionalFormatting sqref="C84:H84">
    <cfRule type="cellIs" dxfId="783" priority="17" operator="lessThan">
      <formula>$R$3</formula>
    </cfRule>
    <cfRule type="cellIs" dxfId="782" priority="16" operator="greaterThanOrEqual">
      <formula>$R$3</formula>
    </cfRule>
  </conditionalFormatting>
  <conditionalFormatting sqref="D11">
    <cfRule type="containsText" dxfId="781" priority="43" stopIfTrue="1" operator="containsText" text="please remove resistor">
      <formula>NOT(ISERROR(SEARCH("please remove resistor",D11)))</formula>
    </cfRule>
    <cfRule type="cellIs" dxfId="780" priority="45" operator="greaterThan">
      <formula>$S$2</formula>
    </cfRule>
    <cfRule type="cellIs" dxfId="779" priority="44" operator="lessThan">
      <formula>$S$2</formula>
    </cfRule>
  </conditionalFormatting>
  <conditionalFormatting sqref="D11:D12">
    <cfRule type="cellIs" priority="28" stopIfTrue="1" operator="equal">
      <formula>""</formula>
    </cfRule>
  </conditionalFormatting>
  <conditionalFormatting sqref="D12 E18:E19">
    <cfRule type="cellIs" dxfId="778" priority="42" operator="lessThan">
      <formula>$R$2-$N$7</formula>
    </cfRule>
    <cfRule type="cellIs" dxfId="777" priority="41" operator="greaterThanOrEqual">
      <formula>$R$2-$N$7</formula>
    </cfRule>
  </conditionalFormatting>
  <conditionalFormatting sqref="D18:D19">
    <cfRule type="cellIs" dxfId="776" priority="46" operator="lessThanOrEqual">
      <formula>$S$2+$N$7</formula>
    </cfRule>
    <cfRule type="cellIs" dxfId="775" priority="47" operator="greaterThan">
      <formula>$S$2+$N$7</formula>
    </cfRule>
  </conditionalFormatting>
  <conditionalFormatting sqref="E102">
    <cfRule type="cellIs" dxfId="774" priority="15" operator="lessThan">
      <formula>$R$3</formula>
    </cfRule>
    <cfRule type="cellIs" dxfId="773" priority="14" operator="greaterThanOrEqual">
      <formula>$R$3</formula>
    </cfRule>
  </conditionalFormatting>
  <conditionalFormatting sqref="F21">
    <cfRule type="containsText" dxfId="772" priority="13" operator="containsText" text="failed">
      <formula>NOT(ISERROR(SEARCH("failed",F21)))</formula>
    </cfRule>
  </conditionalFormatting>
  <conditionalFormatting sqref="F22">
    <cfRule type="containsText" dxfId="771" priority="12" operator="containsText" text="fail">
      <formula>NOT(ISERROR(SEARCH("fail",F22)))</formula>
    </cfRule>
  </conditionalFormatting>
  <conditionalFormatting sqref="F23">
    <cfRule type="containsText" dxfId="770" priority="11" operator="containsText" text="failed">
      <formula>NOT(ISERROR(SEARCH("failed",F23)))</formula>
    </cfRule>
  </conditionalFormatting>
  <conditionalFormatting sqref="F102:H102">
    <cfRule type="cellIs" dxfId="769" priority="25" operator="lessThan">
      <formula>$R$2</formula>
    </cfRule>
    <cfRule type="cellIs" dxfId="768" priority="24" operator="greaterThanOrEqual">
      <formula>$R$2</formula>
    </cfRule>
  </conditionalFormatting>
  <conditionalFormatting sqref="G18">
    <cfRule type="cellIs" dxfId="767" priority="3" operator="greaterThan">
      <formula>$V$2</formula>
    </cfRule>
    <cfRule type="cellIs" dxfId="766" priority="4" operator="lessThan">
      <formula>$V$2</formula>
    </cfRule>
  </conditionalFormatting>
  <conditionalFormatting sqref="G19">
    <cfRule type="cellIs" dxfId="765" priority="6" operator="lessThan">
      <formula>$V$3</formula>
    </cfRule>
    <cfRule type="cellIs" dxfId="764" priority="5" operator="greaterThan">
      <formula>$V$3</formula>
    </cfRule>
  </conditionalFormatting>
  <conditionalFormatting sqref="I18:I19">
    <cfRule type="cellIs" dxfId="763" priority="2" operator="lessThan">
      <formula>$W$2</formula>
    </cfRule>
    <cfRule type="cellIs" dxfId="762" priority="1" operator="greaterThan">
      <formula>$W$2</formula>
    </cfRule>
  </conditionalFormatting>
  <conditionalFormatting sqref="K12">
    <cfRule type="expression" dxfId="761" priority="76">
      <formula>SEARCH("reduce",$F$23)</formula>
    </cfRule>
    <cfRule type="expression" dxfId="760" priority="77">
      <formula>SEARCH("reduce",$F$21)</formula>
    </cfRule>
  </conditionalFormatting>
  <conditionalFormatting sqref="N2">
    <cfRule type="expression" dxfId="759" priority="78">
      <formula>SEARCH("strength",$F$21)</formula>
    </cfRule>
    <cfRule type="expression" dxfId="758" priority="79">
      <formula>SEARCH("strength",$F$23)</formula>
    </cfRule>
  </conditionalFormatting>
  <conditionalFormatting sqref="O25:O26">
    <cfRule type="cellIs" dxfId="757" priority="8" operator="lessThan">
      <formula>$W$2</formula>
    </cfRule>
    <cfRule type="cellIs" dxfId="756" priority="7" operator="greaterThan">
      <formula>$W$2</formula>
    </cfRule>
  </conditionalFormatting>
  <pageMargins left="0.7" right="0.7" top="0.75" bottom="0.75" header="0.3" footer="0.3"/>
  <pageSetup paperSize="9"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C3A57-2F29-4FC1-9A73-031DA059EF4D}">
  <dimension ref="A1:AK130"/>
  <sheetViews>
    <sheetView topLeftCell="B4"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Summary!L16</f>
        <v>1.8</v>
      </c>
      <c r="K2" s="10">
        <v>1000000000000</v>
      </c>
      <c r="L2" s="15">
        <v>0.1</v>
      </c>
      <c r="M2" s="15">
        <v>0.1</v>
      </c>
      <c r="N2" s="66">
        <f>Summary!L26</f>
        <v>50</v>
      </c>
      <c r="O2" s="15">
        <f>Summary!L88</f>
        <v>0.25</v>
      </c>
      <c r="P2" s="15">
        <f>Summary!L89</f>
        <v>0.25</v>
      </c>
      <c r="Q2" s="5" t="str">
        <f>Summary!L27</f>
        <v>N/A</v>
      </c>
      <c r="R2" s="5">
        <f>Summary!L51</f>
        <v>0.3</v>
      </c>
      <c r="S2" s="5">
        <f>Summary!L52</f>
        <v>0.7</v>
      </c>
      <c r="T2" s="5">
        <f>Summary!L53</f>
        <v>0.3</v>
      </c>
      <c r="U2" s="5">
        <f>Summary!L54</f>
        <v>0.7</v>
      </c>
      <c r="V2" s="130">
        <f>Summary!L55</f>
        <v>9.9999999999999995E-7</v>
      </c>
      <c r="W2" s="130">
        <f>Summary!L56</f>
        <v>2.9999999999999999E-7</v>
      </c>
      <c r="X2" s="131">
        <f>V2</f>
        <v>9.9999999999999995E-7</v>
      </c>
      <c r="Y2" s="132" t="str">
        <f>IF(Summary!L57="","",Summary!L57)</f>
        <v/>
      </c>
      <c r="Z2" s="132" t="str">
        <f>IF(Summary!L58="","",Summary!L58)</f>
        <v/>
      </c>
      <c r="AA2" s="4">
        <f>Summary!L59</f>
        <v>1E-10</v>
      </c>
      <c r="AB2" s="41">
        <f>Summary!L81</f>
        <v>4.9999999999999997E-12</v>
      </c>
      <c r="AC2" s="41">
        <f>Summary!L83</f>
        <v>8.1900000000000013E-12</v>
      </c>
      <c r="AD2" s="3">
        <f>Summary!L84</f>
        <v>0.69</v>
      </c>
      <c r="AE2" s="41">
        <f>Summary!L86</f>
        <v>4.9999999999999997E-12</v>
      </c>
      <c r="AF2" s="5">
        <f>Summary!L87</f>
        <v>2.93</v>
      </c>
      <c r="AG2" s="127" t="str">
        <f>Summary!L50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Summary!L16</f>
        <v>1.8</v>
      </c>
      <c r="K3" s="10">
        <v>1000000000000</v>
      </c>
      <c r="L3" s="15">
        <v>0.1</v>
      </c>
      <c r="M3" s="15">
        <v>0.1</v>
      </c>
      <c r="N3">
        <f>Summary!L97</f>
        <v>50</v>
      </c>
      <c r="O3" s="15">
        <f>Summary!L98</f>
        <v>0.5</v>
      </c>
      <c r="P3" s="15">
        <f>Summary!L99</f>
        <v>0</v>
      </c>
      <c r="Q3"/>
      <c r="R3" s="5">
        <f>Summary!L38</f>
        <v>0.3</v>
      </c>
      <c r="S3" s="5">
        <f>Summary!L39</f>
        <v>0.7</v>
      </c>
      <c r="T3" s="5">
        <f>Summary!L42</f>
        <v>0.3</v>
      </c>
      <c r="U3" s="5">
        <f>Summary!L43</f>
        <v>0.7</v>
      </c>
      <c r="V3" s="130">
        <f>Summary!L44</f>
        <v>9.9999999999999995E-7</v>
      </c>
      <c r="W3" s="130">
        <f>Summary!L45</f>
        <v>2.9999999999999999E-7</v>
      </c>
      <c r="X3" s="131">
        <f>V3</f>
        <v>9.9999999999999995E-7</v>
      </c>
      <c r="Y3" s="132" t="str">
        <f>IF(Summary!L46="","",Summary!L46)</f>
        <v/>
      </c>
      <c r="Z3" s="132" t="str">
        <f>IF(Summary!L47="","",Summary!L47)</f>
        <v/>
      </c>
      <c r="AA3" s="4">
        <f>Summary!L59</f>
        <v>1E-10</v>
      </c>
      <c r="AB3" s="41">
        <f>Summary!L96</f>
        <v>9.9999999999999994E-12</v>
      </c>
      <c r="AG3" s="127" t="str">
        <f>Summary!L37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427329345.73772496</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427329345.73772496</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165.87503585207278</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198.01788887753889</v>
      </c>
      <c r="F7" s="123">
        <f>_xlfn.IFNA(_xlfn.XLOOKUP($X$2,AB34:AB129,P34:P129,,-1), "Out of support PU range")</f>
        <v>12600</v>
      </c>
      <c r="G7" s="124">
        <f>_xlfn.IFNA(_xlfn.XLOOKUP($X$3,S34:S129,P34:P129,,-1), "Out of support PU range")</f>
        <v>12600</v>
      </c>
      <c r="H7" s="124">
        <f>_xlfn.IFNA(MAX(_xlfn.XLOOKUP(MAX($Y$2:$AA$2),AA34:AA129,O34:O129,,1), _xlfn.XLOOKUP($W$2,AD34:AD129,O34:O129,,-1)), "Fail AC VIL")</f>
        <v>171</v>
      </c>
      <c r="I7" s="129">
        <f>_xlfn.IFNA(MAX(_xlfn.XLOOKUP(MAX($Y$3:$AA$3),R34:R129,O34:O129,,1), _xlfn.XLOOKUP($W$3,AC34:AC129,O34:O129,,-1)), "Fail AC VIL")</f>
        <v>209</v>
      </c>
      <c r="J7" s="21">
        <v>20000</v>
      </c>
      <c r="K7" s="2">
        <f>MIN(
MIN(FLOOR(B7,10^(LEN(ROUND(B7,0))-1))/10,
FLOOR(C7,10^(LEN(ROUND(C7,0))-1))/10,
IF(F7*10&gt;=J7,FLOOR(F7,10^(LEN(ROUND(F7,0))-1))/10,FLOOR(F7,10^(LEN(ROUND(F7,0))-1))),
FLOOR(G7,10^(LEN(ROUND(G7,0))-1))/10),
MAX(I7,J7)
)</f>
        <v>1000</v>
      </c>
      <c r="L7" s="1"/>
      <c r="N7" s="71">
        <f>Summary!L62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305.35714253253963</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305.35714253253963</v>
      </c>
      <c r="E8">
        <f>X2/(1.204*K18)</f>
        <v>10251.088604082392</v>
      </c>
      <c r="F8">
        <f>X3/(1.204*K18)</f>
        <v>10251.088604082392</v>
      </c>
      <c r="H8">
        <f>AA2/(1.204*K18)</f>
        <v>1.0251088604082392</v>
      </c>
      <c r="I8" s="2">
        <f>AA3/(1.204*K18)</f>
        <v>1.0251088604082392</v>
      </c>
      <c r="J8" s="8">
        <v>20000</v>
      </c>
      <c r="K8">
        <f>MIN(MIN(FLOOR(B8,10^(LEN(ROUND(B8,0))-1))/10,FLOOR(C8,10^(LEN(ROUND(C8,0))-1))/10,FLOOR(E8,10^(LEN(ROUND(E8,0))-1))/10,FLOOR(F8,10^(LEN(ROUND(F8,0))-1))/10),MAX(I8,J8))</f>
        <v>30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Summary!L24</f>
        <v>750</v>
      </c>
      <c r="D11" s="1">
        <f>IF(AND(B11="no need", C11=""), "",IF(AND(B11="no need", C11&gt;0), "please remove resistor",   IF(AND(B11="need resistor", ISBLANK(C11)), "please enter resistor",  (1/(1/F2+1/F3))/(1/(1/(1/(1/C2+1/C3))+1/C11)+(1/(1/F2+1/F3))) ) ))</f>
        <v>0.99999999849999999</v>
      </c>
      <c r="F11" s="7">
        <f>IF(B11="no need", 1000000000, C11)</f>
        <v>750</v>
      </c>
      <c r="G11" s="7" t="s">
        <v>281</v>
      </c>
      <c r="H11" s="62">
        <f>Summary!L25</f>
        <v>0.05</v>
      </c>
      <c r="K11" s="6" t="s">
        <v>282</v>
      </c>
      <c r="N11" s="19" t="s">
        <v>283</v>
      </c>
      <c r="P11" s="19" t="s">
        <v>284</v>
      </c>
      <c r="R11" s="127" t="s">
        <v>285</v>
      </c>
      <c r="S11" s="127">
        <f>($J$2+$J$2*Summary!$L$17)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Summary!L10</f>
        <v>10</v>
      </c>
      <c r="L12" t="s">
        <v>287</v>
      </c>
      <c r="N12" s="4">
        <f>SUM(AB2:AC3,AE2:AE3)</f>
        <v>2.8189999999999998E-11</v>
      </c>
      <c r="O12" t="s">
        <v>288</v>
      </c>
      <c r="P12" s="61">
        <f>Summary!L84+Summary!L87</f>
        <v>3.62</v>
      </c>
      <c r="Q12" t="s">
        <v>289</v>
      </c>
      <c r="R12" s="127" t="s">
        <v>290</v>
      </c>
      <c r="S12" s="127">
        <f>($J$2-$J$2*Summary!$L$17)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($J$3+$J$3*Summary!$L$18)</f>
        <v>1.8900000000000001</v>
      </c>
    </row>
    <row r="14" spans="1:37" x14ac:dyDescent="0.35">
      <c r="K14" s="6" t="s">
        <v>293</v>
      </c>
      <c r="N14" s="6" t="s">
        <v>294</v>
      </c>
      <c r="R14" s="127" t="s">
        <v>295</v>
      </c>
      <c r="S14" s="127">
        <f>($J$3-$J$3*Summary!$L$18)</f>
        <v>1.71</v>
      </c>
    </row>
    <row r="15" spans="1:37" x14ac:dyDescent="0.35">
      <c r="B15" s="2"/>
      <c r="C15" s="2"/>
      <c r="K15" s="3">
        <f>Summary!L8</f>
        <v>19.988</v>
      </c>
      <c r="L15" t="s">
        <v>296</v>
      </c>
      <c r="N15" s="41">
        <f>Summary!L9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0.99999912323465123</v>
      </c>
      <c r="C18">
        <f>B42</f>
        <v>0.99999935096450687</v>
      </c>
      <c r="D18">
        <f>B102</f>
        <v>0.99999912323465157</v>
      </c>
      <c r="E18">
        <f>C102</f>
        <v>8.3019795066711241E-2</v>
      </c>
      <c r="F18" s="126">
        <f>_xlfn.LET(
_xlpm.Rbus, (1/(1/((1/(1/($G$91+$G$93)+1/$G$90))+$G$92)+1/($G$89))),
_xlpm.VCC, IF($AG$2="absolute",$S$13,1),
_xlpm.Vspec_abs, $U$2-$N$7,
(LN(1-$T$2/_xlpm.VCC)-LN(1-_xlpm.Vspec_abs/_xlpm.VCC))*$K$19*_xlpm.Rbus
)</f>
        <v>3.5879046436894368E-8</v>
      </c>
      <c r="G18" s="128">
        <f>_xlfn.LET(
_xlpm.Rbus, (1/(1/((1/(1/($D$91+$D$93)+1/$D$90))+$D$92)+1/($D$89))),
_xlpm.VCC, IF($AG$2="absolute",$S$14,1),
_xlpm.Vspec_abs, $U$2+$N$7,
(LN(1-$T$2/_xlpm.VCC)-LN(1-_xlpm.Vspec_abs/_xlpm.VCC))*$K$18*_xlpm.Rbus
)</f>
        <v>5.95408399484559E-8</v>
      </c>
      <c r="H18" s="126">
        <f>_xlfn.LET(
_xlpm.Rbus, (1/(1/((1/(1/($H$96+$H$93)+1/$H$95))+$H$92)+1/($H$94))),
_xlpm.VCC, IF($AG$2="absolute",$S$14,1),
_xlpm.Vspec_abs, $T$2+$N$7,
_xlpm.Vspec_rel, _xlpm.Vspec_abs/_xlpm.VCC,
IFERROR((LN($U$2)-LN(_xlpm.Vspec_rel))*$K$19*_xlpm.Rbus, "Vlow exceeds VIL spec")
)</f>
        <v>1.6968629442640647E-9</v>
      </c>
      <c r="I18" s="128">
        <f>_xlfn.LET(
_xlpm.Rbus, (1/(1/((1/(1/($F$96+$F$93)+1/$F$95))+$F$92)+1/($F$94))),
_xlpm.VCC, IF($AG$2="absolute",$S$13,1),
_xlpm.Vspec_abs, $T$2-$N$7,
_xlpm.Vspec_rel, _xlpm.Vspec_abs/_xlpm.VCC,
IFERROR((LN($U$2)-LN(_xlpm.Vspec_rel))*$K$18*_xlpm.Rbus,"Vlow exceeds VIL spec")
)</f>
        <v>4.7889839777171611E-9</v>
      </c>
      <c r="J18" s="139" t="s">
        <v>307</v>
      </c>
      <c r="K18" s="4">
        <f>Summary!L102</f>
        <v>8.1022105664211338E-11</v>
      </c>
      <c r="L18" s="22" t="s">
        <v>288</v>
      </c>
      <c r="M18" s="10">
        <f>K18*1000000000000</f>
        <v>81.022105664211338</v>
      </c>
      <c r="N18" t="s">
        <v>308</v>
      </c>
      <c r="O18" s="49">
        <f>N12+K12/39.37*N15</f>
        <v>8.1022105664211338E-11</v>
      </c>
    </row>
    <row r="19" spans="1:26" x14ac:dyDescent="0.35">
      <c r="A19" t="s">
        <v>309</v>
      </c>
      <c r="B19">
        <f>C64</f>
        <v>0.99999912323465123</v>
      </c>
      <c r="C19">
        <f>C44</f>
        <v>0.99999935096450676</v>
      </c>
      <c r="D19">
        <f>B84</f>
        <v>0.99999912323465179</v>
      </c>
      <c r="E19">
        <f>C84</f>
        <v>9.7538034587048225E-2</v>
      </c>
      <c r="F19" s="126">
        <f>_xlfn.LET(
_xlpm.Rbus,(1/(1/((1/(1/($G$77+$G$72)+1/$G$70))+$G$73)+1/($G$71))),
_xlpm.VCC,IF($AG$3="absolute",$S$11,1),
_xlpm.Vspec_abs,$U$3-$N$7,
(LN(1-($T$3/_xlpm.VCC))-LN(1-_xlpm.Vspec_abs/_xlpm.VCC))*$K$19*_xlpm.Rbus
)</f>
        <v>3.5879046436894368E-8</v>
      </c>
      <c r="G19" s="128">
        <f>_xlfn.LET(
_xlpm.Rbus, (1/(1/((1/(1/($D$77+$D$72)+1/$D$70))+$D$73)+1/($D$71))),
_xlpm.VCC, IF($AG$3="absolute",$S$12,1),
_xlpm.Vspec_abs, $U$3+$N$7,
(LN(1-$T$3/_xlpm.VCC)-LN(1-_xlpm.Vspec_abs/_xlpm.VCC))*$K$18*_xlpm.Rbus
)</f>
        <v>5.95408399484559E-8</v>
      </c>
      <c r="H19" s="126">
        <f>_xlfn.LET(
_xlpm.Rbus, (1/(1/((1/(1/($H$74+$H$72)+1/$H$75))+$H$73)+1/($H$76))),
_xlpm.VCC, IF($AG$3="absolute",$S$12,1),
_xlpm.Vspec_abs, $T$3+$N$7,
_xlpm.Vspec_rel, _xlpm.Vspec_abs/_xlpm.VCC,
IFERROR((LN($U$3)-LN(_xlpm.Vspec_rel))*$K$19*_xlpm.Rbus, "Vlow exceeds VIL spec")
)</f>
        <v>2.3263198569803835E-9</v>
      </c>
      <c r="I19" s="128">
        <f>_xlfn.LET(
_xlpm.Rbus, (1/(1/((1/(1/($F$74+$F$72)+1/$F$75))+$F$73)+1/($F$76))),
_xlpm.VCC, IF($AG$3="absolute",$S$11,1),
_xlpm.Vspec_abs, $T$3-$N$7,
_xlpm.Vspec_rel, _xlpm.Vspec_abs/_xlpm.VCC,
IFERROR((LN($U$3)-LN(_xlpm.Vspec_rel))*$K$18*_xlpm.Rbus,"Vlow exceeds VIL spec")
)</f>
        <v>5.716981414329966E-9</v>
      </c>
      <c r="J19" s="139" t="s">
        <v>310</v>
      </c>
      <c r="K19" s="122">
        <f>Summary!L101</f>
        <v>6.4332105664211329E-11</v>
      </c>
      <c r="L19" t="s">
        <v>288</v>
      </c>
    </row>
    <row r="20" spans="1:26" x14ac:dyDescent="0.35">
      <c r="J20" s="139"/>
      <c r="K20" s="6" t="s">
        <v>311</v>
      </c>
    </row>
    <row r="21" spans="1:26" x14ac:dyDescent="0.35">
      <c r="E21" s="120" t="s">
        <v>137</v>
      </c>
      <c r="F21" t="str">
        <f>IF(OR(AND(E18&gt;(R2-N7), Summary!L50="relative"), AND(E18&gt;(R2-N7)/(J3+J3*Summary!L18), Summary!L50="absolute")),IF(U29="no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IF(OR(Summary!L24&gt;Summary!L22,Summary!L24&lt;Summary!L21), "- ensure board PU is within recommended range" &amp; CHAR(10),) &amp; "- reduce MB trace length",""))</f>
        <v/>
      </c>
      <c r="J21" s="139" t="s">
        <v>307</v>
      </c>
      <c r="K21" s="5">
        <f>Summary!L104</f>
        <v>14.506962153924308</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Summary!L103</f>
        <v>8.6969621539243072</v>
      </c>
      <c r="L22" t="s">
        <v>289</v>
      </c>
    </row>
    <row r="23" spans="1:26" x14ac:dyDescent="0.35">
      <c r="B23" s="171" t="s">
        <v>313</v>
      </c>
      <c r="C23" s="171"/>
      <c r="D23" t="s">
        <v>314</v>
      </c>
      <c r="E23" s="175"/>
      <c r="F23" t="str">
        <f>IF(F22="",IF(OR(AND(E19&lt;=(R3-N7), Summary!L37="relative"),AND(E19&lt;=(R3-N7)/(J2+J2*Summary!L17), Summary!L37="absolute")),IF(OR(G19&gt;V3,I19&gt;W3), IF(N2=MIN(AH2:AH5), "failed max rise/fall time spec, recommendations:" &amp; CHAR(10) &amp; "-reduce MB trace length" &amp; CHAR(10) &amp; "-increase trace width (reduce MB trace resistance per length)", "failed max rise/fall time spec, recommendations:" &amp; CHAR(10) &amp; IF(OR(Summary!L24&gt;Summary!L22,Summary!L24&lt;Summary!L21),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Summary!L13</f>
        <v>0</v>
      </c>
      <c r="L24" t="s">
        <v>305</v>
      </c>
    </row>
    <row r="25" spans="1:26" x14ac:dyDescent="0.35">
      <c r="A25" t="s">
        <v>318</v>
      </c>
      <c r="B25" s="11">
        <f>C2*(1-D2)</f>
        <v>900000000000</v>
      </c>
      <c r="C25" s="11">
        <f>C2*(1-D2)</f>
        <v>900000000000</v>
      </c>
      <c r="K25" s="18">
        <f>Summary!L14</f>
        <v>1</v>
      </c>
      <c r="L25" t="s">
        <v>274</v>
      </c>
      <c r="N25" s="72" t="s">
        <v>319</v>
      </c>
    </row>
    <row r="26" spans="1:26" x14ac:dyDescent="0.35">
      <c r="A26" t="s">
        <v>320</v>
      </c>
      <c r="B26" s="11">
        <f>F11*(1-H11)</f>
        <v>712.5</v>
      </c>
      <c r="C26" s="11">
        <f>F11*(1-H11)</f>
        <v>712.5</v>
      </c>
      <c r="Q26" t="s">
        <v>321</v>
      </c>
    </row>
    <row r="27" spans="1:26" x14ac:dyDescent="0.35">
      <c r="A27" t="s">
        <v>322</v>
      </c>
      <c r="B27" s="11">
        <f>C3*(1-D3)</f>
        <v>900000000000</v>
      </c>
      <c r="C27" s="11">
        <f>C3*(1-D3)</f>
        <v>900000000000</v>
      </c>
      <c r="Q27" t="s">
        <v>323</v>
      </c>
    </row>
    <row r="28" spans="1:26" x14ac:dyDescent="0.35">
      <c r="A28" t="s">
        <v>324</v>
      </c>
      <c r="B28" s="1">
        <f>K21</f>
        <v>14.506962153924308</v>
      </c>
      <c r="C28">
        <v>0</v>
      </c>
      <c r="Q28" t="s">
        <v>325</v>
      </c>
      <c r="V28" t="s">
        <v>305</v>
      </c>
      <c r="W28" t="s">
        <v>274</v>
      </c>
      <c r="X28" t="s">
        <v>326</v>
      </c>
    </row>
    <row r="29" spans="1:26" x14ac:dyDescent="0.35">
      <c r="A29" t="s">
        <v>327</v>
      </c>
      <c r="B29">
        <v>0</v>
      </c>
      <c r="C29" s="1">
        <f>K21</f>
        <v>14.506962153924308</v>
      </c>
      <c r="F29" s="11"/>
      <c r="T29" t="s">
        <v>328</v>
      </c>
      <c r="U29">
        <f>IF(IF(ISBLANK(Summary!L25),IF(U30=W82,L30,U30),IF(Summary!L25=5%,L30,U30))=N130,"no solution",IF(ISBLANK(Summary!L25),IF(U30=W82,L30,U30),IF(Summary!L25=5%,L30,U30)))</f>
        <v>1600</v>
      </c>
      <c r="V29">
        <f>IFERROR(IF(X29=5%,VLOOKUP(1,M34:N129,2,FALSE),VLOOKUP(1,V34:W81,2,FALSE)),"no solution")</f>
        <v>220</v>
      </c>
      <c r="W29">
        <f>IF(U29="no solution","no solution",IF(X29=5%,VLOOKUP(MAX(M34:M129)-1,M34:N129,2,FALSE),VLOOKUP(MAX(V34:V81)-1,V34:W81,2,FALSE)))</f>
        <v>12000</v>
      </c>
      <c r="X29" s="64">
        <f>Summary!L25</f>
        <v>0.05</v>
      </c>
    </row>
    <row r="30" spans="1:26" x14ac:dyDescent="0.35">
      <c r="A30" t="s">
        <v>329</v>
      </c>
      <c r="B30" s="11">
        <f>F2*(1+H2)</f>
        <v>1100000000000</v>
      </c>
      <c r="C30" s="11">
        <f>F2*(1+H2)</f>
        <v>1100000000000</v>
      </c>
      <c r="K30" t="s">
        <v>330</v>
      </c>
      <c r="L30">
        <f>VLOOKUP(Q31,M34:Q154,2)</f>
        <v>1600</v>
      </c>
      <c r="T30" t="s">
        <v>331</v>
      </c>
      <c r="U30">
        <f>VLOOKUP(Z31,V34:W82,2)</f>
        <v>1800</v>
      </c>
    </row>
    <row r="31" spans="1:26" x14ac:dyDescent="0.35">
      <c r="A31" t="s">
        <v>332</v>
      </c>
      <c r="B31" s="11">
        <f>F12*(1+H12)</f>
        <v>1100000000</v>
      </c>
      <c r="C31" s="11">
        <f>F12*(1+H12)</f>
        <v>1100000000</v>
      </c>
      <c r="Q31" cm="1">
        <f t="array" ref="Q31">MAX(M34:M129+1)/2</f>
        <v>22.5</v>
      </c>
      <c r="Z31" cm="1">
        <f t="array" ref="Z31">MAX(V34:V81+1)/2</f>
        <v>11</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4.783872869462792E-10</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1.8565119813152651E-9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4.783872869462792E-10</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1.8565119813152651E-9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5.2622601563924061E-10</v>
      </c>
      <c r="S35" s="126">
        <f t="shared" si="4"/>
        <v>1.9344637760304184E-9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5.2622601563924061E-10</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1.9344637760304184E-9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5.7406474433189906E-10</v>
      </c>
      <c r="S36" s="126">
        <f t="shared" si="4"/>
        <v>2.0124155707451262E-9</v>
      </c>
      <c r="T36">
        <v>1</v>
      </c>
      <c r="U36">
        <v>15</v>
      </c>
      <c r="V36">
        <f t="shared" si="11"/>
        <v>0</v>
      </c>
      <c r="W36">
        <f t="shared" si="12"/>
        <v>15</v>
      </c>
      <c r="X36">
        <f t="shared" si="5"/>
        <v>13.5</v>
      </c>
      <c r="Y36">
        <f t="shared" si="6"/>
        <v>16.5</v>
      </c>
      <c r="Z36">
        <f t="shared" si="13"/>
        <v>0</v>
      </c>
      <c r="AA36" s="126">
        <f t="shared" si="14"/>
        <v>5.7406474433189906E-10</v>
      </c>
      <c r="AB36" s="126">
        <f t="shared" si="15"/>
        <v>2.0124155707451262E-9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6.2190347302425477E-10</v>
      </c>
      <c r="S37" s="126">
        <f t="shared" si="4"/>
        <v>2.0903673654593866E-9</v>
      </c>
      <c r="T37">
        <v>1</v>
      </c>
      <c r="U37">
        <v>18</v>
      </c>
      <c r="V37">
        <f t="shared" si="11"/>
        <v>0</v>
      </c>
      <c r="W37">
        <f t="shared" si="12"/>
        <v>18</v>
      </c>
      <c r="X37">
        <f t="shared" si="5"/>
        <v>16.2</v>
      </c>
      <c r="Y37">
        <f t="shared" si="6"/>
        <v>19.8</v>
      </c>
      <c r="Z37">
        <f t="shared" si="13"/>
        <v>0</v>
      </c>
      <c r="AA37" s="126">
        <f t="shared" si="14"/>
        <v>6.2190347302425477E-10</v>
      </c>
      <c r="AB37" s="126">
        <f t="shared" si="15"/>
        <v>2.0903673654593866E-9</v>
      </c>
      <c r="AC37" s="126" t="str">
        <f t="shared" si="7"/>
        <v>Vlow exceeds VIL spec</v>
      </c>
      <c r="AD37" s="126" t="str">
        <f t="shared" si="8"/>
        <v>Vlow exceeds VIL spec</v>
      </c>
    </row>
    <row r="38" spans="1:30" x14ac:dyDescent="0.35">
      <c r="A38" t="s">
        <v>347</v>
      </c>
      <c r="B38" s="125">
        <f>IF(Summary!L50="absolute",(S2+N7)/(J3-J3*Summary!L18),S2+N7)</f>
        <v>0.72</v>
      </c>
      <c r="K38">
        <v>1</v>
      </c>
      <c r="L38">
        <v>15</v>
      </c>
      <c r="M38">
        <f t="shared" si="9"/>
        <v>0</v>
      </c>
      <c r="N38">
        <f t="shared" si="0"/>
        <v>15</v>
      </c>
      <c r="O38">
        <f t="shared" si="1"/>
        <v>14.25</v>
      </c>
      <c r="P38">
        <f t="shared" si="2"/>
        <v>15.75</v>
      </c>
      <c r="Q38">
        <f t="shared" si="10"/>
        <v>0</v>
      </c>
      <c r="R38" s="126">
        <f t="shared" si="3"/>
        <v>7.1758093040805701E-10</v>
      </c>
      <c r="S38" s="126">
        <f t="shared" si="4"/>
        <v>2.2462709548865697E-9</v>
      </c>
      <c r="T38">
        <v>1</v>
      </c>
      <c r="U38">
        <v>22</v>
      </c>
      <c r="V38">
        <f t="shared" si="11"/>
        <v>0</v>
      </c>
      <c r="W38">
        <f t="shared" si="12"/>
        <v>22</v>
      </c>
      <c r="X38">
        <f t="shared" si="5"/>
        <v>19.8</v>
      </c>
      <c r="Y38">
        <f t="shared" si="6"/>
        <v>24.200000000000003</v>
      </c>
      <c r="Z38">
        <f t="shared" si="13"/>
        <v>0</v>
      </c>
      <c r="AA38" s="126">
        <f t="shared" si="14"/>
        <v>7.1758093040805701E-10</v>
      </c>
      <c r="AB38" s="126">
        <f t="shared" si="15"/>
        <v>2.2462709548865697E-9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7.6541965909950354E-10</v>
      </c>
      <c r="S39" s="126">
        <f t="shared" si="4"/>
        <v>2.3242227495994904E-9</v>
      </c>
      <c r="T39">
        <v>1</v>
      </c>
      <c r="U39">
        <v>27</v>
      </c>
      <c r="V39">
        <f t="shared" si="11"/>
        <v>0</v>
      </c>
      <c r="W39">
        <f t="shared" si="12"/>
        <v>27</v>
      </c>
      <c r="X39">
        <f t="shared" si="5"/>
        <v>24.3</v>
      </c>
      <c r="Y39">
        <f t="shared" si="6"/>
        <v>29.700000000000003</v>
      </c>
      <c r="Z39">
        <f t="shared" si="13"/>
        <v>0</v>
      </c>
      <c r="AA39" s="126">
        <f t="shared" si="14"/>
        <v>7.6541965909950354E-10</v>
      </c>
      <c r="AB39" s="126">
        <f t="shared" si="15"/>
        <v>2.3242227495994904E-9</v>
      </c>
      <c r="AC39" s="126" t="str">
        <f t="shared" si="7"/>
        <v>Vlow exceeds VIL spec</v>
      </c>
      <c r="AD39" s="126" t="str">
        <f t="shared" si="8"/>
        <v>Vlow exceeds VIL spec</v>
      </c>
    </row>
    <row r="40" spans="1:30" x14ac:dyDescent="0.35">
      <c r="A40" t="s">
        <v>349</v>
      </c>
      <c r="C40" s="125">
        <f>IF(Summary!L37="absolute",(S3+N7)/(J2-J2*Summary!L17),S3+N7)</f>
        <v>0.72</v>
      </c>
      <c r="K40">
        <v>1</v>
      </c>
      <c r="L40">
        <v>18</v>
      </c>
      <c r="M40">
        <f t="shared" si="9"/>
        <v>0</v>
      </c>
      <c r="N40">
        <f t="shared" si="0"/>
        <v>18</v>
      </c>
      <c r="O40">
        <f t="shared" si="1"/>
        <v>17.099999999999998</v>
      </c>
      <c r="P40">
        <f t="shared" si="2"/>
        <v>18.900000000000002</v>
      </c>
      <c r="Q40">
        <f t="shared" si="10"/>
        <v>0</v>
      </c>
      <c r="R40" s="126">
        <f t="shared" si="3"/>
        <v>8.6109711648148774E-10</v>
      </c>
      <c r="S40" s="126">
        <f t="shared" si="4"/>
        <v>2.4801263390239943E-9</v>
      </c>
      <c r="T40">
        <v>1</v>
      </c>
      <c r="U40">
        <v>33</v>
      </c>
      <c r="V40">
        <f t="shared" si="11"/>
        <v>0</v>
      </c>
      <c r="W40">
        <f t="shared" si="12"/>
        <v>33</v>
      </c>
      <c r="X40">
        <f t="shared" si="5"/>
        <v>29.7</v>
      </c>
      <c r="Y40">
        <f t="shared" si="6"/>
        <v>36.300000000000004</v>
      </c>
      <c r="Z40">
        <f t="shared" si="13"/>
        <v>0</v>
      </c>
      <c r="AA40" s="126">
        <f t="shared" si="14"/>
        <v>8.6109711648148774E-10</v>
      </c>
      <c r="AB40" s="126">
        <f t="shared" si="15"/>
        <v>2.4801263390239943E-9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9.5677457386226022E-10</v>
      </c>
      <c r="S41" s="126">
        <f t="shared" si="4"/>
        <v>2.6360299284467119E-9</v>
      </c>
      <c r="T41">
        <v>1</v>
      </c>
      <c r="U41">
        <v>39</v>
      </c>
      <c r="V41">
        <f t="shared" si="11"/>
        <v>0</v>
      </c>
      <c r="W41">
        <f t="shared" si="12"/>
        <v>39</v>
      </c>
      <c r="X41">
        <f t="shared" si="5"/>
        <v>35.1</v>
      </c>
      <c r="Y41">
        <f t="shared" si="6"/>
        <v>42.900000000000006</v>
      </c>
      <c r="Z41">
        <f t="shared" si="13"/>
        <v>0</v>
      </c>
      <c r="AA41" s="126">
        <f t="shared" si="14"/>
        <v>9.5677457386226022E-10</v>
      </c>
      <c r="AB41" s="126">
        <f t="shared" si="15"/>
        <v>2.6360299284467119E-9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0.99999935096450687</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0.99999935097769488</v>
      </c>
      <c r="K42">
        <v>1</v>
      </c>
      <c r="L42">
        <v>22</v>
      </c>
      <c r="M42">
        <f t="shared" si="9"/>
        <v>0</v>
      </c>
      <c r="N42">
        <f t="shared" si="0"/>
        <v>22</v>
      </c>
      <c r="O42">
        <f t="shared" si="1"/>
        <v>20.9</v>
      </c>
      <c r="P42">
        <f t="shared" si="2"/>
        <v>23.1</v>
      </c>
      <c r="Q42">
        <f t="shared" si="10"/>
        <v>0</v>
      </c>
      <c r="R42" s="126">
        <f t="shared" si="3"/>
        <v>1.0524520312418208E-9</v>
      </c>
      <c r="S42" s="126">
        <f t="shared" si="4"/>
        <v>2.791933517867644E-9</v>
      </c>
      <c r="T42">
        <v>1</v>
      </c>
      <c r="U42">
        <v>47</v>
      </c>
      <c r="V42">
        <f t="shared" si="11"/>
        <v>0</v>
      </c>
      <c r="W42">
        <f t="shared" si="12"/>
        <v>47</v>
      </c>
      <c r="X42">
        <f t="shared" si="5"/>
        <v>42.300000000000004</v>
      </c>
      <c r="Y42">
        <f t="shared" si="6"/>
        <v>51.7</v>
      </c>
      <c r="Z42">
        <f t="shared" si="13"/>
        <v>0</v>
      </c>
      <c r="AA42" s="126">
        <f t="shared" si="14"/>
        <v>1.0524520312418208E-9</v>
      </c>
      <c r="AB42" s="126">
        <f t="shared" si="15"/>
        <v>2.791933517867644E-9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0.9999993509776951</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0.99999935097769488</v>
      </c>
      <c r="K43">
        <v>1</v>
      </c>
      <c r="L43">
        <v>24</v>
      </c>
      <c r="M43">
        <f t="shared" si="9"/>
        <v>0</v>
      </c>
      <c r="N43">
        <f t="shared" si="0"/>
        <v>24</v>
      </c>
      <c r="O43">
        <f t="shared" si="1"/>
        <v>22.799999999999997</v>
      </c>
      <c r="P43">
        <f t="shared" si="2"/>
        <v>25.200000000000003</v>
      </c>
      <c r="Q43">
        <f t="shared" si="10"/>
        <v>0</v>
      </c>
      <c r="R43" s="126">
        <f t="shared" si="3"/>
        <v>1.1481294886201691E-9</v>
      </c>
      <c r="S43" s="126">
        <f t="shared" si="4"/>
        <v>2.9478371072867907E-9</v>
      </c>
      <c r="T43">
        <v>1</v>
      </c>
      <c r="U43">
        <v>56</v>
      </c>
      <c r="V43">
        <f t="shared" si="11"/>
        <v>0</v>
      </c>
      <c r="W43">
        <f t="shared" si="12"/>
        <v>56</v>
      </c>
      <c r="X43">
        <f t="shared" si="5"/>
        <v>50.4</v>
      </c>
      <c r="Y43">
        <f t="shared" si="6"/>
        <v>61.600000000000009</v>
      </c>
      <c r="Z43">
        <f t="shared" si="13"/>
        <v>0</v>
      </c>
      <c r="AA43" s="126">
        <f t="shared" si="14"/>
        <v>1.1481294886201691E-9</v>
      </c>
      <c r="AB43" s="126">
        <f t="shared" si="15"/>
        <v>2.9478371072867907E-9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0.9999993509776951</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0.99999935096450676</v>
      </c>
      <c r="K44">
        <v>1</v>
      </c>
      <c r="L44">
        <v>27</v>
      </c>
      <c r="M44">
        <f t="shared" si="9"/>
        <v>0</v>
      </c>
      <c r="N44">
        <f t="shared" si="0"/>
        <v>27</v>
      </c>
      <c r="O44">
        <f t="shared" si="1"/>
        <v>25.65</v>
      </c>
      <c r="P44">
        <f t="shared" si="2"/>
        <v>28.35</v>
      </c>
      <c r="Q44">
        <f t="shared" si="10"/>
        <v>0</v>
      </c>
      <c r="R44" s="126">
        <f t="shared" si="3"/>
        <v>1.2916456746854197E-9</v>
      </c>
      <c r="S44" s="126">
        <f t="shared" si="4"/>
        <v>3.1816924914121612E-9</v>
      </c>
      <c r="T44">
        <v>1</v>
      </c>
      <c r="U44">
        <v>68</v>
      </c>
      <c r="V44">
        <f t="shared" si="11"/>
        <v>0</v>
      </c>
      <c r="W44">
        <f t="shared" si="12"/>
        <v>68</v>
      </c>
      <c r="X44">
        <f t="shared" si="5"/>
        <v>61.2</v>
      </c>
      <c r="Y44">
        <f t="shared" si="6"/>
        <v>74.800000000000011</v>
      </c>
      <c r="Z44">
        <f t="shared" si="13"/>
        <v>0</v>
      </c>
      <c r="AA44" s="126">
        <f t="shared" si="14"/>
        <v>1.2916456746854197E-9</v>
      </c>
      <c r="AB44" s="126">
        <f t="shared" si="15"/>
        <v>3.1816924914121612E-9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1.4351618607479438E-9</v>
      </c>
      <c r="S45" s="126">
        <f t="shared" si="4"/>
        <v>3.4155478755335145E-9</v>
      </c>
      <c r="T45">
        <v>1</v>
      </c>
      <c r="U45">
        <v>82</v>
      </c>
      <c r="V45">
        <f t="shared" si="11"/>
        <v>0</v>
      </c>
      <c r="W45">
        <f t="shared" si="12"/>
        <v>82</v>
      </c>
      <c r="X45">
        <f t="shared" si="5"/>
        <v>73.8</v>
      </c>
      <c r="Y45">
        <f t="shared" si="6"/>
        <v>90.2</v>
      </c>
      <c r="Z45">
        <f t="shared" si="13"/>
        <v>0</v>
      </c>
      <c r="AA45" s="126">
        <f t="shared" si="14"/>
        <v>1.4351618607479438E-9</v>
      </c>
      <c r="AB45" s="126">
        <f t="shared" si="15"/>
        <v>3.4155478755335145E-9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1.5786780468077402E-9</v>
      </c>
      <c r="S46" s="126">
        <f t="shared" si="4"/>
        <v>3.649403259650849E-9</v>
      </c>
      <c r="T46">
        <v>10</v>
      </c>
      <c r="U46">
        <v>10</v>
      </c>
      <c r="V46">
        <f t="shared" si="11"/>
        <v>0</v>
      </c>
      <c r="W46">
        <f t="shared" si="12"/>
        <v>100</v>
      </c>
      <c r="X46">
        <f t="shared" si="5"/>
        <v>90</v>
      </c>
      <c r="Y46">
        <f t="shared" si="6"/>
        <v>110.00000000000001</v>
      </c>
      <c r="Z46">
        <f t="shared" si="13"/>
        <v>0</v>
      </c>
      <c r="AA46" s="126">
        <f t="shared" si="14"/>
        <v>1.5786780468077402E-9</v>
      </c>
      <c r="AB46" s="126">
        <f t="shared" si="15"/>
        <v>3.649403259650849E-9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1.7221942328648102E-9</v>
      </c>
      <c r="S47" s="126">
        <f t="shared" si="4"/>
        <v>3.8832586437641663E-9</v>
      </c>
      <c r="T47">
        <v>10</v>
      </c>
      <c r="U47">
        <v>12</v>
      </c>
      <c r="V47">
        <f t="shared" si="11"/>
        <v>0</v>
      </c>
      <c r="W47">
        <f>U47*T47</f>
        <v>120</v>
      </c>
      <c r="X47">
        <f t="shared" si="5"/>
        <v>108</v>
      </c>
      <c r="Y47">
        <f t="shared" si="6"/>
        <v>132</v>
      </c>
      <c r="Z47">
        <f t="shared" si="13"/>
        <v>0</v>
      </c>
      <c r="AA47" s="126">
        <f t="shared" si="14"/>
        <v>1.7221942328648102E-9</v>
      </c>
      <c r="AB47" s="126">
        <f t="shared" si="15"/>
        <v>3.8832586437641663E-9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1.8657104189191537E-9</v>
      </c>
      <c r="S48" s="126">
        <f t="shared" si="4"/>
        <v>4.1171140278734651E-9</v>
      </c>
      <c r="T48">
        <v>10</v>
      </c>
      <c r="U48">
        <v>15</v>
      </c>
      <c r="V48">
        <f t="shared" si="11"/>
        <v>0</v>
      </c>
      <c r="W48">
        <f t="shared" si="12"/>
        <v>150</v>
      </c>
      <c r="X48">
        <f t="shared" si="5"/>
        <v>135</v>
      </c>
      <c r="Y48">
        <f t="shared" si="6"/>
        <v>165</v>
      </c>
      <c r="Z48">
        <f t="shared" si="13"/>
        <v>0</v>
      </c>
      <c r="AA48" s="126">
        <f t="shared" si="14"/>
        <v>1.8657104189191537E-9</v>
      </c>
      <c r="AB48" s="126">
        <f t="shared" si="15"/>
        <v>4.1171140278734651E-9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2.0570653336540367E-9</v>
      </c>
      <c r="S49" s="126">
        <f t="shared" si="4"/>
        <v>4.4289212066796125E-9</v>
      </c>
      <c r="T49">
        <v>10</v>
      </c>
      <c r="U49">
        <v>18</v>
      </c>
      <c r="V49">
        <f t="shared" si="11"/>
        <v>0</v>
      </c>
      <c r="W49">
        <f t="shared" si="12"/>
        <v>180</v>
      </c>
      <c r="X49">
        <f t="shared" si="5"/>
        <v>162</v>
      </c>
      <c r="Y49">
        <f t="shared" si="6"/>
        <v>198.00000000000003</v>
      </c>
      <c r="Z49">
        <f t="shared" si="13"/>
        <v>0</v>
      </c>
      <c r="AA49" s="126">
        <f t="shared" si="14"/>
        <v>2.0570653336540367E-9</v>
      </c>
      <c r="AB49" s="126">
        <f t="shared" si="15"/>
        <v>4.4289212066796125E-9</v>
      </c>
      <c r="AC49" s="126" t="str">
        <f t="shared" si="7"/>
        <v>Vlow exceeds VIL spec</v>
      </c>
      <c r="AD49" s="126" t="str">
        <f t="shared" si="8"/>
        <v>Vlow exceeds VIL spec</v>
      </c>
    </row>
    <row r="50" spans="1:30" x14ac:dyDescent="0.35">
      <c r="A50" t="s">
        <v>320</v>
      </c>
      <c r="B50" s="11">
        <f>F11*(1+H11)</f>
        <v>787.5</v>
      </c>
      <c r="C50" s="11">
        <f>F11*(1+H11)</f>
        <v>787.5</v>
      </c>
      <c r="K50">
        <v>1</v>
      </c>
      <c r="L50">
        <v>47</v>
      </c>
      <c r="M50">
        <f t="shared" si="9"/>
        <v>0</v>
      </c>
      <c r="N50">
        <f t="shared" si="0"/>
        <v>47</v>
      </c>
      <c r="O50">
        <f t="shared" si="1"/>
        <v>44.65</v>
      </c>
      <c r="P50">
        <f t="shared" si="2"/>
        <v>49.35</v>
      </c>
      <c r="Q50">
        <f t="shared" si="10"/>
        <v>0</v>
      </c>
      <c r="R50" s="126">
        <f t="shared" si="3"/>
        <v>2.2484202483840717E-9</v>
      </c>
      <c r="S50" s="126">
        <f t="shared" si="4"/>
        <v>4.7407283854786172E-9</v>
      </c>
      <c r="T50">
        <v>10</v>
      </c>
      <c r="U50">
        <v>22</v>
      </c>
      <c r="V50">
        <f t="shared" si="11"/>
        <v>0</v>
      </c>
      <c r="W50">
        <f t="shared" si="12"/>
        <v>220</v>
      </c>
      <c r="X50">
        <f t="shared" si="5"/>
        <v>198</v>
      </c>
      <c r="Y50">
        <f t="shared" si="6"/>
        <v>242.00000000000003</v>
      </c>
      <c r="Z50">
        <f t="shared" si="13"/>
        <v>0</v>
      </c>
      <c r="AA50" s="126">
        <f t="shared" si="14"/>
        <v>2.2484202483840717E-9</v>
      </c>
      <c r="AB50" s="126">
        <f t="shared" si="15"/>
        <v>4.7407283854786172E-9</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2.4397751631092586E-9</v>
      </c>
      <c r="S51" s="126">
        <f t="shared" si="4"/>
        <v>5.0525355642704809E-9</v>
      </c>
      <c r="T51">
        <v>10</v>
      </c>
      <c r="U51">
        <v>27</v>
      </c>
      <c r="V51">
        <f t="shared" si="11"/>
        <v>1</v>
      </c>
      <c r="W51">
        <f t="shared" si="12"/>
        <v>270</v>
      </c>
      <c r="X51">
        <f t="shared" si="5"/>
        <v>243</v>
      </c>
      <c r="Y51">
        <f t="shared" si="6"/>
        <v>297</v>
      </c>
      <c r="Z51">
        <f t="shared" si="13"/>
        <v>1</v>
      </c>
      <c r="AA51" s="126">
        <f t="shared" si="14"/>
        <v>2.4397751631092586E-9</v>
      </c>
      <c r="AB51" s="126">
        <f t="shared" si="15"/>
        <v>5.0525355642704809E-9</v>
      </c>
      <c r="AC51" s="126" t="str">
        <f t="shared" si="7"/>
        <v>Vlow exceeds VIL spec</v>
      </c>
      <c r="AD51" s="126" t="str">
        <f t="shared" si="8"/>
        <v>Vlow exceeds VIL spec</v>
      </c>
    </row>
    <row r="52" spans="1:30" x14ac:dyDescent="0.35">
      <c r="A52" t="s">
        <v>324</v>
      </c>
      <c r="B52" s="1">
        <f>K21</f>
        <v>14.506962153924308</v>
      </c>
      <c r="C52">
        <v>0</v>
      </c>
      <c r="K52">
        <v>1</v>
      </c>
      <c r="L52">
        <v>56</v>
      </c>
      <c r="M52">
        <f t="shared" si="9"/>
        <v>0</v>
      </c>
      <c r="N52">
        <f t="shared" si="0"/>
        <v>56</v>
      </c>
      <c r="O52">
        <f t="shared" si="1"/>
        <v>53.199999999999996</v>
      </c>
      <c r="P52">
        <f t="shared" si="2"/>
        <v>58.800000000000004</v>
      </c>
      <c r="Q52">
        <f t="shared" si="10"/>
        <v>0</v>
      </c>
      <c r="R52" s="126">
        <f t="shared" si="3"/>
        <v>2.6789688065089258E-9</v>
      </c>
      <c r="S52" s="126">
        <f t="shared" si="4"/>
        <v>5.4422945377502613E-9</v>
      </c>
      <c r="T52">
        <v>10</v>
      </c>
      <c r="U52">
        <v>33</v>
      </c>
      <c r="V52">
        <f t="shared" si="11"/>
        <v>2</v>
      </c>
      <c r="W52">
        <f t="shared" si="12"/>
        <v>330</v>
      </c>
      <c r="X52">
        <f t="shared" si="5"/>
        <v>297</v>
      </c>
      <c r="Y52">
        <f t="shared" si="6"/>
        <v>363.00000000000006</v>
      </c>
      <c r="Z52">
        <f t="shared" si="13"/>
        <v>1</v>
      </c>
      <c r="AA52" s="126">
        <f t="shared" si="14"/>
        <v>2.6789688065089258E-9</v>
      </c>
      <c r="AB52" s="126">
        <f t="shared" si="15"/>
        <v>5.4422945377502613E-9</v>
      </c>
      <c r="AC52" s="126" t="str">
        <f t="shared" si="7"/>
        <v>Vlow exceeds VIL spec</v>
      </c>
      <c r="AD52" s="126" t="str">
        <f t="shared" si="8"/>
        <v>Vlow exceeds VIL spec</v>
      </c>
    </row>
    <row r="53" spans="1:30" x14ac:dyDescent="0.35">
      <c r="A53" t="s">
        <v>327</v>
      </c>
      <c r="B53">
        <v>0</v>
      </c>
      <c r="C53" s="1">
        <f>K21</f>
        <v>14.506962153924308</v>
      </c>
      <c r="K53">
        <v>1</v>
      </c>
      <c r="L53">
        <v>62</v>
      </c>
      <c r="M53">
        <f t="shared" si="9"/>
        <v>0</v>
      </c>
      <c r="N53">
        <f t="shared" si="0"/>
        <v>62</v>
      </c>
      <c r="O53">
        <f t="shared" si="1"/>
        <v>58.9</v>
      </c>
      <c r="P53">
        <f t="shared" si="2"/>
        <v>65.100000000000009</v>
      </c>
      <c r="Q53">
        <f t="shared" si="10"/>
        <v>0</v>
      </c>
      <c r="R53" s="126">
        <f t="shared" si="3"/>
        <v>2.9660011785785288E-9</v>
      </c>
      <c r="S53" s="126">
        <f t="shared" si="4"/>
        <v>5.9100053059112673E-9</v>
      </c>
      <c r="T53">
        <v>10</v>
      </c>
      <c r="U53">
        <v>39</v>
      </c>
      <c r="V53">
        <f t="shared" si="11"/>
        <v>3</v>
      </c>
      <c r="W53">
        <f t="shared" si="12"/>
        <v>390</v>
      </c>
      <c r="X53">
        <f t="shared" si="5"/>
        <v>351</v>
      </c>
      <c r="Y53">
        <f t="shared" si="6"/>
        <v>429.00000000000006</v>
      </c>
      <c r="Z53">
        <f t="shared" si="13"/>
        <v>1</v>
      </c>
      <c r="AA53" s="126">
        <f t="shared" si="14"/>
        <v>2.9660011785785288E-9</v>
      </c>
      <c r="AB53" s="126">
        <f t="shared" si="15"/>
        <v>5.9100053059112673E-9</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3.2530335506372233E-9</v>
      </c>
      <c r="S54" s="126">
        <f t="shared" si="4"/>
        <v>6.3777160740561995E-9</v>
      </c>
      <c r="T54">
        <v>10</v>
      </c>
      <c r="U54">
        <v>47</v>
      </c>
      <c r="V54">
        <f t="shared" si="11"/>
        <v>4</v>
      </c>
      <c r="W54">
        <f t="shared" si="12"/>
        <v>470</v>
      </c>
      <c r="X54">
        <f t="shared" si="5"/>
        <v>423</v>
      </c>
      <c r="Y54">
        <f t="shared" si="6"/>
        <v>517</v>
      </c>
      <c r="Z54">
        <f t="shared" si="13"/>
        <v>1</v>
      </c>
      <c r="AA54" s="126">
        <f t="shared" si="14"/>
        <v>3.2530335506372233E-9</v>
      </c>
      <c r="AB54" s="126">
        <f t="shared" si="15"/>
        <v>6.3777160740561995E-9</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3.5879046513585819E-9</v>
      </c>
      <c r="S55" s="126">
        <f t="shared" si="4"/>
        <v>6.9233786368716421E-9</v>
      </c>
      <c r="T55">
        <v>10</v>
      </c>
      <c r="U55">
        <v>56</v>
      </c>
      <c r="V55">
        <f t="shared" si="11"/>
        <v>5</v>
      </c>
      <c r="W55">
        <f t="shared" si="12"/>
        <v>560</v>
      </c>
      <c r="X55">
        <f t="shared" si="5"/>
        <v>504</v>
      </c>
      <c r="Y55">
        <f t="shared" si="6"/>
        <v>616</v>
      </c>
      <c r="Z55">
        <f t="shared" si="13"/>
        <v>1</v>
      </c>
      <c r="AA55" s="126">
        <f t="shared" si="14"/>
        <v>3.5879046513585819E-9</v>
      </c>
      <c r="AB55" s="126">
        <f t="shared" si="15"/>
        <v>6.9233786368716421E-9</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3.9227757520650955E-9</v>
      </c>
      <c r="S56" s="126">
        <f t="shared" si="4"/>
        <v>7.4690411996652074E-9</v>
      </c>
      <c r="T56">
        <v>10</v>
      </c>
      <c r="U56">
        <v>68</v>
      </c>
      <c r="V56">
        <f t="shared" si="11"/>
        <v>6</v>
      </c>
      <c r="W56">
        <f t="shared" si="12"/>
        <v>680</v>
      </c>
      <c r="X56">
        <f t="shared" si="5"/>
        <v>612</v>
      </c>
      <c r="Y56">
        <f t="shared" si="6"/>
        <v>748.00000000000011</v>
      </c>
      <c r="Z56">
        <f t="shared" si="13"/>
        <v>1</v>
      </c>
      <c r="AA56" s="126">
        <f t="shared" si="14"/>
        <v>3.9227757520650955E-9</v>
      </c>
      <c r="AB56" s="126">
        <f t="shared" si="15"/>
        <v>7.4690411996652074E-9</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4.353324310094512E-9</v>
      </c>
      <c r="S57" s="126">
        <f t="shared" si="4"/>
        <v>8.17060735179622E-9</v>
      </c>
      <c r="T57">
        <v>10</v>
      </c>
      <c r="U57">
        <v>82</v>
      </c>
      <c r="V57">
        <f t="shared" si="11"/>
        <v>7</v>
      </c>
      <c r="W57">
        <f t="shared" si="12"/>
        <v>820</v>
      </c>
      <c r="X57">
        <f t="shared" si="5"/>
        <v>738</v>
      </c>
      <c r="Y57">
        <f t="shared" si="6"/>
        <v>902.00000000000011</v>
      </c>
      <c r="Z57">
        <f t="shared" si="13"/>
        <v>1</v>
      </c>
      <c r="AA57" s="126">
        <f t="shared" si="14"/>
        <v>4.353324310094512E-9</v>
      </c>
      <c r="AB57" s="126">
        <f t="shared" si="15"/>
        <v>8.17060735179622E-9</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4.7838728680993876E-9</v>
      </c>
      <c r="S58" s="126">
        <f t="shared" si="4"/>
        <v>8.8721735038910666E-9</v>
      </c>
      <c r="T58">
        <v>100</v>
      </c>
      <c r="U58">
        <v>10</v>
      </c>
      <c r="V58">
        <f t="shared" si="11"/>
        <v>8</v>
      </c>
      <c r="W58">
        <f t="shared" si="12"/>
        <v>1000</v>
      </c>
      <c r="X58">
        <f t="shared" si="5"/>
        <v>900</v>
      </c>
      <c r="Y58">
        <f t="shared" si="6"/>
        <v>1100</v>
      </c>
      <c r="Z58">
        <f t="shared" si="13"/>
        <v>1</v>
      </c>
      <c r="AA58" s="126">
        <f t="shared" si="14"/>
        <v>4.7838728680993876E-9</v>
      </c>
      <c r="AB58" s="126">
        <f t="shared" si="15"/>
        <v>8.8721735038910666E-9</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5.2622601547426876E-9</v>
      </c>
      <c r="S59" s="126">
        <f t="shared" si="4"/>
        <v>9.6516914506207091E-9</v>
      </c>
      <c r="T59">
        <v>100</v>
      </c>
      <c r="U59">
        <v>12</v>
      </c>
      <c r="V59">
        <f t="shared" si="11"/>
        <v>9</v>
      </c>
      <c r="W59">
        <f t="shared" si="12"/>
        <v>1200</v>
      </c>
      <c r="X59">
        <f t="shared" si="5"/>
        <v>1080</v>
      </c>
      <c r="Y59">
        <f t="shared" si="6"/>
        <v>1320</v>
      </c>
      <c r="Z59">
        <f t="shared" si="13"/>
        <v>1</v>
      </c>
      <c r="AA59" s="126">
        <f t="shared" si="14"/>
        <v>5.2622601547426876E-9</v>
      </c>
      <c r="AB59" s="126">
        <f t="shared" si="15"/>
        <v>9.6516914506207091E-9</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5.7406474413556897E-9</v>
      </c>
      <c r="S60" s="126">
        <f t="shared" si="4"/>
        <v>1.0431209397305707E-8</v>
      </c>
      <c r="T60">
        <v>100</v>
      </c>
      <c r="U60">
        <v>15</v>
      </c>
      <c r="V60">
        <f t="shared" si="11"/>
        <v>10</v>
      </c>
      <c r="W60">
        <f t="shared" si="12"/>
        <v>1500</v>
      </c>
      <c r="X60">
        <f t="shared" si="5"/>
        <v>1350</v>
      </c>
      <c r="Y60">
        <f t="shared" si="6"/>
        <v>1650.0000000000002</v>
      </c>
      <c r="Z60">
        <f t="shared" si="13"/>
        <v>1</v>
      </c>
      <c r="AA60" s="126">
        <f t="shared" si="14"/>
        <v>5.7406474413556897E-9</v>
      </c>
      <c r="AB60" s="126">
        <f t="shared" si="15"/>
        <v>1.0431209397305707E-8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6.2190347279383946E-9</v>
      </c>
      <c r="S61" s="126">
        <f t="shared" si="4"/>
        <v>1.1210727343946056E-8</v>
      </c>
      <c r="T61">
        <v>100</v>
      </c>
      <c r="U61">
        <v>18</v>
      </c>
      <c r="V61">
        <f t="shared" si="11"/>
        <v>11</v>
      </c>
      <c r="W61">
        <f t="shared" si="12"/>
        <v>1800</v>
      </c>
      <c r="X61">
        <f t="shared" si="5"/>
        <v>1620</v>
      </c>
      <c r="Y61">
        <f t="shared" si="6"/>
        <v>1980.0000000000002</v>
      </c>
      <c r="Z61">
        <f t="shared" si="13"/>
        <v>1</v>
      </c>
      <c r="AA61" s="126">
        <f t="shared" si="14"/>
        <v>6.2190347279383946E-9</v>
      </c>
      <c r="AB61" s="126">
        <f t="shared" si="15"/>
        <v>1.1210727343946056E-8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0.99999912323465123</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0.99999912325077001</v>
      </c>
      <c r="K62">
        <v>10</v>
      </c>
      <c r="L62">
        <v>15</v>
      </c>
      <c r="M62">
        <f t="shared" si="9"/>
        <v>0</v>
      </c>
      <c r="N62">
        <f t="shared" si="0"/>
        <v>150</v>
      </c>
      <c r="O62">
        <f t="shared" si="1"/>
        <v>142.5</v>
      </c>
      <c r="P62">
        <f t="shared" si="2"/>
        <v>157.5</v>
      </c>
      <c r="Q62">
        <f t="shared" si="10"/>
        <v>0</v>
      </c>
      <c r="R62" s="126">
        <f t="shared" si="3"/>
        <v>7.1758093010129112E-9</v>
      </c>
      <c r="S62" s="126">
        <f t="shared" si="4"/>
        <v>1.2769763237092824E-8</v>
      </c>
      <c r="T62">
        <v>100</v>
      </c>
      <c r="U62">
        <v>22</v>
      </c>
      <c r="V62">
        <f t="shared" si="11"/>
        <v>12</v>
      </c>
      <c r="W62">
        <f t="shared" si="12"/>
        <v>2200</v>
      </c>
      <c r="X62">
        <f t="shared" si="5"/>
        <v>1980</v>
      </c>
      <c r="Y62">
        <f t="shared" si="6"/>
        <v>2420</v>
      </c>
      <c r="Z62">
        <f t="shared" si="13"/>
        <v>1</v>
      </c>
      <c r="AA62" s="126">
        <f t="shared" si="14"/>
        <v>7.1758093010129112E-9</v>
      </c>
      <c r="AB62" s="126">
        <f t="shared" si="15"/>
        <v>1.2769763237092824E-8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0.99999912325077001</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0.99999912325077001</v>
      </c>
      <c r="K63">
        <v>10</v>
      </c>
      <c r="L63">
        <v>16</v>
      </c>
      <c r="M63">
        <f t="shared" si="9"/>
        <v>0</v>
      </c>
      <c r="N63">
        <f t="shared" si="0"/>
        <v>160</v>
      </c>
      <c r="O63">
        <f t="shared" si="1"/>
        <v>152</v>
      </c>
      <c r="P63">
        <f t="shared" si="2"/>
        <v>168</v>
      </c>
      <c r="Q63">
        <f t="shared" si="10"/>
        <v>0</v>
      </c>
      <c r="R63" s="126">
        <f t="shared" si="3"/>
        <v>7.6541965875047222E-9</v>
      </c>
      <c r="S63" s="126">
        <f t="shared" si="4"/>
        <v>1.354928118359924E-8</v>
      </c>
      <c r="T63">
        <v>100</v>
      </c>
      <c r="U63">
        <v>27</v>
      </c>
      <c r="V63">
        <f t="shared" si="11"/>
        <v>13</v>
      </c>
      <c r="W63">
        <f t="shared" si="12"/>
        <v>2700</v>
      </c>
      <c r="X63">
        <f t="shared" si="5"/>
        <v>2430</v>
      </c>
      <c r="Y63">
        <f t="shared" si="6"/>
        <v>2970.0000000000005</v>
      </c>
      <c r="Z63">
        <f t="shared" si="13"/>
        <v>1</v>
      </c>
      <c r="AA63" s="126">
        <f t="shared" si="14"/>
        <v>7.6541965875047222E-9</v>
      </c>
      <c r="AB63" s="126">
        <f t="shared" si="15"/>
        <v>1.354928118359924E-8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0.99999912325077001</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0.99999912323465123</v>
      </c>
      <c r="K64">
        <v>10</v>
      </c>
      <c r="L64">
        <v>18</v>
      </c>
      <c r="M64">
        <f t="shared" si="9"/>
        <v>0</v>
      </c>
      <c r="N64">
        <f t="shared" si="0"/>
        <v>180</v>
      </c>
      <c r="O64">
        <f t="shared" si="1"/>
        <v>171</v>
      </c>
      <c r="P64">
        <f t="shared" si="2"/>
        <v>189</v>
      </c>
      <c r="Q64">
        <f t="shared" si="10"/>
        <v>0</v>
      </c>
      <c r="R64" s="126">
        <f t="shared" si="3"/>
        <v>8.6109711603974502E-9</v>
      </c>
      <c r="S64" s="126">
        <f t="shared" si="4"/>
        <v>1.5108317076478139E-8</v>
      </c>
      <c r="T64">
        <v>100</v>
      </c>
      <c r="U64">
        <v>33</v>
      </c>
      <c r="V64">
        <f t="shared" si="11"/>
        <v>14</v>
      </c>
      <c r="W64">
        <f t="shared" si="12"/>
        <v>3300</v>
      </c>
      <c r="X64">
        <f t="shared" si="5"/>
        <v>2970</v>
      </c>
      <c r="Y64">
        <f t="shared" si="6"/>
        <v>3630.0000000000005</v>
      </c>
      <c r="Z64">
        <f t="shared" si="13"/>
        <v>1</v>
      </c>
      <c r="AA64" s="126">
        <f t="shared" si="14"/>
        <v>8.6109711603974502E-9</v>
      </c>
      <c r="AB64" s="126">
        <f t="shared" si="15"/>
        <v>1.5108317076478139E-8</v>
      </c>
      <c r="AC64" s="126" t="str">
        <f t="shared" si="7"/>
        <v>Vlow exceeds VIL spec</v>
      </c>
      <c r="AD64" s="126">
        <f t="shared" si="8"/>
        <v>2.3312378432537449E-8</v>
      </c>
    </row>
    <row r="65" spans="1:31" x14ac:dyDescent="0.35">
      <c r="K65">
        <v>10</v>
      </c>
      <c r="L65">
        <v>20</v>
      </c>
      <c r="M65">
        <f t="shared" si="9"/>
        <v>0</v>
      </c>
      <c r="N65">
        <f t="shared" si="0"/>
        <v>200</v>
      </c>
      <c r="O65">
        <f t="shared" si="1"/>
        <v>190</v>
      </c>
      <c r="P65">
        <f t="shared" si="2"/>
        <v>210</v>
      </c>
      <c r="Q65">
        <f t="shared" si="10"/>
        <v>0</v>
      </c>
      <c r="R65" s="126">
        <f t="shared" si="3"/>
        <v>9.567745733168988E-9</v>
      </c>
      <c r="S65" s="126">
        <f t="shared" si="4"/>
        <v>1.6667352969178449E-8</v>
      </c>
      <c r="T65">
        <v>100</v>
      </c>
      <c r="U65">
        <v>39</v>
      </c>
      <c r="V65">
        <f t="shared" si="11"/>
        <v>15</v>
      </c>
      <c r="W65">
        <f t="shared" si="12"/>
        <v>3900</v>
      </c>
      <c r="X65">
        <f t="shared" si="5"/>
        <v>3510</v>
      </c>
      <c r="Y65">
        <f t="shared" si="6"/>
        <v>4290</v>
      </c>
      <c r="Z65">
        <f t="shared" si="13"/>
        <v>1</v>
      </c>
      <c r="AA65" s="126">
        <f t="shared" si="14"/>
        <v>9.567745733168988E-9</v>
      </c>
      <c r="AB65" s="126">
        <f t="shared" si="15"/>
        <v>1.6667352969178449E-8</v>
      </c>
      <c r="AC65" s="126" t="str">
        <f t="shared" si="7"/>
        <v>Vlow exceeds VIL spec</v>
      </c>
      <c r="AD65" s="126">
        <f t="shared" si="8"/>
        <v>1.5911719923539137E-8</v>
      </c>
    </row>
    <row r="66" spans="1:31" x14ac:dyDescent="0.35">
      <c r="I66" s="128"/>
      <c r="J66" s="128"/>
      <c r="K66">
        <v>10</v>
      </c>
      <c r="L66">
        <v>22</v>
      </c>
      <c r="M66">
        <f t="shared" si="9"/>
        <v>1</v>
      </c>
      <c r="N66">
        <f t="shared" si="0"/>
        <v>220</v>
      </c>
      <c r="O66">
        <f t="shared" si="1"/>
        <v>209</v>
      </c>
      <c r="P66">
        <f t="shared" si="2"/>
        <v>231</v>
      </c>
      <c r="Q66">
        <f t="shared" si="10"/>
        <v>1</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1.0524520305819334E-8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1.8226388861700188E-8</v>
      </c>
      <c r="T66">
        <v>100</v>
      </c>
      <c r="U66">
        <v>47</v>
      </c>
      <c r="V66">
        <f t="shared" si="11"/>
        <v>16</v>
      </c>
      <c r="W66">
        <f t="shared" si="12"/>
        <v>4700</v>
      </c>
      <c r="X66">
        <f t="shared" si="5"/>
        <v>4230</v>
      </c>
      <c r="Y66">
        <f t="shared" si="6"/>
        <v>5170</v>
      </c>
      <c r="Z66">
        <f t="shared" si="13"/>
        <v>1</v>
      </c>
      <c r="AA66" s="126">
        <f t="shared" si="14"/>
        <v>1.0524520305819334E-8</v>
      </c>
      <c r="AB66" s="126">
        <f t="shared" si="15"/>
        <v>1.8226388861700188E-8</v>
      </c>
      <c r="AC66" s="126">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2.4366511409935543E-8</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1.3495861954986478E-8</v>
      </c>
    </row>
    <row r="67" spans="1:31" x14ac:dyDescent="0.35">
      <c r="B67" s="171" t="s">
        <v>354</v>
      </c>
      <c r="C67" s="171"/>
      <c r="I67" s="128"/>
      <c r="K67">
        <v>10</v>
      </c>
      <c r="L67">
        <v>24</v>
      </c>
      <c r="M67">
        <f t="shared" si="9"/>
        <v>2</v>
      </c>
      <c r="N67">
        <f t="shared" si="0"/>
        <v>240</v>
      </c>
      <c r="O67">
        <f t="shared" si="1"/>
        <v>228</v>
      </c>
      <c r="P67">
        <f t="shared" si="2"/>
        <v>252</v>
      </c>
      <c r="Q67">
        <f t="shared" si="10"/>
        <v>1</v>
      </c>
      <c r="R67" s="126">
        <f t="shared" si="16"/>
        <v>1.1481294878348488E-8</v>
      </c>
      <c r="S67" s="126">
        <f t="shared" si="17"/>
        <v>1.9785424754043342E-8</v>
      </c>
      <c r="T67">
        <v>100</v>
      </c>
      <c r="U67">
        <v>56</v>
      </c>
      <c r="V67">
        <f t="shared" si="11"/>
        <v>17</v>
      </c>
      <c r="W67">
        <f t="shared" si="12"/>
        <v>5600</v>
      </c>
      <c r="X67">
        <f t="shared" si="5"/>
        <v>5040</v>
      </c>
      <c r="Y67">
        <f t="shared" si="6"/>
        <v>6160.0000000000009</v>
      </c>
      <c r="Z67">
        <f t="shared" si="13"/>
        <v>1</v>
      </c>
      <c r="AA67" s="126">
        <f t="shared" si="14"/>
        <v>1.1481294878348488E-8</v>
      </c>
      <c r="AB67" s="126">
        <f t="shared" si="15"/>
        <v>1.9785424754043342E-8</v>
      </c>
      <c r="AC67" s="126">
        <f t="shared" si="18"/>
        <v>1.8784683970048535E-8</v>
      </c>
      <c r="AD67" s="126">
        <f t="shared" si="19"/>
        <v>1.2146463460462551E-8</v>
      </c>
    </row>
    <row r="68" spans="1:31" ht="28.4" customHeight="1" x14ac:dyDescent="0.35">
      <c r="B68" s="32" t="s">
        <v>355</v>
      </c>
      <c r="C68" s="32" t="s">
        <v>356</v>
      </c>
      <c r="D68" s="32" t="s">
        <v>357</v>
      </c>
      <c r="E68" s="32" t="str">
        <f>IF(Summary!L37="absolute","find min R2, so that max (Vz) = " &amp; TRUNC(R3/J2,3),"find min R2, so that max (Vz) = " &amp; R3)</f>
        <v>find min R2, so that max (Vz) = 0.3</v>
      </c>
      <c r="F68" s="32" t="s">
        <v>358</v>
      </c>
      <c r="G68" s="32" t="s">
        <v>359</v>
      </c>
      <c r="H68" s="32" t="s">
        <v>360</v>
      </c>
      <c r="I68" s="49"/>
      <c r="J68" s="49"/>
      <c r="K68">
        <v>10</v>
      </c>
      <c r="L68">
        <v>27</v>
      </c>
      <c r="M68">
        <f t="shared" si="9"/>
        <v>3</v>
      </c>
      <c r="N68">
        <f t="shared" si="0"/>
        <v>270</v>
      </c>
      <c r="O68">
        <f t="shared" si="1"/>
        <v>256.5</v>
      </c>
      <c r="P68">
        <f t="shared" si="2"/>
        <v>283.5</v>
      </c>
      <c r="Q68">
        <f t="shared" si="10"/>
        <v>1</v>
      </c>
      <c r="R68" s="126">
        <f t="shared" si="16"/>
        <v>1.2916456736914984E-8</v>
      </c>
      <c r="S68" s="126">
        <f t="shared" si="17"/>
        <v>2.2123978592223235E-8</v>
      </c>
      <c r="T68">
        <v>100</v>
      </c>
      <c r="U68">
        <v>68</v>
      </c>
      <c r="V68">
        <f t="shared" si="11"/>
        <v>18</v>
      </c>
      <c r="W68">
        <f t="shared" si="12"/>
        <v>6800</v>
      </c>
      <c r="X68">
        <f t="shared" si="5"/>
        <v>6120</v>
      </c>
      <c r="Y68">
        <f t="shared" si="6"/>
        <v>7480.0000000000009</v>
      </c>
      <c r="Z68">
        <f t="shared" si="13"/>
        <v>1</v>
      </c>
      <c r="AA68" s="126">
        <f t="shared" si="14"/>
        <v>1.2916456736914984E-8</v>
      </c>
      <c r="AB68" s="126">
        <f t="shared" si="15"/>
        <v>2.2123978592223235E-8</v>
      </c>
      <c r="AC68" s="126">
        <f t="shared" si="18"/>
        <v>1.5528516956259521E-8</v>
      </c>
      <c r="AD68" s="126">
        <f t="shared" si="19"/>
        <v>1.0918290378087172E-8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4</v>
      </c>
      <c r="N69">
        <f t="shared" si="0"/>
        <v>300</v>
      </c>
      <c r="O69">
        <f t="shared" si="1"/>
        <v>285</v>
      </c>
      <c r="P69">
        <f t="shared" si="2"/>
        <v>315</v>
      </c>
      <c r="Q69">
        <f t="shared" si="10"/>
        <v>1</v>
      </c>
      <c r="R69" s="126">
        <f t="shared" si="16"/>
        <v>1.43516185952088E-8</v>
      </c>
      <c r="S69" s="126">
        <f t="shared" si="17"/>
        <v>2.446253243000132E-8</v>
      </c>
      <c r="T69">
        <v>100</v>
      </c>
      <c r="U69">
        <v>82</v>
      </c>
      <c r="V69">
        <f t="shared" si="11"/>
        <v>19</v>
      </c>
      <c r="W69">
        <f t="shared" si="12"/>
        <v>8200</v>
      </c>
      <c r="X69">
        <f t="shared" si="5"/>
        <v>7380</v>
      </c>
      <c r="Y69">
        <f t="shared" si="6"/>
        <v>9020</v>
      </c>
      <c r="Z69">
        <f t="shared" si="13"/>
        <v>1</v>
      </c>
      <c r="AA69" s="126">
        <f t="shared" si="14"/>
        <v>1.43516185952088E-8</v>
      </c>
      <c r="AB69" s="126">
        <f t="shared" si="15"/>
        <v>2.446253243000132E-8</v>
      </c>
      <c r="AC69" s="126">
        <f t="shared" si="18"/>
        <v>1.3854770203894256E-8</v>
      </c>
      <c r="AD69" s="126">
        <f t="shared" si="19"/>
        <v>1.0145904269491084E-8</v>
      </c>
    </row>
    <row r="70" spans="1:31" x14ac:dyDescent="0.35">
      <c r="A70" t="s">
        <v>320</v>
      </c>
      <c r="B70" s="11">
        <f>F11*(1+H11)</f>
        <v>787.5</v>
      </c>
      <c r="C70" s="11">
        <f>F11*(1-H11)</f>
        <v>712.5</v>
      </c>
      <c r="D70" s="11">
        <f>F11*(1+H11)</f>
        <v>787.5</v>
      </c>
      <c r="E70" s="11"/>
      <c r="F70" s="11">
        <f>F11*(1-H11)</f>
        <v>712.5</v>
      </c>
      <c r="G70" s="11">
        <f>F11*(1-H11)</f>
        <v>712.5</v>
      </c>
      <c r="H70" s="11">
        <f>F11*(1+H11)</f>
        <v>787.5</v>
      </c>
      <c r="K70">
        <v>10</v>
      </c>
      <c r="L70">
        <v>33</v>
      </c>
      <c r="M70">
        <f t="shared" si="9"/>
        <v>5</v>
      </c>
      <c r="N70">
        <f t="shared" si="0"/>
        <v>330</v>
      </c>
      <c r="O70">
        <f t="shared" si="1"/>
        <v>313.5</v>
      </c>
      <c r="P70">
        <f t="shared" si="2"/>
        <v>346.5</v>
      </c>
      <c r="Q70">
        <f t="shared" si="10"/>
        <v>1</v>
      </c>
      <c r="R70" s="126">
        <f t="shared" si="16"/>
        <v>1.5786780453229936E-8</v>
      </c>
      <c r="S70" s="126">
        <f t="shared" si="17"/>
        <v>2.68010862673776E-8</v>
      </c>
      <c r="T70">
        <v>1000</v>
      </c>
      <c r="U70">
        <v>10</v>
      </c>
      <c r="V70">
        <f t="shared" si="11"/>
        <v>20</v>
      </c>
      <c r="W70">
        <f t="shared" si="12"/>
        <v>10000</v>
      </c>
      <c r="X70">
        <f t="shared" si="5"/>
        <v>9000</v>
      </c>
      <c r="Y70">
        <f t="shared" si="6"/>
        <v>11000</v>
      </c>
      <c r="Z70">
        <f t="shared" si="13"/>
        <v>1</v>
      </c>
      <c r="AA70" s="126">
        <f t="shared" si="14"/>
        <v>1.5786780453229936E-8</v>
      </c>
      <c r="AB70" s="126">
        <f t="shared" si="15"/>
        <v>2.68010862673776E-8</v>
      </c>
      <c r="AC70" s="126">
        <f t="shared" si="18"/>
        <v>1.2802985152988638E-8</v>
      </c>
      <c r="AD70" s="126">
        <f t="shared" si="19"/>
        <v>9.6113873845092748E-9</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6</v>
      </c>
      <c r="N71">
        <f t="shared" si="0"/>
        <v>360</v>
      </c>
      <c r="O71">
        <f t="shared" si="1"/>
        <v>342</v>
      </c>
      <c r="P71">
        <f t="shared" si="2"/>
        <v>378</v>
      </c>
      <c r="Q71">
        <f t="shared" si="10"/>
        <v>1</v>
      </c>
      <c r="R71" s="126">
        <f t="shared" si="16"/>
        <v>1.7221942310978391E-8</v>
      </c>
      <c r="S71" s="126">
        <f t="shared" si="17"/>
        <v>2.9139640104352076E-8</v>
      </c>
      <c r="T71">
        <v>1000</v>
      </c>
      <c r="U71">
        <v>12</v>
      </c>
      <c r="V71">
        <f t="shared" si="11"/>
        <v>21</v>
      </c>
      <c r="W71">
        <f t="shared" si="12"/>
        <v>12000</v>
      </c>
      <c r="X71">
        <f t="shared" si="5"/>
        <v>10800</v>
      </c>
      <c r="Y71">
        <f t="shared" si="6"/>
        <v>13200.000000000002</v>
      </c>
      <c r="Z71">
        <f t="shared" si="13"/>
        <v>0</v>
      </c>
      <c r="AA71" s="126">
        <f t="shared" si="14"/>
        <v>1.7221942310978391E-8</v>
      </c>
      <c r="AB71" s="126">
        <f t="shared" si="15"/>
        <v>2.9139640104352076E-8</v>
      </c>
      <c r="AC71" s="126">
        <f t="shared" si="18"/>
        <v>1.2073038507534405E-8</v>
      </c>
      <c r="AD71" s="126">
        <f t="shared" si="19"/>
        <v>9.2184368541622617E-9</v>
      </c>
    </row>
    <row r="72" spans="1:31" x14ac:dyDescent="0.35">
      <c r="A72" t="s">
        <v>324</v>
      </c>
      <c r="B72" s="1">
        <f>K21*MIN(K25,K24)</f>
        <v>0</v>
      </c>
      <c r="C72" s="1">
        <f>K21*MAX(K25,K24)</f>
        <v>14.506962153924308</v>
      </c>
      <c r="D72" s="1">
        <f>K21*MIN(K25,K24)</f>
        <v>0</v>
      </c>
      <c r="E72" s="1">
        <f>K21*MAX(K25,K24)</f>
        <v>14.506962153924308</v>
      </c>
      <c r="F72" s="125">
        <f>K21*MAX(K25,K24)</f>
        <v>14.506962153924308</v>
      </c>
      <c r="G72" s="125">
        <f>K22*MAX(K25,K24)</f>
        <v>8.6969621539243072</v>
      </c>
      <c r="H72" s="1">
        <f>K22*MIN(K25,K24)</f>
        <v>0</v>
      </c>
      <c r="K72">
        <v>10</v>
      </c>
      <c r="L72">
        <v>39</v>
      </c>
      <c r="M72">
        <f t="shared" si="9"/>
        <v>7</v>
      </c>
      <c r="N72">
        <f t="shared" si="0"/>
        <v>390</v>
      </c>
      <c r="O72">
        <f t="shared" si="1"/>
        <v>370.5</v>
      </c>
      <c r="P72">
        <f t="shared" si="2"/>
        <v>409.5</v>
      </c>
      <c r="Q72">
        <f t="shared" si="10"/>
        <v>1</v>
      </c>
      <c r="R72" s="126">
        <f t="shared" si="16"/>
        <v>1.8657104168454167E-8</v>
      </c>
      <c r="S72" s="126">
        <f t="shared" si="17"/>
        <v>3.1478193940924747E-8</v>
      </c>
      <c r="T72">
        <v>1000</v>
      </c>
      <c r="U72">
        <v>15</v>
      </c>
      <c r="V72">
        <f t="shared" si="11"/>
        <v>21</v>
      </c>
      <c r="W72">
        <f t="shared" si="12"/>
        <v>15000</v>
      </c>
      <c r="X72">
        <f t="shared" si="5"/>
        <v>13500</v>
      </c>
      <c r="Y72">
        <f t="shared" si="6"/>
        <v>16500</v>
      </c>
      <c r="Z72">
        <f t="shared" si="13"/>
        <v>0</v>
      </c>
      <c r="AA72" s="126">
        <f t="shared" si="14"/>
        <v>1.8657104168454167E-8</v>
      </c>
      <c r="AB72" s="126">
        <f t="shared" si="15"/>
        <v>3.1478193940924747E-8</v>
      </c>
      <c r="AC72" s="126">
        <f t="shared" si="18"/>
        <v>1.1534442661982466E-8</v>
      </c>
      <c r="AD72" s="126">
        <f t="shared" si="19"/>
        <v>8.9170740856653241E-9</v>
      </c>
    </row>
    <row r="73" spans="1:31" x14ac:dyDescent="0.35">
      <c r="A73" t="s">
        <v>327</v>
      </c>
      <c r="B73" s="1">
        <f>K21-B72</f>
        <v>14.506962153924308</v>
      </c>
      <c r="C73" s="1">
        <f>K21-C72</f>
        <v>0</v>
      </c>
      <c r="D73" s="1">
        <f>K21-D72</f>
        <v>14.506962153924308</v>
      </c>
      <c r="E73" s="1">
        <f>K21-E72</f>
        <v>0</v>
      </c>
      <c r="F73" s="1">
        <f>K21-F72</f>
        <v>0</v>
      </c>
      <c r="G73" s="1">
        <f>K22-G72</f>
        <v>0</v>
      </c>
      <c r="H73" s="1">
        <f>K22-H72</f>
        <v>8.6969621539243072</v>
      </c>
      <c r="K73">
        <v>10</v>
      </c>
      <c r="L73">
        <v>43</v>
      </c>
      <c r="M73">
        <f t="shared" si="9"/>
        <v>8</v>
      </c>
      <c r="N73">
        <f t="shared" si="0"/>
        <v>430</v>
      </c>
      <c r="O73">
        <f t="shared" si="1"/>
        <v>408.5</v>
      </c>
      <c r="P73">
        <f t="shared" si="2"/>
        <v>451.5</v>
      </c>
      <c r="Q73">
        <f t="shared" si="10"/>
        <v>1</v>
      </c>
      <c r="R73" s="126">
        <f t="shared" si="16"/>
        <v>2.0570653311331031E-8</v>
      </c>
      <c r="S73" s="126">
        <f t="shared" si="17"/>
        <v>3.4596265722396605E-8</v>
      </c>
      <c r="T73">
        <v>1000</v>
      </c>
      <c r="U73">
        <v>18</v>
      </c>
      <c r="V73">
        <f t="shared" si="11"/>
        <v>21</v>
      </c>
      <c r="W73">
        <f t="shared" si="12"/>
        <v>18000</v>
      </c>
      <c r="X73">
        <f t="shared" si="5"/>
        <v>16200</v>
      </c>
      <c r="Y73">
        <f t="shared" si="6"/>
        <v>19800</v>
      </c>
      <c r="Z73">
        <f t="shared" si="13"/>
        <v>0</v>
      </c>
      <c r="AA73" s="126">
        <f t="shared" si="14"/>
        <v>2.0570653311331031E-8</v>
      </c>
      <c r="AB73" s="126">
        <f t="shared" si="15"/>
        <v>3.4596265722396605E-8</v>
      </c>
      <c r="AC73" s="126">
        <f t="shared" si="18"/>
        <v>1.1002035402721827E-8</v>
      </c>
      <c r="AD73" s="126">
        <f t="shared" si="19"/>
        <v>8.6097086632625073E-9</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9</v>
      </c>
      <c r="N74">
        <f t="shared" si="0"/>
        <v>470</v>
      </c>
      <c r="O74">
        <f t="shared" si="1"/>
        <v>446.5</v>
      </c>
      <c r="P74">
        <f t="shared" si="2"/>
        <v>493.5</v>
      </c>
      <c r="Q74">
        <f t="shared" si="10"/>
        <v>1</v>
      </c>
      <c r="R74" s="126">
        <f t="shared" si="16"/>
        <v>2.2484202453723124E-8</v>
      </c>
      <c r="S74" s="126">
        <f t="shared" si="17"/>
        <v>3.7714337503154142E-8</v>
      </c>
      <c r="T74">
        <v>1000</v>
      </c>
      <c r="U74">
        <v>22</v>
      </c>
      <c r="V74">
        <f t="shared" si="11"/>
        <v>21</v>
      </c>
      <c r="W74">
        <f t="shared" si="12"/>
        <v>22000</v>
      </c>
      <c r="X74">
        <f t="shared" si="5"/>
        <v>19800</v>
      </c>
      <c r="Y74">
        <f t="shared" si="6"/>
        <v>24200.000000000004</v>
      </c>
      <c r="Z74">
        <f t="shared" si="13"/>
        <v>0</v>
      </c>
      <c r="AA74" s="126">
        <f t="shared" si="14"/>
        <v>2.2484202453723124E-8</v>
      </c>
      <c r="AB74" s="126">
        <f t="shared" si="15"/>
        <v>3.7714337503154142E-8</v>
      </c>
      <c r="AC74" s="126">
        <f t="shared" si="18"/>
        <v>1.0606266886849398E-8</v>
      </c>
      <c r="AD74" s="126">
        <f t="shared" si="19"/>
        <v>8.3751419235788391E-9</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10</v>
      </c>
      <c r="N75">
        <f t="shared" si="0"/>
        <v>510</v>
      </c>
      <c r="O75">
        <f t="shared" si="1"/>
        <v>484.5</v>
      </c>
      <c r="P75">
        <f t="shared" si="2"/>
        <v>535.5</v>
      </c>
      <c r="Q75">
        <f t="shared" si="10"/>
        <v>1</v>
      </c>
      <c r="R75" s="126">
        <f t="shared" si="16"/>
        <v>2.4397751595630459E-8</v>
      </c>
      <c r="S75" s="126">
        <f t="shared" si="17"/>
        <v>4.0832409283197359E-8</v>
      </c>
      <c r="T75">
        <v>1000</v>
      </c>
      <c r="U75">
        <v>27</v>
      </c>
      <c r="V75">
        <f t="shared" si="11"/>
        <v>21</v>
      </c>
      <c r="W75">
        <f t="shared" si="12"/>
        <v>27000</v>
      </c>
      <c r="X75">
        <f t="shared" si="5"/>
        <v>24300</v>
      </c>
      <c r="Y75">
        <f t="shared" si="6"/>
        <v>29700.000000000004</v>
      </c>
      <c r="Z75">
        <f t="shared" si="13"/>
        <v>0</v>
      </c>
      <c r="AA75" s="126">
        <f t="shared" si="14"/>
        <v>2.4397751595630459E-8</v>
      </c>
      <c r="AB75" s="126">
        <f t="shared" si="15"/>
        <v>4.0832409283197359E-8</v>
      </c>
      <c r="AC75" s="126">
        <f t="shared" si="18"/>
        <v>1.0300399297749352E-8</v>
      </c>
      <c r="AD75" s="126">
        <f t="shared" si="19"/>
        <v>8.1902942813285636E-9</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11</v>
      </c>
      <c r="N76">
        <f t="shared" si="0"/>
        <v>560</v>
      </c>
      <c r="O76">
        <f t="shared" si="1"/>
        <v>532</v>
      </c>
      <c r="P76">
        <f t="shared" si="2"/>
        <v>588</v>
      </c>
      <c r="Q76">
        <f t="shared" si="10"/>
        <v>1</v>
      </c>
      <c r="R76" s="126">
        <f t="shared" si="16"/>
        <v>2.6789688022332924E-8</v>
      </c>
      <c r="S76" s="126">
        <f t="shared" si="17"/>
        <v>4.4729999007246864E-8</v>
      </c>
      <c r="T76">
        <v>1000</v>
      </c>
      <c r="U76">
        <v>33</v>
      </c>
      <c r="V76">
        <f t="shared" si="11"/>
        <v>21</v>
      </c>
      <c r="W76">
        <f t="shared" si="12"/>
        <v>33000</v>
      </c>
      <c r="X76">
        <f t="shared" si="5"/>
        <v>29700</v>
      </c>
      <c r="Y76">
        <f t="shared" si="6"/>
        <v>36300</v>
      </c>
      <c r="Z76">
        <f t="shared" si="13"/>
        <v>0</v>
      </c>
      <c r="AA76" s="126">
        <f t="shared" si="14"/>
        <v>2.6789688022332924E-8</v>
      </c>
      <c r="AB76" s="126">
        <f t="shared" si="15"/>
        <v>4.4729999007246864E-8</v>
      </c>
      <c r="AC76" s="126">
        <f t="shared" si="18"/>
        <v>1.0003630268136286E-8</v>
      </c>
      <c r="AD76" s="126">
        <f t="shared" si="19"/>
        <v>8.0079544912181643E-9</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12</v>
      </c>
      <c r="N77">
        <f t="shared" si="0"/>
        <v>620</v>
      </c>
      <c r="O77">
        <f t="shared" si="1"/>
        <v>589</v>
      </c>
      <c r="P77">
        <f t="shared" si="2"/>
        <v>651</v>
      </c>
      <c r="Q77">
        <f t="shared" si="10"/>
        <v>1</v>
      </c>
      <c r="R77" s="126">
        <f t="shared" si="16"/>
        <v>2.9660011733376047E-8</v>
      </c>
      <c r="S77" s="126">
        <f t="shared" si="17"/>
        <v>4.9407106674632984E-8</v>
      </c>
      <c r="T77">
        <v>1000</v>
      </c>
      <c r="U77">
        <v>39</v>
      </c>
      <c r="V77">
        <f t="shared" si="11"/>
        <v>21</v>
      </c>
      <c r="W77">
        <f t="shared" si="12"/>
        <v>39000</v>
      </c>
      <c r="X77">
        <f t="shared" si="5"/>
        <v>35100</v>
      </c>
      <c r="Y77">
        <f t="shared" si="6"/>
        <v>42900</v>
      </c>
      <c r="Z77">
        <f t="shared" si="13"/>
        <v>0</v>
      </c>
      <c r="AA77" s="126">
        <f t="shared" si="14"/>
        <v>2.9660011733376047E-8</v>
      </c>
      <c r="AB77" s="126">
        <f t="shared" si="15"/>
        <v>4.9407106674632984E-8</v>
      </c>
      <c r="AC77" s="126">
        <f t="shared" si="18"/>
        <v>9.7323507377823497E-9</v>
      </c>
      <c r="AD77" s="126">
        <f t="shared" si="19"/>
        <v>7.8386699206897994E-9</v>
      </c>
    </row>
    <row r="78" spans="1:31" x14ac:dyDescent="0.35">
      <c r="A78" t="s">
        <v>344</v>
      </c>
      <c r="B78">
        <v>1</v>
      </c>
      <c r="C78">
        <v>1</v>
      </c>
      <c r="D78">
        <v>1</v>
      </c>
      <c r="E78">
        <v>1</v>
      </c>
      <c r="F78">
        <v>1</v>
      </c>
      <c r="G78">
        <v>1</v>
      </c>
      <c r="H78">
        <v>1</v>
      </c>
      <c r="K78">
        <v>10</v>
      </c>
      <c r="L78">
        <v>68</v>
      </c>
      <c r="M78">
        <f t="shared" si="9"/>
        <v>13</v>
      </c>
      <c r="N78">
        <f t="shared" si="0"/>
        <v>680</v>
      </c>
      <c r="O78">
        <f t="shared" si="1"/>
        <v>646</v>
      </c>
      <c r="P78">
        <f t="shared" si="2"/>
        <v>714</v>
      </c>
      <c r="Q78">
        <f t="shared" si="10"/>
        <v>1</v>
      </c>
      <c r="R78" s="126">
        <f t="shared" si="16"/>
        <v>3.2530335443328447E-8</v>
      </c>
      <c r="S78" s="126">
        <f t="shared" si="17"/>
        <v>5.4084214340411879E-8</v>
      </c>
      <c r="T78">
        <v>1000</v>
      </c>
      <c r="U78">
        <v>47</v>
      </c>
      <c r="V78">
        <f t="shared" si="11"/>
        <v>21</v>
      </c>
      <c r="W78">
        <f t="shared" si="12"/>
        <v>47000</v>
      </c>
      <c r="X78">
        <f t="shared" si="5"/>
        <v>42300</v>
      </c>
      <c r="Y78">
        <f t="shared" si="6"/>
        <v>51700.000000000007</v>
      </c>
      <c r="Z78">
        <f t="shared" si="13"/>
        <v>0</v>
      </c>
      <c r="AA78" s="126">
        <f t="shared" si="14"/>
        <v>3.2530335443328447E-8</v>
      </c>
      <c r="AB78" s="126">
        <f t="shared" si="15"/>
        <v>5.4084214340411879E-8</v>
      </c>
      <c r="AC78" s="126">
        <f t="shared" si="18"/>
        <v>9.5235626209621209E-9</v>
      </c>
      <c r="AD78" s="126">
        <f t="shared" si="19"/>
        <v>7.706660476828719E-9</v>
      </c>
    </row>
    <row r="79" spans="1:31" x14ac:dyDescent="0.35">
      <c r="A79" t="s">
        <v>345</v>
      </c>
      <c r="B79">
        <v>1</v>
      </c>
      <c r="C79">
        <v>1</v>
      </c>
      <c r="D79">
        <v>1</v>
      </c>
      <c r="E79">
        <v>1</v>
      </c>
      <c r="F79">
        <v>1</v>
      </c>
      <c r="G79">
        <v>1</v>
      </c>
      <c r="H79">
        <v>1</v>
      </c>
      <c r="K79">
        <v>10</v>
      </c>
      <c r="L79">
        <v>75</v>
      </c>
      <c r="M79">
        <f t="shared" si="9"/>
        <v>14</v>
      </c>
      <c r="N79">
        <f t="shared" si="0"/>
        <v>750</v>
      </c>
      <c r="O79">
        <f t="shared" si="1"/>
        <v>712.5</v>
      </c>
      <c r="P79">
        <f t="shared" si="2"/>
        <v>787.5</v>
      </c>
      <c r="Q79">
        <f t="shared" si="10"/>
        <v>1</v>
      </c>
      <c r="R79" s="126">
        <f t="shared" si="16"/>
        <v>3.5879046436894368E-8</v>
      </c>
      <c r="S79" s="126">
        <f t="shared" si="17"/>
        <v>5.95408399484559E-8</v>
      </c>
      <c r="T79">
        <v>1000</v>
      </c>
      <c r="U79">
        <v>56</v>
      </c>
      <c r="V79">
        <f t="shared" si="11"/>
        <v>21</v>
      </c>
      <c r="W79">
        <f t="shared" si="12"/>
        <v>56000</v>
      </c>
      <c r="X79">
        <f t="shared" si="5"/>
        <v>50400</v>
      </c>
      <c r="Y79">
        <f t="shared" si="6"/>
        <v>61600.000000000007</v>
      </c>
      <c r="Z79">
        <f t="shared" si="13"/>
        <v>0</v>
      </c>
      <c r="AA79" s="126">
        <f t="shared" si="14"/>
        <v>3.5879046436894368E-8</v>
      </c>
      <c r="AB79" s="126">
        <f t="shared" si="15"/>
        <v>5.95408399484559E-8</v>
      </c>
      <c r="AC79" s="126">
        <f t="shared" si="18"/>
        <v>9.3336614651991574E-9</v>
      </c>
      <c r="AD79" s="126">
        <f t="shared" si="19"/>
        <v>7.5852686083036321E-9</v>
      </c>
      <c r="AE79" s="128"/>
    </row>
    <row r="80" spans="1:31" x14ac:dyDescent="0.35">
      <c r="A80" t="s">
        <v>346</v>
      </c>
      <c r="B80">
        <v>1</v>
      </c>
      <c r="C80">
        <v>1</v>
      </c>
      <c r="D80">
        <v>1</v>
      </c>
      <c r="E80">
        <v>1</v>
      </c>
      <c r="F80">
        <v>1</v>
      </c>
      <c r="G80">
        <v>1</v>
      </c>
      <c r="H80">
        <v>1</v>
      </c>
      <c r="K80">
        <v>10</v>
      </c>
      <c r="L80">
        <v>82</v>
      </c>
      <c r="M80">
        <f t="shared" si="9"/>
        <v>15</v>
      </c>
      <c r="N80">
        <f t="shared" si="0"/>
        <v>820</v>
      </c>
      <c r="O80">
        <f t="shared" si="1"/>
        <v>779</v>
      </c>
      <c r="P80">
        <f t="shared" si="2"/>
        <v>861</v>
      </c>
      <c r="Q80">
        <f t="shared" si="10"/>
        <v>1</v>
      </c>
      <c r="R80" s="126">
        <f t="shared" si="16"/>
        <v>3.9227757428975685E-8</v>
      </c>
      <c r="S80" s="126">
        <f t="shared" si="17"/>
        <v>6.4997465554312313E-8</v>
      </c>
      <c r="T80">
        <v>1000</v>
      </c>
      <c r="U80">
        <v>68</v>
      </c>
      <c r="V80">
        <f t="shared" si="11"/>
        <v>21</v>
      </c>
      <c r="W80">
        <f>U80*T80</f>
        <v>68000</v>
      </c>
      <c r="X80">
        <f t="shared" si="5"/>
        <v>61200</v>
      </c>
      <c r="Y80">
        <f t="shared" si="6"/>
        <v>74800</v>
      </c>
      <c r="Z80">
        <f t="shared" si="13"/>
        <v>0</v>
      </c>
      <c r="AA80" s="126">
        <f t="shared" si="14"/>
        <v>3.9227757428975685E-8</v>
      </c>
      <c r="AB80" s="126">
        <f t="shared" si="15"/>
        <v>6.4997465554312313E-8</v>
      </c>
      <c r="AC80" s="126">
        <f t="shared" si="18"/>
        <v>9.1841264563328777E-9</v>
      </c>
      <c r="AD80" s="126">
        <f t="shared" si="19"/>
        <v>7.48877507163683E-9</v>
      </c>
      <c r="AE80" s="128"/>
    </row>
    <row r="81" spans="1:31" x14ac:dyDescent="0.35">
      <c r="K81">
        <v>10</v>
      </c>
      <c r="L81">
        <v>91</v>
      </c>
      <c r="M81">
        <f t="shared" si="9"/>
        <v>16</v>
      </c>
      <c r="N81">
        <f t="shared" si="0"/>
        <v>910</v>
      </c>
      <c r="O81">
        <f t="shared" si="1"/>
        <v>864.5</v>
      </c>
      <c r="P81">
        <f t="shared" si="2"/>
        <v>955.5</v>
      </c>
      <c r="Q81">
        <f t="shared" si="10"/>
        <v>1</v>
      </c>
      <c r="R81" s="126">
        <f t="shared" si="16"/>
        <v>4.3533242988041653E-8</v>
      </c>
      <c r="S81" s="126">
        <f t="shared" si="17"/>
        <v>7.2013127044341813E-8</v>
      </c>
      <c r="T81">
        <v>1000</v>
      </c>
      <c r="U81">
        <v>82</v>
      </c>
      <c r="V81">
        <f t="shared" si="11"/>
        <v>21</v>
      </c>
      <c r="W81">
        <f t="shared" ref="W81" si="20">U81*T81</f>
        <v>82000</v>
      </c>
      <c r="X81">
        <f t="shared" si="5"/>
        <v>73800</v>
      </c>
      <c r="Y81">
        <f t="shared" si="6"/>
        <v>90200.000000000015</v>
      </c>
      <c r="Z81">
        <f t="shared" si="13"/>
        <v>0</v>
      </c>
      <c r="AA81" s="126">
        <f t="shared" si="14"/>
        <v>4.3533242988041653E-8</v>
      </c>
      <c r="AB81" s="126">
        <f t="shared" si="15"/>
        <v>7.2013127044341813E-8</v>
      </c>
      <c r="AC81" s="126">
        <f t="shared" si="18"/>
        <v>9.0330361494779759E-9</v>
      </c>
      <c r="AD81" s="126">
        <f t="shared" si="19"/>
        <v>7.3904499258914875E-9</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0.99999912325077067</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7.9163324874026053E-2</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4.5454543736265098E-2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0.81161492742167307</v>
      </c>
      <c r="F82" s="13"/>
      <c r="K82">
        <v>100</v>
      </c>
      <c r="L82">
        <v>10</v>
      </c>
      <c r="M82">
        <f>IF(AND(Q81=1,Q82=0),Q82+M81+1, Q82+M81)</f>
        <v>17</v>
      </c>
      <c r="N82">
        <f t="shared" si="0"/>
        <v>1000</v>
      </c>
      <c r="O82">
        <f t="shared" si="1"/>
        <v>950</v>
      </c>
      <c r="P82">
        <f t="shared" si="2"/>
        <v>1050</v>
      </c>
      <c r="Q82">
        <f t="shared" si="10"/>
        <v>1</v>
      </c>
      <c r="R82" s="126">
        <f t="shared" si="16"/>
        <v>4.7838728544653489E-8</v>
      </c>
      <c r="S82" s="126">
        <f t="shared" si="17"/>
        <v>7.9028788530755091E-8</v>
      </c>
      <c r="V82">
        <f t="shared" si="11"/>
        <v>21</v>
      </c>
      <c r="W82">
        <v>9999999</v>
      </c>
      <c r="AA82" s="126">
        <f t="shared" si="14"/>
        <v>4.7838728544653489E-8</v>
      </c>
      <c r="AB82" s="126">
        <f t="shared" si="15"/>
        <v>7.9028788530755091E-8</v>
      </c>
      <c r="AC82" s="126">
        <f t="shared" si="18"/>
        <v>8.9144893710633247E-9</v>
      </c>
      <c r="AD82" s="126">
        <f t="shared" si="19"/>
        <v>7.3127071537816522E-9</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0.99999912325077067</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9.7538034587048225E-2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4.5454543736265098E-2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18</v>
      </c>
      <c r="N83">
        <f t="shared" si="0"/>
        <v>1100</v>
      </c>
      <c r="O83">
        <f t="shared" si="1"/>
        <v>1045</v>
      </c>
      <c r="P83">
        <f t="shared" si="2"/>
        <v>1155</v>
      </c>
      <c r="Q83">
        <f t="shared" si="10"/>
        <v>1</v>
      </c>
      <c r="R83" s="126">
        <f t="shared" si="16"/>
        <v>5.2622601382455019E-8</v>
      </c>
      <c r="S83" s="126">
        <f t="shared" si="17"/>
        <v>8.6823967955861868E-8</v>
      </c>
      <c r="AA83" s="126">
        <f t="shared" si="14"/>
        <v>5.2622601382455019E-8</v>
      </c>
      <c r="AB83" s="126">
        <f t="shared" si="15"/>
        <v>8.6823967955861868E-8</v>
      </c>
      <c r="AC83" s="126">
        <f t="shared" si="18"/>
        <v>8.8095637916002777E-9</v>
      </c>
      <c r="AD83" s="126">
        <f t="shared" si="19"/>
        <v>7.2434494560325274E-9</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0.99999912323465179</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9.7538034587048225E-2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4.5454543748121107E-2</v>
      </c>
      <c r="E84" s="12">
        <f>IF(Summary!L37="absolute",(R3-N7)/(J2+J2*Summary!L17),R3-N7)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9.7538034644757965E-2</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9.0847561669234952E-2</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4.5454543743372794E-2</v>
      </c>
      <c r="K84">
        <v>100</v>
      </c>
      <c r="L84">
        <v>12</v>
      </c>
      <c r="M84">
        <f t="shared" si="21"/>
        <v>19</v>
      </c>
      <c r="N84">
        <f t="shared" si="0"/>
        <v>1200</v>
      </c>
      <c r="O84">
        <f t="shared" si="1"/>
        <v>1140</v>
      </c>
      <c r="P84">
        <f t="shared" si="2"/>
        <v>1260</v>
      </c>
      <c r="Q84">
        <f t="shared" si="10"/>
        <v>1</v>
      </c>
      <c r="R84" s="126">
        <f t="shared" si="16"/>
        <v>5.7406474217226764E-8</v>
      </c>
      <c r="S84" s="126">
        <f t="shared" si="17"/>
        <v>9.4619147376504132E-8</v>
      </c>
      <c r="AA84" s="126">
        <f t="shared" si="14"/>
        <v>5.7406474217226764E-8</v>
      </c>
      <c r="AB84" s="126">
        <f t="shared" si="15"/>
        <v>9.4619147376504132E-8</v>
      </c>
      <c r="AC84" s="126">
        <f t="shared" si="18"/>
        <v>8.7249626326270838E-9</v>
      </c>
      <c r="AD84" s="126">
        <f t="shared" si="19"/>
        <v>7.1872941281246987E-9</v>
      </c>
      <c r="AE84" s="128"/>
    </row>
    <row r="85" spans="1:31" x14ac:dyDescent="0.35">
      <c r="E85" s="73"/>
      <c r="K85">
        <v>100</v>
      </c>
      <c r="L85">
        <v>13</v>
      </c>
      <c r="M85">
        <f t="shared" si="21"/>
        <v>20</v>
      </c>
      <c r="N85">
        <f t="shared" si="0"/>
        <v>1300</v>
      </c>
      <c r="O85">
        <f t="shared" si="1"/>
        <v>1235</v>
      </c>
      <c r="P85">
        <f t="shared" si="2"/>
        <v>1365</v>
      </c>
      <c r="Q85">
        <f t="shared" si="10"/>
        <v>1</v>
      </c>
      <c r="R85" s="126">
        <f t="shared" si="16"/>
        <v>6.2190347048968726E-8</v>
      </c>
      <c r="S85" s="126">
        <f t="shared" si="17"/>
        <v>1.0241432679268188E-7</v>
      </c>
      <c r="AA85" s="126">
        <f t="shared" si="14"/>
        <v>6.2190347048968726E-8</v>
      </c>
      <c r="AB85" s="126">
        <f t="shared" si="15"/>
        <v>1.0241432679268188E-7</v>
      </c>
      <c r="AC85" s="126">
        <f t="shared" si="18"/>
        <v>8.6553217192028031E-9</v>
      </c>
      <c r="AD85" s="126">
        <f t="shared" si="19"/>
        <v>7.1408546902656129E-9</v>
      </c>
      <c r="AE85" s="128"/>
    </row>
    <row r="86" spans="1:31" x14ac:dyDescent="0.35">
      <c r="K86">
        <v>100</v>
      </c>
      <c r="L86">
        <v>15</v>
      </c>
      <c r="M86">
        <f t="shared" si="21"/>
        <v>21</v>
      </c>
      <c r="N86">
        <f t="shared" si="0"/>
        <v>1500</v>
      </c>
      <c r="O86">
        <f t="shared" si="1"/>
        <v>1425</v>
      </c>
      <c r="P86">
        <f t="shared" si="2"/>
        <v>1575</v>
      </c>
      <c r="Q86">
        <f t="shared" si="10"/>
        <v>1</v>
      </c>
      <c r="R86" s="126">
        <f t="shared" si="16"/>
        <v>7.1758092703363271E-8</v>
      </c>
      <c r="S86" s="126">
        <f t="shared" si="17"/>
        <v>1.1800468561164385E-7</v>
      </c>
      <c r="AA86" s="126">
        <f t="shared" si="14"/>
        <v>7.1758092703363271E-8</v>
      </c>
      <c r="AB86" s="126">
        <f t="shared" si="15"/>
        <v>1.1800468561164385E-7</v>
      </c>
      <c r="AC86" s="126">
        <f t="shared" si="18"/>
        <v>8.5474734814054074E-9</v>
      </c>
      <c r="AD86" s="126">
        <f t="shared" si="19"/>
        <v>7.0685460756255164E-9</v>
      </c>
      <c r="AE86" s="128"/>
    </row>
    <row r="87" spans="1:31" x14ac:dyDescent="0.35">
      <c r="B87" s="171" t="s">
        <v>362</v>
      </c>
      <c r="C87" s="171"/>
      <c r="K87">
        <v>100</v>
      </c>
      <c r="L87">
        <v>16</v>
      </c>
      <c r="M87">
        <f t="shared" si="21"/>
        <v>22</v>
      </c>
      <c r="N87">
        <f t="shared" si="0"/>
        <v>1600</v>
      </c>
      <c r="O87">
        <f t="shared" si="1"/>
        <v>1520</v>
      </c>
      <c r="P87">
        <f t="shared" si="2"/>
        <v>1680</v>
      </c>
      <c r="Q87">
        <f t="shared" si="10"/>
        <v>1</v>
      </c>
      <c r="R87" s="126">
        <f t="shared" si="16"/>
        <v>7.6541965526015868E-8</v>
      </c>
      <c r="S87" s="126">
        <f t="shared" si="17"/>
        <v>1.2579986501442806E-7</v>
      </c>
      <c r="AA87" s="126">
        <f t="shared" si="14"/>
        <v>7.6541965526015868E-8</v>
      </c>
      <c r="AB87" s="126">
        <f t="shared" si="15"/>
        <v>1.2579986501442806E-7</v>
      </c>
      <c r="AC87" s="126">
        <f t="shared" si="18"/>
        <v>8.5048803939236626E-9</v>
      </c>
      <c r="AD87" s="126">
        <f t="shared" si="19"/>
        <v>7.0398550616709673E-9</v>
      </c>
      <c r="AE87" s="128"/>
    </row>
    <row r="88" spans="1:31" ht="29" x14ac:dyDescent="0.35">
      <c r="B88" t="s">
        <v>355</v>
      </c>
      <c r="C88" t="s">
        <v>363</v>
      </c>
      <c r="D88" t="s">
        <v>364</v>
      </c>
      <c r="E88" s="32" t="str">
        <f>IF(Summary!L37="absolute","find min R2, so that max (Vx) = " &amp; TRUNC(R2/J3,3),"find min R2, so that max (Vx) = " &amp; R2)</f>
        <v>find min R2, so that max (Vx) = 0.3</v>
      </c>
      <c r="F88" s="32" t="s">
        <v>365</v>
      </c>
      <c r="G88" s="32" t="s">
        <v>366</v>
      </c>
      <c r="H88" s="32" t="s">
        <v>367</v>
      </c>
      <c r="K88">
        <v>100</v>
      </c>
      <c r="L88">
        <v>18</v>
      </c>
      <c r="M88">
        <f t="shared" si="21"/>
        <v>23</v>
      </c>
      <c r="N88">
        <f t="shared" si="0"/>
        <v>1800</v>
      </c>
      <c r="O88">
        <f t="shared" si="1"/>
        <v>1710</v>
      </c>
      <c r="P88">
        <f t="shared" si="2"/>
        <v>1890</v>
      </c>
      <c r="Q88">
        <f t="shared" si="10"/>
        <v>1</v>
      </c>
      <c r="R88" s="126">
        <f t="shared" si="16"/>
        <v>8.6109711162231683E-8</v>
      </c>
      <c r="S88" s="126">
        <f t="shared" si="17"/>
        <v>1.4139022380660294E-7</v>
      </c>
      <c r="AA88" s="126">
        <f t="shared" si="14"/>
        <v>8.6109711162231683E-8</v>
      </c>
      <c r="AB88" s="126">
        <f t="shared" si="15"/>
        <v>1.4139022380660294E-7</v>
      </c>
      <c r="AC88" s="126">
        <f t="shared" si="18"/>
        <v>8.4354120074563017E-9</v>
      </c>
      <c r="AD88" s="126">
        <f t="shared" si="19"/>
        <v>6.9928941738008643E-9</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24</v>
      </c>
      <c r="N89">
        <f t="shared" si="0"/>
        <v>2000</v>
      </c>
      <c r="O89">
        <f t="shared" si="1"/>
        <v>1900</v>
      </c>
      <c r="P89">
        <f t="shared" si="2"/>
        <v>2100</v>
      </c>
      <c r="Q89">
        <f t="shared" si="10"/>
        <v>1</v>
      </c>
      <c r="R89" s="126">
        <f t="shared" si="16"/>
        <v>9.5677456786328389E-8</v>
      </c>
      <c r="S89" s="126">
        <f t="shared" si="17"/>
        <v>1.5698058258091983E-7</v>
      </c>
      <c r="AA89" s="126">
        <f t="shared" si="14"/>
        <v>9.5677456786328389E-8</v>
      </c>
      <c r="AB89" s="126">
        <f t="shared" si="15"/>
        <v>1.5698058258091983E-7</v>
      </c>
      <c r="AC89" s="126">
        <f t="shared" si="18"/>
        <v>8.3811742459823697E-9</v>
      </c>
      <c r="AD89" s="126">
        <f t="shared" si="19"/>
        <v>6.9560828989060788E-9</v>
      </c>
      <c r="AE89" s="128"/>
    </row>
    <row r="90" spans="1:31" x14ac:dyDescent="0.35">
      <c r="A90" t="s">
        <v>320</v>
      </c>
      <c r="B90" s="11">
        <f>F11*(1+H11)</f>
        <v>787.5</v>
      </c>
      <c r="C90" s="11">
        <f>F11*(1-H11)</f>
        <v>712.5</v>
      </c>
      <c r="D90" s="11">
        <f>F11*(1+H11)</f>
        <v>787.5</v>
      </c>
      <c r="E90" s="11"/>
      <c r="F90" s="11">
        <f>F11*(1-H11)</f>
        <v>712.5</v>
      </c>
      <c r="G90">
        <f>F11*(1-H11)</f>
        <v>712.5</v>
      </c>
      <c r="H90">
        <f>F11*(1+H11)</f>
        <v>787.5</v>
      </c>
      <c r="K90">
        <v>100</v>
      </c>
      <c r="L90">
        <v>22</v>
      </c>
      <c r="M90">
        <f t="shared" si="21"/>
        <v>25</v>
      </c>
      <c r="N90">
        <f t="shared" si="0"/>
        <v>2200</v>
      </c>
      <c r="O90">
        <f t="shared" si="1"/>
        <v>2090</v>
      </c>
      <c r="P90">
        <f t="shared" si="2"/>
        <v>2310</v>
      </c>
      <c r="Q90">
        <f t="shared" si="10"/>
        <v>1</v>
      </c>
      <c r="R90" s="126">
        <f t="shared" si="16"/>
        <v>1.0524520239830591E-7</v>
      </c>
      <c r="S90" s="126">
        <f t="shared" si="17"/>
        <v>1.7257094133737858E-7</v>
      </c>
      <c r="AA90" s="126">
        <f t="shared" si="14"/>
        <v>1.0524520239830591E-7</v>
      </c>
      <c r="AB90" s="126">
        <f t="shared" si="15"/>
        <v>1.7257094133737858E-7</v>
      </c>
      <c r="AC90" s="126">
        <f t="shared" si="18"/>
        <v>8.3376615877526328E-9</v>
      </c>
      <c r="AD90" s="126">
        <f t="shared" si="19"/>
        <v>6.9264560150048314E-9</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26</v>
      </c>
      <c r="N91">
        <f t="shared" si="0"/>
        <v>2400</v>
      </c>
      <c r="O91">
        <f t="shared" si="1"/>
        <v>2280</v>
      </c>
      <c r="P91">
        <f t="shared" si="2"/>
        <v>2520</v>
      </c>
      <c r="Q91">
        <f t="shared" si="10"/>
        <v>1</v>
      </c>
      <c r="R91" s="126">
        <f t="shared" si="16"/>
        <v>1.1481294799816431E-7</v>
      </c>
      <c r="S91" s="126">
        <f t="shared" si="17"/>
        <v>1.8816130007597937E-7</v>
      </c>
      <c r="AA91" s="126">
        <f t="shared" si="14"/>
        <v>1.1481294799816431E-7</v>
      </c>
      <c r="AB91" s="126">
        <f t="shared" si="15"/>
        <v>1.8816130007597937E-7</v>
      </c>
      <c r="AC91" s="126">
        <f t="shared" si="18"/>
        <v>8.3019839163672858E-9</v>
      </c>
      <c r="AD91" s="126">
        <f t="shared" si="19"/>
        <v>6.9020997291761879E-9</v>
      </c>
      <c r="AE91" s="128"/>
    </row>
    <row r="92" spans="1:31" x14ac:dyDescent="0.35">
      <c r="A92" t="s">
        <v>324</v>
      </c>
      <c r="B92" s="1">
        <f>K21-B93</f>
        <v>14.506962153924308</v>
      </c>
      <c r="C92" s="1">
        <f>K21-C93</f>
        <v>0</v>
      </c>
      <c r="D92" s="1">
        <f>K21-D93</f>
        <v>14.506962153924308</v>
      </c>
      <c r="E92" s="1">
        <f>K21-E93</f>
        <v>0</v>
      </c>
      <c r="F92" s="1">
        <f>K21-F93</f>
        <v>0</v>
      </c>
      <c r="G92" s="1">
        <f>K22-G93</f>
        <v>0</v>
      </c>
      <c r="H92" s="1">
        <f>K22-H93</f>
        <v>8.6969621539243072</v>
      </c>
      <c r="K92">
        <v>100</v>
      </c>
      <c r="L92">
        <v>27</v>
      </c>
      <c r="M92">
        <f t="shared" si="21"/>
        <v>27</v>
      </c>
      <c r="N92">
        <f t="shared" si="0"/>
        <v>2700</v>
      </c>
      <c r="O92">
        <f t="shared" si="1"/>
        <v>2565</v>
      </c>
      <c r="P92">
        <f t="shared" si="2"/>
        <v>2835</v>
      </c>
      <c r="Q92">
        <f t="shared" si="10"/>
        <v>1</v>
      </c>
      <c r="R92" s="126">
        <f t="shared" si="16"/>
        <v>1.2916456637522855E-7</v>
      </c>
      <c r="S92" s="126">
        <f t="shared" si="17"/>
        <v>2.1154683815039663E-7</v>
      </c>
      <c r="AA92" s="126">
        <f t="shared" si="14"/>
        <v>1.2916456637522855E-7</v>
      </c>
      <c r="AB92" s="126">
        <f t="shared" si="15"/>
        <v>2.1154683815039663E-7</v>
      </c>
      <c r="AC92" s="126">
        <f t="shared" si="18"/>
        <v>8.2590853200478062E-9</v>
      </c>
      <c r="AD92" s="126">
        <f t="shared" si="19"/>
        <v>6.8727360928676294E-9</v>
      </c>
      <c r="AE92" s="128"/>
    </row>
    <row r="93" spans="1:31" x14ac:dyDescent="0.35">
      <c r="A93" t="s">
        <v>327</v>
      </c>
      <c r="B93" s="1">
        <f>K21*(1-MAX(K25,K24))</f>
        <v>0</v>
      </c>
      <c r="C93" s="1">
        <f>K21*(1-MIN(K25,K24))</f>
        <v>14.506962153924308</v>
      </c>
      <c r="D93" s="1">
        <f>K21*(1-MAX(K25,K24))</f>
        <v>0</v>
      </c>
      <c r="E93" s="1">
        <f>K21*(1-MIN(K25,K24))</f>
        <v>14.506962153924308</v>
      </c>
      <c r="F93" s="125">
        <f>K21*(1-MIN(K25,K24))</f>
        <v>14.506962153924308</v>
      </c>
      <c r="G93" s="125">
        <f>K22*(1-MIN(K25,K24))</f>
        <v>8.6969621539243072</v>
      </c>
      <c r="H93" s="1">
        <f>K22*(1-MAX(K25,K24))</f>
        <v>0</v>
      </c>
      <c r="K93">
        <v>100</v>
      </c>
      <c r="L93">
        <v>30</v>
      </c>
      <c r="M93">
        <f t="shared" si="21"/>
        <v>28</v>
      </c>
      <c r="N93">
        <f t="shared" si="0"/>
        <v>3000</v>
      </c>
      <c r="O93">
        <f t="shared" si="1"/>
        <v>2850</v>
      </c>
      <c r="P93">
        <f t="shared" si="2"/>
        <v>3150</v>
      </c>
      <c r="Q93">
        <f t="shared" si="10"/>
        <v>1</v>
      </c>
      <c r="R93" s="126">
        <f t="shared" si="16"/>
        <v>1.4351618472502466E-7</v>
      </c>
      <c r="S93" s="126">
        <f t="shared" si="17"/>
        <v>2.3493237618463335E-7</v>
      </c>
      <c r="AA93" s="126">
        <f t="shared" si="14"/>
        <v>1.4351618472502466E-7</v>
      </c>
      <c r="AB93" s="126">
        <f t="shared" si="15"/>
        <v>2.3493237618463335E-7</v>
      </c>
      <c r="AC93" s="126">
        <f t="shared" si="18"/>
        <v>8.2253180064184547E-9</v>
      </c>
      <c r="AD93" s="126">
        <f t="shared" si="19"/>
        <v>6.8495619607388155E-9</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29</v>
      </c>
      <c r="N94">
        <f t="shared" si="0"/>
        <v>3300</v>
      </c>
      <c r="O94">
        <f t="shared" si="1"/>
        <v>3135</v>
      </c>
      <c r="P94">
        <f t="shared" si="2"/>
        <v>3465</v>
      </c>
      <c r="Q94">
        <f t="shared" si="10"/>
        <v>1</v>
      </c>
      <c r="R94" s="126">
        <f t="shared" si="16"/>
        <v>1.5786780304755272E-7</v>
      </c>
      <c r="S94" s="126">
        <f t="shared" si="17"/>
        <v>2.5831791417868944E-7</v>
      </c>
      <c r="AA94" s="126">
        <f t="shared" si="14"/>
        <v>1.5786780304755272E-7</v>
      </c>
      <c r="AB94" s="126">
        <f t="shared" si="15"/>
        <v>2.5831791417868944E-7</v>
      </c>
      <c r="AC94" s="126">
        <f t="shared" si="18"/>
        <v>8.1980496061070622E-9</v>
      </c>
      <c r="AD94" s="126">
        <f t="shared" si="19"/>
        <v>6.8308082571624744E-9</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30</v>
      </c>
      <c r="N95">
        <f t="shared" si="0"/>
        <v>3600</v>
      </c>
      <c r="O95">
        <f t="shared" si="1"/>
        <v>3420</v>
      </c>
      <c r="P95">
        <f t="shared" si="2"/>
        <v>3780</v>
      </c>
      <c r="Q95">
        <f t="shared" si="10"/>
        <v>1</v>
      </c>
      <c r="R95" s="126">
        <f t="shared" si="16"/>
        <v>1.7221942134281266E-7</v>
      </c>
      <c r="S95" s="126">
        <f t="shared" si="17"/>
        <v>2.8170345213256485E-7</v>
      </c>
      <c r="AA95" s="126">
        <f t="shared" si="14"/>
        <v>1.7221942134281266E-7</v>
      </c>
      <c r="AB95" s="126">
        <f t="shared" si="15"/>
        <v>2.8170345213256485E-7</v>
      </c>
      <c r="AC95" s="126">
        <f t="shared" si="18"/>
        <v>8.1755701490672192E-9</v>
      </c>
      <c r="AD95" s="126">
        <f t="shared" si="19"/>
        <v>6.8153210829472489E-9</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1"/>
        <v>31</v>
      </c>
      <c r="N96">
        <f t="shared" si="0"/>
        <v>3900</v>
      </c>
      <c r="O96">
        <f t="shared" si="1"/>
        <v>3705</v>
      </c>
      <c r="P96">
        <f t="shared" si="2"/>
        <v>4095</v>
      </c>
      <c r="Q96">
        <f t="shared" si="10"/>
        <v>1</v>
      </c>
      <c r="R96" s="126">
        <f t="shared" si="16"/>
        <v>1.8657103961080458E-7</v>
      </c>
      <c r="S96" s="126">
        <f t="shared" si="17"/>
        <v>3.0508899004625973E-7</v>
      </c>
      <c r="AA96" s="126">
        <f t="shared" si="14"/>
        <v>1.8657103961080458E-7</v>
      </c>
      <c r="AB96" s="126">
        <f t="shared" si="15"/>
        <v>3.0508899004625973E-7</v>
      </c>
      <c r="AC96" s="126">
        <f t="shared" si="18"/>
        <v>8.1567208093732155E-9</v>
      </c>
      <c r="AD96" s="126">
        <f t="shared" si="19"/>
        <v>6.8023158144966389E-9</v>
      </c>
      <c r="AE96" s="128"/>
    </row>
    <row r="97" spans="1:31" x14ac:dyDescent="0.35">
      <c r="K97">
        <v>100</v>
      </c>
      <c r="L97">
        <v>43</v>
      </c>
      <c r="M97">
        <f t="shared" si="21"/>
        <v>32</v>
      </c>
      <c r="N97">
        <f t="shared" si="0"/>
        <v>4300</v>
      </c>
      <c r="O97">
        <f t="shared" si="1"/>
        <v>4085</v>
      </c>
      <c r="P97">
        <f t="shared" si="2"/>
        <v>4515</v>
      </c>
      <c r="Q97">
        <f t="shared" si="10"/>
        <v>1</v>
      </c>
      <c r="R97" s="126">
        <f t="shared" si="16"/>
        <v>2.0570653059237677E-7</v>
      </c>
      <c r="S97" s="126">
        <f t="shared" si="17"/>
        <v>3.3626970720201638E-7</v>
      </c>
      <c r="AA97" s="126">
        <f t="shared" si="14"/>
        <v>2.0570653059237677E-7</v>
      </c>
      <c r="AB97" s="126">
        <f t="shared" si="15"/>
        <v>3.3626970720201638E-7</v>
      </c>
      <c r="AC97" s="126">
        <f t="shared" si="18"/>
        <v>8.1358640147728209E-9</v>
      </c>
      <c r="AD97" s="126">
        <f t="shared" si="19"/>
        <v>6.7879050085146585E-9</v>
      </c>
      <c r="AE97" s="128"/>
    </row>
    <row r="98" spans="1:31" x14ac:dyDescent="0.35">
      <c r="A98" t="s">
        <v>344</v>
      </c>
      <c r="B98">
        <v>1</v>
      </c>
      <c r="C98">
        <v>1</v>
      </c>
      <c r="D98">
        <v>1</v>
      </c>
      <c r="E98">
        <v>1</v>
      </c>
      <c r="F98">
        <v>1</v>
      </c>
      <c r="G98">
        <v>1</v>
      </c>
      <c r="H98">
        <v>1</v>
      </c>
      <c r="K98">
        <v>100</v>
      </c>
      <c r="L98">
        <v>47</v>
      </c>
      <c r="M98">
        <f t="shared" si="21"/>
        <v>33</v>
      </c>
      <c r="N98">
        <f t="shared" ref="N98:N129" si="23">L98*K98</f>
        <v>4700</v>
      </c>
      <c r="O98">
        <f t="shared" ref="O98:O129" si="24">N98*(1-$M$32)</f>
        <v>4465</v>
      </c>
      <c r="P98">
        <f t="shared" ref="P98:P129" si="25">N98*(1+$M$32)</f>
        <v>4935</v>
      </c>
      <c r="Q98">
        <f t="shared" si="10"/>
        <v>1</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2.2484202152547237E-7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3.6745042428634089E-7</v>
      </c>
      <c r="AA98" s="126">
        <f t="shared" si="14"/>
        <v>2.2484202152547237E-7</v>
      </c>
      <c r="AB98" s="126">
        <f t="shared" si="15"/>
        <v>3.6745042428634089E-7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8.1187037588820128E-9</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6.7760319972963842E-9</v>
      </c>
      <c r="AE98" s="128"/>
    </row>
    <row r="99" spans="1:31" x14ac:dyDescent="0.35">
      <c r="A99" t="s">
        <v>345</v>
      </c>
      <c r="B99">
        <v>1</v>
      </c>
      <c r="C99">
        <v>1</v>
      </c>
      <c r="D99">
        <v>1</v>
      </c>
      <c r="E99">
        <v>1</v>
      </c>
      <c r="F99">
        <v>1</v>
      </c>
      <c r="G99">
        <v>1</v>
      </c>
      <c r="H99">
        <v>1</v>
      </c>
      <c r="K99">
        <v>100</v>
      </c>
      <c r="L99">
        <v>51</v>
      </c>
      <c r="M99">
        <f t="shared" si="21"/>
        <v>34</v>
      </c>
      <c r="N99">
        <f t="shared" si="23"/>
        <v>5100</v>
      </c>
      <c r="O99">
        <f t="shared" si="24"/>
        <v>4845</v>
      </c>
      <c r="P99">
        <f t="shared" si="25"/>
        <v>5355</v>
      </c>
      <c r="Q99">
        <f t="shared" ref="Q99:Q129" si="30">IF($Q$2="N/A",IF(AND((O99&gt;=MAX($H$7:$I$7)),(P99&lt;=MIN($F$7:$G$7)),(P99&lt;=MIN($B$7:$C$7)),(O99&gt;=MAX($D$7:$E$7))),1,0),IF(AND((O99&gt;=MAX($I$7)),(P99&lt;=MIN($G$7)),(P99&lt;=MIN($C$7)),(O99&gt;=MAX($E$7))),1,0))</f>
        <v>1</v>
      </c>
      <c r="R99" s="126">
        <f t="shared" si="26"/>
        <v>2.439775124100915E-7</v>
      </c>
      <c r="S99" s="126">
        <f t="shared" si="27"/>
        <v>3.9863114129923326E-7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2.439775124100915E-7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3.9863114129923326E-7</v>
      </c>
      <c r="AC99" s="126">
        <f t="shared" si="28"/>
        <v>8.1043377524210901E-9</v>
      </c>
      <c r="AD99" s="126">
        <f t="shared" si="29"/>
        <v>6.7660808799197573E-9</v>
      </c>
      <c r="AE99" s="128"/>
    </row>
    <row r="100" spans="1:31" x14ac:dyDescent="0.35">
      <c r="A100" t="s">
        <v>346</v>
      </c>
      <c r="B100">
        <v>1</v>
      </c>
      <c r="C100">
        <v>1</v>
      </c>
      <c r="D100">
        <v>1</v>
      </c>
      <c r="E100">
        <v>1</v>
      </c>
      <c r="F100">
        <v>1</v>
      </c>
      <c r="G100">
        <v>1</v>
      </c>
      <c r="H100">
        <v>1</v>
      </c>
      <c r="K100">
        <v>100</v>
      </c>
      <c r="L100">
        <v>56</v>
      </c>
      <c r="M100">
        <f t="shared" si="21"/>
        <v>35</v>
      </c>
      <c r="N100">
        <f t="shared" si="23"/>
        <v>5600</v>
      </c>
      <c r="O100">
        <f t="shared" si="24"/>
        <v>5320</v>
      </c>
      <c r="P100">
        <f t="shared" si="25"/>
        <v>5880</v>
      </c>
      <c r="Q100">
        <f t="shared" si="30"/>
        <v>1</v>
      </c>
      <c r="R100" s="126">
        <f t="shared" si="26"/>
        <v>2.6789687594769503E-7</v>
      </c>
      <c r="S100" s="126">
        <f t="shared" si="27"/>
        <v>4.3760703746489717E-7</v>
      </c>
      <c r="AA100" s="126">
        <f t="shared" si="31"/>
        <v>2.6789687594769503E-7</v>
      </c>
      <c r="AB100" s="126">
        <f t="shared" si="32"/>
        <v>4.3760703746489717E-7</v>
      </c>
      <c r="AC100" s="126">
        <f t="shared" si="28"/>
        <v>8.0893663553965055E-9</v>
      </c>
      <c r="AD100" s="126">
        <f t="shared" si="29"/>
        <v>6.7556992471297804E-9</v>
      </c>
      <c r="AE100" s="128"/>
    </row>
    <row r="101" spans="1:31" x14ac:dyDescent="0.35">
      <c r="K101">
        <v>100</v>
      </c>
      <c r="L101">
        <v>62</v>
      </c>
      <c r="M101">
        <f t="shared" si="21"/>
        <v>36</v>
      </c>
      <c r="N101">
        <f t="shared" si="23"/>
        <v>6200</v>
      </c>
      <c r="O101">
        <f t="shared" si="24"/>
        <v>5890</v>
      </c>
      <c r="P101">
        <f t="shared" si="25"/>
        <v>6510</v>
      </c>
      <c r="Q101">
        <f t="shared" si="30"/>
        <v>1</v>
      </c>
      <c r="R101" s="126">
        <f t="shared" si="26"/>
        <v>2.9660011209283648E-7</v>
      </c>
      <c r="S101" s="126">
        <f t="shared" si="27"/>
        <v>4.8437811271636476E-7</v>
      </c>
      <c r="AA101" s="126">
        <f t="shared" si="31"/>
        <v>2.9660011209283648E-7</v>
      </c>
      <c r="AB101" s="126">
        <f t="shared" si="32"/>
        <v>4.8437811271636476E-7</v>
      </c>
      <c r="AC101" s="126">
        <f t="shared" si="28"/>
        <v>8.0746880201659959E-9</v>
      </c>
      <c r="AD101" s="126">
        <f t="shared" si="29"/>
        <v>6.7455096716931884E-9</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0.99999912323465157</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8.3019795066711241E-2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3.0769230015508572E-2</v>
      </c>
      <c r="E102" s="12">
        <f>IF(Summary!L50="absolute",(R2-N7)/(J3+J3*Summary!L18),R2-N7)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8.3019795114376391E-2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7.6111502317420157E-2</v>
      </c>
      <c r="H102" s="12">
        <f t="shared" si="33"/>
        <v>3.0769230010587904E-2</v>
      </c>
      <c r="K102">
        <v>100</v>
      </c>
      <c r="L102">
        <v>68</v>
      </c>
      <c r="M102">
        <f t="shared" si="21"/>
        <v>37</v>
      </c>
      <c r="N102">
        <f t="shared" si="23"/>
        <v>6800</v>
      </c>
      <c r="O102">
        <f t="shared" si="24"/>
        <v>6460</v>
      </c>
      <c r="P102">
        <f t="shared" si="25"/>
        <v>7140</v>
      </c>
      <c r="Q102">
        <f t="shared" si="30"/>
        <v>1</v>
      </c>
      <c r="R102" s="126">
        <f t="shared" si="26"/>
        <v>3.2530334812890555E-7</v>
      </c>
      <c r="S102" s="126">
        <f t="shared" si="27"/>
        <v>5.3114918780711017E-7</v>
      </c>
      <c r="AA102" s="126">
        <f t="shared" si="31"/>
        <v>3.2530334812890555E-7</v>
      </c>
      <c r="AB102" s="126">
        <f t="shared" si="32"/>
        <v>5.3114918780711017E-7</v>
      </c>
      <c r="AC102" s="126">
        <f t="shared" si="28"/>
        <v>8.0626740523969265E-9</v>
      </c>
      <c r="AD102" s="126">
        <f t="shared" si="29"/>
        <v>6.737161387529538E-9</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0.99999912325077045</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8.3019795066711241E-2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3.0769230003222181E-2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8.3019795114376391E-2</v>
      </c>
      <c r="K103">
        <v>100</v>
      </c>
      <c r="L103">
        <v>75</v>
      </c>
      <c r="M103">
        <f t="shared" si="21"/>
        <v>38</v>
      </c>
      <c r="N103">
        <f t="shared" si="23"/>
        <v>7500</v>
      </c>
      <c r="O103">
        <f t="shared" si="24"/>
        <v>7125</v>
      </c>
      <c r="P103">
        <f t="shared" si="25"/>
        <v>7875</v>
      </c>
      <c r="Q103">
        <f t="shared" si="30"/>
        <v>1</v>
      </c>
      <c r="R103" s="126">
        <f t="shared" si="26"/>
        <v>3.5879045669979767E-7</v>
      </c>
      <c r="S103" s="126">
        <f t="shared" si="27"/>
        <v>5.8571544187651114E-7</v>
      </c>
      <c r="AA103" s="126">
        <f t="shared" si="31"/>
        <v>3.5879045669979767E-7</v>
      </c>
      <c r="AB103" s="126">
        <f t="shared" si="32"/>
        <v>5.8571544187651114E-7</v>
      </c>
      <c r="AC103" s="126">
        <f t="shared" si="28"/>
        <v>8.0511502843233727E-9</v>
      </c>
      <c r="AD103" s="126">
        <f t="shared" si="29"/>
        <v>6.7291466694834302E-9</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0.99999912325077045</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6.4349484388092251E-2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3.0769230003222181E-2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0.77511013276926366</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6.4349484436727902E-2</v>
      </c>
      <c r="K104">
        <v>100</v>
      </c>
      <c r="L104">
        <v>82</v>
      </c>
      <c r="M104">
        <f t="shared" si="21"/>
        <v>39</v>
      </c>
      <c r="N104">
        <f t="shared" si="23"/>
        <v>8200</v>
      </c>
      <c r="O104">
        <f t="shared" si="24"/>
        <v>7790</v>
      </c>
      <c r="P104">
        <f t="shared" si="25"/>
        <v>8610</v>
      </c>
      <c r="Q104">
        <f t="shared" si="30"/>
        <v>1</v>
      </c>
      <c r="R104" s="126">
        <f t="shared" si="26"/>
        <v>3.9227756512223011E-7</v>
      </c>
      <c r="S104" s="126">
        <f t="shared" si="27"/>
        <v>6.4028169572715091E-7</v>
      </c>
      <c r="AA104" s="126">
        <f t="shared" si="31"/>
        <v>3.9227756512223011E-7</v>
      </c>
      <c r="AB104" s="126">
        <f t="shared" si="32"/>
        <v>6.4028169572715091E-7</v>
      </c>
      <c r="AC104" s="126">
        <f t="shared" si="28"/>
        <v>8.0416407156236449E-9</v>
      </c>
      <c r="AD104" s="126">
        <f t="shared" si="29"/>
        <v>6.7225275723068252E-9</v>
      </c>
      <c r="AE104" s="128"/>
    </row>
    <row r="105" spans="1:31" x14ac:dyDescent="0.35">
      <c r="K105">
        <v>100</v>
      </c>
      <c r="L105">
        <v>91</v>
      </c>
      <c r="M105">
        <f t="shared" si="21"/>
        <v>40</v>
      </c>
      <c r="N105">
        <f t="shared" si="23"/>
        <v>9100</v>
      </c>
      <c r="O105">
        <f t="shared" si="24"/>
        <v>8645</v>
      </c>
      <c r="P105">
        <f t="shared" si="25"/>
        <v>9555</v>
      </c>
      <c r="Q105">
        <f t="shared" si="30"/>
        <v>1</v>
      </c>
      <c r="R105" s="126">
        <f t="shared" si="26"/>
        <v>4.3533241859007031E-7</v>
      </c>
      <c r="S105" s="126">
        <f t="shared" si="27"/>
        <v>7.1043830749938601E-7</v>
      </c>
      <c r="AA105" s="126">
        <f t="shared" si="31"/>
        <v>4.3533241859007031E-7</v>
      </c>
      <c r="AB105" s="126">
        <f t="shared" si="32"/>
        <v>7.1043830749938601E-7</v>
      </c>
      <c r="AC105" s="126">
        <f t="shared" si="28"/>
        <v>8.0316098856682556E-9</v>
      </c>
      <c r="AD105" s="126">
        <f t="shared" si="29"/>
        <v>6.7155404823656239E-9</v>
      </c>
      <c r="AE105" s="128"/>
    </row>
    <row r="106" spans="1:31" x14ac:dyDescent="0.35">
      <c r="K106">
        <v>1000</v>
      </c>
      <c r="L106">
        <v>10</v>
      </c>
      <c r="M106">
        <f t="shared" si="21"/>
        <v>41</v>
      </c>
      <c r="N106">
        <f t="shared" si="23"/>
        <v>10000</v>
      </c>
      <c r="O106">
        <f t="shared" si="24"/>
        <v>9500</v>
      </c>
      <c r="P106">
        <f t="shared" si="25"/>
        <v>10500</v>
      </c>
      <c r="Q106">
        <f t="shared" si="30"/>
        <v>1</v>
      </c>
      <c r="R106" s="126">
        <f t="shared" si="26"/>
        <v>4.7838727181249776E-7</v>
      </c>
      <c r="S106" s="126">
        <f t="shared" si="27"/>
        <v>7.8059491890999542E-7</v>
      </c>
      <c r="AA106" s="126">
        <f t="shared" si="31"/>
        <v>4.7838727181249776E-7</v>
      </c>
      <c r="AB106" s="126">
        <f t="shared" si="32"/>
        <v>7.8059491890999542E-7</v>
      </c>
      <c r="AC106" s="126">
        <f t="shared" si="28"/>
        <v>8.0234198074870333E-9</v>
      </c>
      <c r="AD106" s="126">
        <f t="shared" si="29"/>
        <v>6.7098316299422502E-9</v>
      </c>
      <c r="AE106" s="128"/>
    </row>
    <row r="107" spans="1:31" x14ac:dyDescent="0.35">
      <c r="K107">
        <v>1000</v>
      </c>
      <c r="L107">
        <v>11</v>
      </c>
      <c r="M107">
        <f t="shared" si="21"/>
        <v>42</v>
      </c>
      <c r="N107">
        <f t="shared" si="23"/>
        <v>11000</v>
      </c>
      <c r="O107">
        <f t="shared" si="24"/>
        <v>10450</v>
      </c>
      <c r="P107">
        <f t="shared" si="25"/>
        <v>11550</v>
      </c>
      <c r="Q107">
        <f t="shared" si="30"/>
        <v>1</v>
      </c>
      <c r="R107" s="126">
        <f t="shared" si="26"/>
        <v>5.2622599732736532E-7</v>
      </c>
      <c r="S107" s="126">
        <f t="shared" si="27"/>
        <v>8.5854670894209963E-7</v>
      </c>
      <c r="AA107" s="126">
        <f t="shared" si="31"/>
        <v>5.2622599732736532E-7</v>
      </c>
      <c r="AB107" s="126">
        <f t="shared" si="32"/>
        <v>8.5854670894209963E-7</v>
      </c>
      <c r="AC107" s="126">
        <f t="shared" si="28"/>
        <v>8.0159194311759554E-9</v>
      </c>
      <c r="AD107" s="126">
        <f t="shared" si="29"/>
        <v>6.7046003917465642E-9</v>
      </c>
      <c r="AE107" s="128"/>
    </row>
    <row r="108" spans="1:31" x14ac:dyDescent="0.35">
      <c r="K108">
        <v>1000</v>
      </c>
      <c r="L108">
        <v>12</v>
      </c>
      <c r="M108">
        <f t="shared" si="21"/>
        <v>43</v>
      </c>
      <c r="N108">
        <f t="shared" si="23"/>
        <v>12000</v>
      </c>
      <c r="O108">
        <f t="shared" si="24"/>
        <v>11400</v>
      </c>
      <c r="P108">
        <f t="shared" si="25"/>
        <v>12600</v>
      </c>
      <c r="Q108">
        <f t="shared" si="30"/>
        <v>1</v>
      </c>
      <c r="R108" s="126">
        <f t="shared" si="26"/>
        <v>5.7406472253925428E-7</v>
      </c>
      <c r="S108" s="126">
        <f t="shared" si="27"/>
        <v>9.3649849852775288E-7</v>
      </c>
      <c r="AA108" s="126">
        <f t="shared" si="31"/>
        <v>5.7406472253925428E-7</v>
      </c>
      <c r="AB108" s="126">
        <f t="shared" si="32"/>
        <v>9.3649849852775288E-7</v>
      </c>
      <c r="AC108" s="126">
        <f t="shared" si="28"/>
        <v>8.0096894526809268E-9</v>
      </c>
      <c r="AD108" s="126">
        <f t="shared" si="29"/>
        <v>6.7002529175281408E-9</v>
      </c>
      <c r="AE108" s="128"/>
    </row>
    <row r="109" spans="1:31" x14ac:dyDescent="0.35">
      <c r="K109">
        <v>1000</v>
      </c>
      <c r="L109">
        <v>13</v>
      </c>
      <c r="M109">
        <f t="shared" si="21"/>
        <v>44</v>
      </c>
      <c r="N109">
        <f t="shared" si="23"/>
        <v>13000</v>
      </c>
      <c r="O109">
        <f t="shared" si="24"/>
        <v>12350</v>
      </c>
      <c r="P109">
        <f t="shared" si="25"/>
        <v>13650</v>
      </c>
      <c r="Q109">
        <f t="shared" si="30"/>
        <v>0</v>
      </c>
      <c r="R109" s="126">
        <f t="shared" si="26"/>
        <v>6.2190344744816454E-7</v>
      </c>
      <c r="S109" s="126">
        <f t="shared" si="27"/>
        <v>1.014450287666955E-6</v>
      </c>
      <c r="AA109" s="126">
        <f t="shared" si="31"/>
        <v>6.2190344744816454E-7</v>
      </c>
      <c r="AB109" s="126">
        <f t="shared" si="32"/>
        <v>1.014450287666955E-6</v>
      </c>
      <c r="AC109" s="126">
        <f t="shared" si="28"/>
        <v>8.0044323325943975E-9</v>
      </c>
      <c r="AD109" s="126">
        <f t="shared" si="29"/>
        <v>6.6965827097827662E-9</v>
      </c>
      <c r="AE109" s="128"/>
    </row>
    <row r="110" spans="1:31" x14ac:dyDescent="0.35">
      <c r="K110">
        <v>1000</v>
      </c>
      <c r="L110">
        <v>15</v>
      </c>
      <c r="M110">
        <f t="shared" si="21"/>
        <v>44</v>
      </c>
      <c r="N110">
        <f t="shared" si="23"/>
        <v>15000</v>
      </c>
      <c r="O110">
        <f t="shared" si="24"/>
        <v>14250</v>
      </c>
      <c r="P110">
        <f t="shared" si="25"/>
        <v>15750</v>
      </c>
      <c r="Q110">
        <f t="shared" si="30"/>
        <v>0</v>
      </c>
      <c r="R110" s="126">
        <f t="shared" si="26"/>
        <v>7.1758089635704955E-7</v>
      </c>
      <c r="S110" s="126">
        <f t="shared" si="27"/>
        <v>1.1703538646060053E-6</v>
      </c>
      <c r="AA110" s="126">
        <f t="shared" si="31"/>
        <v>7.1758089635704955E-7</v>
      </c>
      <c r="AB110" s="126">
        <f t="shared" si="32"/>
        <v>1.1703538646060053E-6</v>
      </c>
      <c r="AC110" s="126">
        <f t="shared" si="28"/>
        <v>7.9960483192382687E-9</v>
      </c>
      <c r="AD110" s="126">
        <f t="shared" si="29"/>
        <v>6.6907264018427183E-9</v>
      </c>
      <c r="AE110" s="128"/>
    </row>
    <row r="111" spans="1:31" x14ac:dyDescent="0.35">
      <c r="K111">
        <v>1000</v>
      </c>
      <c r="L111">
        <v>16</v>
      </c>
      <c r="M111">
        <f t="shared" si="21"/>
        <v>44</v>
      </c>
      <c r="N111">
        <f t="shared" si="23"/>
        <v>16000</v>
      </c>
      <c r="O111">
        <f t="shared" si="24"/>
        <v>15200</v>
      </c>
      <c r="P111">
        <f t="shared" si="25"/>
        <v>16800</v>
      </c>
      <c r="Q111">
        <f t="shared" si="30"/>
        <v>0</v>
      </c>
      <c r="R111" s="126">
        <f t="shared" si="26"/>
        <v>7.654196203570241E-7</v>
      </c>
      <c r="S111" s="126">
        <f t="shared" si="27"/>
        <v>1.2483056524058539E-6</v>
      </c>
      <c r="AA111" s="126">
        <f t="shared" si="31"/>
        <v>7.654196203570241E-7</v>
      </c>
      <c r="AB111" s="126">
        <f t="shared" si="32"/>
        <v>1.2483056524058539E-6</v>
      </c>
      <c r="AC111" s="126">
        <f t="shared" si="28"/>
        <v>7.9926519158473403E-9</v>
      </c>
      <c r="AD111" s="126">
        <f t="shared" si="29"/>
        <v>6.6883528989492077E-9</v>
      </c>
      <c r="AE111" s="128"/>
    </row>
    <row r="112" spans="1:31" x14ac:dyDescent="0.35">
      <c r="K112">
        <v>1000</v>
      </c>
      <c r="L112">
        <v>18</v>
      </c>
      <c r="M112">
        <f t="shared" si="21"/>
        <v>44</v>
      </c>
      <c r="N112">
        <f t="shared" si="23"/>
        <v>18000</v>
      </c>
      <c r="O112">
        <f t="shared" si="24"/>
        <v>17100</v>
      </c>
      <c r="P112">
        <f t="shared" si="25"/>
        <v>18900</v>
      </c>
      <c r="Q112">
        <f t="shared" si="30"/>
        <v>0</v>
      </c>
      <c r="R112" s="126">
        <f t="shared" si="26"/>
        <v>8.6109706744803771E-7</v>
      </c>
      <c r="S112" s="126">
        <f t="shared" si="27"/>
        <v>1.4042092266661976E-6</v>
      </c>
      <c r="AA112" s="126">
        <f t="shared" si="31"/>
        <v>8.6109706744803771E-7</v>
      </c>
      <c r="AB112" s="126">
        <f t="shared" si="32"/>
        <v>1.4042092266661976E-6</v>
      </c>
      <c r="AC112" s="126">
        <f t="shared" si="28"/>
        <v>7.9870035415067553E-9</v>
      </c>
      <c r="AD112" s="126">
        <f t="shared" si="29"/>
        <v>6.6844042644908481E-9</v>
      </c>
      <c r="AE112" s="128"/>
    </row>
    <row r="113" spans="11:31" x14ac:dyDescent="0.35">
      <c r="K113">
        <v>1000</v>
      </c>
      <c r="L113">
        <v>20</v>
      </c>
      <c r="M113">
        <f t="shared" si="21"/>
        <v>44</v>
      </c>
      <c r="N113">
        <f t="shared" si="23"/>
        <v>20000</v>
      </c>
      <c r="O113">
        <f t="shared" si="24"/>
        <v>19000</v>
      </c>
      <c r="P113">
        <f t="shared" si="25"/>
        <v>21000</v>
      </c>
      <c r="Q113">
        <f t="shared" si="30"/>
        <v>0</v>
      </c>
      <c r="R113" s="126">
        <f t="shared" si="26"/>
        <v>9.5677451332713712E-7</v>
      </c>
      <c r="S113" s="126">
        <f t="shared" si="27"/>
        <v>1.5601127991407367E-6</v>
      </c>
      <c r="AA113" s="126">
        <f t="shared" si="31"/>
        <v>9.5677451332713712E-7</v>
      </c>
      <c r="AB113" s="126">
        <f t="shared" si="32"/>
        <v>1.5601127991407367E-6</v>
      </c>
      <c r="AC113" s="126">
        <f t="shared" si="28"/>
        <v>7.9824958888589699E-9</v>
      </c>
      <c r="AD113" s="126">
        <f t="shared" si="29"/>
        <v>6.6812518298052204E-9</v>
      </c>
      <c r="AE113" s="128"/>
    </row>
    <row r="114" spans="11:31" x14ac:dyDescent="0.35">
      <c r="K114">
        <v>1000</v>
      </c>
      <c r="L114">
        <v>22</v>
      </c>
      <c r="M114">
        <f t="shared" si="21"/>
        <v>44</v>
      </c>
      <c r="N114">
        <f t="shared" si="23"/>
        <v>22000</v>
      </c>
      <c r="O114">
        <f t="shared" si="24"/>
        <v>20900</v>
      </c>
      <c r="P114">
        <f t="shared" si="25"/>
        <v>23100</v>
      </c>
      <c r="Q114">
        <f t="shared" si="30"/>
        <v>0</v>
      </c>
      <c r="R114" s="126">
        <f t="shared" si="26"/>
        <v>1.052451957994322E-6</v>
      </c>
      <c r="S114" s="126">
        <f t="shared" si="27"/>
        <v>1.7160163698294716E-6</v>
      </c>
      <c r="AA114" s="126">
        <f t="shared" si="31"/>
        <v>1.052451957994322E-6</v>
      </c>
      <c r="AB114" s="126">
        <f t="shared" si="32"/>
        <v>1.7160163698294716E-6</v>
      </c>
      <c r="AC114" s="126">
        <f t="shared" si="28"/>
        <v>7.9788150987179284E-9</v>
      </c>
      <c r="AD114" s="126">
        <f t="shared" si="29"/>
        <v>6.6786768376107785E-9</v>
      </c>
      <c r="AE114" s="128"/>
    </row>
    <row r="115" spans="11:31" x14ac:dyDescent="0.35">
      <c r="K115">
        <v>1000</v>
      </c>
      <c r="L115">
        <v>24</v>
      </c>
      <c r="M115">
        <f t="shared" si="21"/>
        <v>44</v>
      </c>
      <c r="N115">
        <f t="shared" si="23"/>
        <v>24000</v>
      </c>
      <c r="O115">
        <f t="shared" si="24"/>
        <v>22800</v>
      </c>
      <c r="P115">
        <f t="shared" si="25"/>
        <v>25200</v>
      </c>
      <c r="Q115">
        <f t="shared" si="30"/>
        <v>0</v>
      </c>
      <c r="R115" s="126">
        <f t="shared" si="26"/>
        <v>1.1481294014495929E-6</v>
      </c>
      <c r="S115" s="126">
        <f t="shared" si="27"/>
        <v>1.8719199387324022E-6</v>
      </c>
      <c r="AA115" s="126">
        <f t="shared" si="31"/>
        <v>1.1481294014495929E-6</v>
      </c>
      <c r="AB115" s="126">
        <f t="shared" si="32"/>
        <v>1.8719199387324022E-6</v>
      </c>
      <c r="AC115" s="126">
        <f t="shared" si="28"/>
        <v>7.975752776961715E-9</v>
      </c>
      <c r="AD115" s="126">
        <f t="shared" si="29"/>
        <v>6.6765339442257345E-9</v>
      </c>
      <c r="AE115" s="128"/>
    </row>
    <row r="116" spans="11:31" x14ac:dyDescent="0.35">
      <c r="K116">
        <v>1000</v>
      </c>
      <c r="L116">
        <v>27</v>
      </c>
      <c r="M116">
        <f t="shared" si="21"/>
        <v>44</v>
      </c>
      <c r="N116">
        <f t="shared" si="23"/>
        <v>27000</v>
      </c>
      <c r="O116">
        <f t="shared" si="24"/>
        <v>25650</v>
      </c>
      <c r="P116">
        <f t="shared" si="25"/>
        <v>28350</v>
      </c>
      <c r="Q116">
        <f t="shared" si="30"/>
        <v>0</v>
      </c>
      <c r="R116" s="126">
        <f t="shared" si="26"/>
        <v>1.2916455643601598E-6</v>
      </c>
      <c r="S116" s="126">
        <f t="shared" si="27"/>
        <v>2.1057752887384145E-6</v>
      </c>
      <c r="AA116" s="126">
        <f t="shared" si="31"/>
        <v>1.2916455643601598E-6</v>
      </c>
      <c r="AB116" s="126">
        <f t="shared" si="32"/>
        <v>2.1057752887384145E-6</v>
      </c>
      <c r="AC116" s="126">
        <f t="shared" si="28"/>
        <v>7.9720161070242576E-9</v>
      </c>
      <c r="AD116" s="126">
        <f t="shared" si="29"/>
        <v>6.6739184693258239E-9</v>
      </c>
      <c r="AE116" s="128"/>
    </row>
    <row r="117" spans="11:31" x14ac:dyDescent="0.35">
      <c r="K117">
        <v>1000</v>
      </c>
      <c r="L117">
        <v>30</v>
      </c>
      <c r="M117">
        <f t="shared" si="21"/>
        <v>44</v>
      </c>
      <c r="N117">
        <f t="shared" si="23"/>
        <v>30000</v>
      </c>
      <c r="O117">
        <f t="shared" si="24"/>
        <v>28500</v>
      </c>
      <c r="P117">
        <f t="shared" si="25"/>
        <v>31500</v>
      </c>
      <c r="Q117">
        <f t="shared" si="30"/>
        <v>0</v>
      </c>
      <c r="R117" s="126">
        <f t="shared" si="26"/>
        <v>1.4351617245439204E-6</v>
      </c>
      <c r="S117" s="126">
        <f t="shared" si="27"/>
        <v>2.3396306347263676E-6</v>
      </c>
      <c r="AA117" s="126">
        <f t="shared" si="31"/>
        <v>1.4351617245439204E-6</v>
      </c>
      <c r="AB117" s="126">
        <f t="shared" si="32"/>
        <v>2.3396306347263676E-6</v>
      </c>
      <c r="AC117" s="126">
        <f t="shared" si="28"/>
        <v>7.9690316491317311E-9</v>
      </c>
      <c r="AD117" s="126">
        <f t="shared" si="29"/>
        <v>6.6718289507422972E-9</v>
      </c>
      <c r="AE117" s="128"/>
    </row>
    <row r="118" spans="11:31" x14ac:dyDescent="0.35">
      <c r="K118">
        <v>1000</v>
      </c>
      <c r="L118">
        <v>33</v>
      </c>
      <c r="M118">
        <f t="shared" si="21"/>
        <v>44</v>
      </c>
      <c r="N118">
        <f t="shared" si="23"/>
        <v>33000</v>
      </c>
      <c r="O118">
        <f t="shared" si="24"/>
        <v>31350</v>
      </c>
      <c r="P118">
        <f t="shared" si="25"/>
        <v>34650</v>
      </c>
      <c r="Q118">
        <f t="shared" si="30"/>
        <v>0</v>
      </c>
      <c r="R118" s="126">
        <f t="shared" si="26"/>
        <v>1.5786778820008738E-6</v>
      </c>
      <c r="S118" s="126">
        <f t="shared" si="27"/>
        <v>2.5734859766962598E-6</v>
      </c>
      <c r="AA118" s="126">
        <f t="shared" si="31"/>
        <v>1.5786778820008738E-6</v>
      </c>
      <c r="AB118" s="126">
        <f t="shared" si="32"/>
        <v>2.5734859766962598E-6</v>
      </c>
      <c r="AC118" s="126">
        <f t="shared" si="28"/>
        <v>7.9665930408973948E-9</v>
      </c>
      <c r="AD118" s="126">
        <f t="shared" si="29"/>
        <v>6.670121234355649E-9</v>
      </c>
      <c r="AE118" s="128"/>
    </row>
    <row r="119" spans="11:31" x14ac:dyDescent="0.35">
      <c r="K119">
        <v>1000</v>
      </c>
      <c r="L119">
        <v>36</v>
      </c>
      <c r="M119">
        <f t="shared" si="21"/>
        <v>44</v>
      </c>
      <c r="N119">
        <f t="shared" si="23"/>
        <v>36000</v>
      </c>
      <c r="O119">
        <f t="shared" si="24"/>
        <v>34200</v>
      </c>
      <c r="P119">
        <f t="shared" si="25"/>
        <v>37800</v>
      </c>
      <c r="Q119">
        <f t="shared" si="30"/>
        <v>0</v>
      </c>
      <c r="R119" s="126">
        <f t="shared" si="26"/>
        <v>1.7221940367310205E-6</v>
      </c>
      <c r="S119" s="126">
        <f t="shared" si="27"/>
        <v>2.8073413146480932E-6</v>
      </c>
      <c r="AA119" s="126">
        <f t="shared" si="31"/>
        <v>1.7221940367310205E-6</v>
      </c>
      <c r="AB119" s="126">
        <f t="shared" si="32"/>
        <v>2.8073413146480932E-6</v>
      </c>
      <c r="AC119" s="126">
        <f t="shared" si="28"/>
        <v>7.9645630794186001E-9</v>
      </c>
      <c r="AD119" s="126">
        <f t="shared" si="29"/>
        <v>6.6686994353994079E-9</v>
      </c>
      <c r="AE119" s="128"/>
    </row>
    <row r="120" spans="11:31" x14ac:dyDescent="0.35">
      <c r="K120">
        <v>1000</v>
      </c>
      <c r="L120">
        <v>39</v>
      </c>
      <c r="M120">
        <f t="shared" si="21"/>
        <v>44</v>
      </c>
      <c r="N120">
        <f t="shared" si="23"/>
        <v>39000</v>
      </c>
      <c r="O120">
        <f t="shared" si="24"/>
        <v>37050</v>
      </c>
      <c r="P120">
        <f t="shared" si="25"/>
        <v>40950</v>
      </c>
      <c r="Q120">
        <f t="shared" si="30"/>
        <v>0</v>
      </c>
      <c r="R120" s="126">
        <f t="shared" si="26"/>
        <v>1.8657101887343607E-6</v>
      </c>
      <c r="S120" s="126">
        <f t="shared" si="27"/>
        <v>3.0411966485818675E-6</v>
      </c>
      <c r="AA120" s="126">
        <f t="shared" si="31"/>
        <v>1.8657101887343607E-6</v>
      </c>
      <c r="AB120" s="126">
        <f t="shared" si="32"/>
        <v>3.0411966485818675E-6</v>
      </c>
      <c r="AC120" s="126">
        <f t="shared" si="28"/>
        <v>7.9628469890063403E-9</v>
      </c>
      <c r="AD120" s="126">
        <f t="shared" si="29"/>
        <v>6.6674972957440109E-9</v>
      </c>
      <c r="AE120" s="128"/>
    </row>
    <row r="121" spans="11:31" x14ac:dyDescent="0.35">
      <c r="K121">
        <v>1000</v>
      </c>
      <c r="L121">
        <v>43</v>
      </c>
      <c r="M121">
        <f t="shared" si="21"/>
        <v>44</v>
      </c>
      <c r="N121">
        <f t="shared" si="23"/>
        <v>43000</v>
      </c>
      <c r="O121">
        <f t="shared" si="24"/>
        <v>40850</v>
      </c>
      <c r="P121">
        <f t="shared" si="25"/>
        <v>45150</v>
      </c>
      <c r="Q121">
        <f t="shared" si="30"/>
        <v>0</v>
      </c>
      <c r="R121" s="126">
        <f t="shared" si="26"/>
        <v>2.0570650538304488E-6</v>
      </c>
      <c r="S121" s="126">
        <f t="shared" si="27"/>
        <v>3.3530037542432511E-6</v>
      </c>
      <c r="AA121" s="126">
        <f t="shared" si="31"/>
        <v>2.0570650538304488E-6</v>
      </c>
      <c r="AB121" s="126">
        <f t="shared" si="32"/>
        <v>3.3530037542432511E-6</v>
      </c>
      <c r="AC121" s="126">
        <f t="shared" si="28"/>
        <v>7.9609330509812913E-9</v>
      </c>
      <c r="AD121" s="126">
        <f t="shared" si="29"/>
        <v>6.6661563689443726E-9</v>
      </c>
      <c r="AE121" s="128"/>
    </row>
    <row r="122" spans="11:31" x14ac:dyDescent="0.35">
      <c r="K122">
        <v>1000</v>
      </c>
      <c r="L122">
        <v>47</v>
      </c>
      <c r="M122">
        <f t="shared" si="21"/>
        <v>44</v>
      </c>
      <c r="N122">
        <f t="shared" si="23"/>
        <v>47000</v>
      </c>
      <c r="O122">
        <f t="shared" si="24"/>
        <v>44650</v>
      </c>
      <c r="P122">
        <f t="shared" si="25"/>
        <v>49350</v>
      </c>
      <c r="Q122">
        <f t="shared" si="30"/>
        <v>0</v>
      </c>
      <c r="R122" s="126">
        <f t="shared" si="26"/>
        <v>2.2484199140788808E-6</v>
      </c>
      <c r="S122" s="126">
        <f t="shared" si="27"/>
        <v>3.6648108527614191E-6</v>
      </c>
      <c r="AA122" s="126">
        <f t="shared" si="31"/>
        <v>2.2484199140788808E-6</v>
      </c>
      <c r="AB122" s="126">
        <f t="shared" si="32"/>
        <v>3.6648108527614191E-6</v>
      </c>
      <c r="AC122" s="126">
        <f t="shared" si="28"/>
        <v>7.9593462483495355E-9</v>
      </c>
      <c r="AD122" s="126">
        <f t="shared" si="29"/>
        <v>6.6650444826129487E-9</v>
      </c>
      <c r="AE122" s="128"/>
    </row>
    <row r="123" spans="11:31" x14ac:dyDescent="0.35">
      <c r="K123">
        <v>1000</v>
      </c>
      <c r="L123">
        <v>51</v>
      </c>
      <c r="M123">
        <f t="shared" si="21"/>
        <v>44</v>
      </c>
      <c r="N123">
        <f t="shared" si="23"/>
        <v>51000</v>
      </c>
      <c r="O123">
        <f t="shared" si="24"/>
        <v>48450</v>
      </c>
      <c r="P123">
        <f t="shared" si="25"/>
        <v>53550</v>
      </c>
      <c r="Q123">
        <f t="shared" si="30"/>
        <v>0</v>
      </c>
      <c r="R123" s="126">
        <f t="shared" si="26"/>
        <v>2.4397747694796576E-6</v>
      </c>
      <c r="S123" s="126">
        <f t="shared" si="27"/>
        <v>3.9766179441363715E-6</v>
      </c>
      <c r="AA123" s="126">
        <f t="shared" si="31"/>
        <v>2.4397747694796576E-6</v>
      </c>
      <c r="AB123" s="126">
        <f t="shared" si="32"/>
        <v>3.9766179441363715E-6</v>
      </c>
      <c r="AC123" s="126">
        <f t="shared" si="28"/>
        <v>7.9580093127944398E-9</v>
      </c>
      <c r="AD123" s="126">
        <f t="shared" si="29"/>
        <v>6.6641075715969526E-9</v>
      </c>
      <c r="AE123" s="128"/>
    </row>
    <row r="124" spans="11:31" x14ac:dyDescent="0.35">
      <c r="K124">
        <v>1000</v>
      </c>
      <c r="L124">
        <v>56</v>
      </c>
      <c r="M124">
        <f t="shared" si="21"/>
        <v>44</v>
      </c>
      <c r="N124">
        <f t="shared" si="23"/>
        <v>56000</v>
      </c>
      <c r="O124">
        <f t="shared" si="24"/>
        <v>53200</v>
      </c>
      <c r="P124">
        <f t="shared" si="25"/>
        <v>58800</v>
      </c>
      <c r="Q124">
        <f t="shared" si="30"/>
        <v>0</v>
      </c>
      <c r="R124" s="126">
        <f t="shared" si="26"/>
        <v>2.6789683319136128E-6</v>
      </c>
      <c r="S124" s="126">
        <f t="shared" si="27"/>
        <v>4.3663767983099126E-6</v>
      </c>
      <c r="AA124" s="126">
        <f t="shared" si="31"/>
        <v>2.6789683319136128E-6</v>
      </c>
      <c r="AB124" s="126">
        <f t="shared" si="32"/>
        <v>4.3663767983099126E-6</v>
      </c>
      <c r="AC124" s="126">
        <f t="shared" si="28"/>
        <v>7.9566076645380959E-9</v>
      </c>
      <c r="AD124" s="126">
        <f t="shared" si="29"/>
        <v>6.6631252037137713E-9</v>
      </c>
      <c r="AE124" s="128"/>
    </row>
    <row r="125" spans="11:31" x14ac:dyDescent="0.35">
      <c r="K125">
        <v>1000</v>
      </c>
      <c r="L125">
        <v>62</v>
      </c>
      <c r="M125">
        <f t="shared" si="21"/>
        <v>44</v>
      </c>
      <c r="N125">
        <f t="shared" si="23"/>
        <v>62000</v>
      </c>
      <c r="O125">
        <f t="shared" si="24"/>
        <v>58900</v>
      </c>
      <c r="P125">
        <f t="shared" si="25"/>
        <v>65100</v>
      </c>
      <c r="Q125">
        <f t="shared" si="30"/>
        <v>0</v>
      </c>
      <c r="R125" s="126">
        <f t="shared" si="26"/>
        <v>2.9660005968360695E-6</v>
      </c>
      <c r="S125" s="126">
        <f t="shared" si="27"/>
        <v>4.8340874085852812E-6</v>
      </c>
      <c r="AA125" s="126">
        <f t="shared" si="31"/>
        <v>2.9660005968360695E-6</v>
      </c>
      <c r="AB125" s="126">
        <f t="shared" si="32"/>
        <v>4.8340874085852812E-6</v>
      </c>
      <c r="AC125" s="126">
        <f t="shared" si="28"/>
        <v>7.9552250458735703E-9</v>
      </c>
      <c r="AD125" s="126">
        <f t="shared" si="29"/>
        <v>6.6621560657646882E-9</v>
      </c>
      <c r="AE125" s="128"/>
    </row>
    <row r="126" spans="11:31" x14ac:dyDescent="0.35">
      <c r="K126">
        <v>1000</v>
      </c>
      <c r="L126">
        <v>68</v>
      </c>
      <c r="M126">
        <f t="shared" si="21"/>
        <v>44</v>
      </c>
      <c r="N126">
        <f t="shared" si="23"/>
        <v>68000</v>
      </c>
      <c r="O126">
        <f t="shared" si="24"/>
        <v>64600</v>
      </c>
      <c r="P126">
        <f t="shared" si="25"/>
        <v>71400</v>
      </c>
      <c r="Q126">
        <f t="shared" si="30"/>
        <v>0</v>
      </c>
      <c r="R126" s="126">
        <f t="shared" si="26"/>
        <v>3.2530328508513028E-6</v>
      </c>
      <c r="S126" s="126">
        <f t="shared" si="27"/>
        <v>5.3017980027884157E-6</v>
      </c>
      <c r="AA126" s="126">
        <f t="shared" si="31"/>
        <v>3.2530328508513028E-6</v>
      </c>
      <c r="AB126" s="126">
        <f t="shared" si="32"/>
        <v>5.3017980027884157E-6</v>
      </c>
      <c r="AC126" s="126">
        <f t="shared" si="28"/>
        <v>7.9540871224144035E-9</v>
      </c>
      <c r="AD126" s="126">
        <f t="shared" si="29"/>
        <v>6.6613583654076006E-9</v>
      </c>
      <c r="AE126" s="128"/>
    </row>
    <row r="127" spans="11:31" x14ac:dyDescent="0.35">
      <c r="K127">
        <v>1000</v>
      </c>
      <c r="L127">
        <v>75</v>
      </c>
      <c r="M127">
        <f t="shared" si="21"/>
        <v>44</v>
      </c>
      <c r="N127">
        <f t="shared" si="23"/>
        <v>75000</v>
      </c>
      <c r="O127">
        <f t="shared" si="24"/>
        <v>71250</v>
      </c>
      <c r="P127">
        <f t="shared" si="25"/>
        <v>78750</v>
      </c>
      <c r="Q127">
        <f t="shared" si="30"/>
        <v>0</v>
      </c>
      <c r="R127" s="126">
        <f t="shared" si="26"/>
        <v>3.5879038000835575E-6</v>
      </c>
      <c r="S127" s="126">
        <f t="shared" si="27"/>
        <v>5.847460342378555E-6</v>
      </c>
      <c r="AA127" s="126">
        <f t="shared" si="31"/>
        <v>3.5879038000835575E-6</v>
      </c>
      <c r="AB127" s="126">
        <f t="shared" si="32"/>
        <v>5.847460342378555E-6</v>
      </c>
      <c r="AC127" s="126">
        <f t="shared" si="28"/>
        <v>7.9529902602278545E-9</v>
      </c>
      <c r="AD127" s="126">
        <f t="shared" si="29"/>
        <v>6.660589381162246E-9</v>
      </c>
      <c r="AE127" s="128"/>
    </row>
    <row r="128" spans="11:31" x14ac:dyDescent="0.35">
      <c r="K128">
        <v>1000</v>
      </c>
      <c r="L128">
        <v>82</v>
      </c>
      <c r="M128">
        <f t="shared" si="21"/>
        <v>44</v>
      </c>
      <c r="N128">
        <f t="shared" si="23"/>
        <v>82000</v>
      </c>
      <c r="O128">
        <f t="shared" si="24"/>
        <v>77900</v>
      </c>
      <c r="P128">
        <f t="shared" si="25"/>
        <v>86100</v>
      </c>
      <c r="Q128">
        <f t="shared" si="30"/>
        <v>0</v>
      </c>
      <c r="R128" s="126">
        <f t="shared" si="26"/>
        <v>3.9227747344698703E-6</v>
      </c>
      <c r="S128" s="126">
        <f t="shared" si="27"/>
        <v>6.3931226600926013E-6</v>
      </c>
      <c r="AA128" s="126">
        <f t="shared" si="31"/>
        <v>3.9227747344698703E-6</v>
      </c>
      <c r="AB128" s="126">
        <f t="shared" si="32"/>
        <v>6.3931226600926013E-6</v>
      </c>
      <c r="AC128" s="126">
        <f t="shared" si="28"/>
        <v>7.9520811151628874E-9</v>
      </c>
      <c r="AD128" s="126">
        <f t="shared" si="29"/>
        <v>6.6599519500294817E-9</v>
      </c>
      <c r="AE128" s="128"/>
    </row>
    <row r="129" spans="11:31" x14ac:dyDescent="0.35">
      <c r="K129">
        <v>1000</v>
      </c>
      <c r="L129">
        <v>91</v>
      </c>
      <c r="M129">
        <f t="shared" si="21"/>
        <v>44</v>
      </c>
      <c r="N129">
        <f t="shared" si="23"/>
        <v>91000</v>
      </c>
      <c r="O129">
        <f t="shared" si="24"/>
        <v>86450</v>
      </c>
      <c r="P129">
        <f t="shared" si="25"/>
        <v>95550</v>
      </c>
      <c r="Q129">
        <f t="shared" si="30"/>
        <v>0</v>
      </c>
      <c r="R129" s="126">
        <f t="shared" si="26"/>
        <v>4.3533230568664005E-6</v>
      </c>
      <c r="S129" s="126">
        <f t="shared" si="27"/>
        <v>7.0946884650090531E-6</v>
      </c>
      <c r="AA129" s="126">
        <f t="shared" si="31"/>
        <v>4.3533230568664005E-6</v>
      </c>
      <c r="AB129" s="126">
        <f t="shared" si="32"/>
        <v>7.0946884650090531E-6</v>
      </c>
      <c r="AC129" s="126">
        <f t="shared" si="28"/>
        <v>7.9511181784204435E-9</v>
      </c>
      <c r="AD129" s="126">
        <f t="shared" si="29"/>
        <v>6.6592767534183611E-9</v>
      </c>
      <c r="AE129" s="128"/>
    </row>
    <row r="130" spans="11:31" x14ac:dyDescent="0.35">
      <c r="M130">
        <f t="shared" si="21"/>
        <v>44</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755" priority="34" stopIfTrue="1">
      <formula>AND($B$11="need resistor",$C$11&gt;0)</formula>
    </cfRule>
    <cfRule type="containsText" dxfId="754" priority="38" operator="containsText" text="need resistor">
      <formula>NOT(ISERROR(SEARCH("need resistor",B11)))</formula>
    </cfRule>
  </conditionalFormatting>
  <conditionalFormatting sqref="B11:B12">
    <cfRule type="containsText" dxfId="753" priority="36" operator="containsText" text="no need">
      <formula>NOT(ISERROR(SEARCH("no need",B11)))</formula>
    </cfRule>
  </conditionalFormatting>
  <conditionalFormatting sqref="B12">
    <cfRule type="expression" dxfId="752" priority="33" stopIfTrue="1">
      <formula>AND($B$12="need resistor",$C$12&gt;0)</formula>
    </cfRule>
    <cfRule type="containsText" dxfId="751" priority="35" operator="containsText" text="need resistor">
      <formula>NOT(ISERROR(SEARCH("need resistor",B12)))</formula>
    </cfRule>
  </conditionalFormatting>
  <conditionalFormatting sqref="B42">
    <cfRule type="expression" dxfId="750" priority="61">
      <formula>AND($B$42&gt;$S$2,$B$2=1)</formula>
    </cfRule>
    <cfRule type="expression" dxfId="749" priority="60">
      <formula>AND($B$42&lt;$R$2,$B$2=0)</formula>
    </cfRule>
    <cfRule type="expression" dxfId="748" priority="59" stopIfTrue="1">
      <formula>AND($B$42&lt;=$S$2,$B$2=1)</formula>
    </cfRule>
    <cfRule type="expression" dxfId="747" priority="58" stopIfTrue="1">
      <formula>AND($B$42&gt;=$R$2,$B$2=0)</formula>
    </cfRule>
  </conditionalFormatting>
  <conditionalFormatting sqref="B62">
    <cfRule type="expression" dxfId="746" priority="69">
      <formula>AND($B$62&gt;$S$2,$B$2=1)</formula>
    </cfRule>
    <cfRule type="expression" dxfId="745" priority="68">
      <formula>AND($B$62&lt;$R$2,$B$2=0)</formula>
    </cfRule>
    <cfRule type="expression" dxfId="744" priority="67" stopIfTrue="1">
      <formula>AND($B$62&lt;=$S$2,$B$2=1)</formula>
    </cfRule>
    <cfRule type="expression" dxfId="743" priority="66" stopIfTrue="1">
      <formula>AND($B$62&gt;=$R$2,$B$2=0)</formula>
    </cfRule>
  </conditionalFormatting>
  <conditionalFormatting sqref="B84">
    <cfRule type="cellIs" dxfId="742" priority="47" operator="greaterThan">
      <formula>$S$3</formula>
    </cfRule>
    <cfRule type="cellIs" dxfId="741" priority="46" operator="lessThanOrEqual">
      <formula>$S$3</formula>
    </cfRule>
  </conditionalFormatting>
  <conditionalFormatting sqref="B102">
    <cfRule type="cellIs" dxfId="740" priority="50" operator="lessThanOrEqual">
      <formula>$S$2</formula>
    </cfRule>
    <cfRule type="cellIs" dxfId="739" priority="51" operator="greaterThan">
      <formula>$S$2</formula>
    </cfRule>
  </conditionalFormatting>
  <conditionalFormatting sqref="B18:C18">
    <cfRule type="expression" dxfId="738" priority="55">
      <formula>OR(AND($B$2=0,$C$18&lt;$R$2),AND($B$2=1,$C$18&gt;$S$2))</formula>
    </cfRule>
    <cfRule type="expression" dxfId="737" priority="54" stopIfTrue="1">
      <formula>OR(AND($B$2=0,$C$18&gt;=$R$2),AND($B$2=1,$C$18&lt;=$S$2))</formula>
    </cfRule>
  </conditionalFormatting>
  <conditionalFormatting sqref="B19:C19">
    <cfRule type="expression" dxfId="736" priority="57">
      <formula>OR(AND($B$3=0,$C$19&lt;$R$3),AND($B$3=1,$C$19&gt;$S$3))</formula>
    </cfRule>
    <cfRule type="expression" dxfId="735" priority="56" stopIfTrue="1">
      <formula>OR(AND($B$3=0,$C$19&gt;=$R$3),AND($B$3=1,$C$19&lt;=$S$3))</formula>
    </cfRule>
  </conditionalFormatting>
  <conditionalFormatting sqref="C14">
    <cfRule type="cellIs" dxfId="734" priority="28" operator="equal">
      <formula>"no solution"</formula>
    </cfRule>
  </conditionalFormatting>
  <conditionalFormatting sqref="C44">
    <cfRule type="expression" dxfId="733" priority="65">
      <formula>AND($B$44&gt;$S$3,$B$3=1)</formula>
    </cfRule>
    <cfRule type="expression" dxfId="732" priority="64">
      <formula>AND($B$44&lt;$R$3,$B$3=0)</formula>
    </cfRule>
    <cfRule type="expression" dxfId="731" priority="63" stopIfTrue="1">
      <formula>AND($C$44&lt;=$S$3,$B$3=1)</formula>
    </cfRule>
    <cfRule type="expression" dxfId="730" priority="62" stopIfTrue="1">
      <formula>AND($C$44&gt;=$R$3,$B$3=0)</formula>
    </cfRule>
  </conditionalFormatting>
  <conditionalFormatting sqref="C64">
    <cfRule type="expression" dxfId="729" priority="71" stopIfTrue="1">
      <formula>AND($C$64&lt;=$S$3,$B$3=1)</formula>
    </cfRule>
    <cfRule type="expression" dxfId="728" priority="72">
      <formula>AND($B$64&lt;$R$3,$B$3=0)</formula>
    </cfRule>
    <cfRule type="expression" dxfId="727" priority="73">
      <formula>AND($B$64&gt;$S$3,$B$3=1)</formula>
    </cfRule>
    <cfRule type="expression" dxfId="726" priority="70" stopIfTrue="1">
      <formula>AND($C$64&gt;=$R$3,$B$3=0)</formula>
    </cfRule>
  </conditionalFormatting>
  <conditionalFormatting sqref="C102:D102">
    <cfRule type="cellIs" dxfId="725" priority="30" operator="lessThan">
      <formula>$R$2</formula>
    </cfRule>
    <cfRule type="cellIs" dxfId="724" priority="29" operator="greaterThanOrEqual">
      <formula>$R$2</formula>
    </cfRule>
  </conditionalFormatting>
  <conditionalFormatting sqref="C84:H84">
    <cfRule type="cellIs" dxfId="723" priority="15" operator="lessThan">
      <formula>$R$3</formula>
    </cfRule>
    <cfRule type="cellIs" dxfId="722" priority="14" operator="greaterThanOrEqual">
      <formula>$R$3</formula>
    </cfRule>
  </conditionalFormatting>
  <conditionalFormatting sqref="D11">
    <cfRule type="containsText" dxfId="721" priority="41" stopIfTrue="1" operator="containsText" text="please remove resistor">
      <formula>NOT(ISERROR(SEARCH("please remove resistor",D11)))</formula>
    </cfRule>
    <cfRule type="cellIs" dxfId="720" priority="43" operator="greaterThan">
      <formula>$S$2</formula>
    </cfRule>
    <cfRule type="cellIs" dxfId="719" priority="42" operator="lessThan">
      <formula>$S$2</formula>
    </cfRule>
  </conditionalFormatting>
  <conditionalFormatting sqref="D11:D12">
    <cfRule type="cellIs" priority="26" stopIfTrue="1" operator="equal">
      <formula>""</formula>
    </cfRule>
  </conditionalFormatting>
  <conditionalFormatting sqref="D12 E18:E19">
    <cfRule type="cellIs" dxfId="718" priority="40" operator="lessThan">
      <formula>$R$2-$N$7</formula>
    </cfRule>
    <cfRule type="cellIs" dxfId="717" priority="39" operator="greaterThanOrEqual">
      <formula>$R$2-$N$7</formula>
    </cfRule>
  </conditionalFormatting>
  <conditionalFormatting sqref="D18:D19">
    <cfRule type="cellIs" dxfId="716" priority="44" operator="lessThanOrEqual">
      <formula>$S$2+$N$7</formula>
    </cfRule>
    <cfRule type="cellIs" dxfId="715" priority="45" operator="greaterThan">
      <formula>$S$2+$N$7</formula>
    </cfRule>
  </conditionalFormatting>
  <conditionalFormatting sqref="E102">
    <cfRule type="cellIs" dxfId="714" priority="13" operator="lessThan">
      <formula>$R$3</formula>
    </cfRule>
    <cfRule type="cellIs" dxfId="713" priority="12" operator="greaterThanOrEqual">
      <formula>$R$3</formula>
    </cfRule>
  </conditionalFormatting>
  <conditionalFormatting sqref="F21">
    <cfRule type="containsText" dxfId="712" priority="11" operator="containsText" text="failed">
      <formula>NOT(ISERROR(SEARCH("failed",F21)))</formula>
    </cfRule>
  </conditionalFormatting>
  <conditionalFormatting sqref="F22">
    <cfRule type="containsText" dxfId="711" priority="10" operator="containsText" text="fail">
      <formula>NOT(ISERROR(SEARCH("fail",F22)))</formula>
    </cfRule>
  </conditionalFormatting>
  <conditionalFormatting sqref="F23">
    <cfRule type="containsText" dxfId="710" priority="9" operator="containsText" text="failed">
      <formula>NOT(ISERROR(SEARCH("failed",F23)))</formula>
    </cfRule>
  </conditionalFormatting>
  <conditionalFormatting sqref="F102:H102">
    <cfRule type="cellIs" dxfId="709" priority="22" operator="greaterThanOrEqual">
      <formula>$R$2</formula>
    </cfRule>
    <cfRule type="cellIs" dxfId="708" priority="23" operator="lessThan">
      <formula>$R$2</formula>
    </cfRule>
  </conditionalFormatting>
  <conditionalFormatting sqref="G18">
    <cfRule type="cellIs" dxfId="707" priority="3" operator="greaterThan">
      <formula>$V$2</formula>
    </cfRule>
    <cfRule type="cellIs" dxfId="706" priority="4" operator="lessThan">
      <formula>$V$2</formula>
    </cfRule>
  </conditionalFormatting>
  <conditionalFormatting sqref="G19">
    <cfRule type="cellIs" dxfId="705" priority="6" operator="lessThan">
      <formula>$V$3</formula>
    </cfRule>
    <cfRule type="cellIs" dxfId="704" priority="5" operator="greaterThan">
      <formula>$V$3</formula>
    </cfRule>
  </conditionalFormatting>
  <conditionalFormatting sqref="I18:I19">
    <cfRule type="cellIs" dxfId="703" priority="2" operator="lessThan">
      <formula>$W$2</formula>
    </cfRule>
    <cfRule type="cellIs" dxfId="702" priority="1" operator="greaterThan">
      <formula>$W$2</formula>
    </cfRule>
  </conditionalFormatting>
  <conditionalFormatting sqref="K12">
    <cfRule type="expression" dxfId="701" priority="74">
      <formula>SEARCH("reduce",$F$23)</formula>
    </cfRule>
    <cfRule type="expression" dxfId="700" priority="75">
      <formula>SEARCH("reduce",$F$21)</formula>
    </cfRule>
  </conditionalFormatting>
  <conditionalFormatting sqref="N2">
    <cfRule type="expression" dxfId="699" priority="76">
      <formula>SEARCH("strength",$F$21)</formula>
    </cfRule>
    <cfRule type="expression" dxfId="698" priority="77">
      <formula>SEARCH("strength",$F$23)</formula>
    </cfRule>
  </conditionalFormatting>
  <hyperlinks>
    <hyperlink ref="N25" location="Summary!A1" display="Link to summary" xr:uid="{FF050508-52C3-4C79-A8CC-715A13A2B8A2}"/>
  </hyperlinks>
  <pageMargins left="0.7" right="0.7" top="0.75" bottom="0.75" header="0.3" footer="0.3"/>
  <pageSetup paperSize="9"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6CD7-2117-43CA-B2B1-AC4C818892AA}">
  <dimension ref="A1:AK130"/>
  <sheetViews>
    <sheetView topLeftCell="A10"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Summary!M16</f>
        <v>1.8</v>
      </c>
      <c r="K2" s="10">
        <v>1000000000000</v>
      </c>
      <c r="L2" s="15">
        <v>0.1</v>
      </c>
      <c r="M2" s="15">
        <v>0.1</v>
      </c>
      <c r="N2" s="66">
        <f>Summary!M26</f>
        <v>50</v>
      </c>
      <c r="O2" s="15">
        <f>Summary!M88</f>
        <v>0.25</v>
      </c>
      <c r="P2" s="15">
        <f>Summary!M89</f>
        <v>0.25</v>
      </c>
      <c r="Q2" s="5" t="str">
        <f>Summary!M27</f>
        <v>N/A</v>
      </c>
      <c r="R2" s="5">
        <f>Summary!M51</f>
        <v>0.3</v>
      </c>
      <c r="S2" s="5">
        <f>Summary!M52</f>
        <v>0.7</v>
      </c>
      <c r="T2" s="5">
        <f>Summary!M53</f>
        <v>0.3</v>
      </c>
      <c r="U2" s="5">
        <f>Summary!M54</f>
        <v>0.7</v>
      </c>
      <c r="V2" s="130">
        <f>Summary!M55</f>
        <v>2.9999999999999999E-7</v>
      </c>
      <c r="W2" s="130">
        <f>Summary!M56</f>
        <v>2.9999999999999999E-7</v>
      </c>
      <c r="X2" s="131">
        <f>V2</f>
        <v>2.9999999999999999E-7</v>
      </c>
      <c r="Y2" s="132">
        <f>IF(Summary!M57="","",Summary!M57)</f>
        <v>2E-8</v>
      </c>
      <c r="Z2" s="132">
        <f>IF(Summary!M58="","",Summary!M58)</f>
        <v>6.5454545454545451E-9</v>
      </c>
      <c r="AA2" s="4">
        <f>Summary!M59</f>
        <v>1E-10</v>
      </c>
      <c r="AB2" s="41">
        <f>Summary!M81</f>
        <v>4.9999999999999997E-12</v>
      </c>
      <c r="AC2" s="41">
        <f>Summary!M83</f>
        <v>8.1900000000000013E-12</v>
      </c>
      <c r="AD2" s="3">
        <f>Summary!M84</f>
        <v>0.69</v>
      </c>
      <c r="AE2" s="41">
        <f>Summary!M86</f>
        <v>4.9999999999999997E-12</v>
      </c>
      <c r="AF2" s="5">
        <f>Summary!M87</f>
        <v>2.93</v>
      </c>
      <c r="AG2" s="127" t="str">
        <f>Summary!M50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Summary!M16</f>
        <v>1.8</v>
      </c>
      <c r="K3" s="10">
        <v>1000000000000</v>
      </c>
      <c r="L3" s="15">
        <v>0.1</v>
      </c>
      <c r="M3" s="15">
        <v>0.1</v>
      </c>
      <c r="N3">
        <f>Summary!M97</f>
        <v>50</v>
      </c>
      <c r="O3" s="15">
        <f>Summary!M98</f>
        <v>0.5</v>
      </c>
      <c r="P3" s="15">
        <f>Summary!M99</f>
        <v>0</v>
      </c>
      <c r="Q3"/>
      <c r="R3" s="5">
        <f>Summary!M38</f>
        <v>0.3</v>
      </c>
      <c r="S3" s="5">
        <f>Summary!M39</f>
        <v>0.7</v>
      </c>
      <c r="T3" s="5">
        <f>Summary!M42</f>
        <v>0.3</v>
      </c>
      <c r="U3" s="5">
        <f>Summary!M43</f>
        <v>0.7</v>
      </c>
      <c r="V3" s="130">
        <f>Summary!M44</f>
        <v>2.9999999999999999E-7</v>
      </c>
      <c r="W3" s="130">
        <f>Summary!M45</f>
        <v>2.9999999999999999E-7</v>
      </c>
      <c r="X3" s="131">
        <f>V3</f>
        <v>2.9999999999999999E-7</v>
      </c>
      <c r="Y3" s="132">
        <f>IF(Summary!M46="","",Summary!M46)</f>
        <v>2E-8</v>
      </c>
      <c r="Z3" s="132">
        <f>IF(Summary!M47="","",Summary!M47)</f>
        <v>6.5454545454545451E-9</v>
      </c>
      <c r="AA3" s="4">
        <f>Summary!M59</f>
        <v>1E-10</v>
      </c>
      <c r="AB3" s="41">
        <f>Summary!M96</f>
        <v>9.9999999999999994E-12</v>
      </c>
      <c r="AG3" s="127" t="str">
        <f>Summary!M37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427329345.73772496</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427329345.73772496</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165.87503585207278</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198.01788887753889</v>
      </c>
      <c r="F7" s="123">
        <f>_xlfn.IFNA(_xlfn.XLOOKUP($X$2,AB34:AB129,P34:P129,,-1), "Out of support PU range")</f>
        <v>3780</v>
      </c>
      <c r="G7" s="124">
        <f>_xlfn.IFNA(_xlfn.XLOOKUP($X$3,S34:S129,P34:P129,,-1), "Out of support PU range")</f>
        <v>3780</v>
      </c>
      <c r="H7" s="124">
        <f>_xlfn.IFNA(MAX(_xlfn.XLOOKUP(MAX($Y$2:$AA$2),AA34:AA129,O34:O129,,1), _xlfn.XLOOKUP($W$2,AD34:AD129,O34:O129,,-1)), "Fail AC VIL")</f>
        <v>408.5</v>
      </c>
      <c r="I7" s="129">
        <f>_xlfn.IFNA(MAX(_xlfn.XLOOKUP(MAX($Y$3:$AA$3),R34:R129,O34:O129,,1), _xlfn.XLOOKUP($W$3,AC34:AC129,O34:O129,,-1)), "Fail AC VIL")</f>
        <v>408.5</v>
      </c>
      <c r="J7" s="21">
        <v>20000</v>
      </c>
      <c r="K7" s="2">
        <f>MIN(
MIN(FLOOR(B7,10^(LEN(ROUND(B7,0))-1))/10,
FLOOR(C7,10^(LEN(ROUND(C7,0))-1))/10,
IF(F7*10&gt;=J7,FLOOR(F7,10^(LEN(ROUND(F7,0))-1))/10,FLOOR(F7,10^(LEN(ROUND(F7,0))-1))),
FLOOR(G7,10^(LEN(ROUND(G7,0))-1))/10),
MAX(I7,J7)
)</f>
        <v>300</v>
      </c>
      <c r="L7" s="1"/>
      <c r="N7" s="71">
        <f>Summary!M62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305.35714253253963</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305.35714253253963</v>
      </c>
      <c r="E8">
        <f>X2/(1.204*K18)</f>
        <v>3075.3265812247173</v>
      </c>
      <c r="F8">
        <f>X3/(1.204*K18)</f>
        <v>3075.3265812247173</v>
      </c>
      <c r="H8">
        <f>AA2/(1.204*K18)</f>
        <v>1.0251088604082392</v>
      </c>
      <c r="I8" s="2">
        <f>AA3/(1.204*K18)</f>
        <v>1.0251088604082392</v>
      </c>
      <c r="J8" s="8">
        <v>20000</v>
      </c>
      <c r="K8">
        <f>MIN(MIN(FLOOR(B8,10^(LEN(ROUND(B8,0))-1))/10,FLOOR(C8,10^(LEN(ROUND(C8,0))-1))/10,FLOOR(E8,10^(LEN(ROUND(E8,0))-1))/10,FLOOR(F8,10^(LEN(ROUND(F8,0))-1))/10),MAX(I8,J8))</f>
        <v>30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Summary!M24</f>
        <v>750</v>
      </c>
      <c r="D11" s="1">
        <f>IF(AND(B11="no need", C11=""), "",IF(AND(B11="no need", C11&gt;0), "please remove resistor",   IF(AND(B11="need resistor", ISBLANK(C11)), "please enter resistor",  (1/(1/F2+1/F3))/(1/(1/(1/(1/C2+1/C3))+1/C11)+(1/(1/F2+1/F3))) ) ))</f>
        <v>0.99999999849999999</v>
      </c>
      <c r="F11" s="7">
        <f>IF(B11="no need", 1000000000, C11)</f>
        <v>750</v>
      </c>
      <c r="G11" s="7" t="s">
        <v>281</v>
      </c>
      <c r="H11" s="62">
        <f>Summary!M25</f>
        <v>0.05</v>
      </c>
      <c r="K11" s="6" t="s">
        <v>282</v>
      </c>
      <c r="N11" s="19" t="s">
        <v>283</v>
      </c>
      <c r="P11" s="19" t="s">
        <v>284</v>
      </c>
      <c r="R11" s="127" t="s">
        <v>285</v>
      </c>
      <c r="S11" s="127">
        <f>($J$2+$J$2*Summary!$M$17)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Summary!M10</f>
        <v>10</v>
      </c>
      <c r="L12" t="s">
        <v>287</v>
      </c>
      <c r="N12" s="4">
        <f>SUM(AB2:AC3,AE2:AE3)</f>
        <v>2.8189999999999998E-11</v>
      </c>
      <c r="O12" t="s">
        <v>288</v>
      </c>
      <c r="P12" s="61">
        <f>Summary!M84+Summary!M87</f>
        <v>3.62</v>
      </c>
      <c r="Q12" t="s">
        <v>289</v>
      </c>
      <c r="R12" s="127" t="s">
        <v>290</v>
      </c>
      <c r="S12" s="127">
        <f>($J$2-$J$2*Summary!$M$17)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($J$3+$J$3*Summary!$M$18)</f>
        <v>1.8900000000000001</v>
      </c>
    </row>
    <row r="14" spans="1:37" x14ac:dyDescent="0.35">
      <c r="K14" s="6" t="s">
        <v>293</v>
      </c>
      <c r="N14" s="6" t="s">
        <v>294</v>
      </c>
      <c r="R14" s="127" t="s">
        <v>295</v>
      </c>
      <c r="S14" s="127">
        <f>($J$3-$J$3*Summary!$M$18)</f>
        <v>1.71</v>
      </c>
    </row>
    <row r="15" spans="1:37" x14ac:dyDescent="0.35">
      <c r="B15" s="2"/>
      <c r="C15" s="2"/>
      <c r="K15" s="3">
        <f>Summary!M8</f>
        <v>19.988</v>
      </c>
      <c r="L15" t="s">
        <v>296</v>
      </c>
      <c r="N15" s="41">
        <f>Summary!M9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0.99999912323465123</v>
      </c>
      <c r="C18">
        <f>B42</f>
        <v>0.99999935096450687</v>
      </c>
      <c r="D18">
        <f>B102</f>
        <v>0.99999912323465157</v>
      </c>
      <c r="E18">
        <f>C102</f>
        <v>8.3019795066711241E-2</v>
      </c>
      <c r="F18" s="126">
        <f>_xlfn.LET(
_xlpm.Rbus, (1/(1/((1/(1/($G$91+$G$93)+1/$G$90))+$G$92)+1/($G$89))),
_xlpm.VCC, IF($AG$2="absolute",$S$13,1),
_xlpm.Vspec_abs, $U$2-$N$7,
(LN(1-$T$2/_xlpm.VCC)-LN(1-_xlpm.Vspec_abs/_xlpm.VCC))*$K$19*_xlpm.Rbus
)</f>
        <v>3.5879046436894368E-8</v>
      </c>
      <c r="G18" s="128">
        <f>_xlfn.LET(
_xlpm.Rbus, (1/(1/((1/(1/($D$91+$D$93)+1/$D$90))+$D$92)+1/($D$89))),
_xlpm.VCC, IF($AG$2="absolute",$S$14,1),
_xlpm.Vspec_abs, $U$2+$N$7,
(LN(1-$T$2/_xlpm.VCC)-LN(1-_xlpm.Vspec_abs/_xlpm.VCC))*$K$18*_xlpm.Rbus
)</f>
        <v>5.95408399484559E-8</v>
      </c>
      <c r="H18" s="126">
        <f>_xlfn.LET(
_xlpm.Rbus, (1/(1/((1/(1/($H$96+$H$93)+1/$H$95))+$H$92)+1/($H$94))),
_xlpm.VCC, IF($AG$2="absolute",$S$14,1),
_xlpm.Vspec_abs, $T$2+$N$7,
_xlpm.Vspec_rel, _xlpm.Vspec_abs/_xlpm.VCC,
IFERROR((LN($U$2)-LN(_xlpm.Vspec_rel))*$K$19*_xlpm.Rbus, "Vlow exceeds VIL spec")
)</f>
        <v>1.6968629442640647E-9</v>
      </c>
      <c r="I18" s="128">
        <f>_xlfn.LET(
_xlpm.Rbus, (1/(1/((1/(1/($F$96+$F$93)+1/$F$95))+$F$92)+1/($F$94))),
_xlpm.VCC, IF($AG$2="absolute",$S$13,1),
_xlpm.Vspec_abs, $T$2-$N$7,
_xlpm.Vspec_rel, _xlpm.Vspec_abs/_xlpm.VCC,
IFERROR((LN($U$2)-LN(_xlpm.Vspec_rel))*$K$18*_xlpm.Rbus,"Vlow exceeds VIL spec")
)</f>
        <v>4.7889839777171611E-9</v>
      </c>
      <c r="J18" s="139" t="s">
        <v>307</v>
      </c>
      <c r="K18" s="4">
        <f>Summary!M102</f>
        <v>8.1022105664211338E-11</v>
      </c>
      <c r="L18" s="22" t="s">
        <v>288</v>
      </c>
      <c r="M18" s="10">
        <f>K18*1000000000000</f>
        <v>81.022105664211338</v>
      </c>
      <c r="N18" t="s">
        <v>308</v>
      </c>
      <c r="O18" s="49">
        <f>N12+K12/39.37*N15</f>
        <v>8.1022105664211338E-11</v>
      </c>
    </row>
    <row r="19" spans="1:26" x14ac:dyDescent="0.35">
      <c r="A19" t="s">
        <v>309</v>
      </c>
      <c r="B19">
        <f>C64</f>
        <v>0.99999912323465123</v>
      </c>
      <c r="C19">
        <f>C44</f>
        <v>0.99999935096450676</v>
      </c>
      <c r="D19">
        <f>B84</f>
        <v>0.99999912323465179</v>
      </c>
      <c r="E19">
        <f>C84</f>
        <v>9.7538034587048225E-2</v>
      </c>
      <c r="F19" s="126">
        <f>_xlfn.LET(
_xlpm.Rbus,(1/(1/((1/(1/($G$77+$G$72)+1/$G$70))+$G$73)+1/($G$71))),
_xlpm.VCC,IF($AG$3="absolute",$S$11,1),
_xlpm.Vspec_abs,$U$3-$N$7,
(LN(1-($T$3/_xlpm.VCC))-LN(1-_xlpm.Vspec_abs/_xlpm.VCC))*$K$19*_xlpm.Rbus
)</f>
        <v>3.5879046436894368E-8</v>
      </c>
      <c r="G19" s="128">
        <f>_xlfn.LET(
_xlpm.Rbus, (1/(1/((1/(1/($D$77+$D$72)+1/$D$70))+$D$73)+1/($D$71))),
_xlpm.VCC, IF($AG$3="absolute",$S$12,1),
_xlpm.Vspec_abs, $U$3+$N$7,
(LN(1-$T$3/_xlpm.VCC)-LN(1-_xlpm.Vspec_abs/_xlpm.VCC))*$K$18*_xlpm.Rbus
)</f>
        <v>5.95408399484559E-8</v>
      </c>
      <c r="H19" s="126">
        <f>_xlfn.LET(
_xlpm.Rbus, (1/(1/((1/(1/($H$74+$H$72)+1/$H$75))+$H$73)+1/($H$76))),
_xlpm.VCC, IF($AG$3="absolute",$S$12,1),
_xlpm.Vspec_abs, $T$3+$N$7,
_xlpm.Vspec_rel, _xlpm.Vspec_abs/_xlpm.VCC,
IFERROR((LN($U$3)-LN(_xlpm.Vspec_rel))*$K$19*_xlpm.Rbus, "Vlow exceeds VIL spec")
)</f>
        <v>2.3263198569803835E-9</v>
      </c>
      <c r="I19" s="128">
        <f>_xlfn.LET(
_xlpm.Rbus, (1/(1/((1/(1/($F$74+$F$72)+1/$F$75))+$F$73)+1/($F$76))),
_xlpm.VCC, IF($AG$3="absolute",$S$11,1),
_xlpm.Vspec_abs, $T$3-$N$7,
_xlpm.Vspec_rel, _xlpm.Vspec_abs/_xlpm.VCC,
IFERROR((LN($U$3)-LN(_xlpm.Vspec_rel))*$K$18*_xlpm.Rbus,"Vlow exceeds VIL spec")
)</f>
        <v>5.716981414329966E-9</v>
      </c>
      <c r="J19" s="139" t="s">
        <v>310</v>
      </c>
      <c r="K19" s="122">
        <f>Summary!M101</f>
        <v>6.4332105664211329E-11</v>
      </c>
      <c r="L19" t="s">
        <v>288</v>
      </c>
    </row>
    <row r="20" spans="1:26" x14ac:dyDescent="0.35">
      <c r="J20" s="139"/>
      <c r="K20" s="6" t="s">
        <v>311</v>
      </c>
    </row>
    <row r="21" spans="1:26" x14ac:dyDescent="0.35">
      <c r="E21" s="120" t="s">
        <v>137</v>
      </c>
      <c r="F21" t="str">
        <f>IF(OR(AND(E18&gt;(R2-N7), Summary!M50="relative"), AND(E18&gt;(R2-N7)/(J3+J3*Summary!M18), Summary!M50="absolute")),IF(U29="no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IF(OR(Summary!M24&gt;Summary!M22,Summary!M24&lt;Summary!M21), "- ensure board PU is within recommended range" &amp; CHAR(10),) &amp; "- reduce MB trace length",""))</f>
        <v/>
      </c>
      <c r="J21" s="139" t="s">
        <v>307</v>
      </c>
      <c r="K21" s="5">
        <f>Summary!M104</f>
        <v>14.506962153924308</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Summary!M103</f>
        <v>8.6969621539243072</v>
      </c>
      <c r="L22" t="s">
        <v>289</v>
      </c>
    </row>
    <row r="23" spans="1:26" x14ac:dyDescent="0.35">
      <c r="B23" s="171" t="s">
        <v>313</v>
      </c>
      <c r="C23" s="171"/>
      <c r="D23" t="s">
        <v>314</v>
      </c>
      <c r="E23" s="175"/>
      <c r="F23" t="str">
        <f>IF(F22="",IF(OR(AND(E19&lt;=(R3-N7), Summary!M37="relative"),AND(E19&lt;=(R3-N7)/(J2+J2*Summary!M17), Summary!M37="absolute")),IF(OR(G19&gt;V3,I19&gt;W3), IF(N2=MIN(AH2:AH5), "failed max rise/fall time spec, recommendations:" &amp; CHAR(10) &amp; "-reduce MB trace length" &amp; CHAR(10) &amp; "-increase trace width (reduce MB trace resistance per length)", "failed max rise/fall time spec, recommendations:" &amp; CHAR(10) &amp; IF(OR(Summary!M24&gt;Summary!M22,Summary!M24&lt;Summary!M21),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Summary!M13</f>
        <v>0</v>
      </c>
      <c r="L24" t="s">
        <v>305</v>
      </c>
    </row>
    <row r="25" spans="1:26" x14ac:dyDescent="0.35">
      <c r="A25" t="s">
        <v>318</v>
      </c>
      <c r="B25" s="11">
        <f>C2*(1-D2)</f>
        <v>900000000000</v>
      </c>
      <c r="C25" s="11">
        <f>C2*(1-D2)</f>
        <v>900000000000</v>
      </c>
      <c r="K25" s="18">
        <f>Summary!M14</f>
        <v>1</v>
      </c>
      <c r="L25" t="s">
        <v>274</v>
      </c>
      <c r="N25" s="72" t="s">
        <v>319</v>
      </c>
    </row>
    <row r="26" spans="1:26" x14ac:dyDescent="0.35">
      <c r="A26" t="s">
        <v>320</v>
      </c>
      <c r="B26" s="11">
        <f>F11*(1-H11)</f>
        <v>712.5</v>
      </c>
      <c r="C26" s="11">
        <f>F11*(1-H11)</f>
        <v>712.5</v>
      </c>
      <c r="Q26" t="s">
        <v>321</v>
      </c>
    </row>
    <row r="27" spans="1:26" x14ac:dyDescent="0.35">
      <c r="A27" t="s">
        <v>322</v>
      </c>
      <c r="B27" s="11">
        <f>C3*(1-D3)</f>
        <v>900000000000</v>
      </c>
      <c r="C27" s="11">
        <f>C3*(1-D3)</f>
        <v>900000000000</v>
      </c>
      <c r="Q27" t="s">
        <v>323</v>
      </c>
    </row>
    <row r="28" spans="1:26" x14ac:dyDescent="0.35">
      <c r="A28" t="s">
        <v>324</v>
      </c>
      <c r="B28" s="1">
        <f>K21</f>
        <v>14.506962153924308</v>
      </c>
      <c r="C28">
        <v>0</v>
      </c>
      <c r="Q28" t="s">
        <v>325</v>
      </c>
      <c r="V28" t="s">
        <v>305</v>
      </c>
      <c r="W28" t="s">
        <v>274</v>
      </c>
      <c r="X28" t="s">
        <v>326</v>
      </c>
    </row>
    <row r="29" spans="1:26" x14ac:dyDescent="0.35">
      <c r="A29" t="s">
        <v>327</v>
      </c>
      <c r="B29">
        <v>0</v>
      </c>
      <c r="C29" s="1">
        <f>K21</f>
        <v>14.506962153924308</v>
      </c>
      <c r="F29" s="11"/>
      <c r="T29" t="s">
        <v>328</v>
      </c>
      <c r="U29">
        <f>IF(IF(ISBLANK(Summary!M25),IF(U30=W82,L30,U30),IF(Summary!M25=5%,L30,U30))=N130,"no solution",IF(ISBLANK(Summary!M25),IF(U30=W82,L30,U30),IF(Summary!M25=5%,L30,U30)))</f>
        <v>1200</v>
      </c>
      <c r="V29">
        <f>IFERROR(IF(X29=5%,VLOOKUP(1,M34:N129,2,FALSE),VLOOKUP(1,V34:W81,2,FALSE)),"no solution")</f>
        <v>430</v>
      </c>
      <c r="W29">
        <f>IF(U29="no solution","no solution",IF(X29=5%,VLOOKUP(MAX(M34:M129)-1,M34:N129,2,FALSE),VLOOKUP(MAX(V34:V81)-1,V34:W81,2,FALSE)))</f>
        <v>3600</v>
      </c>
      <c r="X29" s="64">
        <f>Summary!M25</f>
        <v>0.05</v>
      </c>
    </row>
    <row r="30" spans="1:26" x14ac:dyDescent="0.35">
      <c r="A30" t="s">
        <v>329</v>
      </c>
      <c r="B30" s="11">
        <f>F2*(1+H2)</f>
        <v>1100000000000</v>
      </c>
      <c r="C30" s="11">
        <f>F2*(1+H2)</f>
        <v>1100000000000</v>
      </c>
      <c r="K30" t="s">
        <v>330</v>
      </c>
      <c r="L30">
        <f>VLOOKUP(Q31,M34:Q154,2)</f>
        <v>1200</v>
      </c>
      <c r="T30" t="s">
        <v>331</v>
      </c>
      <c r="U30">
        <f>VLOOKUP(Z31,V34:W82,2)</f>
        <v>1200</v>
      </c>
    </row>
    <row r="31" spans="1:26" x14ac:dyDescent="0.35">
      <c r="A31" t="s">
        <v>332</v>
      </c>
      <c r="B31" s="11">
        <f>F12*(1+H12)</f>
        <v>1100000000</v>
      </c>
      <c r="C31" s="11">
        <f>F12*(1+H12)</f>
        <v>1100000000</v>
      </c>
      <c r="Q31" cm="1">
        <f t="array" ref="Q31">MAX(M34:M129+1)/2</f>
        <v>12.5</v>
      </c>
      <c r="Z31" cm="1">
        <f t="array" ref="Z31">MAX(V34:V81+1)/2</f>
        <v>6.5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4.783872869462792E-10</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1.8565119813152651E-9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4.783872869462792E-10</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1.8565119813152651E-9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5.2622601563924061E-10</v>
      </c>
      <c r="S35" s="126">
        <f t="shared" si="4"/>
        <v>1.9344637760304184E-9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5.2622601563924061E-10</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1.9344637760304184E-9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5.7406474433189906E-10</v>
      </c>
      <c r="S36" s="126">
        <f t="shared" si="4"/>
        <v>2.0124155707451262E-9</v>
      </c>
      <c r="T36">
        <v>1</v>
      </c>
      <c r="U36">
        <v>15</v>
      </c>
      <c r="V36">
        <f t="shared" si="11"/>
        <v>0</v>
      </c>
      <c r="W36">
        <f t="shared" si="12"/>
        <v>15</v>
      </c>
      <c r="X36">
        <f t="shared" si="5"/>
        <v>13.5</v>
      </c>
      <c r="Y36">
        <f t="shared" si="6"/>
        <v>16.5</v>
      </c>
      <c r="Z36">
        <f t="shared" si="13"/>
        <v>0</v>
      </c>
      <c r="AA36" s="126">
        <f t="shared" si="14"/>
        <v>5.7406474433189906E-10</v>
      </c>
      <c r="AB36" s="126">
        <f t="shared" si="15"/>
        <v>2.0124155707451262E-9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6.2190347302425477E-10</v>
      </c>
      <c r="S37" s="126">
        <f t="shared" si="4"/>
        <v>2.0903673654593866E-9</v>
      </c>
      <c r="T37">
        <v>1</v>
      </c>
      <c r="U37">
        <v>18</v>
      </c>
      <c r="V37">
        <f t="shared" si="11"/>
        <v>0</v>
      </c>
      <c r="W37">
        <f t="shared" si="12"/>
        <v>18</v>
      </c>
      <c r="X37">
        <f t="shared" si="5"/>
        <v>16.2</v>
      </c>
      <c r="Y37">
        <f t="shared" si="6"/>
        <v>19.8</v>
      </c>
      <c r="Z37">
        <f t="shared" si="13"/>
        <v>0</v>
      </c>
      <c r="AA37" s="126">
        <f t="shared" si="14"/>
        <v>6.2190347302425477E-10</v>
      </c>
      <c r="AB37" s="126">
        <f t="shared" si="15"/>
        <v>2.0903673654593866E-9</v>
      </c>
      <c r="AC37" s="126" t="str">
        <f t="shared" si="7"/>
        <v>Vlow exceeds VIL spec</v>
      </c>
      <c r="AD37" s="126" t="str">
        <f t="shared" si="8"/>
        <v>Vlow exceeds VIL spec</v>
      </c>
    </row>
    <row r="38" spans="1:30" x14ac:dyDescent="0.35">
      <c r="A38" t="s">
        <v>347</v>
      </c>
      <c r="B38" s="125">
        <f>IF(Summary!M50="absolute",(S2+N7)/(J3-J3*Summary!M18),S2+N7)</f>
        <v>0.72</v>
      </c>
      <c r="K38">
        <v>1</v>
      </c>
      <c r="L38">
        <v>15</v>
      </c>
      <c r="M38">
        <f t="shared" si="9"/>
        <v>0</v>
      </c>
      <c r="N38">
        <f t="shared" si="0"/>
        <v>15</v>
      </c>
      <c r="O38">
        <f t="shared" si="1"/>
        <v>14.25</v>
      </c>
      <c r="P38">
        <f t="shared" si="2"/>
        <v>15.75</v>
      </c>
      <c r="Q38">
        <f t="shared" si="10"/>
        <v>0</v>
      </c>
      <c r="R38" s="126">
        <f t="shared" si="3"/>
        <v>7.1758093040805701E-10</v>
      </c>
      <c r="S38" s="126">
        <f t="shared" si="4"/>
        <v>2.2462709548865697E-9</v>
      </c>
      <c r="T38">
        <v>1</v>
      </c>
      <c r="U38">
        <v>22</v>
      </c>
      <c r="V38">
        <f t="shared" si="11"/>
        <v>0</v>
      </c>
      <c r="W38">
        <f t="shared" si="12"/>
        <v>22</v>
      </c>
      <c r="X38">
        <f t="shared" si="5"/>
        <v>19.8</v>
      </c>
      <c r="Y38">
        <f t="shared" si="6"/>
        <v>24.200000000000003</v>
      </c>
      <c r="Z38">
        <f t="shared" si="13"/>
        <v>0</v>
      </c>
      <c r="AA38" s="126">
        <f t="shared" si="14"/>
        <v>7.1758093040805701E-10</v>
      </c>
      <c r="AB38" s="126">
        <f t="shared" si="15"/>
        <v>2.2462709548865697E-9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7.6541965909950354E-10</v>
      </c>
      <c r="S39" s="126">
        <f t="shared" si="4"/>
        <v>2.3242227495994904E-9</v>
      </c>
      <c r="T39">
        <v>1</v>
      </c>
      <c r="U39">
        <v>27</v>
      </c>
      <c r="V39">
        <f t="shared" si="11"/>
        <v>0</v>
      </c>
      <c r="W39">
        <f t="shared" si="12"/>
        <v>27</v>
      </c>
      <c r="X39">
        <f t="shared" si="5"/>
        <v>24.3</v>
      </c>
      <c r="Y39">
        <f t="shared" si="6"/>
        <v>29.700000000000003</v>
      </c>
      <c r="Z39">
        <f t="shared" si="13"/>
        <v>0</v>
      </c>
      <c r="AA39" s="126">
        <f t="shared" si="14"/>
        <v>7.6541965909950354E-10</v>
      </c>
      <c r="AB39" s="126">
        <f t="shared" si="15"/>
        <v>2.3242227495994904E-9</v>
      </c>
      <c r="AC39" s="126" t="str">
        <f t="shared" si="7"/>
        <v>Vlow exceeds VIL spec</v>
      </c>
      <c r="AD39" s="126" t="str">
        <f t="shared" si="8"/>
        <v>Vlow exceeds VIL spec</v>
      </c>
    </row>
    <row r="40" spans="1:30" x14ac:dyDescent="0.35">
      <c r="A40" t="s">
        <v>349</v>
      </c>
      <c r="C40" s="125">
        <f>IF(Summary!M37="absolute",(S3+N7)/(J2-J2*Summary!M17),S3+N7)</f>
        <v>0.72</v>
      </c>
      <c r="K40">
        <v>1</v>
      </c>
      <c r="L40">
        <v>18</v>
      </c>
      <c r="M40">
        <f t="shared" si="9"/>
        <v>0</v>
      </c>
      <c r="N40">
        <f t="shared" si="0"/>
        <v>18</v>
      </c>
      <c r="O40">
        <f t="shared" si="1"/>
        <v>17.099999999999998</v>
      </c>
      <c r="P40">
        <f t="shared" si="2"/>
        <v>18.900000000000002</v>
      </c>
      <c r="Q40">
        <f t="shared" si="10"/>
        <v>0</v>
      </c>
      <c r="R40" s="126">
        <f t="shared" si="3"/>
        <v>8.6109711648148774E-10</v>
      </c>
      <c r="S40" s="126">
        <f t="shared" si="4"/>
        <v>2.4801263390239943E-9</v>
      </c>
      <c r="T40">
        <v>1</v>
      </c>
      <c r="U40">
        <v>33</v>
      </c>
      <c r="V40">
        <f t="shared" si="11"/>
        <v>0</v>
      </c>
      <c r="W40">
        <f t="shared" si="12"/>
        <v>33</v>
      </c>
      <c r="X40">
        <f t="shared" si="5"/>
        <v>29.7</v>
      </c>
      <c r="Y40">
        <f t="shared" si="6"/>
        <v>36.300000000000004</v>
      </c>
      <c r="Z40">
        <f t="shared" si="13"/>
        <v>0</v>
      </c>
      <c r="AA40" s="126">
        <f t="shared" si="14"/>
        <v>8.6109711648148774E-10</v>
      </c>
      <c r="AB40" s="126">
        <f t="shared" si="15"/>
        <v>2.4801263390239943E-9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9.5677457386226022E-10</v>
      </c>
      <c r="S41" s="126">
        <f t="shared" si="4"/>
        <v>2.6360299284467119E-9</v>
      </c>
      <c r="T41">
        <v>1</v>
      </c>
      <c r="U41">
        <v>39</v>
      </c>
      <c r="V41">
        <f t="shared" si="11"/>
        <v>0</v>
      </c>
      <c r="W41">
        <f t="shared" si="12"/>
        <v>39</v>
      </c>
      <c r="X41">
        <f t="shared" si="5"/>
        <v>35.1</v>
      </c>
      <c r="Y41">
        <f t="shared" si="6"/>
        <v>42.900000000000006</v>
      </c>
      <c r="Z41">
        <f t="shared" si="13"/>
        <v>0</v>
      </c>
      <c r="AA41" s="126">
        <f t="shared" si="14"/>
        <v>9.5677457386226022E-10</v>
      </c>
      <c r="AB41" s="126">
        <f t="shared" si="15"/>
        <v>2.6360299284467119E-9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0.99999935096450687</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0.99999935097769488</v>
      </c>
      <c r="K42">
        <v>1</v>
      </c>
      <c r="L42">
        <v>22</v>
      </c>
      <c r="M42">
        <f t="shared" si="9"/>
        <v>0</v>
      </c>
      <c r="N42">
        <f t="shared" si="0"/>
        <v>22</v>
      </c>
      <c r="O42">
        <f t="shared" si="1"/>
        <v>20.9</v>
      </c>
      <c r="P42">
        <f t="shared" si="2"/>
        <v>23.1</v>
      </c>
      <c r="Q42">
        <f t="shared" si="10"/>
        <v>0</v>
      </c>
      <c r="R42" s="126">
        <f t="shared" si="3"/>
        <v>1.0524520312418208E-9</v>
      </c>
      <c r="S42" s="126">
        <f t="shared" si="4"/>
        <v>2.791933517867644E-9</v>
      </c>
      <c r="T42">
        <v>1</v>
      </c>
      <c r="U42">
        <v>47</v>
      </c>
      <c r="V42">
        <f t="shared" si="11"/>
        <v>0</v>
      </c>
      <c r="W42">
        <f t="shared" si="12"/>
        <v>47</v>
      </c>
      <c r="X42">
        <f t="shared" si="5"/>
        <v>42.300000000000004</v>
      </c>
      <c r="Y42">
        <f t="shared" si="6"/>
        <v>51.7</v>
      </c>
      <c r="Z42">
        <f t="shared" si="13"/>
        <v>0</v>
      </c>
      <c r="AA42" s="126">
        <f t="shared" si="14"/>
        <v>1.0524520312418208E-9</v>
      </c>
      <c r="AB42" s="126">
        <f t="shared" si="15"/>
        <v>2.791933517867644E-9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0.9999993509776951</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0.99999935097769488</v>
      </c>
      <c r="K43">
        <v>1</v>
      </c>
      <c r="L43">
        <v>24</v>
      </c>
      <c r="M43">
        <f t="shared" si="9"/>
        <v>0</v>
      </c>
      <c r="N43">
        <f t="shared" si="0"/>
        <v>24</v>
      </c>
      <c r="O43">
        <f t="shared" si="1"/>
        <v>22.799999999999997</v>
      </c>
      <c r="P43">
        <f t="shared" si="2"/>
        <v>25.200000000000003</v>
      </c>
      <c r="Q43">
        <f t="shared" si="10"/>
        <v>0</v>
      </c>
      <c r="R43" s="126">
        <f t="shared" si="3"/>
        <v>1.1481294886201691E-9</v>
      </c>
      <c r="S43" s="126">
        <f t="shared" si="4"/>
        <v>2.9478371072867907E-9</v>
      </c>
      <c r="T43">
        <v>1</v>
      </c>
      <c r="U43">
        <v>56</v>
      </c>
      <c r="V43">
        <f t="shared" si="11"/>
        <v>0</v>
      </c>
      <c r="W43">
        <f t="shared" si="12"/>
        <v>56</v>
      </c>
      <c r="X43">
        <f t="shared" si="5"/>
        <v>50.4</v>
      </c>
      <c r="Y43">
        <f t="shared" si="6"/>
        <v>61.600000000000009</v>
      </c>
      <c r="Z43">
        <f t="shared" si="13"/>
        <v>0</v>
      </c>
      <c r="AA43" s="126">
        <f t="shared" si="14"/>
        <v>1.1481294886201691E-9</v>
      </c>
      <c r="AB43" s="126">
        <f t="shared" si="15"/>
        <v>2.9478371072867907E-9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0.9999993509776951</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0.99999935096450676</v>
      </c>
      <c r="K44">
        <v>1</v>
      </c>
      <c r="L44">
        <v>27</v>
      </c>
      <c r="M44">
        <f t="shared" si="9"/>
        <v>0</v>
      </c>
      <c r="N44">
        <f t="shared" si="0"/>
        <v>27</v>
      </c>
      <c r="O44">
        <f t="shared" si="1"/>
        <v>25.65</v>
      </c>
      <c r="P44">
        <f t="shared" si="2"/>
        <v>28.35</v>
      </c>
      <c r="Q44">
        <f t="shared" si="10"/>
        <v>0</v>
      </c>
      <c r="R44" s="126">
        <f t="shared" si="3"/>
        <v>1.2916456746854197E-9</v>
      </c>
      <c r="S44" s="126">
        <f t="shared" si="4"/>
        <v>3.1816924914121612E-9</v>
      </c>
      <c r="T44">
        <v>1</v>
      </c>
      <c r="U44">
        <v>68</v>
      </c>
      <c r="V44">
        <f t="shared" si="11"/>
        <v>0</v>
      </c>
      <c r="W44">
        <f t="shared" si="12"/>
        <v>68</v>
      </c>
      <c r="X44">
        <f t="shared" si="5"/>
        <v>61.2</v>
      </c>
      <c r="Y44">
        <f t="shared" si="6"/>
        <v>74.800000000000011</v>
      </c>
      <c r="Z44">
        <f t="shared" si="13"/>
        <v>0</v>
      </c>
      <c r="AA44" s="126">
        <f t="shared" si="14"/>
        <v>1.2916456746854197E-9</v>
      </c>
      <c r="AB44" s="126">
        <f t="shared" si="15"/>
        <v>3.1816924914121612E-9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1.4351618607479438E-9</v>
      </c>
      <c r="S45" s="126">
        <f t="shared" si="4"/>
        <v>3.4155478755335145E-9</v>
      </c>
      <c r="T45">
        <v>1</v>
      </c>
      <c r="U45">
        <v>82</v>
      </c>
      <c r="V45">
        <f t="shared" si="11"/>
        <v>0</v>
      </c>
      <c r="W45">
        <f t="shared" si="12"/>
        <v>82</v>
      </c>
      <c r="X45">
        <f t="shared" si="5"/>
        <v>73.8</v>
      </c>
      <c r="Y45">
        <f t="shared" si="6"/>
        <v>90.2</v>
      </c>
      <c r="Z45">
        <f t="shared" si="13"/>
        <v>0</v>
      </c>
      <c r="AA45" s="126">
        <f t="shared" si="14"/>
        <v>1.4351618607479438E-9</v>
      </c>
      <c r="AB45" s="126">
        <f t="shared" si="15"/>
        <v>3.4155478755335145E-9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1.5786780468077402E-9</v>
      </c>
      <c r="S46" s="126">
        <f t="shared" si="4"/>
        <v>3.649403259650849E-9</v>
      </c>
      <c r="T46">
        <v>10</v>
      </c>
      <c r="U46">
        <v>10</v>
      </c>
      <c r="V46">
        <f t="shared" si="11"/>
        <v>0</v>
      </c>
      <c r="W46">
        <f t="shared" si="12"/>
        <v>100</v>
      </c>
      <c r="X46">
        <f t="shared" si="5"/>
        <v>90</v>
      </c>
      <c r="Y46">
        <f t="shared" si="6"/>
        <v>110.00000000000001</v>
      </c>
      <c r="Z46">
        <f t="shared" si="13"/>
        <v>0</v>
      </c>
      <c r="AA46" s="126">
        <f t="shared" si="14"/>
        <v>1.5786780468077402E-9</v>
      </c>
      <c r="AB46" s="126">
        <f t="shared" si="15"/>
        <v>3.649403259650849E-9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1.7221942328648102E-9</v>
      </c>
      <c r="S47" s="126">
        <f t="shared" si="4"/>
        <v>3.8832586437641663E-9</v>
      </c>
      <c r="T47">
        <v>10</v>
      </c>
      <c r="U47">
        <v>12</v>
      </c>
      <c r="V47">
        <f t="shared" si="11"/>
        <v>0</v>
      </c>
      <c r="W47">
        <f>U47*T47</f>
        <v>120</v>
      </c>
      <c r="X47">
        <f t="shared" si="5"/>
        <v>108</v>
      </c>
      <c r="Y47">
        <f t="shared" si="6"/>
        <v>132</v>
      </c>
      <c r="Z47">
        <f t="shared" si="13"/>
        <v>0</v>
      </c>
      <c r="AA47" s="126">
        <f t="shared" si="14"/>
        <v>1.7221942328648102E-9</v>
      </c>
      <c r="AB47" s="126">
        <f t="shared" si="15"/>
        <v>3.8832586437641663E-9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1.8657104189191537E-9</v>
      </c>
      <c r="S48" s="126">
        <f t="shared" si="4"/>
        <v>4.1171140278734651E-9</v>
      </c>
      <c r="T48">
        <v>10</v>
      </c>
      <c r="U48">
        <v>15</v>
      </c>
      <c r="V48">
        <f t="shared" si="11"/>
        <v>0</v>
      </c>
      <c r="W48">
        <f t="shared" si="12"/>
        <v>150</v>
      </c>
      <c r="X48">
        <f t="shared" si="5"/>
        <v>135</v>
      </c>
      <c r="Y48">
        <f t="shared" si="6"/>
        <v>165</v>
      </c>
      <c r="Z48">
        <f t="shared" si="13"/>
        <v>0</v>
      </c>
      <c r="AA48" s="126">
        <f t="shared" si="14"/>
        <v>1.8657104189191537E-9</v>
      </c>
      <c r="AB48" s="126">
        <f t="shared" si="15"/>
        <v>4.1171140278734651E-9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2.0570653336540367E-9</v>
      </c>
      <c r="S49" s="126">
        <f t="shared" si="4"/>
        <v>4.4289212066796125E-9</v>
      </c>
      <c r="T49">
        <v>10</v>
      </c>
      <c r="U49">
        <v>18</v>
      </c>
      <c r="V49">
        <f t="shared" si="11"/>
        <v>0</v>
      </c>
      <c r="W49">
        <f t="shared" si="12"/>
        <v>180</v>
      </c>
      <c r="X49">
        <f t="shared" si="5"/>
        <v>162</v>
      </c>
      <c r="Y49">
        <f t="shared" si="6"/>
        <v>198.00000000000003</v>
      </c>
      <c r="Z49">
        <f t="shared" si="13"/>
        <v>0</v>
      </c>
      <c r="AA49" s="126">
        <f t="shared" si="14"/>
        <v>2.0570653336540367E-9</v>
      </c>
      <c r="AB49" s="126">
        <f t="shared" si="15"/>
        <v>4.4289212066796125E-9</v>
      </c>
      <c r="AC49" s="126" t="str">
        <f t="shared" si="7"/>
        <v>Vlow exceeds VIL spec</v>
      </c>
      <c r="AD49" s="126" t="str">
        <f t="shared" si="8"/>
        <v>Vlow exceeds VIL spec</v>
      </c>
    </row>
    <row r="50" spans="1:30" x14ac:dyDescent="0.35">
      <c r="A50" t="s">
        <v>320</v>
      </c>
      <c r="B50" s="11">
        <f>F11*(1+H11)</f>
        <v>787.5</v>
      </c>
      <c r="C50" s="11">
        <f>F11*(1+H11)</f>
        <v>787.5</v>
      </c>
      <c r="K50">
        <v>1</v>
      </c>
      <c r="L50">
        <v>47</v>
      </c>
      <c r="M50">
        <f t="shared" si="9"/>
        <v>0</v>
      </c>
      <c r="N50">
        <f t="shared" si="0"/>
        <v>47</v>
      </c>
      <c r="O50">
        <f t="shared" si="1"/>
        <v>44.65</v>
      </c>
      <c r="P50">
        <f t="shared" si="2"/>
        <v>49.35</v>
      </c>
      <c r="Q50">
        <f t="shared" si="10"/>
        <v>0</v>
      </c>
      <c r="R50" s="126">
        <f t="shared" si="3"/>
        <v>2.2484202483840717E-9</v>
      </c>
      <c r="S50" s="126">
        <f t="shared" si="4"/>
        <v>4.7407283854786172E-9</v>
      </c>
      <c r="T50">
        <v>10</v>
      </c>
      <c r="U50">
        <v>22</v>
      </c>
      <c r="V50">
        <f t="shared" si="11"/>
        <v>0</v>
      </c>
      <c r="W50">
        <f t="shared" si="12"/>
        <v>220</v>
      </c>
      <c r="X50">
        <f t="shared" si="5"/>
        <v>198</v>
      </c>
      <c r="Y50">
        <f t="shared" si="6"/>
        <v>242.00000000000003</v>
      </c>
      <c r="Z50">
        <f t="shared" si="13"/>
        <v>0</v>
      </c>
      <c r="AA50" s="126">
        <f t="shared" si="14"/>
        <v>2.2484202483840717E-9</v>
      </c>
      <c r="AB50" s="126">
        <f t="shared" si="15"/>
        <v>4.7407283854786172E-9</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2.4397751631092586E-9</v>
      </c>
      <c r="S51" s="126">
        <f t="shared" si="4"/>
        <v>5.0525355642704809E-9</v>
      </c>
      <c r="T51">
        <v>10</v>
      </c>
      <c r="U51">
        <v>27</v>
      </c>
      <c r="V51">
        <f t="shared" si="11"/>
        <v>0</v>
      </c>
      <c r="W51">
        <f t="shared" si="12"/>
        <v>270</v>
      </c>
      <c r="X51">
        <f t="shared" si="5"/>
        <v>243</v>
      </c>
      <c r="Y51">
        <f t="shared" si="6"/>
        <v>297</v>
      </c>
      <c r="Z51">
        <f t="shared" si="13"/>
        <v>0</v>
      </c>
      <c r="AA51" s="126">
        <f t="shared" si="14"/>
        <v>2.4397751631092586E-9</v>
      </c>
      <c r="AB51" s="126">
        <f t="shared" si="15"/>
        <v>5.0525355642704809E-9</v>
      </c>
      <c r="AC51" s="126" t="str">
        <f t="shared" si="7"/>
        <v>Vlow exceeds VIL spec</v>
      </c>
      <c r="AD51" s="126" t="str">
        <f t="shared" si="8"/>
        <v>Vlow exceeds VIL spec</v>
      </c>
    </row>
    <row r="52" spans="1:30" x14ac:dyDescent="0.35">
      <c r="A52" t="s">
        <v>324</v>
      </c>
      <c r="B52" s="1">
        <f>K21</f>
        <v>14.506962153924308</v>
      </c>
      <c r="C52">
        <v>0</v>
      </c>
      <c r="K52">
        <v>1</v>
      </c>
      <c r="L52">
        <v>56</v>
      </c>
      <c r="M52">
        <f t="shared" si="9"/>
        <v>0</v>
      </c>
      <c r="N52">
        <f t="shared" si="0"/>
        <v>56</v>
      </c>
      <c r="O52">
        <f t="shared" si="1"/>
        <v>53.199999999999996</v>
      </c>
      <c r="P52">
        <f t="shared" si="2"/>
        <v>58.800000000000004</v>
      </c>
      <c r="Q52">
        <f t="shared" si="10"/>
        <v>0</v>
      </c>
      <c r="R52" s="126">
        <f t="shared" si="3"/>
        <v>2.6789688065089258E-9</v>
      </c>
      <c r="S52" s="126">
        <f t="shared" si="4"/>
        <v>5.4422945377502613E-9</v>
      </c>
      <c r="T52">
        <v>10</v>
      </c>
      <c r="U52">
        <v>33</v>
      </c>
      <c r="V52">
        <f t="shared" si="11"/>
        <v>0</v>
      </c>
      <c r="W52">
        <f t="shared" si="12"/>
        <v>330</v>
      </c>
      <c r="X52">
        <f t="shared" si="5"/>
        <v>297</v>
      </c>
      <c r="Y52">
        <f t="shared" si="6"/>
        <v>363.00000000000006</v>
      </c>
      <c r="Z52">
        <f t="shared" si="13"/>
        <v>0</v>
      </c>
      <c r="AA52" s="126">
        <f t="shared" si="14"/>
        <v>2.6789688065089258E-9</v>
      </c>
      <c r="AB52" s="126">
        <f t="shared" si="15"/>
        <v>5.4422945377502613E-9</v>
      </c>
      <c r="AC52" s="126" t="str">
        <f t="shared" si="7"/>
        <v>Vlow exceeds VIL spec</v>
      </c>
      <c r="AD52" s="126" t="str">
        <f t="shared" si="8"/>
        <v>Vlow exceeds VIL spec</v>
      </c>
    </row>
    <row r="53" spans="1:30" x14ac:dyDescent="0.35">
      <c r="A53" t="s">
        <v>327</v>
      </c>
      <c r="B53">
        <v>0</v>
      </c>
      <c r="C53" s="1">
        <f>K21</f>
        <v>14.506962153924308</v>
      </c>
      <c r="K53">
        <v>1</v>
      </c>
      <c r="L53">
        <v>62</v>
      </c>
      <c r="M53">
        <f t="shared" si="9"/>
        <v>0</v>
      </c>
      <c r="N53">
        <f t="shared" si="0"/>
        <v>62</v>
      </c>
      <c r="O53">
        <f t="shared" si="1"/>
        <v>58.9</v>
      </c>
      <c r="P53">
        <f t="shared" si="2"/>
        <v>65.100000000000009</v>
      </c>
      <c r="Q53">
        <f t="shared" si="10"/>
        <v>0</v>
      </c>
      <c r="R53" s="126">
        <f t="shared" si="3"/>
        <v>2.9660011785785288E-9</v>
      </c>
      <c r="S53" s="126">
        <f t="shared" si="4"/>
        <v>5.9100053059112673E-9</v>
      </c>
      <c r="T53">
        <v>10</v>
      </c>
      <c r="U53">
        <v>39</v>
      </c>
      <c r="V53">
        <f t="shared" si="11"/>
        <v>0</v>
      </c>
      <c r="W53">
        <f t="shared" si="12"/>
        <v>390</v>
      </c>
      <c r="X53">
        <f t="shared" si="5"/>
        <v>351</v>
      </c>
      <c r="Y53">
        <f t="shared" si="6"/>
        <v>429.00000000000006</v>
      </c>
      <c r="Z53">
        <f t="shared" si="13"/>
        <v>0</v>
      </c>
      <c r="AA53" s="126">
        <f t="shared" si="14"/>
        <v>2.9660011785785288E-9</v>
      </c>
      <c r="AB53" s="126">
        <f t="shared" si="15"/>
        <v>5.9100053059112673E-9</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3.2530335506372233E-9</v>
      </c>
      <c r="S54" s="126">
        <f t="shared" si="4"/>
        <v>6.3777160740561995E-9</v>
      </c>
      <c r="T54">
        <v>10</v>
      </c>
      <c r="U54">
        <v>47</v>
      </c>
      <c r="V54">
        <f t="shared" si="11"/>
        <v>1</v>
      </c>
      <c r="W54">
        <f t="shared" si="12"/>
        <v>470</v>
      </c>
      <c r="X54">
        <f t="shared" si="5"/>
        <v>423</v>
      </c>
      <c r="Y54">
        <f t="shared" si="6"/>
        <v>517</v>
      </c>
      <c r="Z54">
        <f t="shared" si="13"/>
        <v>1</v>
      </c>
      <c r="AA54" s="126">
        <f t="shared" si="14"/>
        <v>3.2530335506372233E-9</v>
      </c>
      <c r="AB54" s="126">
        <f t="shared" si="15"/>
        <v>6.3777160740561995E-9</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3.5879046513585819E-9</v>
      </c>
      <c r="S55" s="126">
        <f t="shared" si="4"/>
        <v>6.9233786368716421E-9</v>
      </c>
      <c r="T55">
        <v>10</v>
      </c>
      <c r="U55">
        <v>56</v>
      </c>
      <c r="V55">
        <f t="shared" si="11"/>
        <v>2</v>
      </c>
      <c r="W55">
        <f t="shared" si="12"/>
        <v>560</v>
      </c>
      <c r="X55">
        <f t="shared" si="5"/>
        <v>504</v>
      </c>
      <c r="Y55">
        <f t="shared" si="6"/>
        <v>616</v>
      </c>
      <c r="Z55">
        <f t="shared" si="13"/>
        <v>1</v>
      </c>
      <c r="AA55" s="126">
        <f t="shared" si="14"/>
        <v>3.5879046513585819E-9</v>
      </c>
      <c r="AB55" s="126">
        <f t="shared" si="15"/>
        <v>6.9233786368716421E-9</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3.9227757520650955E-9</v>
      </c>
      <c r="S56" s="126">
        <f t="shared" si="4"/>
        <v>7.4690411996652074E-9</v>
      </c>
      <c r="T56">
        <v>10</v>
      </c>
      <c r="U56">
        <v>68</v>
      </c>
      <c r="V56">
        <f t="shared" si="11"/>
        <v>3</v>
      </c>
      <c r="W56">
        <f t="shared" si="12"/>
        <v>680</v>
      </c>
      <c r="X56">
        <f t="shared" si="5"/>
        <v>612</v>
      </c>
      <c r="Y56">
        <f t="shared" si="6"/>
        <v>748.00000000000011</v>
      </c>
      <c r="Z56">
        <f t="shared" si="13"/>
        <v>1</v>
      </c>
      <c r="AA56" s="126">
        <f t="shared" si="14"/>
        <v>3.9227757520650955E-9</v>
      </c>
      <c r="AB56" s="126">
        <f t="shared" si="15"/>
        <v>7.4690411996652074E-9</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4.353324310094512E-9</v>
      </c>
      <c r="S57" s="126">
        <f t="shared" si="4"/>
        <v>8.17060735179622E-9</v>
      </c>
      <c r="T57">
        <v>10</v>
      </c>
      <c r="U57">
        <v>82</v>
      </c>
      <c r="V57">
        <f t="shared" si="11"/>
        <v>4</v>
      </c>
      <c r="W57">
        <f t="shared" si="12"/>
        <v>820</v>
      </c>
      <c r="X57">
        <f t="shared" si="5"/>
        <v>738</v>
      </c>
      <c r="Y57">
        <f t="shared" si="6"/>
        <v>902.00000000000011</v>
      </c>
      <c r="Z57">
        <f t="shared" si="13"/>
        <v>1</v>
      </c>
      <c r="AA57" s="126">
        <f t="shared" si="14"/>
        <v>4.353324310094512E-9</v>
      </c>
      <c r="AB57" s="126">
        <f t="shared" si="15"/>
        <v>8.17060735179622E-9</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4.7838728680993876E-9</v>
      </c>
      <c r="S58" s="126">
        <f t="shared" si="4"/>
        <v>8.8721735038910666E-9</v>
      </c>
      <c r="T58">
        <v>100</v>
      </c>
      <c r="U58">
        <v>10</v>
      </c>
      <c r="V58">
        <f t="shared" si="11"/>
        <v>5</v>
      </c>
      <c r="W58">
        <f t="shared" si="12"/>
        <v>1000</v>
      </c>
      <c r="X58">
        <f t="shared" si="5"/>
        <v>900</v>
      </c>
      <c r="Y58">
        <f t="shared" si="6"/>
        <v>1100</v>
      </c>
      <c r="Z58">
        <f t="shared" si="13"/>
        <v>1</v>
      </c>
      <c r="AA58" s="126">
        <f t="shared" si="14"/>
        <v>4.7838728680993876E-9</v>
      </c>
      <c r="AB58" s="126">
        <f t="shared" si="15"/>
        <v>8.8721735038910666E-9</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5.2622601547426876E-9</v>
      </c>
      <c r="S59" s="126">
        <f t="shared" si="4"/>
        <v>9.6516914506207091E-9</v>
      </c>
      <c r="T59">
        <v>100</v>
      </c>
      <c r="U59">
        <v>12</v>
      </c>
      <c r="V59">
        <f t="shared" si="11"/>
        <v>6</v>
      </c>
      <c r="W59">
        <f t="shared" si="12"/>
        <v>1200</v>
      </c>
      <c r="X59">
        <f t="shared" si="5"/>
        <v>1080</v>
      </c>
      <c r="Y59">
        <f t="shared" si="6"/>
        <v>1320</v>
      </c>
      <c r="Z59">
        <f t="shared" si="13"/>
        <v>1</v>
      </c>
      <c r="AA59" s="126">
        <f t="shared" si="14"/>
        <v>5.2622601547426876E-9</v>
      </c>
      <c r="AB59" s="126">
        <f t="shared" si="15"/>
        <v>9.6516914506207091E-9</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5.7406474413556897E-9</v>
      </c>
      <c r="S60" s="126">
        <f t="shared" si="4"/>
        <v>1.0431209397305707E-8</v>
      </c>
      <c r="T60">
        <v>100</v>
      </c>
      <c r="U60">
        <v>15</v>
      </c>
      <c r="V60">
        <f t="shared" si="11"/>
        <v>7</v>
      </c>
      <c r="W60">
        <f t="shared" si="12"/>
        <v>1500</v>
      </c>
      <c r="X60">
        <f t="shared" si="5"/>
        <v>1350</v>
      </c>
      <c r="Y60">
        <f t="shared" si="6"/>
        <v>1650.0000000000002</v>
      </c>
      <c r="Z60">
        <f t="shared" si="13"/>
        <v>1</v>
      </c>
      <c r="AA60" s="126">
        <f t="shared" si="14"/>
        <v>5.7406474413556897E-9</v>
      </c>
      <c r="AB60" s="126">
        <f t="shared" si="15"/>
        <v>1.0431209397305707E-8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6.2190347279383946E-9</v>
      </c>
      <c r="S61" s="126">
        <f t="shared" si="4"/>
        <v>1.1210727343946056E-8</v>
      </c>
      <c r="T61">
        <v>100</v>
      </c>
      <c r="U61">
        <v>18</v>
      </c>
      <c r="V61">
        <f t="shared" si="11"/>
        <v>8</v>
      </c>
      <c r="W61">
        <f t="shared" si="12"/>
        <v>1800</v>
      </c>
      <c r="X61">
        <f t="shared" si="5"/>
        <v>1620</v>
      </c>
      <c r="Y61">
        <f t="shared" si="6"/>
        <v>1980.0000000000002</v>
      </c>
      <c r="Z61">
        <f t="shared" si="13"/>
        <v>1</v>
      </c>
      <c r="AA61" s="126">
        <f t="shared" si="14"/>
        <v>6.2190347279383946E-9</v>
      </c>
      <c r="AB61" s="126">
        <f t="shared" si="15"/>
        <v>1.1210727343946056E-8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0.99999912323465123</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0.99999912325077001</v>
      </c>
      <c r="K62">
        <v>10</v>
      </c>
      <c r="L62">
        <v>15</v>
      </c>
      <c r="M62">
        <f t="shared" si="9"/>
        <v>0</v>
      </c>
      <c r="N62">
        <f t="shared" si="0"/>
        <v>150</v>
      </c>
      <c r="O62">
        <f t="shared" si="1"/>
        <v>142.5</v>
      </c>
      <c r="P62">
        <f t="shared" si="2"/>
        <v>157.5</v>
      </c>
      <c r="Q62">
        <f t="shared" si="10"/>
        <v>0</v>
      </c>
      <c r="R62" s="126">
        <f t="shared" si="3"/>
        <v>7.1758093010129112E-9</v>
      </c>
      <c r="S62" s="126">
        <f t="shared" si="4"/>
        <v>1.2769763237092824E-8</v>
      </c>
      <c r="T62">
        <v>100</v>
      </c>
      <c r="U62">
        <v>22</v>
      </c>
      <c r="V62">
        <f t="shared" si="11"/>
        <v>9</v>
      </c>
      <c r="W62">
        <f t="shared" si="12"/>
        <v>2200</v>
      </c>
      <c r="X62">
        <f t="shared" si="5"/>
        <v>1980</v>
      </c>
      <c r="Y62">
        <f t="shared" si="6"/>
        <v>2420</v>
      </c>
      <c r="Z62">
        <f t="shared" si="13"/>
        <v>1</v>
      </c>
      <c r="AA62" s="126">
        <f t="shared" si="14"/>
        <v>7.1758093010129112E-9</v>
      </c>
      <c r="AB62" s="126">
        <f t="shared" si="15"/>
        <v>1.2769763237092824E-8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0.99999912325077001</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0.99999912325077001</v>
      </c>
      <c r="K63">
        <v>10</v>
      </c>
      <c r="L63">
        <v>16</v>
      </c>
      <c r="M63">
        <f t="shared" si="9"/>
        <v>0</v>
      </c>
      <c r="N63">
        <f t="shared" si="0"/>
        <v>160</v>
      </c>
      <c r="O63">
        <f t="shared" si="1"/>
        <v>152</v>
      </c>
      <c r="P63">
        <f t="shared" si="2"/>
        <v>168</v>
      </c>
      <c r="Q63">
        <f t="shared" si="10"/>
        <v>0</v>
      </c>
      <c r="R63" s="126">
        <f t="shared" si="3"/>
        <v>7.6541965875047222E-9</v>
      </c>
      <c r="S63" s="126">
        <f t="shared" si="4"/>
        <v>1.354928118359924E-8</v>
      </c>
      <c r="T63">
        <v>100</v>
      </c>
      <c r="U63">
        <v>27</v>
      </c>
      <c r="V63">
        <f t="shared" si="11"/>
        <v>10</v>
      </c>
      <c r="W63">
        <f t="shared" si="12"/>
        <v>2700</v>
      </c>
      <c r="X63">
        <f t="shared" si="5"/>
        <v>2430</v>
      </c>
      <c r="Y63">
        <f t="shared" si="6"/>
        <v>2970.0000000000005</v>
      </c>
      <c r="Z63">
        <f t="shared" si="13"/>
        <v>1</v>
      </c>
      <c r="AA63" s="126">
        <f t="shared" si="14"/>
        <v>7.6541965875047222E-9</v>
      </c>
      <c r="AB63" s="126">
        <f t="shared" si="15"/>
        <v>1.354928118359924E-8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0.99999912325077001</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0.99999912323465123</v>
      </c>
      <c r="K64">
        <v>10</v>
      </c>
      <c r="L64">
        <v>18</v>
      </c>
      <c r="M64">
        <f t="shared" si="9"/>
        <v>0</v>
      </c>
      <c r="N64">
        <f t="shared" si="0"/>
        <v>180</v>
      </c>
      <c r="O64">
        <f t="shared" si="1"/>
        <v>171</v>
      </c>
      <c r="P64">
        <f t="shared" si="2"/>
        <v>189</v>
      </c>
      <c r="Q64">
        <f t="shared" si="10"/>
        <v>0</v>
      </c>
      <c r="R64" s="126">
        <f t="shared" si="3"/>
        <v>8.6109711603974502E-9</v>
      </c>
      <c r="S64" s="126">
        <f t="shared" si="4"/>
        <v>1.5108317076478139E-8</v>
      </c>
      <c r="T64">
        <v>100</v>
      </c>
      <c r="U64">
        <v>33</v>
      </c>
      <c r="V64">
        <f t="shared" si="11"/>
        <v>11</v>
      </c>
      <c r="W64">
        <f t="shared" si="12"/>
        <v>3300</v>
      </c>
      <c r="X64">
        <f t="shared" si="5"/>
        <v>2970</v>
      </c>
      <c r="Y64">
        <f t="shared" si="6"/>
        <v>3630.0000000000005</v>
      </c>
      <c r="Z64">
        <f t="shared" si="13"/>
        <v>1</v>
      </c>
      <c r="AA64" s="126">
        <f t="shared" si="14"/>
        <v>8.6109711603974502E-9</v>
      </c>
      <c r="AB64" s="126">
        <f t="shared" si="15"/>
        <v>1.5108317076478139E-8</v>
      </c>
      <c r="AC64" s="126" t="str">
        <f t="shared" si="7"/>
        <v>Vlow exceeds VIL spec</v>
      </c>
      <c r="AD64" s="126">
        <f t="shared" si="8"/>
        <v>2.3312378432537449E-8</v>
      </c>
    </row>
    <row r="65" spans="1:31" x14ac:dyDescent="0.35">
      <c r="K65">
        <v>10</v>
      </c>
      <c r="L65">
        <v>20</v>
      </c>
      <c r="M65">
        <f t="shared" si="9"/>
        <v>0</v>
      </c>
      <c r="N65">
        <f t="shared" si="0"/>
        <v>200</v>
      </c>
      <c r="O65">
        <f t="shared" si="1"/>
        <v>190</v>
      </c>
      <c r="P65">
        <f t="shared" si="2"/>
        <v>210</v>
      </c>
      <c r="Q65">
        <f t="shared" si="10"/>
        <v>0</v>
      </c>
      <c r="R65" s="126">
        <f t="shared" si="3"/>
        <v>9.567745733168988E-9</v>
      </c>
      <c r="S65" s="126">
        <f t="shared" si="4"/>
        <v>1.6667352969178449E-8</v>
      </c>
      <c r="T65">
        <v>100</v>
      </c>
      <c r="U65">
        <v>39</v>
      </c>
      <c r="V65">
        <f t="shared" si="11"/>
        <v>12</v>
      </c>
      <c r="W65">
        <f t="shared" si="12"/>
        <v>3900</v>
      </c>
      <c r="X65">
        <f t="shared" si="5"/>
        <v>3510</v>
      </c>
      <c r="Y65">
        <f t="shared" si="6"/>
        <v>4290</v>
      </c>
      <c r="Z65">
        <f t="shared" si="13"/>
        <v>0</v>
      </c>
      <c r="AA65" s="126">
        <f t="shared" si="14"/>
        <v>9.567745733168988E-9</v>
      </c>
      <c r="AB65" s="126">
        <f t="shared" si="15"/>
        <v>1.6667352969178449E-8</v>
      </c>
      <c r="AC65" s="126" t="str">
        <f t="shared" si="7"/>
        <v>Vlow exceeds VIL spec</v>
      </c>
      <c r="AD65" s="126">
        <f t="shared" si="8"/>
        <v>1.5911719923539137E-8</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1.0524520305819334E-8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1.8226388861700188E-8</v>
      </c>
      <c r="T66">
        <v>100</v>
      </c>
      <c r="U66">
        <v>47</v>
      </c>
      <c r="V66">
        <f t="shared" si="11"/>
        <v>12</v>
      </c>
      <c r="W66">
        <f t="shared" si="12"/>
        <v>4700</v>
      </c>
      <c r="X66">
        <f t="shared" si="5"/>
        <v>4230</v>
      </c>
      <c r="Y66">
        <f t="shared" si="6"/>
        <v>5170</v>
      </c>
      <c r="Z66">
        <f t="shared" si="13"/>
        <v>0</v>
      </c>
      <c r="AA66" s="126">
        <f t="shared" si="14"/>
        <v>1.0524520305819334E-8</v>
      </c>
      <c r="AB66" s="126">
        <f t="shared" si="15"/>
        <v>1.8226388861700188E-8</v>
      </c>
      <c r="AC66" s="126">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2.4366511409935543E-8</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1.3495861954986478E-8</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1.1481294878348488E-8</v>
      </c>
      <c r="S67" s="126">
        <f t="shared" si="17"/>
        <v>1.9785424754043342E-8</v>
      </c>
      <c r="T67">
        <v>100</v>
      </c>
      <c r="U67">
        <v>56</v>
      </c>
      <c r="V67">
        <f t="shared" si="11"/>
        <v>12</v>
      </c>
      <c r="W67">
        <f t="shared" si="12"/>
        <v>5600</v>
      </c>
      <c r="X67">
        <f t="shared" si="5"/>
        <v>5040</v>
      </c>
      <c r="Y67">
        <f t="shared" si="6"/>
        <v>6160.0000000000009</v>
      </c>
      <c r="Z67">
        <f t="shared" si="13"/>
        <v>0</v>
      </c>
      <c r="AA67" s="126">
        <f t="shared" si="14"/>
        <v>1.1481294878348488E-8</v>
      </c>
      <c r="AB67" s="126">
        <f t="shared" si="15"/>
        <v>1.9785424754043342E-8</v>
      </c>
      <c r="AC67" s="126">
        <f t="shared" si="18"/>
        <v>1.8784683970048535E-8</v>
      </c>
      <c r="AD67" s="126">
        <f t="shared" si="19"/>
        <v>1.2146463460462551E-8</v>
      </c>
    </row>
    <row r="68" spans="1:31" ht="28.4" customHeight="1" x14ac:dyDescent="0.35">
      <c r="B68" s="32" t="s">
        <v>355</v>
      </c>
      <c r="C68" s="32" t="s">
        <v>356</v>
      </c>
      <c r="D68" s="32" t="s">
        <v>357</v>
      </c>
      <c r="E68" s="32" t="str">
        <f>IF(Summary!M37="absolute","find min R2, so that max (Vz) = " &amp; TRUNC(R3/J2,3),"find min R2, so that max (Vz) = " &amp; R3)</f>
        <v>find min R2, so that max (Vz) = 0.3</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1.2916456736914984E-8</v>
      </c>
      <c r="S68" s="126">
        <f t="shared" si="17"/>
        <v>2.2123978592223235E-8</v>
      </c>
      <c r="T68">
        <v>100</v>
      </c>
      <c r="U68">
        <v>68</v>
      </c>
      <c r="V68">
        <f t="shared" si="11"/>
        <v>12</v>
      </c>
      <c r="W68">
        <f t="shared" si="12"/>
        <v>6800</v>
      </c>
      <c r="X68">
        <f t="shared" si="5"/>
        <v>6120</v>
      </c>
      <c r="Y68">
        <f t="shared" si="6"/>
        <v>7480.0000000000009</v>
      </c>
      <c r="Z68">
        <f t="shared" si="13"/>
        <v>0</v>
      </c>
      <c r="AA68" s="126">
        <f t="shared" si="14"/>
        <v>1.2916456736914984E-8</v>
      </c>
      <c r="AB68" s="126">
        <f t="shared" si="15"/>
        <v>2.2123978592223235E-8</v>
      </c>
      <c r="AC68" s="126">
        <f t="shared" si="18"/>
        <v>1.5528516956259521E-8</v>
      </c>
      <c r="AD68" s="126">
        <f t="shared" si="19"/>
        <v>1.0918290378087172E-8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1.43516185952088E-8</v>
      </c>
      <c r="S69" s="126">
        <f t="shared" si="17"/>
        <v>2.446253243000132E-8</v>
      </c>
      <c r="T69">
        <v>100</v>
      </c>
      <c r="U69">
        <v>82</v>
      </c>
      <c r="V69">
        <f t="shared" si="11"/>
        <v>12</v>
      </c>
      <c r="W69">
        <f t="shared" si="12"/>
        <v>8200</v>
      </c>
      <c r="X69">
        <f t="shared" si="5"/>
        <v>7380</v>
      </c>
      <c r="Y69">
        <f t="shared" si="6"/>
        <v>9020</v>
      </c>
      <c r="Z69">
        <f t="shared" si="13"/>
        <v>0</v>
      </c>
      <c r="AA69" s="126">
        <f t="shared" si="14"/>
        <v>1.43516185952088E-8</v>
      </c>
      <c r="AB69" s="126">
        <f t="shared" si="15"/>
        <v>2.446253243000132E-8</v>
      </c>
      <c r="AC69" s="126">
        <f t="shared" si="18"/>
        <v>1.3854770203894256E-8</v>
      </c>
      <c r="AD69" s="126">
        <f t="shared" si="19"/>
        <v>1.0145904269491084E-8</v>
      </c>
    </row>
    <row r="70" spans="1:31" x14ac:dyDescent="0.35">
      <c r="A70" t="s">
        <v>320</v>
      </c>
      <c r="B70" s="11">
        <f>F11*(1+H11)</f>
        <v>787.5</v>
      </c>
      <c r="C70" s="11">
        <f>F11*(1-H11)</f>
        <v>712.5</v>
      </c>
      <c r="D70" s="11">
        <f>F11*(1+H11)</f>
        <v>787.5</v>
      </c>
      <c r="E70" s="11"/>
      <c r="F70" s="11">
        <f>F11*(1-H11)</f>
        <v>712.5</v>
      </c>
      <c r="G70" s="11">
        <f>F11*(1-H11)</f>
        <v>712.5</v>
      </c>
      <c r="H70" s="11">
        <f>F11*(1+H11)</f>
        <v>787.5</v>
      </c>
      <c r="K70">
        <v>10</v>
      </c>
      <c r="L70">
        <v>33</v>
      </c>
      <c r="M70">
        <f t="shared" si="9"/>
        <v>0</v>
      </c>
      <c r="N70">
        <f t="shared" si="0"/>
        <v>330</v>
      </c>
      <c r="O70">
        <f t="shared" si="1"/>
        <v>313.5</v>
      </c>
      <c r="P70">
        <f t="shared" si="2"/>
        <v>346.5</v>
      </c>
      <c r="Q70">
        <f t="shared" si="10"/>
        <v>0</v>
      </c>
      <c r="R70" s="126">
        <f t="shared" si="16"/>
        <v>1.5786780453229936E-8</v>
      </c>
      <c r="S70" s="126">
        <f t="shared" si="17"/>
        <v>2.68010862673776E-8</v>
      </c>
      <c r="T70">
        <v>1000</v>
      </c>
      <c r="U70">
        <v>10</v>
      </c>
      <c r="V70">
        <f t="shared" si="11"/>
        <v>12</v>
      </c>
      <c r="W70">
        <f t="shared" si="12"/>
        <v>10000</v>
      </c>
      <c r="X70">
        <f t="shared" si="5"/>
        <v>9000</v>
      </c>
      <c r="Y70">
        <f t="shared" si="6"/>
        <v>11000</v>
      </c>
      <c r="Z70">
        <f t="shared" si="13"/>
        <v>0</v>
      </c>
      <c r="AA70" s="126">
        <f t="shared" si="14"/>
        <v>1.5786780453229936E-8</v>
      </c>
      <c r="AB70" s="126">
        <f t="shared" si="15"/>
        <v>2.68010862673776E-8</v>
      </c>
      <c r="AC70" s="126">
        <f t="shared" si="18"/>
        <v>1.2802985152988638E-8</v>
      </c>
      <c r="AD70" s="126">
        <f t="shared" si="19"/>
        <v>9.6113873845092748E-9</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1.7221942310978391E-8</v>
      </c>
      <c r="S71" s="126">
        <f t="shared" si="17"/>
        <v>2.9139640104352076E-8</v>
      </c>
      <c r="T71">
        <v>1000</v>
      </c>
      <c r="U71">
        <v>12</v>
      </c>
      <c r="V71">
        <f t="shared" si="11"/>
        <v>12</v>
      </c>
      <c r="W71">
        <f t="shared" si="12"/>
        <v>12000</v>
      </c>
      <c r="X71">
        <f t="shared" si="5"/>
        <v>10800</v>
      </c>
      <c r="Y71">
        <f t="shared" si="6"/>
        <v>13200.000000000002</v>
      </c>
      <c r="Z71">
        <f t="shared" si="13"/>
        <v>0</v>
      </c>
      <c r="AA71" s="126">
        <f t="shared" si="14"/>
        <v>1.7221942310978391E-8</v>
      </c>
      <c r="AB71" s="126">
        <f t="shared" si="15"/>
        <v>2.9139640104352076E-8</v>
      </c>
      <c r="AC71" s="126">
        <f t="shared" si="18"/>
        <v>1.2073038507534405E-8</v>
      </c>
      <c r="AD71" s="126">
        <f t="shared" si="19"/>
        <v>9.2184368541622617E-9</v>
      </c>
    </row>
    <row r="72" spans="1:31" x14ac:dyDescent="0.35">
      <c r="A72" t="s">
        <v>324</v>
      </c>
      <c r="B72" s="1">
        <f>K21*MIN(K25,K24)</f>
        <v>0</v>
      </c>
      <c r="C72" s="1">
        <f>K21*MAX(K25,K24)</f>
        <v>14.506962153924308</v>
      </c>
      <c r="D72" s="1">
        <f>K21*MIN(K25,K24)</f>
        <v>0</v>
      </c>
      <c r="E72" s="1">
        <f>K21*MAX(K25,K24)</f>
        <v>14.506962153924308</v>
      </c>
      <c r="F72" s="125">
        <f>K21*MAX(K25,K24)</f>
        <v>14.506962153924308</v>
      </c>
      <c r="G72" s="125">
        <f>K22*MAX(K25,K24)</f>
        <v>8.6969621539243072</v>
      </c>
      <c r="H72" s="1">
        <f>K22*MIN(K25,K24)</f>
        <v>0</v>
      </c>
      <c r="K72">
        <v>10</v>
      </c>
      <c r="L72">
        <v>39</v>
      </c>
      <c r="M72">
        <f t="shared" si="9"/>
        <v>0</v>
      </c>
      <c r="N72">
        <f t="shared" si="0"/>
        <v>390</v>
      </c>
      <c r="O72">
        <f t="shared" si="1"/>
        <v>370.5</v>
      </c>
      <c r="P72">
        <f t="shared" si="2"/>
        <v>409.5</v>
      </c>
      <c r="Q72">
        <f t="shared" si="10"/>
        <v>0</v>
      </c>
      <c r="R72" s="126">
        <f t="shared" si="16"/>
        <v>1.8657104168454167E-8</v>
      </c>
      <c r="S72" s="126">
        <f t="shared" si="17"/>
        <v>3.1478193940924747E-8</v>
      </c>
      <c r="T72">
        <v>1000</v>
      </c>
      <c r="U72">
        <v>15</v>
      </c>
      <c r="V72">
        <f t="shared" si="11"/>
        <v>12</v>
      </c>
      <c r="W72">
        <f t="shared" si="12"/>
        <v>15000</v>
      </c>
      <c r="X72">
        <f t="shared" si="5"/>
        <v>13500</v>
      </c>
      <c r="Y72">
        <f t="shared" si="6"/>
        <v>16500</v>
      </c>
      <c r="Z72">
        <f t="shared" si="13"/>
        <v>0</v>
      </c>
      <c r="AA72" s="126">
        <f t="shared" si="14"/>
        <v>1.8657104168454167E-8</v>
      </c>
      <c r="AB72" s="126">
        <f t="shared" si="15"/>
        <v>3.1478193940924747E-8</v>
      </c>
      <c r="AC72" s="126">
        <f t="shared" si="18"/>
        <v>1.1534442661982466E-8</v>
      </c>
      <c r="AD72" s="126">
        <f t="shared" si="19"/>
        <v>8.9170740856653241E-9</v>
      </c>
    </row>
    <row r="73" spans="1:31" x14ac:dyDescent="0.35">
      <c r="A73" t="s">
        <v>327</v>
      </c>
      <c r="B73" s="1">
        <f>K21-B72</f>
        <v>14.506962153924308</v>
      </c>
      <c r="C73" s="1">
        <f>K21-C72</f>
        <v>0</v>
      </c>
      <c r="D73" s="1">
        <f>K21-D72</f>
        <v>14.506962153924308</v>
      </c>
      <c r="E73" s="1">
        <f>K21-E72</f>
        <v>0</v>
      </c>
      <c r="F73" s="1">
        <f>K21-F72</f>
        <v>0</v>
      </c>
      <c r="G73" s="1">
        <f>K22-G72</f>
        <v>0</v>
      </c>
      <c r="H73" s="1">
        <f>K22-H72</f>
        <v>8.6969621539243072</v>
      </c>
      <c r="K73">
        <v>10</v>
      </c>
      <c r="L73">
        <v>43</v>
      </c>
      <c r="M73">
        <f t="shared" si="9"/>
        <v>1</v>
      </c>
      <c r="N73">
        <f t="shared" si="0"/>
        <v>430</v>
      </c>
      <c r="O73">
        <f t="shared" si="1"/>
        <v>408.5</v>
      </c>
      <c r="P73">
        <f t="shared" si="2"/>
        <v>451.5</v>
      </c>
      <c r="Q73">
        <f t="shared" si="10"/>
        <v>1</v>
      </c>
      <c r="R73" s="126">
        <f t="shared" si="16"/>
        <v>2.0570653311331031E-8</v>
      </c>
      <c r="S73" s="126">
        <f t="shared" si="17"/>
        <v>3.4596265722396605E-8</v>
      </c>
      <c r="T73">
        <v>1000</v>
      </c>
      <c r="U73">
        <v>18</v>
      </c>
      <c r="V73">
        <f t="shared" si="11"/>
        <v>12</v>
      </c>
      <c r="W73">
        <f t="shared" si="12"/>
        <v>18000</v>
      </c>
      <c r="X73">
        <f t="shared" si="5"/>
        <v>16200</v>
      </c>
      <c r="Y73">
        <f t="shared" si="6"/>
        <v>19800</v>
      </c>
      <c r="Z73">
        <f t="shared" si="13"/>
        <v>0</v>
      </c>
      <c r="AA73" s="126">
        <f t="shared" si="14"/>
        <v>2.0570653311331031E-8</v>
      </c>
      <c r="AB73" s="126">
        <f t="shared" si="15"/>
        <v>3.4596265722396605E-8</v>
      </c>
      <c r="AC73" s="126">
        <f t="shared" si="18"/>
        <v>1.1002035402721827E-8</v>
      </c>
      <c r="AD73" s="126">
        <f t="shared" si="19"/>
        <v>8.6097086632625073E-9</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2</v>
      </c>
      <c r="N74">
        <f t="shared" si="0"/>
        <v>470</v>
      </c>
      <c r="O74">
        <f t="shared" si="1"/>
        <v>446.5</v>
      </c>
      <c r="P74">
        <f t="shared" si="2"/>
        <v>493.5</v>
      </c>
      <c r="Q74">
        <f t="shared" si="10"/>
        <v>1</v>
      </c>
      <c r="R74" s="126">
        <f t="shared" si="16"/>
        <v>2.2484202453723124E-8</v>
      </c>
      <c r="S74" s="126">
        <f t="shared" si="17"/>
        <v>3.7714337503154142E-8</v>
      </c>
      <c r="T74">
        <v>1000</v>
      </c>
      <c r="U74">
        <v>22</v>
      </c>
      <c r="V74">
        <f t="shared" si="11"/>
        <v>12</v>
      </c>
      <c r="W74">
        <f t="shared" si="12"/>
        <v>22000</v>
      </c>
      <c r="X74">
        <f t="shared" si="5"/>
        <v>19800</v>
      </c>
      <c r="Y74">
        <f t="shared" si="6"/>
        <v>24200.000000000004</v>
      </c>
      <c r="Z74">
        <f t="shared" si="13"/>
        <v>0</v>
      </c>
      <c r="AA74" s="126">
        <f t="shared" si="14"/>
        <v>2.2484202453723124E-8</v>
      </c>
      <c r="AB74" s="126">
        <f t="shared" si="15"/>
        <v>3.7714337503154142E-8</v>
      </c>
      <c r="AC74" s="126">
        <f t="shared" si="18"/>
        <v>1.0606266886849398E-8</v>
      </c>
      <c r="AD74" s="126">
        <f t="shared" si="19"/>
        <v>8.3751419235788391E-9</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3</v>
      </c>
      <c r="N75">
        <f t="shared" si="0"/>
        <v>510</v>
      </c>
      <c r="O75">
        <f t="shared" si="1"/>
        <v>484.5</v>
      </c>
      <c r="P75">
        <f t="shared" si="2"/>
        <v>535.5</v>
      </c>
      <c r="Q75">
        <f t="shared" si="10"/>
        <v>1</v>
      </c>
      <c r="R75" s="126">
        <f t="shared" si="16"/>
        <v>2.4397751595630459E-8</v>
      </c>
      <c r="S75" s="126">
        <f t="shared" si="17"/>
        <v>4.0832409283197359E-8</v>
      </c>
      <c r="T75">
        <v>1000</v>
      </c>
      <c r="U75">
        <v>27</v>
      </c>
      <c r="V75">
        <f t="shared" si="11"/>
        <v>12</v>
      </c>
      <c r="W75">
        <f t="shared" si="12"/>
        <v>27000</v>
      </c>
      <c r="X75">
        <f t="shared" si="5"/>
        <v>24300</v>
      </c>
      <c r="Y75">
        <f t="shared" si="6"/>
        <v>29700.000000000004</v>
      </c>
      <c r="Z75">
        <f t="shared" si="13"/>
        <v>0</v>
      </c>
      <c r="AA75" s="126">
        <f t="shared" si="14"/>
        <v>2.4397751595630459E-8</v>
      </c>
      <c r="AB75" s="126">
        <f t="shared" si="15"/>
        <v>4.0832409283197359E-8</v>
      </c>
      <c r="AC75" s="126">
        <f t="shared" si="18"/>
        <v>1.0300399297749352E-8</v>
      </c>
      <c r="AD75" s="126">
        <f t="shared" si="19"/>
        <v>8.1902942813285636E-9</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4</v>
      </c>
      <c r="N76">
        <f t="shared" si="0"/>
        <v>560</v>
      </c>
      <c r="O76">
        <f t="shared" si="1"/>
        <v>532</v>
      </c>
      <c r="P76">
        <f t="shared" si="2"/>
        <v>588</v>
      </c>
      <c r="Q76">
        <f t="shared" si="10"/>
        <v>1</v>
      </c>
      <c r="R76" s="126">
        <f t="shared" si="16"/>
        <v>2.6789688022332924E-8</v>
      </c>
      <c r="S76" s="126">
        <f t="shared" si="17"/>
        <v>4.4729999007246864E-8</v>
      </c>
      <c r="T76">
        <v>1000</v>
      </c>
      <c r="U76">
        <v>33</v>
      </c>
      <c r="V76">
        <f t="shared" si="11"/>
        <v>12</v>
      </c>
      <c r="W76">
        <f t="shared" si="12"/>
        <v>33000</v>
      </c>
      <c r="X76">
        <f t="shared" si="5"/>
        <v>29700</v>
      </c>
      <c r="Y76">
        <f t="shared" si="6"/>
        <v>36300</v>
      </c>
      <c r="Z76">
        <f t="shared" si="13"/>
        <v>0</v>
      </c>
      <c r="AA76" s="126">
        <f t="shared" si="14"/>
        <v>2.6789688022332924E-8</v>
      </c>
      <c r="AB76" s="126">
        <f t="shared" si="15"/>
        <v>4.4729999007246864E-8</v>
      </c>
      <c r="AC76" s="126">
        <f t="shared" si="18"/>
        <v>1.0003630268136286E-8</v>
      </c>
      <c r="AD76" s="126">
        <f t="shared" si="19"/>
        <v>8.0079544912181643E-9</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5</v>
      </c>
      <c r="N77">
        <f t="shared" si="0"/>
        <v>620</v>
      </c>
      <c r="O77">
        <f t="shared" si="1"/>
        <v>589</v>
      </c>
      <c r="P77">
        <f t="shared" si="2"/>
        <v>651</v>
      </c>
      <c r="Q77">
        <f t="shared" si="10"/>
        <v>1</v>
      </c>
      <c r="R77" s="126">
        <f t="shared" si="16"/>
        <v>2.9660011733376047E-8</v>
      </c>
      <c r="S77" s="126">
        <f t="shared" si="17"/>
        <v>4.9407106674632984E-8</v>
      </c>
      <c r="T77">
        <v>1000</v>
      </c>
      <c r="U77">
        <v>39</v>
      </c>
      <c r="V77">
        <f t="shared" si="11"/>
        <v>12</v>
      </c>
      <c r="W77">
        <f t="shared" si="12"/>
        <v>39000</v>
      </c>
      <c r="X77">
        <f t="shared" si="5"/>
        <v>35100</v>
      </c>
      <c r="Y77">
        <f t="shared" si="6"/>
        <v>42900</v>
      </c>
      <c r="Z77">
        <f t="shared" si="13"/>
        <v>0</v>
      </c>
      <c r="AA77" s="126">
        <f t="shared" si="14"/>
        <v>2.9660011733376047E-8</v>
      </c>
      <c r="AB77" s="126">
        <f t="shared" si="15"/>
        <v>4.9407106674632984E-8</v>
      </c>
      <c r="AC77" s="126">
        <f t="shared" si="18"/>
        <v>9.7323507377823497E-9</v>
      </c>
      <c r="AD77" s="126">
        <f t="shared" si="19"/>
        <v>7.8386699206897994E-9</v>
      </c>
    </row>
    <row r="78" spans="1:31" x14ac:dyDescent="0.35">
      <c r="A78" t="s">
        <v>344</v>
      </c>
      <c r="B78">
        <v>1</v>
      </c>
      <c r="C78">
        <v>1</v>
      </c>
      <c r="D78">
        <v>1</v>
      </c>
      <c r="E78">
        <v>1</v>
      </c>
      <c r="F78">
        <v>1</v>
      </c>
      <c r="G78">
        <v>1</v>
      </c>
      <c r="H78">
        <v>1</v>
      </c>
      <c r="K78">
        <v>10</v>
      </c>
      <c r="L78">
        <v>68</v>
      </c>
      <c r="M78">
        <f t="shared" si="9"/>
        <v>6</v>
      </c>
      <c r="N78">
        <f t="shared" si="0"/>
        <v>680</v>
      </c>
      <c r="O78">
        <f t="shared" si="1"/>
        <v>646</v>
      </c>
      <c r="P78">
        <f t="shared" si="2"/>
        <v>714</v>
      </c>
      <c r="Q78">
        <f t="shared" si="10"/>
        <v>1</v>
      </c>
      <c r="R78" s="126">
        <f t="shared" si="16"/>
        <v>3.2530335443328447E-8</v>
      </c>
      <c r="S78" s="126">
        <f t="shared" si="17"/>
        <v>5.4084214340411879E-8</v>
      </c>
      <c r="T78">
        <v>1000</v>
      </c>
      <c r="U78">
        <v>47</v>
      </c>
      <c r="V78">
        <f t="shared" si="11"/>
        <v>12</v>
      </c>
      <c r="W78">
        <f t="shared" si="12"/>
        <v>47000</v>
      </c>
      <c r="X78">
        <f t="shared" si="5"/>
        <v>42300</v>
      </c>
      <c r="Y78">
        <f t="shared" si="6"/>
        <v>51700.000000000007</v>
      </c>
      <c r="Z78">
        <f t="shared" si="13"/>
        <v>0</v>
      </c>
      <c r="AA78" s="126">
        <f t="shared" si="14"/>
        <v>3.2530335443328447E-8</v>
      </c>
      <c r="AB78" s="126">
        <f t="shared" si="15"/>
        <v>5.4084214340411879E-8</v>
      </c>
      <c r="AC78" s="126">
        <f t="shared" si="18"/>
        <v>9.5235626209621209E-9</v>
      </c>
      <c r="AD78" s="126">
        <f t="shared" si="19"/>
        <v>7.706660476828719E-9</v>
      </c>
    </row>
    <row r="79" spans="1:31" x14ac:dyDescent="0.35">
      <c r="A79" t="s">
        <v>345</v>
      </c>
      <c r="B79">
        <v>1</v>
      </c>
      <c r="C79">
        <v>1</v>
      </c>
      <c r="D79">
        <v>1</v>
      </c>
      <c r="E79">
        <v>1</v>
      </c>
      <c r="F79">
        <v>1</v>
      </c>
      <c r="G79">
        <v>1</v>
      </c>
      <c r="H79">
        <v>1</v>
      </c>
      <c r="K79">
        <v>10</v>
      </c>
      <c r="L79">
        <v>75</v>
      </c>
      <c r="M79">
        <f t="shared" si="9"/>
        <v>7</v>
      </c>
      <c r="N79">
        <f t="shared" si="0"/>
        <v>750</v>
      </c>
      <c r="O79">
        <f t="shared" si="1"/>
        <v>712.5</v>
      </c>
      <c r="P79">
        <f t="shared" si="2"/>
        <v>787.5</v>
      </c>
      <c r="Q79">
        <f t="shared" si="10"/>
        <v>1</v>
      </c>
      <c r="R79" s="126">
        <f t="shared" si="16"/>
        <v>3.5879046436894368E-8</v>
      </c>
      <c r="S79" s="126">
        <f t="shared" si="17"/>
        <v>5.95408399484559E-8</v>
      </c>
      <c r="T79">
        <v>1000</v>
      </c>
      <c r="U79">
        <v>56</v>
      </c>
      <c r="V79">
        <f t="shared" si="11"/>
        <v>12</v>
      </c>
      <c r="W79">
        <f t="shared" si="12"/>
        <v>56000</v>
      </c>
      <c r="X79">
        <f t="shared" si="5"/>
        <v>50400</v>
      </c>
      <c r="Y79">
        <f t="shared" si="6"/>
        <v>61600.000000000007</v>
      </c>
      <c r="Z79">
        <f t="shared" si="13"/>
        <v>0</v>
      </c>
      <c r="AA79" s="126">
        <f t="shared" si="14"/>
        <v>3.5879046436894368E-8</v>
      </c>
      <c r="AB79" s="126">
        <f t="shared" si="15"/>
        <v>5.95408399484559E-8</v>
      </c>
      <c r="AC79" s="126">
        <f t="shared" si="18"/>
        <v>9.3336614651991574E-9</v>
      </c>
      <c r="AD79" s="126">
        <f t="shared" si="19"/>
        <v>7.5852686083036321E-9</v>
      </c>
      <c r="AE79" s="128"/>
    </row>
    <row r="80" spans="1:31" x14ac:dyDescent="0.35">
      <c r="A80" t="s">
        <v>346</v>
      </c>
      <c r="B80">
        <v>1</v>
      </c>
      <c r="C80">
        <v>1</v>
      </c>
      <c r="D80">
        <v>1</v>
      </c>
      <c r="E80">
        <v>1</v>
      </c>
      <c r="F80">
        <v>1</v>
      </c>
      <c r="G80">
        <v>1</v>
      </c>
      <c r="H80">
        <v>1</v>
      </c>
      <c r="K80">
        <v>10</v>
      </c>
      <c r="L80">
        <v>82</v>
      </c>
      <c r="M80">
        <f t="shared" si="9"/>
        <v>8</v>
      </c>
      <c r="N80">
        <f t="shared" si="0"/>
        <v>820</v>
      </c>
      <c r="O80">
        <f t="shared" si="1"/>
        <v>779</v>
      </c>
      <c r="P80">
        <f t="shared" si="2"/>
        <v>861</v>
      </c>
      <c r="Q80">
        <f t="shared" si="10"/>
        <v>1</v>
      </c>
      <c r="R80" s="126">
        <f t="shared" si="16"/>
        <v>3.9227757428975685E-8</v>
      </c>
      <c r="S80" s="126">
        <f t="shared" si="17"/>
        <v>6.4997465554312313E-8</v>
      </c>
      <c r="T80">
        <v>1000</v>
      </c>
      <c r="U80">
        <v>68</v>
      </c>
      <c r="V80">
        <f t="shared" si="11"/>
        <v>12</v>
      </c>
      <c r="W80">
        <f>U80*T80</f>
        <v>68000</v>
      </c>
      <c r="X80">
        <f t="shared" si="5"/>
        <v>61200</v>
      </c>
      <c r="Y80">
        <f t="shared" si="6"/>
        <v>74800</v>
      </c>
      <c r="Z80">
        <f t="shared" si="13"/>
        <v>0</v>
      </c>
      <c r="AA80" s="126">
        <f t="shared" si="14"/>
        <v>3.9227757428975685E-8</v>
      </c>
      <c r="AB80" s="126">
        <f t="shared" si="15"/>
        <v>6.4997465554312313E-8</v>
      </c>
      <c r="AC80" s="126">
        <f t="shared" si="18"/>
        <v>9.1841264563328777E-9</v>
      </c>
      <c r="AD80" s="126">
        <f t="shared" si="19"/>
        <v>7.48877507163683E-9</v>
      </c>
      <c r="AE80" s="128"/>
    </row>
    <row r="81" spans="1:31" x14ac:dyDescent="0.35">
      <c r="K81">
        <v>10</v>
      </c>
      <c r="L81">
        <v>91</v>
      </c>
      <c r="M81">
        <f t="shared" si="9"/>
        <v>9</v>
      </c>
      <c r="N81">
        <f t="shared" si="0"/>
        <v>910</v>
      </c>
      <c r="O81">
        <f t="shared" si="1"/>
        <v>864.5</v>
      </c>
      <c r="P81">
        <f t="shared" si="2"/>
        <v>955.5</v>
      </c>
      <c r="Q81">
        <f t="shared" si="10"/>
        <v>1</v>
      </c>
      <c r="R81" s="126">
        <f t="shared" si="16"/>
        <v>4.3533242988041653E-8</v>
      </c>
      <c r="S81" s="126">
        <f t="shared" si="17"/>
        <v>7.2013127044341813E-8</v>
      </c>
      <c r="T81">
        <v>1000</v>
      </c>
      <c r="U81">
        <v>82</v>
      </c>
      <c r="V81">
        <f t="shared" si="11"/>
        <v>12</v>
      </c>
      <c r="W81">
        <f t="shared" ref="W81" si="20">U81*T81</f>
        <v>82000</v>
      </c>
      <c r="X81">
        <f t="shared" si="5"/>
        <v>73800</v>
      </c>
      <c r="Y81">
        <f t="shared" si="6"/>
        <v>90200.000000000015</v>
      </c>
      <c r="Z81">
        <f t="shared" si="13"/>
        <v>0</v>
      </c>
      <c r="AA81" s="126">
        <f t="shared" si="14"/>
        <v>4.3533242988041653E-8</v>
      </c>
      <c r="AB81" s="126">
        <f t="shared" si="15"/>
        <v>7.2013127044341813E-8</v>
      </c>
      <c r="AC81" s="126">
        <f t="shared" si="18"/>
        <v>9.0330361494779759E-9</v>
      </c>
      <c r="AD81" s="126">
        <f t="shared" si="19"/>
        <v>7.3904499258914875E-9</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0.99999912325077067</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7.9163324874026053E-2</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4.5454543736265098E-2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0.81161492742167307</v>
      </c>
      <c r="F82" s="13"/>
      <c r="K82">
        <v>100</v>
      </c>
      <c r="L82">
        <v>10</v>
      </c>
      <c r="M82">
        <f>IF(AND(Q81=1,Q82=0),Q82+M81+1, Q82+M81)</f>
        <v>10</v>
      </c>
      <c r="N82">
        <f t="shared" si="0"/>
        <v>1000</v>
      </c>
      <c r="O82">
        <f t="shared" si="1"/>
        <v>950</v>
      </c>
      <c r="P82">
        <f t="shared" si="2"/>
        <v>1050</v>
      </c>
      <c r="Q82">
        <f t="shared" si="10"/>
        <v>1</v>
      </c>
      <c r="R82" s="126">
        <f t="shared" si="16"/>
        <v>4.7838728544653489E-8</v>
      </c>
      <c r="S82" s="126">
        <f t="shared" si="17"/>
        <v>7.9028788530755091E-8</v>
      </c>
      <c r="V82">
        <f t="shared" si="11"/>
        <v>12</v>
      </c>
      <c r="W82">
        <v>9999999</v>
      </c>
      <c r="AA82" s="126">
        <f t="shared" si="14"/>
        <v>4.7838728544653489E-8</v>
      </c>
      <c r="AB82" s="126">
        <f t="shared" si="15"/>
        <v>7.9028788530755091E-8</v>
      </c>
      <c r="AC82" s="126">
        <f t="shared" si="18"/>
        <v>8.9144893710633247E-9</v>
      </c>
      <c r="AD82" s="126">
        <f t="shared" si="19"/>
        <v>7.3127071537816522E-9</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0.99999912325077067</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9.7538034587048225E-2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4.5454543736265098E-2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11</v>
      </c>
      <c r="N83">
        <f t="shared" si="0"/>
        <v>1100</v>
      </c>
      <c r="O83">
        <f t="shared" si="1"/>
        <v>1045</v>
      </c>
      <c r="P83">
        <f t="shared" si="2"/>
        <v>1155</v>
      </c>
      <c r="Q83">
        <f t="shared" si="10"/>
        <v>1</v>
      </c>
      <c r="R83" s="126">
        <f t="shared" si="16"/>
        <v>5.2622601382455019E-8</v>
      </c>
      <c r="S83" s="126">
        <f t="shared" si="17"/>
        <v>8.6823967955861868E-8</v>
      </c>
      <c r="AA83" s="126">
        <f t="shared" si="14"/>
        <v>5.2622601382455019E-8</v>
      </c>
      <c r="AB83" s="126">
        <f t="shared" si="15"/>
        <v>8.6823967955861868E-8</v>
      </c>
      <c r="AC83" s="126">
        <f t="shared" si="18"/>
        <v>8.8095637916002777E-9</v>
      </c>
      <c r="AD83" s="126">
        <f t="shared" si="19"/>
        <v>7.2434494560325274E-9</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0.99999912323465179</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9.7538034587048225E-2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4.5454543748121107E-2</v>
      </c>
      <c r="E84" s="12">
        <f>IF(Summary!M37="absolute",(R3-N7)/(J2+J2*Summary!M17),R3-N7)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9.7538034644757965E-2</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9.0847561669234952E-2</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4.5454543743372794E-2</v>
      </c>
      <c r="K84">
        <v>100</v>
      </c>
      <c r="L84">
        <v>12</v>
      </c>
      <c r="M84">
        <f t="shared" si="21"/>
        <v>12</v>
      </c>
      <c r="N84">
        <f t="shared" si="0"/>
        <v>1200</v>
      </c>
      <c r="O84">
        <f t="shared" si="1"/>
        <v>1140</v>
      </c>
      <c r="P84">
        <f t="shared" si="2"/>
        <v>1260</v>
      </c>
      <c r="Q84">
        <f t="shared" si="10"/>
        <v>1</v>
      </c>
      <c r="R84" s="126">
        <f t="shared" si="16"/>
        <v>5.7406474217226764E-8</v>
      </c>
      <c r="S84" s="126">
        <f t="shared" si="17"/>
        <v>9.4619147376504132E-8</v>
      </c>
      <c r="AA84" s="126">
        <f t="shared" si="14"/>
        <v>5.7406474217226764E-8</v>
      </c>
      <c r="AB84" s="126">
        <f t="shared" si="15"/>
        <v>9.4619147376504132E-8</v>
      </c>
      <c r="AC84" s="126">
        <f t="shared" si="18"/>
        <v>8.7249626326270838E-9</v>
      </c>
      <c r="AD84" s="126">
        <f t="shared" si="19"/>
        <v>7.1872941281246987E-9</v>
      </c>
      <c r="AE84" s="128"/>
    </row>
    <row r="85" spans="1:31" x14ac:dyDescent="0.35">
      <c r="E85" s="73"/>
      <c r="K85">
        <v>100</v>
      </c>
      <c r="L85">
        <v>13</v>
      </c>
      <c r="M85">
        <f t="shared" si="21"/>
        <v>13</v>
      </c>
      <c r="N85">
        <f t="shared" si="0"/>
        <v>1300</v>
      </c>
      <c r="O85">
        <f t="shared" si="1"/>
        <v>1235</v>
      </c>
      <c r="P85">
        <f t="shared" si="2"/>
        <v>1365</v>
      </c>
      <c r="Q85">
        <f t="shared" si="10"/>
        <v>1</v>
      </c>
      <c r="R85" s="126">
        <f t="shared" si="16"/>
        <v>6.2190347048968726E-8</v>
      </c>
      <c r="S85" s="126">
        <f t="shared" si="17"/>
        <v>1.0241432679268188E-7</v>
      </c>
      <c r="AA85" s="126">
        <f t="shared" si="14"/>
        <v>6.2190347048968726E-8</v>
      </c>
      <c r="AB85" s="126">
        <f t="shared" si="15"/>
        <v>1.0241432679268188E-7</v>
      </c>
      <c r="AC85" s="126">
        <f t="shared" si="18"/>
        <v>8.6553217192028031E-9</v>
      </c>
      <c r="AD85" s="126">
        <f t="shared" si="19"/>
        <v>7.1408546902656129E-9</v>
      </c>
      <c r="AE85" s="128"/>
    </row>
    <row r="86" spans="1:31" x14ac:dyDescent="0.35">
      <c r="K86">
        <v>100</v>
      </c>
      <c r="L86">
        <v>15</v>
      </c>
      <c r="M86">
        <f t="shared" si="21"/>
        <v>14</v>
      </c>
      <c r="N86">
        <f t="shared" si="0"/>
        <v>1500</v>
      </c>
      <c r="O86">
        <f t="shared" si="1"/>
        <v>1425</v>
      </c>
      <c r="P86">
        <f t="shared" si="2"/>
        <v>1575</v>
      </c>
      <c r="Q86">
        <f t="shared" si="10"/>
        <v>1</v>
      </c>
      <c r="R86" s="126">
        <f t="shared" si="16"/>
        <v>7.1758092703363271E-8</v>
      </c>
      <c r="S86" s="126">
        <f t="shared" si="17"/>
        <v>1.1800468561164385E-7</v>
      </c>
      <c r="AA86" s="126">
        <f t="shared" si="14"/>
        <v>7.1758092703363271E-8</v>
      </c>
      <c r="AB86" s="126">
        <f t="shared" si="15"/>
        <v>1.1800468561164385E-7</v>
      </c>
      <c r="AC86" s="126">
        <f t="shared" si="18"/>
        <v>8.5474734814054074E-9</v>
      </c>
      <c r="AD86" s="126">
        <f t="shared" si="19"/>
        <v>7.0685460756255164E-9</v>
      </c>
      <c r="AE86" s="128"/>
    </row>
    <row r="87" spans="1:31" x14ac:dyDescent="0.35">
      <c r="B87" s="171" t="s">
        <v>362</v>
      </c>
      <c r="C87" s="171"/>
      <c r="K87">
        <v>100</v>
      </c>
      <c r="L87">
        <v>16</v>
      </c>
      <c r="M87">
        <f t="shared" si="21"/>
        <v>15</v>
      </c>
      <c r="N87">
        <f t="shared" si="0"/>
        <v>1600</v>
      </c>
      <c r="O87">
        <f t="shared" si="1"/>
        <v>1520</v>
      </c>
      <c r="P87">
        <f t="shared" si="2"/>
        <v>1680</v>
      </c>
      <c r="Q87">
        <f t="shared" si="10"/>
        <v>1</v>
      </c>
      <c r="R87" s="126">
        <f t="shared" si="16"/>
        <v>7.6541965526015868E-8</v>
      </c>
      <c r="S87" s="126">
        <f t="shared" si="17"/>
        <v>1.2579986501442806E-7</v>
      </c>
      <c r="AA87" s="126">
        <f t="shared" si="14"/>
        <v>7.6541965526015868E-8</v>
      </c>
      <c r="AB87" s="126">
        <f t="shared" si="15"/>
        <v>1.2579986501442806E-7</v>
      </c>
      <c r="AC87" s="126">
        <f t="shared" si="18"/>
        <v>8.5048803939236626E-9</v>
      </c>
      <c r="AD87" s="126">
        <f t="shared" si="19"/>
        <v>7.0398550616709673E-9</v>
      </c>
      <c r="AE87" s="128"/>
    </row>
    <row r="88" spans="1:31" ht="29" x14ac:dyDescent="0.35">
      <c r="B88" t="s">
        <v>355</v>
      </c>
      <c r="C88" t="s">
        <v>363</v>
      </c>
      <c r="D88" t="s">
        <v>364</v>
      </c>
      <c r="E88" s="32" t="str">
        <f>IF(Summary!M37="absolute","find min R2, so that max (Vx) = " &amp; TRUNC(R2/J3,3),"find min R2, so that max (Vx) = " &amp; R2)</f>
        <v>find min R2, so that max (Vx) = 0.3</v>
      </c>
      <c r="F88" s="32" t="s">
        <v>365</v>
      </c>
      <c r="G88" s="32" t="s">
        <v>366</v>
      </c>
      <c r="H88" s="32" t="s">
        <v>367</v>
      </c>
      <c r="K88">
        <v>100</v>
      </c>
      <c r="L88">
        <v>18</v>
      </c>
      <c r="M88">
        <f t="shared" si="21"/>
        <v>16</v>
      </c>
      <c r="N88">
        <f t="shared" si="0"/>
        <v>1800</v>
      </c>
      <c r="O88">
        <f t="shared" si="1"/>
        <v>1710</v>
      </c>
      <c r="P88">
        <f t="shared" si="2"/>
        <v>1890</v>
      </c>
      <c r="Q88">
        <f t="shared" si="10"/>
        <v>1</v>
      </c>
      <c r="R88" s="126">
        <f t="shared" si="16"/>
        <v>8.6109711162231683E-8</v>
      </c>
      <c r="S88" s="126">
        <f t="shared" si="17"/>
        <v>1.4139022380660294E-7</v>
      </c>
      <c r="AA88" s="126">
        <f t="shared" si="14"/>
        <v>8.6109711162231683E-8</v>
      </c>
      <c r="AB88" s="126">
        <f t="shared" si="15"/>
        <v>1.4139022380660294E-7</v>
      </c>
      <c r="AC88" s="126">
        <f t="shared" si="18"/>
        <v>8.4354120074563017E-9</v>
      </c>
      <c r="AD88" s="126">
        <f t="shared" si="19"/>
        <v>6.9928941738008643E-9</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17</v>
      </c>
      <c r="N89">
        <f t="shared" si="0"/>
        <v>2000</v>
      </c>
      <c r="O89">
        <f t="shared" si="1"/>
        <v>1900</v>
      </c>
      <c r="P89">
        <f t="shared" si="2"/>
        <v>2100</v>
      </c>
      <c r="Q89">
        <f t="shared" si="10"/>
        <v>1</v>
      </c>
      <c r="R89" s="126">
        <f t="shared" si="16"/>
        <v>9.5677456786328389E-8</v>
      </c>
      <c r="S89" s="126">
        <f t="shared" si="17"/>
        <v>1.5698058258091983E-7</v>
      </c>
      <c r="AA89" s="126">
        <f t="shared" si="14"/>
        <v>9.5677456786328389E-8</v>
      </c>
      <c r="AB89" s="126">
        <f t="shared" si="15"/>
        <v>1.5698058258091983E-7</v>
      </c>
      <c r="AC89" s="126">
        <f t="shared" si="18"/>
        <v>8.3811742459823697E-9</v>
      </c>
      <c r="AD89" s="126">
        <f t="shared" si="19"/>
        <v>6.9560828989060788E-9</v>
      </c>
      <c r="AE89" s="128"/>
    </row>
    <row r="90" spans="1:31" x14ac:dyDescent="0.35">
      <c r="A90" t="s">
        <v>320</v>
      </c>
      <c r="B90" s="11">
        <f>F11*(1+H11)</f>
        <v>787.5</v>
      </c>
      <c r="C90" s="11">
        <f>F11*(1-H11)</f>
        <v>712.5</v>
      </c>
      <c r="D90" s="11">
        <f>F11*(1+H11)</f>
        <v>787.5</v>
      </c>
      <c r="E90" s="11"/>
      <c r="F90" s="11">
        <f>F11*(1-H11)</f>
        <v>712.5</v>
      </c>
      <c r="G90">
        <f>F11*(1-H11)</f>
        <v>712.5</v>
      </c>
      <c r="H90">
        <f>F11*(1+H11)</f>
        <v>787.5</v>
      </c>
      <c r="K90">
        <v>100</v>
      </c>
      <c r="L90">
        <v>22</v>
      </c>
      <c r="M90">
        <f t="shared" si="21"/>
        <v>18</v>
      </c>
      <c r="N90">
        <f t="shared" si="0"/>
        <v>2200</v>
      </c>
      <c r="O90">
        <f t="shared" si="1"/>
        <v>2090</v>
      </c>
      <c r="P90">
        <f t="shared" si="2"/>
        <v>2310</v>
      </c>
      <c r="Q90">
        <f t="shared" si="10"/>
        <v>1</v>
      </c>
      <c r="R90" s="126">
        <f t="shared" si="16"/>
        <v>1.0524520239830591E-7</v>
      </c>
      <c r="S90" s="126">
        <f t="shared" si="17"/>
        <v>1.7257094133737858E-7</v>
      </c>
      <c r="AA90" s="126">
        <f t="shared" si="14"/>
        <v>1.0524520239830591E-7</v>
      </c>
      <c r="AB90" s="126">
        <f t="shared" si="15"/>
        <v>1.7257094133737858E-7</v>
      </c>
      <c r="AC90" s="126">
        <f t="shared" si="18"/>
        <v>8.3376615877526328E-9</v>
      </c>
      <c r="AD90" s="126">
        <f t="shared" si="19"/>
        <v>6.9264560150048314E-9</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19</v>
      </c>
      <c r="N91">
        <f t="shared" si="0"/>
        <v>2400</v>
      </c>
      <c r="O91">
        <f t="shared" si="1"/>
        <v>2280</v>
      </c>
      <c r="P91">
        <f t="shared" si="2"/>
        <v>2520</v>
      </c>
      <c r="Q91">
        <f t="shared" si="10"/>
        <v>1</v>
      </c>
      <c r="R91" s="126">
        <f t="shared" si="16"/>
        <v>1.1481294799816431E-7</v>
      </c>
      <c r="S91" s="126">
        <f t="shared" si="17"/>
        <v>1.8816130007597937E-7</v>
      </c>
      <c r="AA91" s="126">
        <f t="shared" si="14"/>
        <v>1.1481294799816431E-7</v>
      </c>
      <c r="AB91" s="126">
        <f t="shared" si="15"/>
        <v>1.8816130007597937E-7</v>
      </c>
      <c r="AC91" s="126">
        <f t="shared" si="18"/>
        <v>8.3019839163672858E-9</v>
      </c>
      <c r="AD91" s="126">
        <f t="shared" si="19"/>
        <v>6.9020997291761879E-9</v>
      </c>
      <c r="AE91" s="128"/>
    </row>
    <row r="92" spans="1:31" x14ac:dyDescent="0.35">
      <c r="A92" t="s">
        <v>324</v>
      </c>
      <c r="B92" s="1">
        <f>K21-B93</f>
        <v>14.506962153924308</v>
      </c>
      <c r="C92" s="1">
        <f>K21-C93</f>
        <v>0</v>
      </c>
      <c r="D92" s="1">
        <f>K21-D93</f>
        <v>14.506962153924308</v>
      </c>
      <c r="E92" s="1">
        <f>K21-E93</f>
        <v>0</v>
      </c>
      <c r="F92" s="1">
        <f>K21-F93</f>
        <v>0</v>
      </c>
      <c r="G92" s="1">
        <f>K22-G93</f>
        <v>0</v>
      </c>
      <c r="H92" s="1">
        <f>K22-H93</f>
        <v>8.6969621539243072</v>
      </c>
      <c r="K92">
        <v>100</v>
      </c>
      <c r="L92">
        <v>27</v>
      </c>
      <c r="M92">
        <f t="shared" si="21"/>
        <v>20</v>
      </c>
      <c r="N92">
        <f t="shared" si="0"/>
        <v>2700</v>
      </c>
      <c r="O92">
        <f t="shared" si="1"/>
        <v>2565</v>
      </c>
      <c r="P92">
        <f t="shared" si="2"/>
        <v>2835</v>
      </c>
      <c r="Q92">
        <f t="shared" si="10"/>
        <v>1</v>
      </c>
      <c r="R92" s="126">
        <f t="shared" si="16"/>
        <v>1.2916456637522855E-7</v>
      </c>
      <c r="S92" s="126">
        <f t="shared" si="17"/>
        <v>2.1154683815039663E-7</v>
      </c>
      <c r="AA92" s="126">
        <f t="shared" si="14"/>
        <v>1.2916456637522855E-7</v>
      </c>
      <c r="AB92" s="126">
        <f t="shared" si="15"/>
        <v>2.1154683815039663E-7</v>
      </c>
      <c r="AC92" s="126">
        <f t="shared" si="18"/>
        <v>8.2590853200478062E-9</v>
      </c>
      <c r="AD92" s="126">
        <f t="shared" si="19"/>
        <v>6.8727360928676294E-9</v>
      </c>
      <c r="AE92" s="128"/>
    </row>
    <row r="93" spans="1:31" x14ac:dyDescent="0.35">
      <c r="A93" t="s">
        <v>327</v>
      </c>
      <c r="B93" s="1">
        <f>K21*(1-MAX(K25,K24))</f>
        <v>0</v>
      </c>
      <c r="C93" s="1">
        <f>K21*(1-MIN(K25,K24))</f>
        <v>14.506962153924308</v>
      </c>
      <c r="D93" s="1">
        <f>K21*(1-MAX(K25,K24))</f>
        <v>0</v>
      </c>
      <c r="E93" s="1">
        <f>K21*(1-MIN(K25,K24))</f>
        <v>14.506962153924308</v>
      </c>
      <c r="F93" s="125">
        <f>K21*(1-MIN(K25,K24))</f>
        <v>14.506962153924308</v>
      </c>
      <c r="G93" s="125">
        <f>K22*(1-MIN(K25,K24))</f>
        <v>8.6969621539243072</v>
      </c>
      <c r="H93" s="1">
        <f>K22*(1-MAX(K25,K24))</f>
        <v>0</v>
      </c>
      <c r="K93">
        <v>100</v>
      </c>
      <c r="L93">
        <v>30</v>
      </c>
      <c r="M93">
        <f t="shared" si="21"/>
        <v>21</v>
      </c>
      <c r="N93">
        <f t="shared" si="0"/>
        <v>3000</v>
      </c>
      <c r="O93">
        <f t="shared" si="1"/>
        <v>2850</v>
      </c>
      <c r="P93">
        <f t="shared" si="2"/>
        <v>3150</v>
      </c>
      <c r="Q93">
        <f t="shared" si="10"/>
        <v>1</v>
      </c>
      <c r="R93" s="126">
        <f t="shared" si="16"/>
        <v>1.4351618472502466E-7</v>
      </c>
      <c r="S93" s="126">
        <f t="shared" si="17"/>
        <v>2.3493237618463335E-7</v>
      </c>
      <c r="AA93" s="126">
        <f t="shared" si="14"/>
        <v>1.4351618472502466E-7</v>
      </c>
      <c r="AB93" s="126">
        <f t="shared" si="15"/>
        <v>2.3493237618463335E-7</v>
      </c>
      <c r="AC93" s="126">
        <f t="shared" si="18"/>
        <v>8.2253180064184547E-9</v>
      </c>
      <c r="AD93" s="126">
        <f t="shared" si="19"/>
        <v>6.8495619607388155E-9</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22</v>
      </c>
      <c r="N94">
        <f t="shared" si="0"/>
        <v>3300</v>
      </c>
      <c r="O94">
        <f t="shared" si="1"/>
        <v>3135</v>
      </c>
      <c r="P94">
        <f t="shared" si="2"/>
        <v>3465</v>
      </c>
      <c r="Q94">
        <f t="shared" si="10"/>
        <v>1</v>
      </c>
      <c r="R94" s="126">
        <f t="shared" si="16"/>
        <v>1.5786780304755272E-7</v>
      </c>
      <c r="S94" s="126">
        <f t="shared" si="17"/>
        <v>2.5831791417868944E-7</v>
      </c>
      <c r="AA94" s="126">
        <f t="shared" si="14"/>
        <v>1.5786780304755272E-7</v>
      </c>
      <c r="AB94" s="126">
        <f t="shared" si="15"/>
        <v>2.5831791417868944E-7</v>
      </c>
      <c r="AC94" s="126">
        <f t="shared" si="18"/>
        <v>8.1980496061070622E-9</v>
      </c>
      <c r="AD94" s="126">
        <f t="shared" si="19"/>
        <v>6.8308082571624744E-9</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23</v>
      </c>
      <c r="N95">
        <f t="shared" si="0"/>
        <v>3600</v>
      </c>
      <c r="O95">
        <f t="shared" si="1"/>
        <v>3420</v>
      </c>
      <c r="P95">
        <f t="shared" si="2"/>
        <v>3780</v>
      </c>
      <c r="Q95">
        <f t="shared" si="10"/>
        <v>1</v>
      </c>
      <c r="R95" s="126">
        <f t="shared" si="16"/>
        <v>1.7221942134281266E-7</v>
      </c>
      <c r="S95" s="126">
        <f t="shared" si="17"/>
        <v>2.8170345213256485E-7</v>
      </c>
      <c r="AA95" s="126">
        <f t="shared" si="14"/>
        <v>1.7221942134281266E-7</v>
      </c>
      <c r="AB95" s="126">
        <f t="shared" si="15"/>
        <v>2.8170345213256485E-7</v>
      </c>
      <c r="AC95" s="126">
        <f t="shared" si="18"/>
        <v>8.1755701490672192E-9</v>
      </c>
      <c r="AD95" s="126">
        <f t="shared" si="19"/>
        <v>6.8153210829472489E-9</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1"/>
        <v>24</v>
      </c>
      <c r="N96">
        <f t="shared" si="0"/>
        <v>3900</v>
      </c>
      <c r="O96">
        <f t="shared" si="1"/>
        <v>3705</v>
      </c>
      <c r="P96">
        <f t="shared" si="2"/>
        <v>4095</v>
      </c>
      <c r="Q96">
        <f t="shared" si="10"/>
        <v>0</v>
      </c>
      <c r="R96" s="126">
        <f t="shared" si="16"/>
        <v>1.8657103961080458E-7</v>
      </c>
      <c r="S96" s="126">
        <f t="shared" si="17"/>
        <v>3.0508899004625973E-7</v>
      </c>
      <c r="AA96" s="126">
        <f t="shared" si="14"/>
        <v>1.8657103961080458E-7</v>
      </c>
      <c r="AB96" s="126">
        <f t="shared" si="15"/>
        <v>3.0508899004625973E-7</v>
      </c>
      <c r="AC96" s="126">
        <f t="shared" si="18"/>
        <v>8.1567208093732155E-9</v>
      </c>
      <c r="AD96" s="126">
        <f t="shared" si="19"/>
        <v>6.8023158144966389E-9</v>
      </c>
      <c r="AE96" s="128"/>
    </row>
    <row r="97" spans="1:31" x14ac:dyDescent="0.35">
      <c r="K97">
        <v>100</v>
      </c>
      <c r="L97">
        <v>43</v>
      </c>
      <c r="M97">
        <f t="shared" si="21"/>
        <v>24</v>
      </c>
      <c r="N97">
        <f t="shared" si="0"/>
        <v>4300</v>
      </c>
      <c r="O97">
        <f t="shared" si="1"/>
        <v>4085</v>
      </c>
      <c r="P97">
        <f t="shared" si="2"/>
        <v>4515</v>
      </c>
      <c r="Q97">
        <f t="shared" si="10"/>
        <v>0</v>
      </c>
      <c r="R97" s="126">
        <f t="shared" si="16"/>
        <v>2.0570653059237677E-7</v>
      </c>
      <c r="S97" s="126">
        <f t="shared" si="17"/>
        <v>3.3626970720201638E-7</v>
      </c>
      <c r="AA97" s="126">
        <f t="shared" si="14"/>
        <v>2.0570653059237677E-7</v>
      </c>
      <c r="AB97" s="126">
        <f t="shared" si="15"/>
        <v>3.3626970720201638E-7</v>
      </c>
      <c r="AC97" s="126">
        <f t="shared" si="18"/>
        <v>8.1358640147728209E-9</v>
      </c>
      <c r="AD97" s="126">
        <f t="shared" si="19"/>
        <v>6.7879050085146585E-9</v>
      </c>
      <c r="AE97" s="128"/>
    </row>
    <row r="98" spans="1:31" x14ac:dyDescent="0.35">
      <c r="A98" t="s">
        <v>344</v>
      </c>
      <c r="B98">
        <v>1</v>
      </c>
      <c r="C98">
        <v>1</v>
      </c>
      <c r="D98">
        <v>1</v>
      </c>
      <c r="E98">
        <v>1</v>
      </c>
      <c r="F98">
        <v>1</v>
      </c>
      <c r="G98">
        <v>1</v>
      </c>
      <c r="H98">
        <v>1</v>
      </c>
      <c r="K98">
        <v>100</v>
      </c>
      <c r="L98">
        <v>47</v>
      </c>
      <c r="M98">
        <f t="shared" si="21"/>
        <v>24</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2.2484202152547237E-7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3.6745042428634089E-7</v>
      </c>
      <c r="AA98" s="126">
        <f t="shared" si="14"/>
        <v>2.2484202152547237E-7</v>
      </c>
      <c r="AB98" s="126">
        <f t="shared" si="15"/>
        <v>3.6745042428634089E-7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8.1187037588820128E-9</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6.7760319972963842E-9</v>
      </c>
      <c r="AE98" s="128"/>
    </row>
    <row r="99" spans="1:31" x14ac:dyDescent="0.35">
      <c r="A99" t="s">
        <v>345</v>
      </c>
      <c r="B99">
        <v>1</v>
      </c>
      <c r="C99">
        <v>1</v>
      </c>
      <c r="D99">
        <v>1</v>
      </c>
      <c r="E99">
        <v>1</v>
      </c>
      <c r="F99">
        <v>1</v>
      </c>
      <c r="G99">
        <v>1</v>
      </c>
      <c r="H99">
        <v>1</v>
      </c>
      <c r="K99">
        <v>100</v>
      </c>
      <c r="L99">
        <v>51</v>
      </c>
      <c r="M99">
        <f t="shared" si="21"/>
        <v>24</v>
      </c>
      <c r="N99">
        <f t="shared" si="23"/>
        <v>5100</v>
      </c>
      <c r="O99">
        <f t="shared" si="24"/>
        <v>4845</v>
      </c>
      <c r="P99">
        <f t="shared" si="25"/>
        <v>5355</v>
      </c>
      <c r="Q99">
        <f t="shared" ref="Q99:Q129" si="30">IF($Q$2="N/A",IF(AND((O99&gt;=MAX($H$7:$I$7)),(P99&lt;=MIN($F$7:$G$7)),(P99&lt;=MIN($B$7:$C$7)),(O99&gt;=MAX($D$7:$E$7))),1,0),IF(AND((O99&gt;=MAX($I$7)),(P99&lt;=MIN($G$7)),(P99&lt;=MIN($C$7)),(O99&gt;=MAX($E$7))),1,0))</f>
        <v>0</v>
      </c>
      <c r="R99" s="126">
        <f t="shared" si="26"/>
        <v>2.439775124100915E-7</v>
      </c>
      <c r="S99" s="126">
        <f t="shared" si="27"/>
        <v>3.9863114129923326E-7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2.439775124100915E-7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3.9863114129923326E-7</v>
      </c>
      <c r="AC99" s="126">
        <f t="shared" si="28"/>
        <v>8.1043377524210901E-9</v>
      </c>
      <c r="AD99" s="126">
        <f t="shared" si="29"/>
        <v>6.7660808799197573E-9</v>
      </c>
      <c r="AE99" s="128"/>
    </row>
    <row r="100" spans="1:31" x14ac:dyDescent="0.35">
      <c r="A100" t="s">
        <v>346</v>
      </c>
      <c r="B100">
        <v>1</v>
      </c>
      <c r="C100">
        <v>1</v>
      </c>
      <c r="D100">
        <v>1</v>
      </c>
      <c r="E100">
        <v>1</v>
      </c>
      <c r="F100">
        <v>1</v>
      </c>
      <c r="G100">
        <v>1</v>
      </c>
      <c r="H100">
        <v>1</v>
      </c>
      <c r="K100">
        <v>100</v>
      </c>
      <c r="L100">
        <v>56</v>
      </c>
      <c r="M100">
        <f t="shared" si="21"/>
        <v>24</v>
      </c>
      <c r="N100">
        <f t="shared" si="23"/>
        <v>5600</v>
      </c>
      <c r="O100">
        <f t="shared" si="24"/>
        <v>5320</v>
      </c>
      <c r="P100">
        <f t="shared" si="25"/>
        <v>5880</v>
      </c>
      <c r="Q100">
        <f t="shared" si="30"/>
        <v>0</v>
      </c>
      <c r="R100" s="126">
        <f t="shared" si="26"/>
        <v>2.6789687594769503E-7</v>
      </c>
      <c r="S100" s="126">
        <f t="shared" si="27"/>
        <v>4.3760703746489717E-7</v>
      </c>
      <c r="AA100" s="126">
        <f t="shared" si="31"/>
        <v>2.6789687594769503E-7</v>
      </c>
      <c r="AB100" s="126">
        <f t="shared" si="32"/>
        <v>4.3760703746489717E-7</v>
      </c>
      <c r="AC100" s="126">
        <f t="shared" si="28"/>
        <v>8.0893663553965055E-9</v>
      </c>
      <c r="AD100" s="126">
        <f t="shared" si="29"/>
        <v>6.7556992471297804E-9</v>
      </c>
      <c r="AE100" s="128"/>
    </row>
    <row r="101" spans="1:31" x14ac:dyDescent="0.35">
      <c r="K101">
        <v>100</v>
      </c>
      <c r="L101">
        <v>62</v>
      </c>
      <c r="M101">
        <f t="shared" si="21"/>
        <v>24</v>
      </c>
      <c r="N101">
        <f t="shared" si="23"/>
        <v>6200</v>
      </c>
      <c r="O101">
        <f t="shared" si="24"/>
        <v>5890</v>
      </c>
      <c r="P101">
        <f t="shared" si="25"/>
        <v>6510</v>
      </c>
      <c r="Q101">
        <f t="shared" si="30"/>
        <v>0</v>
      </c>
      <c r="R101" s="126">
        <f t="shared" si="26"/>
        <v>2.9660011209283648E-7</v>
      </c>
      <c r="S101" s="126">
        <f t="shared" si="27"/>
        <v>4.8437811271636476E-7</v>
      </c>
      <c r="AA101" s="126">
        <f t="shared" si="31"/>
        <v>2.9660011209283648E-7</v>
      </c>
      <c r="AB101" s="126">
        <f t="shared" si="32"/>
        <v>4.8437811271636476E-7</v>
      </c>
      <c r="AC101" s="126">
        <f t="shared" si="28"/>
        <v>8.0746880201659959E-9</v>
      </c>
      <c r="AD101" s="126">
        <f t="shared" si="29"/>
        <v>6.7455096716931884E-9</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0.99999912323465157</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8.3019795066711241E-2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3.0769230015508572E-2</v>
      </c>
      <c r="E102" s="12">
        <f>IF(Summary!M50="absolute",(R2-N7)/(J3+J3*Summary!M18),R2-N7)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8.3019795114376391E-2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7.6111502317420157E-2</v>
      </c>
      <c r="H102" s="12">
        <f t="shared" si="33"/>
        <v>3.0769230010587904E-2</v>
      </c>
      <c r="K102">
        <v>100</v>
      </c>
      <c r="L102">
        <v>68</v>
      </c>
      <c r="M102">
        <f t="shared" si="21"/>
        <v>24</v>
      </c>
      <c r="N102">
        <f t="shared" si="23"/>
        <v>6800</v>
      </c>
      <c r="O102">
        <f t="shared" si="24"/>
        <v>6460</v>
      </c>
      <c r="P102">
        <f t="shared" si="25"/>
        <v>7140</v>
      </c>
      <c r="Q102">
        <f t="shared" si="30"/>
        <v>0</v>
      </c>
      <c r="R102" s="126">
        <f t="shared" si="26"/>
        <v>3.2530334812890555E-7</v>
      </c>
      <c r="S102" s="126">
        <f t="shared" si="27"/>
        <v>5.3114918780711017E-7</v>
      </c>
      <c r="AA102" s="126">
        <f t="shared" si="31"/>
        <v>3.2530334812890555E-7</v>
      </c>
      <c r="AB102" s="126">
        <f t="shared" si="32"/>
        <v>5.3114918780711017E-7</v>
      </c>
      <c r="AC102" s="126">
        <f t="shared" si="28"/>
        <v>8.0626740523969265E-9</v>
      </c>
      <c r="AD102" s="126">
        <f t="shared" si="29"/>
        <v>6.737161387529538E-9</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0.99999912325077045</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8.3019795066711241E-2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3.0769230003222181E-2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8.3019795114376391E-2</v>
      </c>
      <c r="K103">
        <v>100</v>
      </c>
      <c r="L103">
        <v>75</v>
      </c>
      <c r="M103">
        <f t="shared" si="21"/>
        <v>24</v>
      </c>
      <c r="N103">
        <f t="shared" si="23"/>
        <v>7500</v>
      </c>
      <c r="O103">
        <f t="shared" si="24"/>
        <v>7125</v>
      </c>
      <c r="P103">
        <f t="shared" si="25"/>
        <v>7875</v>
      </c>
      <c r="Q103">
        <f t="shared" si="30"/>
        <v>0</v>
      </c>
      <c r="R103" s="126">
        <f t="shared" si="26"/>
        <v>3.5879045669979767E-7</v>
      </c>
      <c r="S103" s="126">
        <f t="shared" si="27"/>
        <v>5.8571544187651114E-7</v>
      </c>
      <c r="AA103" s="126">
        <f t="shared" si="31"/>
        <v>3.5879045669979767E-7</v>
      </c>
      <c r="AB103" s="126">
        <f t="shared" si="32"/>
        <v>5.8571544187651114E-7</v>
      </c>
      <c r="AC103" s="126">
        <f t="shared" si="28"/>
        <v>8.0511502843233727E-9</v>
      </c>
      <c r="AD103" s="126">
        <f t="shared" si="29"/>
        <v>6.7291466694834302E-9</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0.99999912325077045</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6.4349484388092251E-2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3.0769230003222181E-2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0.77511013276926366</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6.4349484436727902E-2</v>
      </c>
      <c r="K104">
        <v>100</v>
      </c>
      <c r="L104">
        <v>82</v>
      </c>
      <c r="M104">
        <f t="shared" si="21"/>
        <v>24</v>
      </c>
      <c r="N104">
        <f t="shared" si="23"/>
        <v>8200</v>
      </c>
      <c r="O104">
        <f t="shared" si="24"/>
        <v>7790</v>
      </c>
      <c r="P104">
        <f t="shared" si="25"/>
        <v>8610</v>
      </c>
      <c r="Q104">
        <f t="shared" si="30"/>
        <v>0</v>
      </c>
      <c r="R104" s="126">
        <f t="shared" si="26"/>
        <v>3.9227756512223011E-7</v>
      </c>
      <c r="S104" s="126">
        <f t="shared" si="27"/>
        <v>6.4028169572715091E-7</v>
      </c>
      <c r="AA104" s="126">
        <f t="shared" si="31"/>
        <v>3.9227756512223011E-7</v>
      </c>
      <c r="AB104" s="126">
        <f t="shared" si="32"/>
        <v>6.4028169572715091E-7</v>
      </c>
      <c r="AC104" s="126">
        <f t="shared" si="28"/>
        <v>8.0416407156236449E-9</v>
      </c>
      <c r="AD104" s="126">
        <f t="shared" si="29"/>
        <v>6.7225275723068252E-9</v>
      </c>
      <c r="AE104" s="128"/>
    </row>
    <row r="105" spans="1:31" x14ac:dyDescent="0.35">
      <c r="K105">
        <v>100</v>
      </c>
      <c r="L105">
        <v>91</v>
      </c>
      <c r="M105">
        <f t="shared" si="21"/>
        <v>24</v>
      </c>
      <c r="N105">
        <f t="shared" si="23"/>
        <v>9100</v>
      </c>
      <c r="O105">
        <f t="shared" si="24"/>
        <v>8645</v>
      </c>
      <c r="P105">
        <f t="shared" si="25"/>
        <v>9555</v>
      </c>
      <c r="Q105">
        <f t="shared" si="30"/>
        <v>0</v>
      </c>
      <c r="R105" s="126">
        <f t="shared" si="26"/>
        <v>4.3533241859007031E-7</v>
      </c>
      <c r="S105" s="126">
        <f t="shared" si="27"/>
        <v>7.1043830749938601E-7</v>
      </c>
      <c r="AA105" s="126">
        <f t="shared" si="31"/>
        <v>4.3533241859007031E-7</v>
      </c>
      <c r="AB105" s="126">
        <f t="shared" si="32"/>
        <v>7.1043830749938601E-7</v>
      </c>
      <c r="AC105" s="126">
        <f t="shared" si="28"/>
        <v>8.0316098856682556E-9</v>
      </c>
      <c r="AD105" s="126">
        <f t="shared" si="29"/>
        <v>6.7155404823656239E-9</v>
      </c>
      <c r="AE105" s="128"/>
    </row>
    <row r="106" spans="1:31" x14ac:dyDescent="0.35">
      <c r="K106">
        <v>1000</v>
      </c>
      <c r="L106">
        <v>10</v>
      </c>
      <c r="M106">
        <f t="shared" si="21"/>
        <v>24</v>
      </c>
      <c r="N106">
        <f t="shared" si="23"/>
        <v>10000</v>
      </c>
      <c r="O106">
        <f t="shared" si="24"/>
        <v>9500</v>
      </c>
      <c r="P106">
        <f t="shared" si="25"/>
        <v>10500</v>
      </c>
      <c r="Q106">
        <f t="shared" si="30"/>
        <v>0</v>
      </c>
      <c r="R106" s="126">
        <f t="shared" si="26"/>
        <v>4.7838727181249776E-7</v>
      </c>
      <c r="S106" s="126">
        <f t="shared" si="27"/>
        <v>7.8059491890999542E-7</v>
      </c>
      <c r="AA106" s="126">
        <f t="shared" si="31"/>
        <v>4.7838727181249776E-7</v>
      </c>
      <c r="AB106" s="126">
        <f t="shared" si="32"/>
        <v>7.8059491890999542E-7</v>
      </c>
      <c r="AC106" s="126">
        <f t="shared" si="28"/>
        <v>8.0234198074870333E-9</v>
      </c>
      <c r="AD106" s="126">
        <f t="shared" si="29"/>
        <v>6.7098316299422502E-9</v>
      </c>
      <c r="AE106" s="128"/>
    </row>
    <row r="107" spans="1:31" x14ac:dyDescent="0.35">
      <c r="K107">
        <v>1000</v>
      </c>
      <c r="L107">
        <v>11</v>
      </c>
      <c r="M107">
        <f t="shared" si="21"/>
        <v>24</v>
      </c>
      <c r="N107">
        <f t="shared" si="23"/>
        <v>11000</v>
      </c>
      <c r="O107">
        <f t="shared" si="24"/>
        <v>10450</v>
      </c>
      <c r="P107">
        <f t="shared" si="25"/>
        <v>11550</v>
      </c>
      <c r="Q107">
        <f t="shared" si="30"/>
        <v>0</v>
      </c>
      <c r="R107" s="126">
        <f t="shared" si="26"/>
        <v>5.2622599732736532E-7</v>
      </c>
      <c r="S107" s="126">
        <f t="shared" si="27"/>
        <v>8.5854670894209963E-7</v>
      </c>
      <c r="AA107" s="126">
        <f t="shared" si="31"/>
        <v>5.2622599732736532E-7</v>
      </c>
      <c r="AB107" s="126">
        <f t="shared" si="32"/>
        <v>8.5854670894209963E-7</v>
      </c>
      <c r="AC107" s="126">
        <f t="shared" si="28"/>
        <v>8.0159194311759554E-9</v>
      </c>
      <c r="AD107" s="126">
        <f t="shared" si="29"/>
        <v>6.7046003917465642E-9</v>
      </c>
      <c r="AE107" s="128"/>
    </row>
    <row r="108" spans="1:31" x14ac:dyDescent="0.35">
      <c r="K108">
        <v>1000</v>
      </c>
      <c r="L108">
        <v>12</v>
      </c>
      <c r="M108">
        <f t="shared" si="21"/>
        <v>24</v>
      </c>
      <c r="N108">
        <f t="shared" si="23"/>
        <v>12000</v>
      </c>
      <c r="O108">
        <f t="shared" si="24"/>
        <v>11400</v>
      </c>
      <c r="P108">
        <f t="shared" si="25"/>
        <v>12600</v>
      </c>
      <c r="Q108">
        <f t="shared" si="30"/>
        <v>0</v>
      </c>
      <c r="R108" s="126">
        <f t="shared" si="26"/>
        <v>5.7406472253925428E-7</v>
      </c>
      <c r="S108" s="126">
        <f t="shared" si="27"/>
        <v>9.3649849852775288E-7</v>
      </c>
      <c r="AA108" s="126">
        <f t="shared" si="31"/>
        <v>5.7406472253925428E-7</v>
      </c>
      <c r="AB108" s="126">
        <f t="shared" si="32"/>
        <v>9.3649849852775288E-7</v>
      </c>
      <c r="AC108" s="126">
        <f t="shared" si="28"/>
        <v>8.0096894526809268E-9</v>
      </c>
      <c r="AD108" s="126">
        <f t="shared" si="29"/>
        <v>6.7002529175281408E-9</v>
      </c>
      <c r="AE108" s="128"/>
    </row>
    <row r="109" spans="1:31" x14ac:dyDescent="0.35">
      <c r="K109">
        <v>1000</v>
      </c>
      <c r="L109">
        <v>13</v>
      </c>
      <c r="M109">
        <f t="shared" si="21"/>
        <v>24</v>
      </c>
      <c r="N109">
        <f t="shared" si="23"/>
        <v>13000</v>
      </c>
      <c r="O109">
        <f t="shared" si="24"/>
        <v>12350</v>
      </c>
      <c r="P109">
        <f t="shared" si="25"/>
        <v>13650</v>
      </c>
      <c r="Q109">
        <f t="shared" si="30"/>
        <v>0</v>
      </c>
      <c r="R109" s="126">
        <f t="shared" si="26"/>
        <v>6.2190344744816454E-7</v>
      </c>
      <c r="S109" s="126">
        <f t="shared" si="27"/>
        <v>1.014450287666955E-6</v>
      </c>
      <c r="AA109" s="126">
        <f t="shared" si="31"/>
        <v>6.2190344744816454E-7</v>
      </c>
      <c r="AB109" s="126">
        <f t="shared" si="32"/>
        <v>1.014450287666955E-6</v>
      </c>
      <c r="AC109" s="126">
        <f t="shared" si="28"/>
        <v>8.0044323325943975E-9</v>
      </c>
      <c r="AD109" s="126">
        <f t="shared" si="29"/>
        <v>6.6965827097827662E-9</v>
      </c>
      <c r="AE109" s="128"/>
    </row>
    <row r="110" spans="1:31" x14ac:dyDescent="0.35">
      <c r="K110">
        <v>1000</v>
      </c>
      <c r="L110">
        <v>15</v>
      </c>
      <c r="M110">
        <f t="shared" si="21"/>
        <v>24</v>
      </c>
      <c r="N110">
        <f t="shared" si="23"/>
        <v>15000</v>
      </c>
      <c r="O110">
        <f t="shared" si="24"/>
        <v>14250</v>
      </c>
      <c r="P110">
        <f t="shared" si="25"/>
        <v>15750</v>
      </c>
      <c r="Q110">
        <f t="shared" si="30"/>
        <v>0</v>
      </c>
      <c r="R110" s="126">
        <f t="shared" si="26"/>
        <v>7.1758089635704955E-7</v>
      </c>
      <c r="S110" s="126">
        <f t="shared" si="27"/>
        <v>1.1703538646060053E-6</v>
      </c>
      <c r="AA110" s="126">
        <f t="shared" si="31"/>
        <v>7.1758089635704955E-7</v>
      </c>
      <c r="AB110" s="126">
        <f t="shared" si="32"/>
        <v>1.1703538646060053E-6</v>
      </c>
      <c r="AC110" s="126">
        <f t="shared" si="28"/>
        <v>7.9960483192382687E-9</v>
      </c>
      <c r="AD110" s="126">
        <f t="shared" si="29"/>
        <v>6.6907264018427183E-9</v>
      </c>
      <c r="AE110" s="128"/>
    </row>
    <row r="111" spans="1:31" x14ac:dyDescent="0.35">
      <c r="K111">
        <v>1000</v>
      </c>
      <c r="L111">
        <v>16</v>
      </c>
      <c r="M111">
        <f t="shared" si="21"/>
        <v>24</v>
      </c>
      <c r="N111">
        <f t="shared" si="23"/>
        <v>16000</v>
      </c>
      <c r="O111">
        <f t="shared" si="24"/>
        <v>15200</v>
      </c>
      <c r="P111">
        <f t="shared" si="25"/>
        <v>16800</v>
      </c>
      <c r="Q111">
        <f t="shared" si="30"/>
        <v>0</v>
      </c>
      <c r="R111" s="126">
        <f t="shared" si="26"/>
        <v>7.654196203570241E-7</v>
      </c>
      <c r="S111" s="126">
        <f t="shared" si="27"/>
        <v>1.2483056524058539E-6</v>
      </c>
      <c r="AA111" s="126">
        <f t="shared" si="31"/>
        <v>7.654196203570241E-7</v>
      </c>
      <c r="AB111" s="126">
        <f t="shared" si="32"/>
        <v>1.2483056524058539E-6</v>
      </c>
      <c r="AC111" s="126">
        <f t="shared" si="28"/>
        <v>7.9926519158473403E-9</v>
      </c>
      <c r="AD111" s="126">
        <f t="shared" si="29"/>
        <v>6.6883528989492077E-9</v>
      </c>
      <c r="AE111" s="128"/>
    </row>
    <row r="112" spans="1:31" x14ac:dyDescent="0.35">
      <c r="K112">
        <v>1000</v>
      </c>
      <c r="L112">
        <v>18</v>
      </c>
      <c r="M112">
        <f t="shared" si="21"/>
        <v>24</v>
      </c>
      <c r="N112">
        <f t="shared" si="23"/>
        <v>18000</v>
      </c>
      <c r="O112">
        <f t="shared" si="24"/>
        <v>17100</v>
      </c>
      <c r="P112">
        <f t="shared" si="25"/>
        <v>18900</v>
      </c>
      <c r="Q112">
        <f t="shared" si="30"/>
        <v>0</v>
      </c>
      <c r="R112" s="126">
        <f t="shared" si="26"/>
        <v>8.6109706744803771E-7</v>
      </c>
      <c r="S112" s="126">
        <f t="shared" si="27"/>
        <v>1.4042092266661976E-6</v>
      </c>
      <c r="AA112" s="126">
        <f t="shared" si="31"/>
        <v>8.6109706744803771E-7</v>
      </c>
      <c r="AB112" s="126">
        <f t="shared" si="32"/>
        <v>1.4042092266661976E-6</v>
      </c>
      <c r="AC112" s="126">
        <f t="shared" si="28"/>
        <v>7.9870035415067553E-9</v>
      </c>
      <c r="AD112" s="126">
        <f t="shared" si="29"/>
        <v>6.6844042644908481E-9</v>
      </c>
      <c r="AE112" s="128"/>
    </row>
    <row r="113" spans="11:31" x14ac:dyDescent="0.35">
      <c r="K113">
        <v>1000</v>
      </c>
      <c r="L113">
        <v>20</v>
      </c>
      <c r="M113">
        <f t="shared" si="21"/>
        <v>24</v>
      </c>
      <c r="N113">
        <f t="shared" si="23"/>
        <v>20000</v>
      </c>
      <c r="O113">
        <f t="shared" si="24"/>
        <v>19000</v>
      </c>
      <c r="P113">
        <f t="shared" si="25"/>
        <v>21000</v>
      </c>
      <c r="Q113">
        <f t="shared" si="30"/>
        <v>0</v>
      </c>
      <c r="R113" s="126">
        <f t="shared" si="26"/>
        <v>9.5677451332713712E-7</v>
      </c>
      <c r="S113" s="126">
        <f t="shared" si="27"/>
        <v>1.5601127991407367E-6</v>
      </c>
      <c r="AA113" s="126">
        <f t="shared" si="31"/>
        <v>9.5677451332713712E-7</v>
      </c>
      <c r="AB113" s="126">
        <f t="shared" si="32"/>
        <v>1.5601127991407367E-6</v>
      </c>
      <c r="AC113" s="126">
        <f t="shared" si="28"/>
        <v>7.9824958888589699E-9</v>
      </c>
      <c r="AD113" s="126">
        <f t="shared" si="29"/>
        <v>6.6812518298052204E-9</v>
      </c>
      <c r="AE113" s="128"/>
    </row>
    <row r="114" spans="11:31" x14ac:dyDescent="0.35">
      <c r="K114">
        <v>1000</v>
      </c>
      <c r="L114">
        <v>22</v>
      </c>
      <c r="M114">
        <f t="shared" si="21"/>
        <v>24</v>
      </c>
      <c r="N114">
        <f t="shared" si="23"/>
        <v>22000</v>
      </c>
      <c r="O114">
        <f t="shared" si="24"/>
        <v>20900</v>
      </c>
      <c r="P114">
        <f t="shared" si="25"/>
        <v>23100</v>
      </c>
      <c r="Q114">
        <f t="shared" si="30"/>
        <v>0</v>
      </c>
      <c r="R114" s="126">
        <f t="shared" si="26"/>
        <v>1.052451957994322E-6</v>
      </c>
      <c r="S114" s="126">
        <f t="shared" si="27"/>
        <v>1.7160163698294716E-6</v>
      </c>
      <c r="AA114" s="126">
        <f t="shared" si="31"/>
        <v>1.052451957994322E-6</v>
      </c>
      <c r="AB114" s="126">
        <f t="shared" si="32"/>
        <v>1.7160163698294716E-6</v>
      </c>
      <c r="AC114" s="126">
        <f t="shared" si="28"/>
        <v>7.9788150987179284E-9</v>
      </c>
      <c r="AD114" s="126">
        <f t="shared" si="29"/>
        <v>6.6786768376107785E-9</v>
      </c>
      <c r="AE114" s="128"/>
    </row>
    <row r="115" spans="11:31" x14ac:dyDescent="0.35">
      <c r="K115">
        <v>1000</v>
      </c>
      <c r="L115">
        <v>24</v>
      </c>
      <c r="M115">
        <f t="shared" si="21"/>
        <v>24</v>
      </c>
      <c r="N115">
        <f t="shared" si="23"/>
        <v>24000</v>
      </c>
      <c r="O115">
        <f t="shared" si="24"/>
        <v>22800</v>
      </c>
      <c r="P115">
        <f t="shared" si="25"/>
        <v>25200</v>
      </c>
      <c r="Q115">
        <f t="shared" si="30"/>
        <v>0</v>
      </c>
      <c r="R115" s="126">
        <f t="shared" si="26"/>
        <v>1.1481294014495929E-6</v>
      </c>
      <c r="S115" s="126">
        <f t="shared" si="27"/>
        <v>1.8719199387324022E-6</v>
      </c>
      <c r="AA115" s="126">
        <f t="shared" si="31"/>
        <v>1.1481294014495929E-6</v>
      </c>
      <c r="AB115" s="126">
        <f t="shared" si="32"/>
        <v>1.8719199387324022E-6</v>
      </c>
      <c r="AC115" s="126">
        <f t="shared" si="28"/>
        <v>7.975752776961715E-9</v>
      </c>
      <c r="AD115" s="126">
        <f t="shared" si="29"/>
        <v>6.6765339442257345E-9</v>
      </c>
      <c r="AE115" s="128"/>
    </row>
    <row r="116" spans="11:31" x14ac:dyDescent="0.35">
      <c r="K116">
        <v>1000</v>
      </c>
      <c r="L116">
        <v>27</v>
      </c>
      <c r="M116">
        <f t="shared" si="21"/>
        <v>24</v>
      </c>
      <c r="N116">
        <f t="shared" si="23"/>
        <v>27000</v>
      </c>
      <c r="O116">
        <f t="shared" si="24"/>
        <v>25650</v>
      </c>
      <c r="P116">
        <f t="shared" si="25"/>
        <v>28350</v>
      </c>
      <c r="Q116">
        <f t="shared" si="30"/>
        <v>0</v>
      </c>
      <c r="R116" s="126">
        <f t="shared" si="26"/>
        <v>1.2916455643601598E-6</v>
      </c>
      <c r="S116" s="126">
        <f t="shared" si="27"/>
        <v>2.1057752887384145E-6</v>
      </c>
      <c r="AA116" s="126">
        <f t="shared" si="31"/>
        <v>1.2916455643601598E-6</v>
      </c>
      <c r="AB116" s="126">
        <f t="shared" si="32"/>
        <v>2.1057752887384145E-6</v>
      </c>
      <c r="AC116" s="126">
        <f t="shared" si="28"/>
        <v>7.9720161070242576E-9</v>
      </c>
      <c r="AD116" s="126">
        <f t="shared" si="29"/>
        <v>6.6739184693258239E-9</v>
      </c>
      <c r="AE116" s="128"/>
    </row>
    <row r="117" spans="11:31" x14ac:dyDescent="0.35">
      <c r="K117">
        <v>1000</v>
      </c>
      <c r="L117">
        <v>30</v>
      </c>
      <c r="M117">
        <f t="shared" si="21"/>
        <v>24</v>
      </c>
      <c r="N117">
        <f t="shared" si="23"/>
        <v>30000</v>
      </c>
      <c r="O117">
        <f t="shared" si="24"/>
        <v>28500</v>
      </c>
      <c r="P117">
        <f t="shared" si="25"/>
        <v>31500</v>
      </c>
      <c r="Q117">
        <f t="shared" si="30"/>
        <v>0</v>
      </c>
      <c r="R117" s="126">
        <f t="shared" si="26"/>
        <v>1.4351617245439204E-6</v>
      </c>
      <c r="S117" s="126">
        <f t="shared" si="27"/>
        <v>2.3396306347263676E-6</v>
      </c>
      <c r="AA117" s="126">
        <f t="shared" si="31"/>
        <v>1.4351617245439204E-6</v>
      </c>
      <c r="AB117" s="126">
        <f t="shared" si="32"/>
        <v>2.3396306347263676E-6</v>
      </c>
      <c r="AC117" s="126">
        <f t="shared" si="28"/>
        <v>7.9690316491317311E-9</v>
      </c>
      <c r="AD117" s="126">
        <f t="shared" si="29"/>
        <v>6.6718289507422972E-9</v>
      </c>
      <c r="AE117" s="128"/>
    </row>
    <row r="118" spans="11:31" x14ac:dyDescent="0.35">
      <c r="K118">
        <v>1000</v>
      </c>
      <c r="L118">
        <v>33</v>
      </c>
      <c r="M118">
        <f t="shared" si="21"/>
        <v>24</v>
      </c>
      <c r="N118">
        <f t="shared" si="23"/>
        <v>33000</v>
      </c>
      <c r="O118">
        <f t="shared" si="24"/>
        <v>31350</v>
      </c>
      <c r="P118">
        <f t="shared" si="25"/>
        <v>34650</v>
      </c>
      <c r="Q118">
        <f t="shared" si="30"/>
        <v>0</v>
      </c>
      <c r="R118" s="126">
        <f t="shared" si="26"/>
        <v>1.5786778820008738E-6</v>
      </c>
      <c r="S118" s="126">
        <f t="shared" si="27"/>
        <v>2.5734859766962598E-6</v>
      </c>
      <c r="AA118" s="126">
        <f t="shared" si="31"/>
        <v>1.5786778820008738E-6</v>
      </c>
      <c r="AB118" s="126">
        <f t="shared" si="32"/>
        <v>2.5734859766962598E-6</v>
      </c>
      <c r="AC118" s="126">
        <f t="shared" si="28"/>
        <v>7.9665930408973948E-9</v>
      </c>
      <c r="AD118" s="126">
        <f t="shared" si="29"/>
        <v>6.670121234355649E-9</v>
      </c>
      <c r="AE118" s="128"/>
    </row>
    <row r="119" spans="11:31" x14ac:dyDescent="0.35">
      <c r="K119">
        <v>1000</v>
      </c>
      <c r="L119">
        <v>36</v>
      </c>
      <c r="M119">
        <f t="shared" si="21"/>
        <v>24</v>
      </c>
      <c r="N119">
        <f t="shared" si="23"/>
        <v>36000</v>
      </c>
      <c r="O119">
        <f t="shared" si="24"/>
        <v>34200</v>
      </c>
      <c r="P119">
        <f t="shared" si="25"/>
        <v>37800</v>
      </c>
      <c r="Q119">
        <f t="shared" si="30"/>
        <v>0</v>
      </c>
      <c r="R119" s="126">
        <f t="shared" si="26"/>
        <v>1.7221940367310205E-6</v>
      </c>
      <c r="S119" s="126">
        <f t="shared" si="27"/>
        <v>2.8073413146480932E-6</v>
      </c>
      <c r="AA119" s="126">
        <f t="shared" si="31"/>
        <v>1.7221940367310205E-6</v>
      </c>
      <c r="AB119" s="126">
        <f t="shared" si="32"/>
        <v>2.8073413146480932E-6</v>
      </c>
      <c r="AC119" s="126">
        <f t="shared" si="28"/>
        <v>7.9645630794186001E-9</v>
      </c>
      <c r="AD119" s="126">
        <f t="shared" si="29"/>
        <v>6.6686994353994079E-9</v>
      </c>
      <c r="AE119" s="128"/>
    </row>
    <row r="120" spans="11:31" x14ac:dyDescent="0.35">
      <c r="K120">
        <v>1000</v>
      </c>
      <c r="L120">
        <v>39</v>
      </c>
      <c r="M120">
        <f t="shared" si="21"/>
        <v>24</v>
      </c>
      <c r="N120">
        <f t="shared" si="23"/>
        <v>39000</v>
      </c>
      <c r="O120">
        <f t="shared" si="24"/>
        <v>37050</v>
      </c>
      <c r="P120">
        <f t="shared" si="25"/>
        <v>40950</v>
      </c>
      <c r="Q120">
        <f t="shared" si="30"/>
        <v>0</v>
      </c>
      <c r="R120" s="126">
        <f t="shared" si="26"/>
        <v>1.8657101887343607E-6</v>
      </c>
      <c r="S120" s="126">
        <f t="shared" si="27"/>
        <v>3.0411966485818675E-6</v>
      </c>
      <c r="AA120" s="126">
        <f t="shared" si="31"/>
        <v>1.8657101887343607E-6</v>
      </c>
      <c r="AB120" s="126">
        <f t="shared" si="32"/>
        <v>3.0411966485818675E-6</v>
      </c>
      <c r="AC120" s="126">
        <f t="shared" si="28"/>
        <v>7.9628469890063403E-9</v>
      </c>
      <c r="AD120" s="126">
        <f t="shared" si="29"/>
        <v>6.6674972957440109E-9</v>
      </c>
      <c r="AE120" s="128"/>
    </row>
    <row r="121" spans="11:31" x14ac:dyDescent="0.35">
      <c r="K121">
        <v>1000</v>
      </c>
      <c r="L121">
        <v>43</v>
      </c>
      <c r="M121">
        <f t="shared" si="21"/>
        <v>24</v>
      </c>
      <c r="N121">
        <f t="shared" si="23"/>
        <v>43000</v>
      </c>
      <c r="O121">
        <f t="shared" si="24"/>
        <v>40850</v>
      </c>
      <c r="P121">
        <f t="shared" si="25"/>
        <v>45150</v>
      </c>
      <c r="Q121">
        <f t="shared" si="30"/>
        <v>0</v>
      </c>
      <c r="R121" s="126">
        <f t="shared" si="26"/>
        <v>2.0570650538304488E-6</v>
      </c>
      <c r="S121" s="126">
        <f t="shared" si="27"/>
        <v>3.3530037542432511E-6</v>
      </c>
      <c r="AA121" s="126">
        <f t="shared" si="31"/>
        <v>2.0570650538304488E-6</v>
      </c>
      <c r="AB121" s="126">
        <f t="shared" si="32"/>
        <v>3.3530037542432511E-6</v>
      </c>
      <c r="AC121" s="126">
        <f t="shared" si="28"/>
        <v>7.9609330509812913E-9</v>
      </c>
      <c r="AD121" s="126">
        <f t="shared" si="29"/>
        <v>6.6661563689443726E-9</v>
      </c>
      <c r="AE121" s="128"/>
    </row>
    <row r="122" spans="11:31" x14ac:dyDescent="0.35">
      <c r="K122">
        <v>1000</v>
      </c>
      <c r="L122">
        <v>47</v>
      </c>
      <c r="M122">
        <f t="shared" si="21"/>
        <v>24</v>
      </c>
      <c r="N122">
        <f t="shared" si="23"/>
        <v>47000</v>
      </c>
      <c r="O122">
        <f t="shared" si="24"/>
        <v>44650</v>
      </c>
      <c r="P122">
        <f t="shared" si="25"/>
        <v>49350</v>
      </c>
      <c r="Q122">
        <f t="shared" si="30"/>
        <v>0</v>
      </c>
      <c r="R122" s="126">
        <f t="shared" si="26"/>
        <v>2.2484199140788808E-6</v>
      </c>
      <c r="S122" s="126">
        <f t="shared" si="27"/>
        <v>3.6648108527614191E-6</v>
      </c>
      <c r="AA122" s="126">
        <f t="shared" si="31"/>
        <v>2.2484199140788808E-6</v>
      </c>
      <c r="AB122" s="126">
        <f t="shared" si="32"/>
        <v>3.6648108527614191E-6</v>
      </c>
      <c r="AC122" s="126">
        <f t="shared" si="28"/>
        <v>7.9593462483495355E-9</v>
      </c>
      <c r="AD122" s="126">
        <f t="shared" si="29"/>
        <v>6.6650444826129487E-9</v>
      </c>
      <c r="AE122" s="128"/>
    </row>
    <row r="123" spans="11:31" x14ac:dyDescent="0.35">
      <c r="K123">
        <v>1000</v>
      </c>
      <c r="L123">
        <v>51</v>
      </c>
      <c r="M123">
        <f t="shared" si="21"/>
        <v>24</v>
      </c>
      <c r="N123">
        <f t="shared" si="23"/>
        <v>51000</v>
      </c>
      <c r="O123">
        <f t="shared" si="24"/>
        <v>48450</v>
      </c>
      <c r="P123">
        <f t="shared" si="25"/>
        <v>53550</v>
      </c>
      <c r="Q123">
        <f t="shared" si="30"/>
        <v>0</v>
      </c>
      <c r="R123" s="126">
        <f t="shared" si="26"/>
        <v>2.4397747694796576E-6</v>
      </c>
      <c r="S123" s="126">
        <f t="shared" si="27"/>
        <v>3.9766179441363715E-6</v>
      </c>
      <c r="AA123" s="126">
        <f t="shared" si="31"/>
        <v>2.4397747694796576E-6</v>
      </c>
      <c r="AB123" s="126">
        <f t="shared" si="32"/>
        <v>3.9766179441363715E-6</v>
      </c>
      <c r="AC123" s="126">
        <f t="shared" si="28"/>
        <v>7.9580093127944398E-9</v>
      </c>
      <c r="AD123" s="126">
        <f t="shared" si="29"/>
        <v>6.6641075715969526E-9</v>
      </c>
      <c r="AE123" s="128"/>
    </row>
    <row r="124" spans="11:31" x14ac:dyDescent="0.35">
      <c r="K124">
        <v>1000</v>
      </c>
      <c r="L124">
        <v>56</v>
      </c>
      <c r="M124">
        <f t="shared" si="21"/>
        <v>24</v>
      </c>
      <c r="N124">
        <f t="shared" si="23"/>
        <v>56000</v>
      </c>
      <c r="O124">
        <f t="shared" si="24"/>
        <v>53200</v>
      </c>
      <c r="P124">
        <f t="shared" si="25"/>
        <v>58800</v>
      </c>
      <c r="Q124">
        <f t="shared" si="30"/>
        <v>0</v>
      </c>
      <c r="R124" s="126">
        <f t="shared" si="26"/>
        <v>2.6789683319136128E-6</v>
      </c>
      <c r="S124" s="126">
        <f t="shared" si="27"/>
        <v>4.3663767983099126E-6</v>
      </c>
      <c r="AA124" s="126">
        <f t="shared" si="31"/>
        <v>2.6789683319136128E-6</v>
      </c>
      <c r="AB124" s="126">
        <f t="shared" si="32"/>
        <v>4.3663767983099126E-6</v>
      </c>
      <c r="AC124" s="126">
        <f t="shared" si="28"/>
        <v>7.9566076645380959E-9</v>
      </c>
      <c r="AD124" s="126">
        <f t="shared" si="29"/>
        <v>6.6631252037137713E-9</v>
      </c>
      <c r="AE124" s="128"/>
    </row>
    <row r="125" spans="11:31" x14ac:dyDescent="0.35">
      <c r="K125">
        <v>1000</v>
      </c>
      <c r="L125">
        <v>62</v>
      </c>
      <c r="M125">
        <f t="shared" si="21"/>
        <v>24</v>
      </c>
      <c r="N125">
        <f t="shared" si="23"/>
        <v>62000</v>
      </c>
      <c r="O125">
        <f t="shared" si="24"/>
        <v>58900</v>
      </c>
      <c r="P125">
        <f t="shared" si="25"/>
        <v>65100</v>
      </c>
      <c r="Q125">
        <f t="shared" si="30"/>
        <v>0</v>
      </c>
      <c r="R125" s="126">
        <f t="shared" si="26"/>
        <v>2.9660005968360695E-6</v>
      </c>
      <c r="S125" s="126">
        <f t="shared" si="27"/>
        <v>4.8340874085852812E-6</v>
      </c>
      <c r="AA125" s="126">
        <f t="shared" si="31"/>
        <v>2.9660005968360695E-6</v>
      </c>
      <c r="AB125" s="126">
        <f t="shared" si="32"/>
        <v>4.8340874085852812E-6</v>
      </c>
      <c r="AC125" s="126">
        <f t="shared" si="28"/>
        <v>7.9552250458735703E-9</v>
      </c>
      <c r="AD125" s="126">
        <f t="shared" si="29"/>
        <v>6.6621560657646882E-9</v>
      </c>
      <c r="AE125" s="128"/>
    </row>
    <row r="126" spans="11:31" x14ac:dyDescent="0.35">
      <c r="K126">
        <v>1000</v>
      </c>
      <c r="L126">
        <v>68</v>
      </c>
      <c r="M126">
        <f t="shared" si="21"/>
        <v>24</v>
      </c>
      <c r="N126">
        <f t="shared" si="23"/>
        <v>68000</v>
      </c>
      <c r="O126">
        <f t="shared" si="24"/>
        <v>64600</v>
      </c>
      <c r="P126">
        <f t="shared" si="25"/>
        <v>71400</v>
      </c>
      <c r="Q126">
        <f t="shared" si="30"/>
        <v>0</v>
      </c>
      <c r="R126" s="126">
        <f t="shared" si="26"/>
        <v>3.2530328508513028E-6</v>
      </c>
      <c r="S126" s="126">
        <f t="shared" si="27"/>
        <v>5.3017980027884157E-6</v>
      </c>
      <c r="AA126" s="126">
        <f t="shared" si="31"/>
        <v>3.2530328508513028E-6</v>
      </c>
      <c r="AB126" s="126">
        <f t="shared" si="32"/>
        <v>5.3017980027884157E-6</v>
      </c>
      <c r="AC126" s="126">
        <f t="shared" si="28"/>
        <v>7.9540871224144035E-9</v>
      </c>
      <c r="AD126" s="126">
        <f t="shared" si="29"/>
        <v>6.6613583654076006E-9</v>
      </c>
      <c r="AE126" s="128"/>
    </row>
    <row r="127" spans="11:31" x14ac:dyDescent="0.35">
      <c r="K127">
        <v>1000</v>
      </c>
      <c r="L127">
        <v>75</v>
      </c>
      <c r="M127">
        <f t="shared" si="21"/>
        <v>24</v>
      </c>
      <c r="N127">
        <f t="shared" si="23"/>
        <v>75000</v>
      </c>
      <c r="O127">
        <f t="shared" si="24"/>
        <v>71250</v>
      </c>
      <c r="P127">
        <f t="shared" si="25"/>
        <v>78750</v>
      </c>
      <c r="Q127">
        <f t="shared" si="30"/>
        <v>0</v>
      </c>
      <c r="R127" s="126">
        <f t="shared" si="26"/>
        <v>3.5879038000835575E-6</v>
      </c>
      <c r="S127" s="126">
        <f t="shared" si="27"/>
        <v>5.847460342378555E-6</v>
      </c>
      <c r="AA127" s="126">
        <f t="shared" si="31"/>
        <v>3.5879038000835575E-6</v>
      </c>
      <c r="AB127" s="126">
        <f t="shared" si="32"/>
        <v>5.847460342378555E-6</v>
      </c>
      <c r="AC127" s="126">
        <f t="shared" si="28"/>
        <v>7.9529902602278545E-9</v>
      </c>
      <c r="AD127" s="126">
        <f t="shared" si="29"/>
        <v>6.660589381162246E-9</v>
      </c>
      <c r="AE127" s="128"/>
    </row>
    <row r="128" spans="11:31" x14ac:dyDescent="0.35">
      <c r="K128">
        <v>1000</v>
      </c>
      <c r="L128">
        <v>82</v>
      </c>
      <c r="M128">
        <f t="shared" si="21"/>
        <v>24</v>
      </c>
      <c r="N128">
        <f t="shared" si="23"/>
        <v>82000</v>
      </c>
      <c r="O128">
        <f t="shared" si="24"/>
        <v>77900</v>
      </c>
      <c r="P128">
        <f t="shared" si="25"/>
        <v>86100</v>
      </c>
      <c r="Q128">
        <f t="shared" si="30"/>
        <v>0</v>
      </c>
      <c r="R128" s="126">
        <f t="shared" si="26"/>
        <v>3.9227747344698703E-6</v>
      </c>
      <c r="S128" s="126">
        <f t="shared" si="27"/>
        <v>6.3931226600926013E-6</v>
      </c>
      <c r="AA128" s="126">
        <f t="shared" si="31"/>
        <v>3.9227747344698703E-6</v>
      </c>
      <c r="AB128" s="126">
        <f t="shared" si="32"/>
        <v>6.3931226600926013E-6</v>
      </c>
      <c r="AC128" s="126">
        <f t="shared" si="28"/>
        <v>7.9520811151628874E-9</v>
      </c>
      <c r="AD128" s="126">
        <f t="shared" si="29"/>
        <v>6.6599519500294817E-9</v>
      </c>
      <c r="AE128" s="128"/>
    </row>
    <row r="129" spans="11:31" x14ac:dyDescent="0.35">
      <c r="K129">
        <v>1000</v>
      </c>
      <c r="L129">
        <v>91</v>
      </c>
      <c r="M129">
        <f t="shared" si="21"/>
        <v>24</v>
      </c>
      <c r="N129">
        <f t="shared" si="23"/>
        <v>91000</v>
      </c>
      <c r="O129">
        <f t="shared" si="24"/>
        <v>86450</v>
      </c>
      <c r="P129">
        <f t="shared" si="25"/>
        <v>95550</v>
      </c>
      <c r="Q129">
        <f t="shared" si="30"/>
        <v>0</v>
      </c>
      <c r="R129" s="126">
        <f t="shared" si="26"/>
        <v>4.3533230568664005E-6</v>
      </c>
      <c r="S129" s="126">
        <f t="shared" si="27"/>
        <v>7.0946884650090531E-6</v>
      </c>
      <c r="AA129" s="126">
        <f t="shared" si="31"/>
        <v>4.3533230568664005E-6</v>
      </c>
      <c r="AB129" s="126">
        <f t="shared" si="32"/>
        <v>7.0946884650090531E-6</v>
      </c>
      <c r="AC129" s="126">
        <f t="shared" si="28"/>
        <v>7.9511181784204435E-9</v>
      </c>
      <c r="AD129" s="126">
        <f t="shared" si="29"/>
        <v>6.6592767534183611E-9</v>
      </c>
      <c r="AE129" s="128"/>
    </row>
    <row r="130" spans="11:31" x14ac:dyDescent="0.35">
      <c r="M130">
        <f t="shared" si="21"/>
        <v>24</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697" priority="38" stopIfTrue="1">
      <formula>AND($B$11="need resistor",$C$11&gt;0)</formula>
    </cfRule>
    <cfRule type="containsText" dxfId="696" priority="42" operator="containsText" text="need resistor">
      <formula>NOT(ISERROR(SEARCH("need resistor",B11)))</formula>
    </cfRule>
  </conditionalFormatting>
  <conditionalFormatting sqref="B11:B12">
    <cfRule type="containsText" dxfId="695" priority="40" operator="containsText" text="no need">
      <formula>NOT(ISERROR(SEARCH("no need",B11)))</formula>
    </cfRule>
  </conditionalFormatting>
  <conditionalFormatting sqref="B12">
    <cfRule type="expression" dxfId="694" priority="37" stopIfTrue="1">
      <formula>AND($B$12="need resistor",$C$12&gt;0)</formula>
    </cfRule>
    <cfRule type="containsText" dxfId="693" priority="39" operator="containsText" text="need resistor">
      <formula>NOT(ISERROR(SEARCH("need resistor",B12)))</formula>
    </cfRule>
  </conditionalFormatting>
  <conditionalFormatting sqref="B42">
    <cfRule type="expression" dxfId="692" priority="65">
      <formula>AND($B$42&gt;$S$2,$B$2=1)</formula>
    </cfRule>
    <cfRule type="expression" dxfId="691" priority="64">
      <formula>AND($B$42&lt;$R$2,$B$2=0)</formula>
    </cfRule>
    <cfRule type="expression" dxfId="690" priority="63" stopIfTrue="1">
      <formula>AND($B$42&lt;=$S$2,$B$2=1)</formula>
    </cfRule>
    <cfRule type="expression" dxfId="689" priority="62" stopIfTrue="1">
      <formula>AND($B$42&gt;=$R$2,$B$2=0)</formula>
    </cfRule>
  </conditionalFormatting>
  <conditionalFormatting sqref="B62">
    <cfRule type="expression" dxfId="688" priority="73">
      <formula>AND($B$62&gt;$S$2,$B$2=1)</formula>
    </cfRule>
    <cfRule type="expression" dxfId="687" priority="72">
      <formula>AND($B$62&lt;$R$2,$B$2=0)</formula>
    </cfRule>
    <cfRule type="expression" dxfId="686" priority="71" stopIfTrue="1">
      <formula>AND($B$62&lt;=$S$2,$B$2=1)</formula>
    </cfRule>
    <cfRule type="expression" dxfId="685" priority="70" stopIfTrue="1">
      <formula>AND($B$62&gt;=$R$2,$B$2=0)</formula>
    </cfRule>
  </conditionalFormatting>
  <conditionalFormatting sqref="B84">
    <cfRule type="cellIs" dxfId="684" priority="51" operator="greaterThan">
      <formula>$S$3</formula>
    </cfRule>
    <cfRule type="cellIs" dxfId="683" priority="50" operator="lessThanOrEqual">
      <formula>$S$3</formula>
    </cfRule>
  </conditionalFormatting>
  <conditionalFormatting sqref="B102">
    <cfRule type="cellIs" dxfId="682" priority="54" operator="lessThanOrEqual">
      <formula>$S$2</formula>
    </cfRule>
    <cfRule type="cellIs" dxfId="681" priority="55" operator="greaterThan">
      <formula>$S$2</formula>
    </cfRule>
  </conditionalFormatting>
  <conditionalFormatting sqref="B18:C18">
    <cfRule type="expression" dxfId="680" priority="59">
      <formula>OR(AND($B$2=0,$C$18&lt;$R$2),AND($B$2=1,$C$18&gt;$S$2))</formula>
    </cfRule>
    <cfRule type="expression" dxfId="679" priority="58" stopIfTrue="1">
      <formula>OR(AND($B$2=0,$C$18&gt;=$R$2),AND($B$2=1,$C$18&lt;=$S$2))</formula>
    </cfRule>
  </conditionalFormatting>
  <conditionalFormatting sqref="B19:C19">
    <cfRule type="expression" dxfId="678" priority="61">
      <formula>OR(AND($B$3=0,$C$19&lt;$R$3),AND($B$3=1,$C$19&gt;$S$3))</formula>
    </cfRule>
    <cfRule type="expression" dxfId="677" priority="60" stopIfTrue="1">
      <formula>OR(AND($B$3=0,$C$19&gt;=$R$3),AND($B$3=1,$C$19&lt;=$S$3))</formula>
    </cfRule>
  </conditionalFormatting>
  <conditionalFormatting sqref="C14">
    <cfRule type="cellIs" dxfId="676" priority="32" operator="equal">
      <formula>"no solution"</formula>
    </cfRule>
  </conditionalFormatting>
  <conditionalFormatting sqref="C44">
    <cfRule type="expression" dxfId="675" priority="69">
      <formula>AND($B$44&gt;$S$3,$B$3=1)</formula>
    </cfRule>
    <cfRule type="expression" dxfId="674" priority="68">
      <formula>AND($B$44&lt;$R$3,$B$3=0)</formula>
    </cfRule>
    <cfRule type="expression" dxfId="673" priority="67" stopIfTrue="1">
      <formula>AND($C$44&lt;=$S$3,$B$3=1)</formula>
    </cfRule>
    <cfRule type="expression" dxfId="672" priority="66" stopIfTrue="1">
      <formula>AND($C$44&gt;=$R$3,$B$3=0)</formula>
    </cfRule>
  </conditionalFormatting>
  <conditionalFormatting sqref="C64">
    <cfRule type="expression" dxfId="671" priority="75" stopIfTrue="1">
      <formula>AND($C$64&lt;=$S$3,$B$3=1)</formula>
    </cfRule>
    <cfRule type="expression" dxfId="670" priority="76">
      <formula>AND($B$64&lt;$R$3,$B$3=0)</formula>
    </cfRule>
    <cfRule type="expression" dxfId="669" priority="77">
      <formula>AND($B$64&gt;$S$3,$B$3=1)</formula>
    </cfRule>
    <cfRule type="expression" dxfId="668" priority="74" stopIfTrue="1">
      <formula>AND($C$64&gt;=$R$3,$B$3=0)</formula>
    </cfRule>
  </conditionalFormatting>
  <conditionalFormatting sqref="C102:D102">
    <cfRule type="cellIs" dxfId="667" priority="34" operator="lessThan">
      <formula>$R$2</formula>
    </cfRule>
    <cfRule type="cellIs" dxfId="666" priority="33" operator="greaterThanOrEqual">
      <formula>$R$2</formula>
    </cfRule>
  </conditionalFormatting>
  <conditionalFormatting sqref="C84:H84">
    <cfRule type="cellIs" dxfId="665" priority="19" operator="lessThan">
      <formula>$R$3</formula>
    </cfRule>
    <cfRule type="cellIs" dxfId="664" priority="18" operator="greaterThanOrEqual">
      <formula>$R$3</formula>
    </cfRule>
  </conditionalFormatting>
  <conditionalFormatting sqref="D11">
    <cfRule type="containsText" dxfId="663" priority="45" stopIfTrue="1" operator="containsText" text="please remove resistor">
      <formula>NOT(ISERROR(SEARCH("please remove resistor",D11)))</formula>
    </cfRule>
    <cfRule type="cellIs" dxfId="662" priority="47" operator="greaterThan">
      <formula>$S$2</formula>
    </cfRule>
    <cfRule type="cellIs" dxfId="661" priority="46" operator="lessThan">
      <formula>$S$2</formula>
    </cfRule>
  </conditionalFormatting>
  <conditionalFormatting sqref="D11:D12">
    <cfRule type="cellIs" priority="30" stopIfTrue="1" operator="equal">
      <formula>""</formula>
    </cfRule>
  </conditionalFormatting>
  <conditionalFormatting sqref="D12 E18:E19">
    <cfRule type="cellIs" dxfId="660" priority="44" operator="lessThan">
      <formula>$R$2-$N$7</formula>
    </cfRule>
    <cfRule type="cellIs" dxfId="659" priority="43" operator="greaterThanOrEqual">
      <formula>$R$2-$N$7</formula>
    </cfRule>
  </conditionalFormatting>
  <conditionalFormatting sqref="D18:D19">
    <cfRule type="cellIs" dxfId="658" priority="48" operator="lessThanOrEqual">
      <formula>$S$2+$N$7</formula>
    </cfRule>
    <cfRule type="cellIs" dxfId="657" priority="49" operator="greaterThan">
      <formula>$S$2+$N$7</formula>
    </cfRule>
  </conditionalFormatting>
  <conditionalFormatting sqref="E102">
    <cfRule type="cellIs" dxfId="656" priority="17" operator="lessThan">
      <formula>$R$3</formula>
    </cfRule>
    <cfRule type="cellIs" dxfId="655" priority="16" operator="greaterThanOrEqual">
      <formula>$R$3</formula>
    </cfRule>
  </conditionalFormatting>
  <conditionalFormatting sqref="F21">
    <cfRule type="containsText" dxfId="654" priority="15" operator="containsText" text="failed">
      <formula>NOT(ISERROR(SEARCH("failed",F21)))</formula>
    </cfRule>
  </conditionalFormatting>
  <conditionalFormatting sqref="F22">
    <cfRule type="containsText" dxfId="653" priority="14" operator="containsText" text="fail">
      <formula>NOT(ISERROR(SEARCH("fail",F22)))</formula>
    </cfRule>
  </conditionalFormatting>
  <conditionalFormatting sqref="F23">
    <cfRule type="containsText" dxfId="652" priority="13" operator="containsText" text="failed">
      <formula>NOT(ISERROR(SEARCH("failed",F23)))</formula>
    </cfRule>
  </conditionalFormatting>
  <conditionalFormatting sqref="F102:H102">
    <cfRule type="cellIs" dxfId="651" priority="26" operator="greaterThanOrEqual">
      <formula>$R$2</formula>
    </cfRule>
    <cfRule type="cellIs" dxfId="650" priority="27" operator="lessThan">
      <formula>$R$2</formula>
    </cfRule>
  </conditionalFormatting>
  <conditionalFormatting sqref="G18">
    <cfRule type="cellIs" dxfId="649" priority="3" operator="greaterThan">
      <formula>$V$2</formula>
    </cfRule>
    <cfRule type="cellIs" dxfId="648" priority="4" operator="lessThan">
      <formula>$V$2</formula>
    </cfRule>
  </conditionalFormatting>
  <conditionalFormatting sqref="G19">
    <cfRule type="cellIs" dxfId="647" priority="6" operator="lessThan">
      <formula>$V$3</formula>
    </cfRule>
    <cfRule type="cellIs" dxfId="646" priority="5" operator="greaterThan">
      <formula>$V$3</formula>
    </cfRule>
  </conditionalFormatting>
  <conditionalFormatting sqref="I18:I19">
    <cfRule type="cellIs" dxfId="645" priority="2" operator="lessThan">
      <formula>$W$2</formula>
    </cfRule>
    <cfRule type="cellIs" dxfId="644" priority="1" operator="greaterThan">
      <formula>$W$2</formula>
    </cfRule>
  </conditionalFormatting>
  <conditionalFormatting sqref="K12">
    <cfRule type="expression" dxfId="643" priority="78">
      <formula>SEARCH("reduce",$F$23)</formula>
    </cfRule>
    <cfRule type="expression" dxfId="642" priority="79">
      <formula>SEARCH("reduce",$F$21)</formula>
    </cfRule>
  </conditionalFormatting>
  <conditionalFormatting sqref="N2">
    <cfRule type="expression" dxfId="641" priority="80">
      <formula>SEARCH("strength",$F$21)</formula>
    </cfRule>
    <cfRule type="expression" dxfId="640" priority="81">
      <formula>SEARCH("strength",$F$23)</formula>
    </cfRule>
  </conditionalFormatting>
  <hyperlinks>
    <hyperlink ref="N25" location="Summary!A1" display="Link to summary" xr:uid="{131B5442-B55C-477D-8676-B1AE50B4E6B1}"/>
  </hyperlinks>
  <pageMargins left="0.7" right="0.7" top="0.75" bottom="0.75" header="0.3" footer="0.3"/>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99CA9-BCAC-4153-A93C-453CF3604120}">
  <dimension ref="A1:AK130"/>
  <sheetViews>
    <sheetView topLeftCell="A4"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Summary!N16</f>
        <v>1.8</v>
      </c>
      <c r="K2" s="10">
        <v>1000000000000</v>
      </c>
      <c r="L2" s="15">
        <v>0.1</v>
      </c>
      <c r="M2" s="15">
        <v>0.1</v>
      </c>
      <c r="N2" s="17">
        <f>Summary!N26</f>
        <v>50</v>
      </c>
      <c r="O2" s="15">
        <f>Summary!N88</f>
        <v>0.25</v>
      </c>
      <c r="P2" s="15">
        <f>Summary!N89</f>
        <v>0.25</v>
      </c>
      <c r="Q2" s="5" t="str">
        <f>Summary!N27</f>
        <v>N/A</v>
      </c>
      <c r="R2" s="5">
        <f>Summary!N51</f>
        <v>0.3</v>
      </c>
      <c r="S2" s="5">
        <f>Summary!N52</f>
        <v>0.7</v>
      </c>
      <c r="T2" s="5">
        <f>Summary!N53</f>
        <v>0.3</v>
      </c>
      <c r="U2" s="5">
        <f>Summary!N54</f>
        <v>0.7</v>
      </c>
      <c r="V2" s="130">
        <f>Summary!N55</f>
        <v>8.0000000000000002E-8</v>
      </c>
      <c r="W2" s="130">
        <f>Summary!N56</f>
        <v>8.0000000000000002E-8</v>
      </c>
      <c r="X2" s="131">
        <f>V2</f>
        <v>8.0000000000000002E-8</v>
      </c>
      <c r="Y2" s="132">
        <f>IF(Summary!N57="","",Summary!N57)</f>
        <v>1E-8</v>
      </c>
      <c r="Z2" s="132">
        <f>IF(Summary!N58="","",Summary!N58)</f>
        <v>1E-8</v>
      </c>
      <c r="AA2" s="4">
        <f>Summary!N59</f>
        <v>1E-10</v>
      </c>
      <c r="AB2" s="41">
        <f>Summary!N81</f>
        <v>4.9999999999999997E-12</v>
      </c>
      <c r="AC2" s="41">
        <f>Summary!N83</f>
        <v>8.1900000000000013E-12</v>
      </c>
      <c r="AD2" s="3">
        <f>Summary!N84</f>
        <v>0.69</v>
      </c>
      <c r="AE2" s="41">
        <f>Summary!N86</f>
        <v>4.9999999999999997E-12</v>
      </c>
      <c r="AF2" s="5">
        <f>Summary!N87</f>
        <v>2.93</v>
      </c>
      <c r="AG2" s="127" t="str">
        <f>Summary!N50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Summary!N16</f>
        <v>1.8</v>
      </c>
      <c r="K3" s="10">
        <v>1000000000000</v>
      </c>
      <c r="L3" s="15">
        <v>0.1</v>
      </c>
      <c r="M3" s="15">
        <v>0.1</v>
      </c>
      <c r="N3">
        <f>Summary!N97</f>
        <v>50</v>
      </c>
      <c r="O3" s="15">
        <f>Summary!N98</f>
        <v>0.5</v>
      </c>
      <c r="P3" s="15">
        <f>Summary!N99</f>
        <v>0</v>
      </c>
      <c r="Q3"/>
      <c r="R3" s="5">
        <f>Summary!N38</f>
        <v>0.3</v>
      </c>
      <c r="S3" s="5">
        <f>Summary!N39</f>
        <v>0.7</v>
      </c>
      <c r="T3" s="5">
        <f>Summary!N42</f>
        <v>0.3</v>
      </c>
      <c r="U3" s="5">
        <f>Summary!N43</f>
        <v>0.7</v>
      </c>
      <c r="V3" s="130">
        <f>Summary!N44</f>
        <v>8.0000000000000002E-8</v>
      </c>
      <c r="W3" s="130">
        <f>Summary!N45</f>
        <v>8.0000000000000002E-8</v>
      </c>
      <c r="X3" s="131">
        <f>V3</f>
        <v>8.0000000000000002E-8</v>
      </c>
      <c r="Y3" s="132">
        <f>IF(Summary!N46="","",Summary!N46)</f>
        <v>1E-8</v>
      </c>
      <c r="Z3" s="132">
        <f>IF(Summary!N47="","",Summary!N47)</f>
        <v>1E-8</v>
      </c>
      <c r="AA3" s="4">
        <f>Summary!N59</f>
        <v>1E-10</v>
      </c>
      <c r="AB3" s="41">
        <f>Summary!N96</f>
        <v>9.9999999999999994E-12</v>
      </c>
      <c r="AG3" s="127" t="str">
        <f>Summary!N37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427329345.73772496</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427329345.73772496</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165.87503585207278</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198.01788887753889</v>
      </c>
      <c r="F7" s="123">
        <f>_xlfn.IFNA(_xlfn.XLOOKUP($X$2,AB34:AB129,P34:P129,,-1), "Out of support PU range")</f>
        <v>1050</v>
      </c>
      <c r="G7" s="124">
        <f>_xlfn.IFNA(_xlfn.XLOOKUP($X$3,S34:S129,P34:P129,,-1), "Out of support PU range")</f>
        <v>1050</v>
      </c>
      <c r="H7" s="124">
        <f>_xlfn.IFNA(MAX(_xlfn.XLOOKUP(MAX($Y$2:$AA$2),AA34:AA129,O34:O129,,1), _xlfn.XLOOKUP($W$2,AD34:AD129,O34:O129,,-1)), "Fail AC VIL")</f>
        <v>209</v>
      </c>
      <c r="I7" s="129">
        <f>_xlfn.IFNA(MAX(_xlfn.XLOOKUP(MAX($Y$3:$AA$3),R34:R129,O34:O129,,1), _xlfn.XLOOKUP($W$3,AC34:AC129,O34:O129,,-1)), "Fail AC VIL")</f>
        <v>209</v>
      </c>
      <c r="J7" s="21">
        <v>20000</v>
      </c>
      <c r="K7" s="2">
        <f>MIN(
MIN(FLOOR(B7,10^(LEN(ROUND(B7,0))-1))/10,
FLOOR(C7,10^(LEN(ROUND(C7,0))-1))/10,
IF(F7*10&gt;=J7,FLOOR(F7,10^(LEN(ROUND(F7,0))-1))/10,FLOOR(F7,10^(LEN(ROUND(F7,0))-1))),
FLOOR(G7,10^(LEN(ROUND(G7,0))-1))/10),
MAX(I7,J7)
)</f>
        <v>100</v>
      </c>
      <c r="L7" s="1"/>
      <c r="N7" s="71">
        <f>Summary!N62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305.35714253253963</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305.35714253253963</v>
      </c>
      <c r="E8">
        <f>X2/(1.204*K18)</f>
        <v>820.08708832659136</v>
      </c>
      <c r="F8">
        <f>X3/(1.204*K18)</f>
        <v>820.08708832659136</v>
      </c>
      <c r="H8">
        <f>AA2/(1.204*K18)</f>
        <v>1.0251088604082392</v>
      </c>
      <c r="I8" s="2">
        <f>AA3/(1.204*K18)</f>
        <v>1.0251088604082392</v>
      </c>
      <c r="J8" s="8">
        <v>20000</v>
      </c>
      <c r="K8">
        <f>MIN(MIN(FLOOR(B8,10^(LEN(ROUND(B8,0))-1))/10,FLOOR(C8,10^(LEN(ROUND(C8,0))-1))/10,FLOOR(E8,10^(LEN(ROUND(E8,0))-1))/10,FLOOR(F8,10^(LEN(ROUND(F8,0))-1))/10),MAX(I8,J8))</f>
        <v>30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Summary!N24</f>
        <v>750</v>
      </c>
      <c r="D11" s="1">
        <f>IF(AND(B11="no need", C11=""), "",IF(AND(B11="no need", C11&gt;0), "please remove resistor",   IF(AND(B11="need resistor", ISBLANK(C11)), "please enter resistor",  (1/(1/F2+1/F3))/(1/(1/(1/(1/C2+1/C3))+1/C11)+(1/(1/F2+1/F3))) ) ))</f>
        <v>0.99999999849999999</v>
      </c>
      <c r="F11" s="7">
        <f>IF(B11="no need", 1000000000, C11)</f>
        <v>750</v>
      </c>
      <c r="G11" s="7" t="s">
        <v>281</v>
      </c>
      <c r="H11" s="62">
        <f>Summary!N25</f>
        <v>0.05</v>
      </c>
      <c r="K11" s="6" t="s">
        <v>282</v>
      </c>
      <c r="N11" s="19" t="s">
        <v>283</v>
      </c>
      <c r="P11" s="19" t="s">
        <v>284</v>
      </c>
      <c r="R11" s="127" t="s">
        <v>285</v>
      </c>
      <c r="S11" s="127">
        <f>($J$2+$J$2*Summary!$N$17)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Summary!N10</f>
        <v>10</v>
      </c>
      <c r="L12" t="s">
        <v>287</v>
      </c>
      <c r="N12" s="4">
        <f>SUM(AB2:AC3,AE2:AE3)</f>
        <v>2.8189999999999998E-11</v>
      </c>
      <c r="O12" t="s">
        <v>288</v>
      </c>
      <c r="P12" s="61">
        <f>Summary!N84+Summary!N87</f>
        <v>3.62</v>
      </c>
      <c r="Q12" t="s">
        <v>289</v>
      </c>
      <c r="R12" s="127" t="s">
        <v>290</v>
      </c>
      <c r="S12" s="127">
        <f>($J$2-$J$2*Summary!$N$17)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($J$3+$J$3*Summary!$N$18)</f>
        <v>1.8900000000000001</v>
      </c>
    </row>
    <row r="14" spans="1:37" x14ac:dyDescent="0.35">
      <c r="K14" s="6" t="s">
        <v>293</v>
      </c>
      <c r="N14" s="6" t="s">
        <v>294</v>
      </c>
      <c r="R14" s="127" t="s">
        <v>295</v>
      </c>
      <c r="S14" s="127">
        <f>($J$3-$J$3*Summary!$N$18)</f>
        <v>1.71</v>
      </c>
    </row>
    <row r="15" spans="1:37" x14ac:dyDescent="0.35">
      <c r="B15" s="2"/>
      <c r="C15" s="2"/>
      <c r="K15" s="3">
        <f>Summary!N8</f>
        <v>19.988</v>
      </c>
      <c r="L15" t="s">
        <v>296</v>
      </c>
      <c r="N15" s="41">
        <f>Summary!N9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0.99999912323465123</v>
      </c>
      <c r="C18">
        <f>B42</f>
        <v>0.99999935096450687</v>
      </c>
      <c r="D18">
        <f>B102</f>
        <v>0.99999912323465157</v>
      </c>
      <c r="E18">
        <f>C102</f>
        <v>8.3019795066711241E-2</v>
      </c>
      <c r="F18" s="126">
        <f>_xlfn.LET(
_xlpm.Rbus, (1/(1/((1/(1/($G$91+$G$93)+1/$G$90))+$G$92)+1/($G$89))),
_xlpm.VCC, IF($AG$2="absolute",$S$13,1),
_xlpm.Vspec_abs, $U$2-$N$7,
(LN(1-$T$2/_xlpm.VCC)-LN(1-_xlpm.Vspec_abs/_xlpm.VCC))*$K$19*_xlpm.Rbus
)</f>
        <v>3.5879046436894368E-8</v>
      </c>
      <c r="G18" s="128">
        <f>_xlfn.LET(
_xlpm.Rbus, (1/(1/((1/(1/($D$91+$D$93)+1/$D$90))+$D$92)+1/($D$89))),
_xlpm.VCC, IF($AG$2="absolute",$S$14,1),
_xlpm.Vspec_abs, $U$2+$N$7,
(LN(1-$T$2/_xlpm.VCC)-LN(1-_xlpm.Vspec_abs/_xlpm.VCC))*$K$18*_xlpm.Rbus
)</f>
        <v>5.95408399484559E-8</v>
      </c>
      <c r="H18" s="126">
        <f>_xlfn.LET(
_xlpm.Rbus, (1/(1/((1/(1/($H$96+$H$93)+1/$H$95))+$H$92)+1/($H$94))),
_xlpm.VCC, IF($AG$2="absolute",$S$14,1),
_xlpm.Vspec_abs, $T$2+$N$7,
_xlpm.Vspec_rel, _xlpm.Vspec_abs/_xlpm.VCC,
IFERROR((LN($U$2)-LN(_xlpm.Vspec_rel))*$K$19*_xlpm.Rbus, "Vlow exceeds VIL spec")
)</f>
        <v>1.6968629442640647E-9</v>
      </c>
      <c r="I18" s="128">
        <f>_xlfn.LET(
_xlpm.Rbus, (1/(1/((1/(1/($F$96+$F$93)+1/$F$95))+$F$92)+1/($F$94))),
_xlpm.VCC, IF($AG$2="absolute",$S$13,1),
_xlpm.Vspec_abs, $T$2-$N$7,
_xlpm.Vspec_rel, _xlpm.Vspec_abs/_xlpm.VCC,
IFERROR((LN($U$2)-LN(_xlpm.Vspec_rel))*$K$18*_xlpm.Rbus,"Vlow exceeds VIL spec")
)</f>
        <v>4.7889839777171611E-9</v>
      </c>
      <c r="J18" s="139" t="s">
        <v>307</v>
      </c>
      <c r="K18" s="4">
        <f>Summary!N102</f>
        <v>8.1022105664211338E-11</v>
      </c>
      <c r="L18" s="22" t="s">
        <v>288</v>
      </c>
      <c r="M18" s="10">
        <f>K18*1000000000000</f>
        <v>81.022105664211338</v>
      </c>
      <c r="N18" t="s">
        <v>308</v>
      </c>
      <c r="O18" s="49">
        <f>N12+K12/39.37*N15</f>
        <v>8.1022105664211338E-11</v>
      </c>
    </row>
    <row r="19" spans="1:26" x14ac:dyDescent="0.35">
      <c r="A19" t="s">
        <v>309</v>
      </c>
      <c r="B19">
        <f>C64</f>
        <v>0.99999912323465123</v>
      </c>
      <c r="C19">
        <f>C44</f>
        <v>0.99999935096450676</v>
      </c>
      <c r="D19">
        <f>B84</f>
        <v>0.99999912323465179</v>
      </c>
      <c r="E19">
        <f>C84</f>
        <v>9.7538034587048225E-2</v>
      </c>
      <c r="F19" s="126">
        <f>_xlfn.LET(
_xlpm.Rbus,(1/(1/((1/(1/($G$77+$G$72)+1/$G$70))+$G$73)+1/($G$71))),
_xlpm.VCC,IF($AG$3="absolute",$S$11,1),
_xlpm.Vspec_abs,$U$3-$N$7,
(LN(1-($T$3/_xlpm.VCC))-LN(1-_xlpm.Vspec_abs/_xlpm.VCC))*$K$19*_xlpm.Rbus
)</f>
        <v>3.5879046436894368E-8</v>
      </c>
      <c r="G19" s="128">
        <f>_xlfn.LET(
_xlpm.Rbus, (1/(1/((1/(1/($D$77+$D$72)+1/$D$70))+$D$73)+1/($D$71))),
_xlpm.VCC, IF($AG$3="absolute",$S$12,1),
_xlpm.Vspec_abs, $U$3+$N$7,
(LN(1-$T$3/_xlpm.VCC)-LN(1-_xlpm.Vspec_abs/_xlpm.VCC))*$K$18*_xlpm.Rbus
)</f>
        <v>5.95408399484559E-8</v>
      </c>
      <c r="H19" s="126">
        <f>_xlfn.LET(
_xlpm.Rbus, (1/(1/((1/(1/($H$74+$H$72)+1/$H$75))+$H$73)+1/($H$76))),
_xlpm.VCC, IF($AG$3="absolute",$S$12,1),
_xlpm.Vspec_abs, $T$3+$N$7,
_xlpm.Vspec_rel, _xlpm.Vspec_abs/_xlpm.VCC,
IFERROR((LN($U$3)-LN(_xlpm.Vspec_rel))*$K$19*_xlpm.Rbus, "Vlow exceeds VIL spec")
)</f>
        <v>2.3263198569803835E-9</v>
      </c>
      <c r="I19" s="128">
        <f>_xlfn.LET(
_xlpm.Rbus, (1/(1/((1/(1/($F$74+$F$72)+1/$F$75))+$F$73)+1/($F$76))),
_xlpm.VCC, IF($AG$3="absolute",$S$11,1),
_xlpm.Vspec_abs, $T$3-$N$7,
_xlpm.Vspec_rel, _xlpm.Vspec_abs/_xlpm.VCC,
IFERROR((LN($U$3)-LN(_xlpm.Vspec_rel))*$K$18*_xlpm.Rbus,"Vlow exceeds VIL spec")
)</f>
        <v>5.716981414329966E-9</v>
      </c>
      <c r="J19" s="139" t="s">
        <v>310</v>
      </c>
      <c r="K19" s="122">
        <f>Summary!N101</f>
        <v>6.4332105664211329E-11</v>
      </c>
      <c r="L19" t="s">
        <v>288</v>
      </c>
    </row>
    <row r="20" spans="1:26" x14ac:dyDescent="0.35">
      <c r="J20" s="139"/>
      <c r="K20" s="6" t="s">
        <v>311</v>
      </c>
    </row>
    <row r="21" spans="1:26" x14ac:dyDescent="0.35">
      <c r="E21" s="120" t="s">
        <v>137</v>
      </c>
      <c r="F21" t="str">
        <f>IF(OR(AND(E18&gt;(R2-N7), Summary!N50="relative"), AND(E18&gt;(R2-N7)/(J3+J3*Summary!N18), Summary!N50="absolute")),IF(U29="no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IF(OR(Summary!N24&gt;Summary!N22,Summary!N24&lt;Summary!N21), "- ensure board PU is within recommended range" &amp; CHAR(10),) &amp; "- reduce MB trace length",""))</f>
        <v/>
      </c>
      <c r="J21" s="139" t="s">
        <v>307</v>
      </c>
      <c r="K21" s="5">
        <f>Summary!N104</f>
        <v>14.506962153924308</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Summary!N103</f>
        <v>8.6969621539243072</v>
      </c>
      <c r="L22" t="s">
        <v>289</v>
      </c>
    </row>
    <row r="23" spans="1:26" x14ac:dyDescent="0.35">
      <c r="B23" s="171" t="s">
        <v>313</v>
      </c>
      <c r="C23" s="171"/>
      <c r="D23" t="s">
        <v>314</v>
      </c>
      <c r="E23" s="175"/>
      <c r="F23" t="str">
        <f>IF(F22="",IF(OR(AND(E19&lt;=(R3-N7), Summary!N37="relative"),AND(E19&lt;=(R3-N7)/(J2+J2*Summary!N17), Summary!N37="absolute")),IF(OR(G19&gt;V3,I19&gt;W3), IF(N2=MIN(AH2:AH5), "failed max rise/fall time spec, recommendations:" &amp; CHAR(10) &amp; "-reduce MB trace length" &amp; CHAR(10) &amp; "-increase trace width (reduce MB trace resistance per length)", "failed max rise/fall time spec, recommendations:" &amp; CHAR(10) &amp; IF(OR(Summary!N24&gt;Summary!N22,Summary!N24&lt;Summary!N21),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Summary!N13</f>
        <v>0</v>
      </c>
      <c r="L24" t="s">
        <v>305</v>
      </c>
    </row>
    <row r="25" spans="1:26" x14ac:dyDescent="0.35">
      <c r="A25" t="s">
        <v>318</v>
      </c>
      <c r="B25" s="11">
        <f>C2*(1-D2)</f>
        <v>900000000000</v>
      </c>
      <c r="C25" s="11">
        <f>C2*(1-D2)</f>
        <v>900000000000</v>
      </c>
      <c r="K25" s="18">
        <f>Summary!N14</f>
        <v>1</v>
      </c>
      <c r="L25" t="s">
        <v>274</v>
      </c>
      <c r="N25" s="72" t="s">
        <v>319</v>
      </c>
    </row>
    <row r="26" spans="1:26" x14ac:dyDescent="0.35">
      <c r="A26" t="s">
        <v>320</v>
      </c>
      <c r="B26" s="11">
        <f>F11*(1-H11)</f>
        <v>712.5</v>
      </c>
      <c r="C26" s="11">
        <f>F11*(1-H11)</f>
        <v>712.5</v>
      </c>
      <c r="Q26" t="s">
        <v>321</v>
      </c>
    </row>
    <row r="27" spans="1:26" x14ac:dyDescent="0.35">
      <c r="A27" t="s">
        <v>322</v>
      </c>
      <c r="B27" s="11">
        <f>C3*(1-D3)</f>
        <v>900000000000</v>
      </c>
      <c r="C27" s="11">
        <f>C3*(1-D3)</f>
        <v>900000000000</v>
      </c>
      <c r="Q27" t="s">
        <v>323</v>
      </c>
    </row>
    <row r="28" spans="1:26" x14ac:dyDescent="0.35">
      <c r="A28" t="s">
        <v>324</v>
      </c>
      <c r="B28" s="1">
        <f>K21</f>
        <v>14.506962153924308</v>
      </c>
      <c r="C28">
        <v>0</v>
      </c>
      <c r="Q28" t="s">
        <v>325</v>
      </c>
      <c r="V28" t="s">
        <v>305</v>
      </c>
      <c r="W28" t="s">
        <v>274</v>
      </c>
      <c r="X28" t="s">
        <v>326</v>
      </c>
    </row>
    <row r="29" spans="1:26" x14ac:dyDescent="0.35">
      <c r="A29" t="s">
        <v>327</v>
      </c>
      <c r="B29">
        <v>0</v>
      </c>
      <c r="C29" s="1">
        <f>K21</f>
        <v>14.506962153924308</v>
      </c>
      <c r="F29" s="11"/>
      <c r="T29" t="s">
        <v>328</v>
      </c>
      <c r="U29">
        <f>IF(IF(ISBLANK(Summary!N25),IF(U30=W82,L30,U30),IF(Summary!N25=5%,L30,U30))=N130,"no solution",IF(ISBLANK(Summary!N25),IF(U30=W82,L30,U30),IF(Summary!N25=5%,L30,U30)))</f>
        <v>470</v>
      </c>
      <c r="V29">
        <f>IFERROR(IF(X29=5%,VLOOKUP(1,M34:N129,2,FALSE),VLOOKUP(1,V34:W81,2,FALSE)),"no solution")</f>
        <v>220</v>
      </c>
      <c r="W29">
        <f>IF(U29="no solution","no solution",IF(X29=5%,VLOOKUP(MAX(M34:M129)-1,M34:N129,2,FALSE),VLOOKUP(MAX(V34:V81)-1,V34:W81,2,FALSE)))</f>
        <v>1000</v>
      </c>
      <c r="X29" s="64">
        <f>Summary!N25</f>
        <v>0.05</v>
      </c>
    </row>
    <row r="30" spans="1:26" x14ac:dyDescent="0.35">
      <c r="A30" t="s">
        <v>329</v>
      </c>
      <c r="B30" s="11">
        <f>F2*(1+H2)</f>
        <v>1100000000000</v>
      </c>
      <c r="C30" s="11">
        <f>F2*(1+H2)</f>
        <v>1100000000000</v>
      </c>
      <c r="K30" t="s">
        <v>330</v>
      </c>
      <c r="L30">
        <f>VLOOKUP(Q31,M34:Q154,2)</f>
        <v>470</v>
      </c>
      <c r="T30" t="s">
        <v>331</v>
      </c>
      <c r="U30">
        <f>VLOOKUP(Z31,V34:W82,2)</f>
        <v>470</v>
      </c>
    </row>
    <row r="31" spans="1:26" x14ac:dyDescent="0.35">
      <c r="A31" t="s">
        <v>332</v>
      </c>
      <c r="B31" s="11">
        <f>F12*(1+H12)</f>
        <v>1100000000</v>
      </c>
      <c r="C31" s="11">
        <f>F12*(1+H12)</f>
        <v>1100000000</v>
      </c>
      <c r="Q31" cm="1">
        <f t="array" ref="Q31">MAX(M34:M129+1)/2</f>
        <v>9.5</v>
      </c>
      <c r="Z31" cm="1">
        <f t="array" ref="Z31">MAX(V34:V81+1)/2</f>
        <v>4.5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4.783872869462792E-10</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1.8565119813152651E-9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4.783872869462792E-10</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1.8565119813152651E-9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5.2622601563924061E-10</v>
      </c>
      <c r="S35" s="126">
        <f t="shared" si="4"/>
        <v>1.9344637760304184E-9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5.2622601563924061E-10</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1.9344637760304184E-9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5.7406474433189906E-10</v>
      </c>
      <c r="S36" s="126">
        <f t="shared" si="4"/>
        <v>2.0124155707451262E-9</v>
      </c>
      <c r="T36">
        <v>1</v>
      </c>
      <c r="U36">
        <v>15</v>
      </c>
      <c r="V36">
        <f t="shared" si="11"/>
        <v>0</v>
      </c>
      <c r="W36">
        <f t="shared" si="12"/>
        <v>15</v>
      </c>
      <c r="X36">
        <f t="shared" si="5"/>
        <v>13.5</v>
      </c>
      <c r="Y36">
        <f t="shared" si="6"/>
        <v>16.5</v>
      </c>
      <c r="Z36">
        <f t="shared" si="13"/>
        <v>0</v>
      </c>
      <c r="AA36" s="126">
        <f t="shared" si="14"/>
        <v>5.7406474433189906E-10</v>
      </c>
      <c r="AB36" s="126">
        <f t="shared" si="15"/>
        <v>2.0124155707451262E-9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6.2190347302425477E-10</v>
      </c>
      <c r="S37" s="126">
        <f t="shared" si="4"/>
        <v>2.0903673654593866E-9</v>
      </c>
      <c r="T37">
        <v>1</v>
      </c>
      <c r="U37">
        <v>18</v>
      </c>
      <c r="V37">
        <f t="shared" si="11"/>
        <v>0</v>
      </c>
      <c r="W37">
        <f t="shared" si="12"/>
        <v>18</v>
      </c>
      <c r="X37">
        <f t="shared" si="5"/>
        <v>16.2</v>
      </c>
      <c r="Y37">
        <f t="shared" si="6"/>
        <v>19.8</v>
      </c>
      <c r="Z37">
        <f t="shared" si="13"/>
        <v>0</v>
      </c>
      <c r="AA37" s="126">
        <f t="shared" si="14"/>
        <v>6.2190347302425477E-10</v>
      </c>
      <c r="AB37" s="126">
        <f t="shared" si="15"/>
        <v>2.0903673654593866E-9</v>
      </c>
      <c r="AC37" s="126" t="str">
        <f t="shared" si="7"/>
        <v>Vlow exceeds VIL spec</v>
      </c>
      <c r="AD37" s="126" t="str">
        <f t="shared" si="8"/>
        <v>Vlow exceeds VIL spec</v>
      </c>
    </row>
    <row r="38" spans="1:30" x14ac:dyDescent="0.35">
      <c r="A38" t="s">
        <v>347</v>
      </c>
      <c r="B38" s="125">
        <f>IF(Summary!N50="absolute",(S2+N7)/(J3-J3*Summary!N18),S2+N7)</f>
        <v>0.72</v>
      </c>
      <c r="K38">
        <v>1</v>
      </c>
      <c r="L38">
        <v>15</v>
      </c>
      <c r="M38">
        <f t="shared" si="9"/>
        <v>0</v>
      </c>
      <c r="N38">
        <f t="shared" si="0"/>
        <v>15</v>
      </c>
      <c r="O38">
        <f t="shared" si="1"/>
        <v>14.25</v>
      </c>
      <c r="P38">
        <f t="shared" si="2"/>
        <v>15.75</v>
      </c>
      <c r="Q38">
        <f t="shared" si="10"/>
        <v>0</v>
      </c>
      <c r="R38" s="126">
        <f t="shared" si="3"/>
        <v>7.1758093040805701E-10</v>
      </c>
      <c r="S38" s="126">
        <f t="shared" si="4"/>
        <v>2.2462709548865697E-9</v>
      </c>
      <c r="T38">
        <v>1</v>
      </c>
      <c r="U38">
        <v>22</v>
      </c>
      <c r="V38">
        <f t="shared" si="11"/>
        <v>0</v>
      </c>
      <c r="W38">
        <f t="shared" si="12"/>
        <v>22</v>
      </c>
      <c r="X38">
        <f t="shared" si="5"/>
        <v>19.8</v>
      </c>
      <c r="Y38">
        <f t="shared" si="6"/>
        <v>24.200000000000003</v>
      </c>
      <c r="Z38">
        <f t="shared" si="13"/>
        <v>0</v>
      </c>
      <c r="AA38" s="126">
        <f t="shared" si="14"/>
        <v>7.1758093040805701E-10</v>
      </c>
      <c r="AB38" s="126">
        <f t="shared" si="15"/>
        <v>2.2462709548865697E-9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7.6541965909950354E-10</v>
      </c>
      <c r="S39" s="126">
        <f t="shared" si="4"/>
        <v>2.3242227495994904E-9</v>
      </c>
      <c r="T39">
        <v>1</v>
      </c>
      <c r="U39">
        <v>27</v>
      </c>
      <c r="V39">
        <f t="shared" si="11"/>
        <v>0</v>
      </c>
      <c r="W39">
        <f t="shared" si="12"/>
        <v>27</v>
      </c>
      <c r="X39">
        <f t="shared" si="5"/>
        <v>24.3</v>
      </c>
      <c r="Y39">
        <f t="shared" si="6"/>
        <v>29.700000000000003</v>
      </c>
      <c r="Z39">
        <f t="shared" si="13"/>
        <v>0</v>
      </c>
      <c r="AA39" s="126">
        <f t="shared" si="14"/>
        <v>7.6541965909950354E-10</v>
      </c>
      <c r="AB39" s="126">
        <f t="shared" si="15"/>
        <v>2.3242227495994904E-9</v>
      </c>
      <c r="AC39" s="126" t="str">
        <f t="shared" si="7"/>
        <v>Vlow exceeds VIL spec</v>
      </c>
      <c r="AD39" s="126" t="str">
        <f t="shared" si="8"/>
        <v>Vlow exceeds VIL spec</v>
      </c>
    </row>
    <row r="40" spans="1:30" x14ac:dyDescent="0.35">
      <c r="A40" t="s">
        <v>349</v>
      </c>
      <c r="C40" s="125">
        <f>IF(Summary!N37="absolute",(S3+N7)/(J2-J2*Summary!N17),S3+N7)</f>
        <v>0.72</v>
      </c>
      <c r="K40">
        <v>1</v>
      </c>
      <c r="L40">
        <v>18</v>
      </c>
      <c r="M40">
        <f t="shared" si="9"/>
        <v>0</v>
      </c>
      <c r="N40">
        <f t="shared" si="0"/>
        <v>18</v>
      </c>
      <c r="O40">
        <f t="shared" si="1"/>
        <v>17.099999999999998</v>
      </c>
      <c r="P40">
        <f t="shared" si="2"/>
        <v>18.900000000000002</v>
      </c>
      <c r="Q40">
        <f t="shared" si="10"/>
        <v>0</v>
      </c>
      <c r="R40" s="126">
        <f t="shared" si="3"/>
        <v>8.6109711648148774E-10</v>
      </c>
      <c r="S40" s="126">
        <f t="shared" si="4"/>
        <v>2.4801263390239943E-9</v>
      </c>
      <c r="T40">
        <v>1</v>
      </c>
      <c r="U40">
        <v>33</v>
      </c>
      <c r="V40">
        <f t="shared" si="11"/>
        <v>0</v>
      </c>
      <c r="W40">
        <f t="shared" si="12"/>
        <v>33</v>
      </c>
      <c r="X40">
        <f t="shared" si="5"/>
        <v>29.7</v>
      </c>
      <c r="Y40">
        <f t="shared" si="6"/>
        <v>36.300000000000004</v>
      </c>
      <c r="Z40">
        <f t="shared" si="13"/>
        <v>0</v>
      </c>
      <c r="AA40" s="126">
        <f t="shared" si="14"/>
        <v>8.6109711648148774E-10</v>
      </c>
      <c r="AB40" s="126">
        <f t="shared" si="15"/>
        <v>2.4801263390239943E-9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9.5677457386226022E-10</v>
      </c>
      <c r="S41" s="126">
        <f t="shared" si="4"/>
        <v>2.6360299284467119E-9</v>
      </c>
      <c r="T41">
        <v>1</v>
      </c>
      <c r="U41">
        <v>39</v>
      </c>
      <c r="V41">
        <f t="shared" si="11"/>
        <v>0</v>
      </c>
      <c r="W41">
        <f t="shared" si="12"/>
        <v>39</v>
      </c>
      <c r="X41">
        <f t="shared" si="5"/>
        <v>35.1</v>
      </c>
      <c r="Y41">
        <f t="shared" si="6"/>
        <v>42.900000000000006</v>
      </c>
      <c r="Z41">
        <f t="shared" si="13"/>
        <v>0</v>
      </c>
      <c r="AA41" s="126">
        <f t="shared" si="14"/>
        <v>9.5677457386226022E-10</v>
      </c>
      <c r="AB41" s="126">
        <f t="shared" si="15"/>
        <v>2.6360299284467119E-9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0.99999935096450687</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0.99999935097769488</v>
      </c>
      <c r="K42">
        <v>1</v>
      </c>
      <c r="L42">
        <v>22</v>
      </c>
      <c r="M42">
        <f t="shared" si="9"/>
        <v>0</v>
      </c>
      <c r="N42">
        <f t="shared" si="0"/>
        <v>22</v>
      </c>
      <c r="O42">
        <f t="shared" si="1"/>
        <v>20.9</v>
      </c>
      <c r="P42">
        <f t="shared" si="2"/>
        <v>23.1</v>
      </c>
      <c r="Q42">
        <f t="shared" si="10"/>
        <v>0</v>
      </c>
      <c r="R42" s="126">
        <f t="shared" si="3"/>
        <v>1.0524520312418208E-9</v>
      </c>
      <c r="S42" s="126">
        <f t="shared" si="4"/>
        <v>2.791933517867644E-9</v>
      </c>
      <c r="T42">
        <v>1</v>
      </c>
      <c r="U42">
        <v>47</v>
      </c>
      <c r="V42">
        <f t="shared" si="11"/>
        <v>0</v>
      </c>
      <c r="W42">
        <f t="shared" si="12"/>
        <v>47</v>
      </c>
      <c r="X42">
        <f t="shared" si="5"/>
        <v>42.300000000000004</v>
      </c>
      <c r="Y42">
        <f t="shared" si="6"/>
        <v>51.7</v>
      </c>
      <c r="Z42">
        <f t="shared" si="13"/>
        <v>0</v>
      </c>
      <c r="AA42" s="126">
        <f t="shared" si="14"/>
        <v>1.0524520312418208E-9</v>
      </c>
      <c r="AB42" s="126">
        <f t="shared" si="15"/>
        <v>2.791933517867644E-9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0.9999993509776951</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0.99999935097769488</v>
      </c>
      <c r="K43">
        <v>1</v>
      </c>
      <c r="L43">
        <v>24</v>
      </c>
      <c r="M43">
        <f t="shared" si="9"/>
        <v>0</v>
      </c>
      <c r="N43">
        <f t="shared" si="0"/>
        <v>24</v>
      </c>
      <c r="O43">
        <f t="shared" si="1"/>
        <v>22.799999999999997</v>
      </c>
      <c r="P43">
        <f t="shared" si="2"/>
        <v>25.200000000000003</v>
      </c>
      <c r="Q43">
        <f t="shared" si="10"/>
        <v>0</v>
      </c>
      <c r="R43" s="126">
        <f t="shared" si="3"/>
        <v>1.1481294886201691E-9</v>
      </c>
      <c r="S43" s="126">
        <f t="shared" si="4"/>
        <v>2.9478371072867907E-9</v>
      </c>
      <c r="T43">
        <v>1</v>
      </c>
      <c r="U43">
        <v>56</v>
      </c>
      <c r="V43">
        <f t="shared" si="11"/>
        <v>0</v>
      </c>
      <c r="W43">
        <f t="shared" si="12"/>
        <v>56</v>
      </c>
      <c r="X43">
        <f t="shared" si="5"/>
        <v>50.4</v>
      </c>
      <c r="Y43">
        <f t="shared" si="6"/>
        <v>61.600000000000009</v>
      </c>
      <c r="Z43">
        <f t="shared" si="13"/>
        <v>0</v>
      </c>
      <c r="AA43" s="126">
        <f t="shared" si="14"/>
        <v>1.1481294886201691E-9</v>
      </c>
      <c r="AB43" s="126">
        <f t="shared" si="15"/>
        <v>2.9478371072867907E-9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0.9999993509776951</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0.99999935096450676</v>
      </c>
      <c r="K44">
        <v>1</v>
      </c>
      <c r="L44">
        <v>27</v>
      </c>
      <c r="M44">
        <f t="shared" si="9"/>
        <v>0</v>
      </c>
      <c r="N44">
        <f t="shared" si="0"/>
        <v>27</v>
      </c>
      <c r="O44">
        <f t="shared" si="1"/>
        <v>25.65</v>
      </c>
      <c r="P44">
        <f t="shared" si="2"/>
        <v>28.35</v>
      </c>
      <c r="Q44">
        <f t="shared" si="10"/>
        <v>0</v>
      </c>
      <c r="R44" s="126">
        <f t="shared" si="3"/>
        <v>1.2916456746854197E-9</v>
      </c>
      <c r="S44" s="126">
        <f t="shared" si="4"/>
        <v>3.1816924914121612E-9</v>
      </c>
      <c r="T44">
        <v>1</v>
      </c>
      <c r="U44">
        <v>68</v>
      </c>
      <c r="V44">
        <f t="shared" si="11"/>
        <v>0</v>
      </c>
      <c r="W44">
        <f t="shared" si="12"/>
        <v>68</v>
      </c>
      <c r="X44">
        <f t="shared" si="5"/>
        <v>61.2</v>
      </c>
      <c r="Y44">
        <f t="shared" si="6"/>
        <v>74.800000000000011</v>
      </c>
      <c r="Z44">
        <f t="shared" si="13"/>
        <v>0</v>
      </c>
      <c r="AA44" s="126">
        <f t="shared" si="14"/>
        <v>1.2916456746854197E-9</v>
      </c>
      <c r="AB44" s="126">
        <f t="shared" si="15"/>
        <v>3.1816924914121612E-9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1.4351618607479438E-9</v>
      </c>
      <c r="S45" s="126">
        <f t="shared" si="4"/>
        <v>3.4155478755335145E-9</v>
      </c>
      <c r="T45">
        <v>1</v>
      </c>
      <c r="U45">
        <v>82</v>
      </c>
      <c r="V45">
        <f t="shared" si="11"/>
        <v>0</v>
      </c>
      <c r="W45">
        <f t="shared" si="12"/>
        <v>82</v>
      </c>
      <c r="X45">
        <f t="shared" si="5"/>
        <v>73.8</v>
      </c>
      <c r="Y45">
        <f t="shared" si="6"/>
        <v>90.2</v>
      </c>
      <c r="Z45">
        <f t="shared" si="13"/>
        <v>0</v>
      </c>
      <c r="AA45" s="126">
        <f t="shared" si="14"/>
        <v>1.4351618607479438E-9</v>
      </c>
      <c r="AB45" s="126">
        <f t="shared" si="15"/>
        <v>3.4155478755335145E-9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1.5786780468077402E-9</v>
      </c>
      <c r="S46" s="126">
        <f t="shared" si="4"/>
        <v>3.649403259650849E-9</v>
      </c>
      <c r="T46">
        <v>10</v>
      </c>
      <c r="U46">
        <v>10</v>
      </c>
      <c r="V46">
        <f t="shared" si="11"/>
        <v>0</v>
      </c>
      <c r="W46">
        <f t="shared" si="12"/>
        <v>100</v>
      </c>
      <c r="X46">
        <f t="shared" si="5"/>
        <v>90</v>
      </c>
      <c r="Y46">
        <f t="shared" si="6"/>
        <v>110.00000000000001</v>
      </c>
      <c r="Z46">
        <f t="shared" si="13"/>
        <v>0</v>
      </c>
      <c r="AA46" s="126">
        <f t="shared" si="14"/>
        <v>1.5786780468077402E-9</v>
      </c>
      <c r="AB46" s="126">
        <f t="shared" si="15"/>
        <v>3.649403259650849E-9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1.7221942328648102E-9</v>
      </c>
      <c r="S47" s="126">
        <f t="shared" si="4"/>
        <v>3.8832586437641663E-9</v>
      </c>
      <c r="T47">
        <v>10</v>
      </c>
      <c r="U47">
        <v>12</v>
      </c>
      <c r="V47">
        <f t="shared" si="11"/>
        <v>0</v>
      </c>
      <c r="W47">
        <f>U47*T47</f>
        <v>120</v>
      </c>
      <c r="X47">
        <f t="shared" si="5"/>
        <v>108</v>
      </c>
      <c r="Y47">
        <f t="shared" si="6"/>
        <v>132</v>
      </c>
      <c r="Z47">
        <f t="shared" si="13"/>
        <v>0</v>
      </c>
      <c r="AA47" s="126">
        <f t="shared" si="14"/>
        <v>1.7221942328648102E-9</v>
      </c>
      <c r="AB47" s="126">
        <f t="shared" si="15"/>
        <v>3.8832586437641663E-9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1.8657104189191537E-9</v>
      </c>
      <c r="S48" s="126">
        <f t="shared" si="4"/>
        <v>4.1171140278734651E-9</v>
      </c>
      <c r="T48">
        <v>10</v>
      </c>
      <c r="U48">
        <v>15</v>
      </c>
      <c r="V48">
        <f t="shared" si="11"/>
        <v>0</v>
      </c>
      <c r="W48">
        <f t="shared" si="12"/>
        <v>150</v>
      </c>
      <c r="X48">
        <f t="shared" si="5"/>
        <v>135</v>
      </c>
      <c r="Y48">
        <f t="shared" si="6"/>
        <v>165</v>
      </c>
      <c r="Z48">
        <f t="shared" si="13"/>
        <v>0</v>
      </c>
      <c r="AA48" s="126">
        <f t="shared" si="14"/>
        <v>1.8657104189191537E-9</v>
      </c>
      <c r="AB48" s="126">
        <f t="shared" si="15"/>
        <v>4.1171140278734651E-9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2.0570653336540367E-9</v>
      </c>
      <c r="S49" s="126">
        <f t="shared" si="4"/>
        <v>4.4289212066796125E-9</v>
      </c>
      <c r="T49">
        <v>10</v>
      </c>
      <c r="U49">
        <v>18</v>
      </c>
      <c r="V49">
        <f t="shared" si="11"/>
        <v>0</v>
      </c>
      <c r="W49">
        <f t="shared" si="12"/>
        <v>180</v>
      </c>
      <c r="X49">
        <f t="shared" si="5"/>
        <v>162</v>
      </c>
      <c r="Y49">
        <f t="shared" si="6"/>
        <v>198.00000000000003</v>
      </c>
      <c r="Z49">
        <f t="shared" si="13"/>
        <v>0</v>
      </c>
      <c r="AA49" s="126">
        <f t="shared" si="14"/>
        <v>2.0570653336540367E-9</v>
      </c>
      <c r="AB49" s="126">
        <f t="shared" si="15"/>
        <v>4.4289212066796125E-9</v>
      </c>
      <c r="AC49" s="126" t="str">
        <f t="shared" si="7"/>
        <v>Vlow exceeds VIL spec</v>
      </c>
      <c r="AD49" s="126" t="str">
        <f t="shared" si="8"/>
        <v>Vlow exceeds VIL spec</v>
      </c>
    </row>
    <row r="50" spans="1:30" x14ac:dyDescent="0.35">
      <c r="A50" t="s">
        <v>320</v>
      </c>
      <c r="B50" s="11">
        <f>F11*(1+H11)</f>
        <v>787.5</v>
      </c>
      <c r="C50" s="11">
        <f>F11*(1+H11)</f>
        <v>787.5</v>
      </c>
      <c r="K50">
        <v>1</v>
      </c>
      <c r="L50">
        <v>47</v>
      </c>
      <c r="M50">
        <f t="shared" si="9"/>
        <v>0</v>
      </c>
      <c r="N50">
        <f t="shared" si="0"/>
        <v>47</v>
      </c>
      <c r="O50">
        <f t="shared" si="1"/>
        <v>44.65</v>
      </c>
      <c r="P50">
        <f t="shared" si="2"/>
        <v>49.35</v>
      </c>
      <c r="Q50">
        <f t="shared" si="10"/>
        <v>0</v>
      </c>
      <c r="R50" s="126">
        <f t="shared" si="3"/>
        <v>2.2484202483840717E-9</v>
      </c>
      <c r="S50" s="126">
        <f t="shared" si="4"/>
        <v>4.7407283854786172E-9</v>
      </c>
      <c r="T50">
        <v>10</v>
      </c>
      <c r="U50">
        <v>22</v>
      </c>
      <c r="V50">
        <f t="shared" si="11"/>
        <v>0</v>
      </c>
      <c r="W50">
        <f t="shared" si="12"/>
        <v>220</v>
      </c>
      <c r="X50">
        <f t="shared" si="5"/>
        <v>198</v>
      </c>
      <c r="Y50">
        <f t="shared" si="6"/>
        <v>242.00000000000003</v>
      </c>
      <c r="Z50">
        <f t="shared" si="13"/>
        <v>0</v>
      </c>
      <c r="AA50" s="126">
        <f t="shared" si="14"/>
        <v>2.2484202483840717E-9</v>
      </c>
      <c r="AB50" s="126">
        <f t="shared" si="15"/>
        <v>4.7407283854786172E-9</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2.4397751631092586E-9</v>
      </c>
      <c r="S51" s="126">
        <f t="shared" si="4"/>
        <v>5.0525355642704809E-9</v>
      </c>
      <c r="T51">
        <v>10</v>
      </c>
      <c r="U51">
        <v>27</v>
      </c>
      <c r="V51">
        <f t="shared" si="11"/>
        <v>1</v>
      </c>
      <c r="W51">
        <f t="shared" si="12"/>
        <v>270</v>
      </c>
      <c r="X51">
        <f t="shared" si="5"/>
        <v>243</v>
      </c>
      <c r="Y51">
        <f t="shared" si="6"/>
        <v>297</v>
      </c>
      <c r="Z51">
        <f t="shared" si="13"/>
        <v>1</v>
      </c>
      <c r="AA51" s="126">
        <f t="shared" si="14"/>
        <v>2.4397751631092586E-9</v>
      </c>
      <c r="AB51" s="126">
        <f t="shared" si="15"/>
        <v>5.0525355642704809E-9</v>
      </c>
      <c r="AC51" s="126" t="str">
        <f t="shared" si="7"/>
        <v>Vlow exceeds VIL spec</v>
      </c>
      <c r="AD51" s="126" t="str">
        <f t="shared" si="8"/>
        <v>Vlow exceeds VIL spec</v>
      </c>
    </row>
    <row r="52" spans="1:30" x14ac:dyDescent="0.35">
      <c r="A52" t="s">
        <v>324</v>
      </c>
      <c r="B52" s="1">
        <f>K21</f>
        <v>14.506962153924308</v>
      </c>
      <c r="C52">
        <v>0</v>
      </c>
      <c r="K52">
        <v>1</v>
      </c>
      <c r="L52">
        <v>56</v>
      </c>
      <c r="M52">
        <f t="shared" si="9"/>
        <v>0</v>
      </c>
      <c r="N52">
        <f t="shared" si="0"/>
        <v>56</v>
      </c>
      <c r="O52">
        <f t="shared" si="1"/>
        <v>53.199999999999996</v>
      </c>
      <c r="P52">
        <f t="shared" si="2"/>
        <v>58.800000000000004</v>
      </c>
      <c r="Q52">
        <f t="shared" si="10"/>
        <v>0</v>
      </c>
      <c r="R52" s="126">
        <f t="shared" si="3"/>
        <v>2.6789688065089258E-9</v>
      </c>
      <c r="S52" s="126">
        <f t="shared" si="4"/>
        <v>5.4422945377502613E-9</v>
      </c>
      <c r="T52">
        <v>10</v>
      </c>
      <c r="U52">
        <v>33</v>
      </c>
      <c r="V52">
        <f t="shared" si="11"/>
        <v>2</v>
      </c>
      <c r="W52">
        <f t="shared" si="12"/>
        <v>330</v>
      </c>
      <c r="X52">
        <f t="shared" si="5"/>
        <v>297</v>
      </c>
      <c r="Y52">
        <f t="shared" si="6"/>
        <v>363.00000000000006</v>
      </c>
      <c r="Z52">
        <f t="shared" si="13"/>
        <v>1</v>
      </c>
      <c r="AA52" s="126">
        <f t="shared" si="14"/>
        <v>2.6789688065089258E-9</v>
      </c>
      <c r="AB52" s="126">
        <f t="shared" si="15"/>
        <v>5.4422945377502613E-9</v>
      </c>
      <c r="AC52" s="126" t="str">
        <f t="shared" si="7"/>
        <v>Vlow exceeds VIL spec</v>
      </c>
      <c r="AD52" s="126" t="str">
        <f t="shared" si="8"/>
        <v>Vlow exceeds VIL spec</v>
      </c>
    </row>
    <row r="53" spans="1:30" x14ac:dyDescent="0.35">
      <c r="A53" t="s">
        <v>327</v>
      </c>
      <c r="B53">
        <v>0</v>
      </c>
      <c r="C53" s="1">
        <f>K21</f>
        <v>14.506962153924308</v>
      </c>
      <c r="K53">
        <v>1</v>
      </c>
      <c r="L53">
        <v>62</v>
      </c>
      <c r="M53">
        <f t="shared" si="9"/>
        <v>0</v>
      </c>
      <c r="N53">
        <f t="shared" si="0"/>
        <v>62</v>
      </c>
      <c r="O53">
        <f t="shared" si="1"/>
        <v>58.9</v>
      </c>
      <c r="P53">
        <f t="shared" si="2"/>
        <v>65.100000000000009</v>
      </c>
      <c r="Q53">
        <f t="shared" si="10"/>
        <v>0</v>
      </c>
      <c r="R53" s="126">
        <f t="shared" si="3"/>
        <v>2.9660011785785288E-9</v>
      </c>
      <c r="S53" s="126">
        <f t="shared" si="4"/>
        <v>5.9100053059112673E-9</v>
      </c>
      <c r="T53">
        <v>10</v>
      </c>
      <c r="U53">
        <v>39</v>
      </c>
      <c r="V53">
        <f t="shared" si="11"/>
        <v>3</v>
      </c>
      <c r="W53">
        <f t="shared" si="12"/>
        <v>390</v>
      </c>
      <c r="X53">
        <f t="shared" si="5"/>
        <v>351</v>
      </c>
      <c r="Y53">
        <f t="shared" si="6"/>
        <v>429.00000000000006</v>
      </c>
      <c r="Z53">
        <f t="shared" si="13"/>
        <v>1</v>
      </c>
      <c r="AA53" s="126">
        <f t="shared" si="14"/>
        <v>2.9660011785785288E-9</v>
      </c>
      <c r="AB53" s="126">
        <f t="shared" si="15"/>
        <v>5.9100053059112673E-9</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3.2530335506372233E-9</v>
      </c>
      <c r="S54" s="126">
        <f t="shared" si="4"/>
        <v>6.3777160740561995E-9</v>
      </c>
      <c r="T54">
        <v>10</v>
      </c>
      <c r="U54">
        <v>47</v>
      </c>
      <c r="V54">
        <f t="shared" si="11"/>
        <v>4</v>
      </c>
      <c r="W54">
        <f t="shared" si="12"/>
        <v>470</v>
      </c>
      <c r="X54">
        <f t="shared" si="5"/>
        <v>423</v>
      </c>
      <c r="Y54">
        <f t="shared" si="6"/>
        <v>517</v>
      </c>
      <c r="Z54">
        <f t="shared" si="13"/>
        <v>1</v>
      </c>
      <c r="AA54" s="126">
        <f t="shared" si="14"/>
        <v>3.2530335506372233E-9</v>
      </c>
      <c r="AB54" s="126">
        <f t="shared" si="15"/>
        <v>6.3777160740561995E-9</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3.5879046513585819E-9</v>
      </c>
      <c r="S55" s="126">
        <f t="shared" si="4"/>
        <v>6.9233786368716421E-9</v>
      </c>
      <c r="T55">
        <v>10</v>
      </c>
      <c r="U55">
        <v>56</v>
      </c>
      <c r="V55">
        <f t="shared" si="11"/>
        <v>5</v>
      </c>
      <c r="W55">
        <f t="shared" si="12"/>
        <v>560</v>
      </c>
      <c r="X55">
        <f t="shared" si="5"/>
        <v>504</v>
      </c>
      <c r="Y55">
        <f t="shared" si="6"/>
        <v>616</v>
      </c>
      <c r="Z55">
        <f t="shared" si="13"/>
        <v>1</v>
      </c>
      <c r="AA55" s="126">
        <f t="shared" si="14"/>
        <v>3.5879046513585819E-9</v>
      </c>
      <c r="AB55" s="126">
        <f t="shared" si="15"/>
        <v>6.9233786368716421E-9</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3.9227757520650955E-9</v>
      </c>
      <c r="S56" s="126">
        <f t="shared" si="4"/>
        <v>7.4690411996652074E-9</v>
      </c>
      <c r="T56">
        <v>10</v>
      </c>
      <c r="U56">
        <v>68</v>
      </c>
      <c r="V56">
        <f t="shared" si="11"/>
        <v>6</v>
      </c>
      <c r="W56">
        <f t="shared" si="12"/>
        <v>680</v>
      </c>
      <c r="X56">
        <f t="shared" si="5"/>
        <v>612</v>
      </c>
      <c r="Y56">
        <f t="shared" si="6"/>
        <v>748.00000000000011</v>
      </c>
      <c r="Z56">
        <f t="shared" si="13"/>
        <v>1</v>
      </c>
      <c r="AA56" s="126">
        <f t="shared" si="14"/>
        <v>3.9227757520650955E-9</v>
      </c>
      <c r="AB56" s="126">
        <f t="shared" si="15"/>
        <v>7.4690411996652074E-9</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4.353324310094512E-9</v>
      </c>
      <c r="S57" s="126">
        <f t="shared" si="4"/>
        <v>8.17060735179622E-9</v>
      </c>
      <c r="T57">
        <v>10</v>
      </c>
      <c r="U57">
        <v>82</v>
      </c>
      <c r="V57">
        <f t="shared" si="11"/>
        <v>7</v>
      </c>
      <c r="W57">
        <f t="shared" si="12"/>
        <v>820</v>
      </c>
      <c r="X57">
        <f t="shared" si="5"/>
        <v>738</v>
      </c>
      <c r="Y57">
        <f t="shared" si="6"/>
        <v>902.00000000000011</v>
      </c>
      <c r="Z57">
        <f t="shared" si="13"/>
        <v>1</v>
      </c>
      <c r="AA57" s="126">
        <f t="shared" si="14"/>
        <v>4.353324310094512E-9</v>
      </c>
      <c r="AB57" s="126">
        <f t="shared" si="15"/>
        <v>8.17060735179622E-9</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4.7838728680993876E-9</v>
      </c>
      <c r="S58" s="126">
        <f t="shared" si="4"/>
        <v>8.8721735038910666E-9</v>
      </c>
      <c r="T58">
        <v>100</v>
      </c>
      <c r="U58">
        <v>10</v>
      </c>
      <c r="V58">
        <f t="shared" si="11"/>
        <v>8</v>
      </c>
      <c r="W58">
        <f t="shared" si="12"/>
        <v>1000</v>
      </c>
      <c r="X58">
        <f t="shared" si="5"/>
        <v>900</v>
      </c>
      <c r="Y58">
        <f t="shared" si="6"/>
        <v>1100</v>
      </c>
      <c r="Z58">
        <f t="shared" si="13"/>
        <v>0</v>
      </c>
      <c r="AA58" s="126">
        <f t="shared" si="14"/>
        <v>4.7838728680993876E-9</v>
      </c>
      <c r="AB58" s="126">
        <f t="shared" si="15"/>
        <v>8.8721735038910666E-9</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5.2622601547426876E-9</v>
      </c>
      <c r="S59" s="126">
        <f t="shared" si="4"/>
        <v>9.6516914506207091E-9</v>
      </c>
      <c r="T59">
        <v>100</v>
      </c>
      <c r="U59">
        <v>12</v>
      </c>
      <c r="V59">
        <f t="shared" si="11"/>
        <v>8</v>
      </c>
      <c r="W59">
        <f t="shared" si="12"/>
        <v>1200</v>
      </c>
      <c r="X59">
        <f t="shared" si="5"/>
        <v>1080</v>
      </c>
      <c r="Y59">
        <f t="shared" si="6"/>
        <v>1320</v>
      </c>
      <c r="Z59">
        <f t="shared" si="13"/>
        <v>0</v>
      </c>
      <c r="AA59" s="126">
        <f t="shared" si="14"/>
        <v>5.2622601547426876E-9</v>
      </c>
      <c r="AB59" s="126">
        <f t="shared" si="15"/>
        <v>9.6516914506207091E-9</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5.7406474413556897E-9</v>
      </c>
      <c r="S60" s="126">
        <f t="shared" si="4"/>
        <v>1.0431209397305707E-8</v>
      </c>
      <c r="T60">
        <v>100</v>
      </c>
      <c r="U60">
        <v>15</v>
      </c>
      <c r="V60">
        <f t="shared" si="11"/>
        <v>8</v>
      </c>
      <c r="W60">
        <f t="shared" si="12"/>
        <v>1500</v>
      </c>
      <c r="X60">
        <f t="shared" si="5"/>
        <v>1350</v>
      </c>
      <c r="Y60">
        <f t="shared" si="6"/>
        <v>1650.0000000000002</v>
      </c>
      <c r="Z60">
        <f t="shared" si="13"/>
        <v>0</v>
      </c>
      <c r="AA60" s="126">
        <f t="shared" si="14"/>
        <v>5.7406474413556897E-9</v>
      </c>
      <c r="AB60" s="126">
        <f t="shared" si="15"/>
        <v>1.0431209397305707E-8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6.2190347279383946E-9</v>
      </c>
      <c r="S61" s="126">
        <f t="shared" si="4"/>
        <v>1.1210727343946056E-8</v>
      </c>
      <c r="T61">
        <v>100</v>
      </c>
      <c r="U61">
        <v>18</v>
      </c>
      <c r="V61">
        <f t="shared" si="11"/>
        <v>8</v>
      </c>
      <c r="W61">
        <f t="shared" si="12"/>
        <v>1800</v>
      </c>
      <c r="X61">
        <f t="shared" si="5"/>
        <v>1620</v>
      </c>
      <c r="Y61">
        <f t="shared" si="6"/>
        <v>1980.0000000000002</v>
      </c>
      <c r="Z61">
        <f t="shared" si="13"/>
        <v>0</v>
      </c>
      <c r="AA61" s="126">
        <f t="shared" si="14"/>
        <v>6.2190347279383946E-9</v>
      </c>
      <c r="AB61" s="126">
        <f t="shared" si="15"/>
        <v>1.1210727343946056E-8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0.99999912323465123</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0.99999912325077001</v>
      </c>
      <c r="K62">
        <v>10</v>
      </c>
      <c r="L62">
        <v>15</v>
      </c>
      <c r="M62">
        <f t="shared" si="9"/>
        <v>0</v>
      </c>
      <c r="N62">
        <f t="shared" si="0"/>
        <v>150</v>
      </c>
      <c r="O62">
        <f t="shared" si="1"/>
        <v>142.5</v>
      </c>
      <c r="P62">
        <f t="shared" si="2"/>
        <v>157.5</v>
      </c>
      <c r="Q62">
        <f t="shared" si="10"/>
        <v>0</v>
      </c>
      <c r="R62" s="126">
        <f t="shared" si="3"/>
        <v>7.1758093010129112E-9</v>
      </c>
      <c r="S62" s="126">
        <f t="shared" si="4"/>
        <v>1.2769763237092824E-8</v>
      </c>
      <c r="T62">
        <v>100</v>
      </c>
      <c r="U62">
        <v>22</v>
      </c>
      <c r="V62">
        <f t="shared" si="11"/>
        <v>8</v>
      </c>
      <c r="W62">
        <f t="shared" si="12"/>
        <v>2200</v>
      </c>
      <c r="X62">
        <f t="shared" si="5"/>
        <v>1980</v>
      </c>
      <c r="Y62">
        <f t="shared" si="6"/>
        <v>2420</v>
      </c>
      <c r="Z62">
        <f t="shared" si="13"/>
        <v>0</v>
      </c>
      <c r="AA62" s="126">
        <f t="shared" si="14"/>
        <v>7.1758093010129112E-9</v>
      </c>
      <c r="AB62" s="126">
        <f t="shared" si="15"/>
        <v>1.2769763237092824E-8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0.99999912325077001</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0.99999912325077001</v>
      </c>
      <c r="K63">
        <v>10</v>
      </c>
      <c r="L63">
        <v>16</v>
      </c>
      <c r="M63">
        <f t="shared" si="9"/>
        <v>0</v>
      </c>
      <c r="N63">
        <f t="shared" si="0"/>
        <v>160</v>
      </c>
      <c r="O63">
        <f t="shared" si="1"/>
        <v>152</v>
      </c>
      <c r="P63">
        <f t="shared" si="2"/>
        <v>168</v>
      </c>
      <c r="Q63">
        <f t="shared" si="10"/>
        <v>0</v>
      </c>
      <c r="R63" s="126">
        <f t="shared" si="3"/>
        <v>7.6541965875047222E-9</v>
      </c>
      <c r="S63" s="126">
        <f t="shared" si="4"/>
        <v>1.354928118359924E-8</v>
      </c>
      <c r="T63">
        <v>100</v>
      </c>
      <c r="U63">
        <v>27</v>
      </c>
      <c r="V63">
        <f t="shared" si="11"/>
        <v>8</v>
      </c>
      <c r="W63">
        <f t="shared" si="12"/>
        <v>2700</v>
      </c>
      <c r="X63">
        <f t="shared" si="5"/>
        <v>2430</v>
      </c>
      <c r="Y63">
        <f t="shared" si="6"/>
        <v>2970.0000000000005</v>
      </c>
      <c r="Z63">
        <f t="shared" si="13"/>
        <v>0</v>
      </c>
      <c r="AA63" s="126">
        <f t="shared" si="14"/>
        <v>7.6541965875047222E-9</v>
      </c>
      <c r="AB63" s="126">
        <f t="shared" si="15"/>
        <v>1.354928118359924E-8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0.99999912325077001</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0.99999912323465123</v>
      </c>
      <c r="K64">
        <v>10</v>
      </c>
      <c r="L64">
        <v>18</v>
      </c>
      <c r="M64">
        <f t="shared" si="9"/>
        <v>0</v>
      </c>
      <c r="N64">
        <f t="shared" si="0"/>
        <v>180</v>
      </c>
      <c r="O64">
        <f t="shared" si="1"/>
        <v>171</v>
      </c>
      <c r="P64">
        <f t="shared" si="2"/>
        <v>189</v>
      </c>
      <c r="Q64">
        <f t="shared" si="10"/>
        <v>0</v>
      </c>
      <c r="R64" s="126">
        <f t="shared" si="3"/>
        <v>8.6109711603974502E-9</v>
      </c>
      <c r="S64" s="126">
        <f t="shared" si="4"/>
        <v>1.5108317076478139E-8</v>
      </c>
      <c r="T64">
        <v>100</v>
      </c>
      <c r="U64">
        <v>33</v>
      </c>
      <c r="V64">
        <f t="shared" si="11"/>
        <v>8</v>
      </c>
      <c r="W64">
        <f t="shared" si="12"/>
        <v>3300</v>
      </c>
      <c r="X64">
        <f t="shared" si="5"/>
        <v>2970</v>
      </c>
      <c r="Y64">
        <f t="shared" si="6"/>
        <v>3630.0000000000005</v>
      </c>
      <c r="Z64">
        <f t="shared" si="13"/>
        <v>0</v>
      </c>
      <c r="AA64" s="126">
        <f t="shared" si="14"/>
        <v>8.6109711603974502E-9</v>
      </c>
      <c r="AB64" s="126">
        <f t="shared" si="15"/>
        <v>1.5108317076478139E-8</v>
      </c>
      <c r="AC64" s="126" t="str">
        <f t="shared" si="7"/>
        <v>Vlow exceeds VIL spec</v>
      </c>
      <c r="AD64" s="126">
        <f t="shared" si="8"/>
        <v>2.3312378432537449E-8</v>
      </c>
    </row>
    <row r="65" spans="1:31" x14ac:dyDescent="0.35">
      <c r="K65">
        <v>10</v>
      </c>
      <c r="L65">
        <v>20</v>
      </c>
      <c r="M65">
        <f t="shared" si="9"/>
        <v>0</v>
      </c>
      <c r="N65">
        <f t="shared" si="0"/>
        <v>200</v>
      </c>
      <c r="O65">
        <f t="shared" si="1"/>
        <v>190</v>
      </c>
      <c r="P65">
        <f t="shared" si="2"/>
        <v>210</v>
      </c>
      <c r="Q65">
        <f t="shared" si="10"/>
        <v>0</v>
      </c>
      <c r="R65" s="126">
        <f t="shared" si="3"/>
        <v>9.567745733168988E-9</v>
      </c>
      <c r="S65" s="126">
        <f t="shared" si="4"/>
        <v>1.6667352969178449E-8</v>
      </c>
      <c r="T65">
        <v>100</v>
      </c>
      <c r="U65">
        <v>39</v>
      </c>
      <c r="V65">
        <f t="shared" si="11"/>
        <v>8</v>
      </c>
      <c r="W65">
        <f t="shared" si="12"/>
        <v>3900</v>
      </c>
      <c r="X65">
        <f t="shared" si="5"/>
        <v>3510</v>
      </c>
      <c r="Y65">
        <f t="shared" si="6"/>
        <v>4290</v>
      </c>
      <c r="Z65">
        <f t="shared" si="13"/>
        <v>0</v>
      </c>
      <c r="AA65" s="126">
        <f t="shared" si="14"/>
        <v>9.567745733168988E-9</v>
      </c>
      <c r="AB65" s="126">
        <f t="shared" si="15"/>
        <v>1.6667352969178449E-8</v>
      </c>
      <c r="AC65" s="126" t="str">
        <f t="shared" si="7"/>
        <v>Vlow exceeds VIL spec</v>
      </c>
      <c r="AD65" s="126">
        <f t="shared" si="8"/>
        <v>1.5911719923539137E-8</v>
      </c>
    </row>
    <row r="66" spans="1:31" x14ac:dyDescent="0.35">
      <c r="I66" s="128"/>
      <c r="J66" s="128"/>
      <c r="K66">
        <v>10</v>
      </c>
      <c r="L66">
        <v>22</v>
      </c>
      <c r="M66">
        <f t="shared" si="9"/>
        <v>1</v>
      </c>
      <c r="N66">
        <f t="shared" si="0"/>
        <v>220</v>
      </c>
      <c r="O66">
        <f t="shared" si="1"/>
        <v>209</v>
      </c>
      <c r="P66">
        <f t="shared" si="2"/>
        <v>231</v>
      </c>
      <c r="Q66">
        <f t="shared" si="10"/>
        <v>1</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1.0524520305819334E-8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1.8226388861700188E-8</v>
      </c>
      <c r="T66">
        <v>100</v>
      </c>
      <c r="U66">
        <v>47</v>
      </c>
      <c r="V66">
        <f t="shared" si="11"/>
        <v>8</v>
      </c>
      <c r="W66">
        <f t="shared" si="12"/>
        <v>4700</v>
      </c>
      <c r="X66">
        <f t="shared" si="5"/>
        <v>4230</v>
      </c>
      <c r="Y66">
        <f t="shared" si="6"/>
        <v>5170</v>
      </c>
      <c r="Z66">
        <f t="shared" si="13"/>
        <v>0</v>
      </c>
      <c r="AA66" s="126">
        <f t="shared" si="14"/>
        <v>1.0524520305819334E-8</v>
      </c>
      <c r="AB66" s="126">
        <f t="shared" si="15"/>
        <v>1.8226388861700188E-8</v>
      </c>
      <c r="AC66" s="126">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2.4366511409935543E-8</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1.3495861954986478E-8</v>
      </c>
    </row>
    <row r="67" spans="1:31" x14ac:dyDescent="0.35">
      <c r="B67" s="171" t="s">
        <v>354</v>
      </c>
      <c r="C67" s="171"/>
      <c r="I67" s="128"/>
      <c r="K67">
        <v>10</v>
      </c>
      <c r="L67">
        <v>24</v>
      </c>
      <c r="M67">
        <f t="shared" si="9"/>
        <v>2</v>
      </c>
      <c r="N67">
        <f t="shared" si="0"/>
        <v>240</v>
      </c>
      <c r="O67">
        <f t="shared" si="1"/>
        <v>228</v>
      </c>
      <c r="P67">
        <f t="shared" si="2"/>
        <v>252</v>
      </c>
      <c r="Q67">
        <f t="shared" si="10"/>
        <v>1</v>
      </c>
      <c r="R67" s="126">
        <f t="shared" si="16"/>
        <v>1.1481294878348488E-8</v>
      </c>
      <c r="S67" s="126">
        <f t="shared" si="17"/>
        <v>1.9785424754043342E-8</v>
      </c>
      <c r="T67">
        <v>100</v>
      </c>
      <c r="U67">
        <v>56</v>
      </c>
      <c r="V67">
        <f t="shared" si="11"/>
        <v>8</v>
      </c>
      <c r="W67">
        <f t="shared" si="12"/>
        <v>5600</v>
      </c>
      <c r="X67">
        <f t="shared" si="5"/>
        <v>5040</v>
      </c>
      <c r="Y67">
        <f t="shared" si="6"/>
        <v>6160.0000000000009</v>
      </c>
      <c r="Z67">
        <f t="shared" si="13"/>
        <v>0</v>
      </c>
      <c r="AA67" s="126">
        <f t="shared" si="14"/>
        <v>1.1481294878348488E-8</v>
      </c>
      <c r="AB67" s="126">
        <f t="shared" si="15"/>
        <v>1.9785424754043342E-8</v>
      </c>
      <c r="AC67" s="126">
        <f t="shared" si="18"/>
        <v>1.8784683970048535E-8</v>
      </c>
      <c r="AD67" s="126">
        <f t="shared" si="19"/>
        <v>1.2146463460462551E-8</v>
      </c>
    </row>
    <row r="68" spans="1:31" ht="28.4" customHeight="1" x14ac:dyDescent="0.35">
      <c r="B68" s="32" t="s">
        <v>355</v>
      </c>
      <c r="C68" s="32" t="s">
        <v>356</v>
      </c>
      <c r="D68" s="32" t="s">
        <v>357</v>
      </c>
      <c r="E68" s="32" t="str">
        <f>IF(Summary!N37="absolute","find min R2, so that max (Vz) = " &amp; TRUNC(R3/J2,3),"find min R2, so that max (Vz) = " &amp; R3)</f>
        <v>find min R2, so that max (Vz) = 0.3</v>
      </c>
      <c r="F68" s="32" t="s">
        <v>358</v>
      </c>
      <c r="G68" s="32" t="s">
        <v>359</v>
      </c>
      <c r="H68" s="32" t="s">
        <v>360</v>
      </c>
      <c r="I68" s="49"/>
      <c r="J68" s="49"/>
      <c r="K68">
        <v>10</v>
      </c>
      <c r="L68">
        <v>27</v>
      </c>
      <c r="M68">
        <f t="shared" si="9"/>
        <v>3</v>
      </c>
      <c r="N68">
        <f t="shared" si="0"/>
        <v>270</v>
      </c>
      <c r="O68">
        <f t="shared" si="1"/>
        <v>256.5</v>
      </c>
      <c r="P68">
        <f t="shared" si="2"/>
        <v>283.5</v>
      </c>
      <c r="Q68">
        <f t="shared" si="10"/>
        <v>1</v>
      </c>
      <c r="R68" s="126">
        <f t="shared" si="16"/>
        <v>1.2916456736914984E-8</v>
      </c>
      <c r="S68" s="126">
        <f t="shared" si="17"/>
        <v>2.2123978592223235E-8</v>
      </c>
      <c r="T68">
        <v>100</v>
      </c>
      <c r="U68">
        <v>68</v>
      </c>
      <c r="V68">
        <f t="shared" si="11"/>
        <v>8</v>
      </c>
      <c r="W68">
        <f t="shared" si="12"/>
        <v>6800</v>
      </c>
      <c r="X68">
        <f t="shared" si="5"/>
        <v>6120</v>
      </c>
      <c r="Y68">
        <f t="shared" si="6"/>
        <v>7480.0000000000009</v>
      </c>
      <c r="Z68">
        <f t="shared" si="13"/>
        <v>0</v>
      </c>
      <c r="AA68" s="126">
        <f t="shared" si="14"/>
        <v>1.2916456736914984E-8</v>
      </c>
      <c r="AB68" s="126">
        <f t="shared" si="15"/>
        <v>2.2123978592223235E-8</v>
      </c>
      <c r="AC68" s="126">
        <f t="shared" si="18"/>
        <v>1.5528516956259521E-8</v>
      </c>
      <c r="AD68" s="126">
        <f t="shared" si="19"/>
        <v>1.0918290378087172E-8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4</v>
      </c>
      <c r="N69">
        <f t="shared" si="0"/>
        <v>300</v>
      </c>
      <c r="O69">
        <f t="shared" si="1"/>
        <v>285</v>
      </c>
      <c r="P69">
        <f t="shared" si="2"/>
        <v>315</v>
      </c>
      <c r="Q69">
        <f t="shared" si="10"/>
        <v>1</v>
      </c>
      <c r="R69" s="126">
        <f t="shared" si="16"/>
        <v>1.43516185952088E-8</v>
      </c>
      <c r="S69" s="126">
        <f t="shared" si="17"/>
        <v>2.446253243000132E-8</v>
      </c>
      <c r="T69">
        <v>100</v>
      </c>
      <c r="U69">
        <v>82</v>
      </c>
      <c r="V69">
        <f t="shared" si="11"/>
        <v>8</v>
      </c>
      <c r="W69">
        <f t="shared" si="12"/>
        <v>8200</v>
      </c>
      <c r="X69">
        <f t="shared" si="5"/>
        <v>7380</v>
      </c>
      <c r="Y69">
        <f t="shared" si="6"/>
        <v>9020</v>
      </c>
      <c r="Z69">
        <f t="shared" si="13"/>
        <v>0</v>
      </c>
      <c r="AA69" s="126">
        <f t="shared" si="14"/>
        <v>1.43516185952088E-8</v>
      </c>
      <c r="AB69" s="126">
        <f t="shared" si="15"/>
        <v>2.446253243000132E-8</v>
      </c>
      <c r="AC69" s="126">
        <f t="shared" si="18"/>
        <v>1.3854770203894256E-8</v>
      </c>
      <c r="AD69" s="126">
        <f t="shared" si="19"/>
        <v>1.0145904269491084E-8</v>
      </c>
    </row>
    <row r="70" spans="1:31" x14ac:dyDescent="0.35">
      <c r="A70" t="s">
        <v>320</v>
      </c>
      <c r="B70" s="11">
        <f>F11*(1+H11)</f>
        <v>787.5</v>
      </c>
      <c r="C70" s="11">
        <f>F11*(1-H11)</f>
        <v>712.5</v>
      </c>
      <c r="D70" s="11">
        <f>F11*(1+H11)</f>
        <v>787.5</v>
      </c>
      <c r="E70" s="11"/>
      <c r="F70" s="11">
        <f>F11*(1-H11)</f>
        <v>712.5</v>
      </c>
      <c r="G70" s="11">
        <f>F11*(1-H11)</f>
        <v>712.5</v>
      </c>
      <c r="H70" s="11">
        <f>F11*(1+H11)</f>
        <v>787.5</v>
      </c>
      <c r="K70">
        <v>10</v>
      </c>
      <c r="L70">
        <v>33</v>
      </c>
      <c r="M70">
        <f t="shared" si="9"/>
        <v>5</v>
      </c>
      <c r="N70">
        <f t="shared" si="0"/>
        <v>330</v>
      </c>
      <c r="O70">
        <f t="shared" si="1"/>
        <v>313.5</v>
      </c>
      <c r="P70">
        <f t="shared" si="2"/>
        <v>346.5</v>
      </c>
      <c r="Q70">
        <f t="shared" si="10"/>
        <v>1</v>
      </c>
      <c r="R70" s="126">
        <f t="shared" si="16"/>
        <v>1.5786780453229936E-8</v>
      </c>
      <c r="S70" s="126">
        <f t="shared" si="17"/>
        <v>2.68010862673776E-8</v>
      </c>
      <c r="T70">
        <v>1000</v>
      </c>
      <c r="U70">
        <v>10</v>
      </c>
      <c r="V70">
        <f t="shared" si="11"/>
        <v>8</v>
      </c>
      <c r="W70">
        <f t="shared" si="12"/>
        <v>10000</v>
      </c>
      <c r="X70">
        <f t="shared" si="5"/>
        <v>9000</v>
      </c>
      <c r="Y70">
        <f t="shared" si="6"/>
        <v>11000</v>
      </c>
      <c r="Z70">
        <f t="shared" si="13"/>
        <v>0</v>
      </c>
      <c r="AA70" s="126">
        <f t="shared" si="14"/>
        <v>1.5786780453229936E-8</v>
      </c>
      <c r="AB70" s="126">
        <f t="shared" si="15"/>
        <v>2.68010862673776E-8</v>
      </c>
      <c r="AC70" s="126">
        <f t="shared" si="18"/>
        <v>1.2802985152988638E-8</v>
      </c>
      <c r="AD70" s="126">
        <f t="shared" si="19"/>
        <v>9.6113873845092748E-9</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6</v>
      </c>
      <c r="N71">
        <f t="shared" si="0"/>
        <v>360</v>
      </c>
      <c r="O71">
        <f t="shared" si="1"/>
        <v>342</v>
      </c>
      <c r="P71">
        <f t="shared" si="2"/>
        <v>378</v>
      </c>
      <c r="Q71">
        <f t="shared" si="10"/>
        <v>1</v>
      </c>
      <c r="R71" s="126">
        <f t="shared" si="16"/>
        <v>1.7221942310978391E-8</v>
      </c>
      <c r="S71" s="126">
        <f t="shared" si="17"/>
        <v>2.9139640104352076E-8</v>
      </c>
      <c r="T71">
        <v>1000</v>
      </c>
      <c r="U71">
        <v>12</v>
      </c>
      <c r="V71">
        <f t="shared" si="11"/>
        <v>8</v>
      </c>
      <c r="W71">
        <f t="shared" si="12"/>
        <v>12000</v>
      </c>
      <c r="X71">
        <f t="shared" si="5"/>
        <v>10800</v>
      </c>
      <c r="Y71">
        <f t="shared" si="6"/>
        <v>13200.000000000002</v>
      </c>
      <c r="Z71">
        <f t="shared" si="13"/>
        <v>0</v>
      </c>
      <c r="AA71" s="126">
        <f t="shared" si="14"/>
        <v>1.7221942310978391E-8</v>
      </c>
      <c r="AB71" s="126">
        <f t="shared" si="15"/>
        <v>2.9139640104352076E-8</v>
      </c>
      <c r="AC71" s="126">
        <f t="shared" si="18"/>
        <v>1.2073038507534405E-8</v>
      </c>
      <c r="AD71" s="126">
        <f t="shared" si="19"/>
        <v>9.2184368541622617E-9</v>
      </c>
    </row>
    <row r="72" spans="1:31" x14ac:dyDescent="0.35">
      <c r="A72" t="s">
        <v>324</v>
      </c>
      <c r="B72" s="1">
        <f>K21*MIN(K25,K24)</f>
        <v>0</v>
      </c>
      <c r="C72" s="1">
        <f>K21*MAX(K25,K24)</f>
        <v>14.506962153924308</v>
      </c>
      <c r="D72" s="1">
        <f>K21*MIN(K25,K24)</f>
        <v>0</v>
      </c>
      <c r="E72" s="1">
        <f>K21*MAX(K25,K24)</f>
        <v>14.506962153924308</v>
      </c>
      <c r="F72" s="125">
        <f>K21*MAX(K25,K24)</f>
        <v>14.506962153924308</v>
      </c>
      <c r="G72" s="125">
        <f>K22*MAX(K25,K24)</f>
        <v>8.6969621539243072</v>
      </c>
      <c r="H72" s="1">
        <f>K22*MIN(K25,K24)</f>
        <v>0</v>
      </c>
      <c r="K72">
        <v>10</v>
      </c>
      <c r="L72">
        <v>39</v>
      </c>
      <c r="M72">
        <f t="shared" si="9"/>
        <v>7</v>
      </c>
      <c r="N72">
        <f t="shared" si="0"/>
        <v>390</v>
      </c>
      <c r="O72">
        <f t="shared" si="1"/>
        <v>370.5</v>
      </c>
      <c r="P72">
        <f t="shared" si="2"/>
        <v>409.5</v>
      </c>
      <c r="Q72">
        <f t="shared" si="10"/>
        <v>1</v>
      </c>
      <c r="R72" s="126">
        <f t="shared" si="16"/>
        <v>1.8657104168454167E-8</v>
      </c>
      <c r="S72" s="126">
        <f t="shared" si="17"/>
        <v>3.1478193940924747E-8</v>
      </c>
      <c r="T72">
        <v>1000</v>
      </c>
      <c r="U72">
        <v>15</v>
      </c>
      <c r="V72">
        <f t="shared" si="11"/>
        <v>8</v>
      </c>
      <c r="W72">
        <f t="shared" si="12"/>
        <v>15000</v>
      </c>
      <c r="X72">
        <f t="shared" si="5"/>
        <v>13500</v>
      </c>
      <c r="Y72">
        <f t="shared" si="6"/>
        <v>16500</v>
      </c>
      <c r="Z72">
        <f t="shared" si="13"/>
        <v>0</v>
      </c>
      <c r="AA72" s="126">
        <f t="shared" si="14"/>
        <v>1.8657104168454167E-8</v>
      </c>
      <c r="AB72" s="126">
        <f t="shared" si="15"/>
        <v>3.1478193940924747E-8</v>
      </c>
      <c r="AC72" s="126">
        <f t="shared" si="18"/>
        <v>1.1534442661982466E-8</v>
      </c>
      <c r="AD72" s="126">
        <f t="shared" si="19"/>
        <v>8.9170740856653241E-9</v>
      </c>
    </row>
    <row r="73" spans="1:31" x14ac:dyDescent="0.35">
      <c r="A73" t="s">
        <v>327</v>
      </c>
      <c r="B73" s="1">
        <f>K21-B72</f>
        <v>14.506962153924308</v>
      </c>
      <c r="C73" s="1">
        <f>K21-C72</f>
        <v>0</v>
      </c>
      <c r="D73" s="1">
        <f>K21-D72</f>
        <v>14.506962153924308</v>
      </c>
      <c r="E73" s="1">
        <f>K21-E72</f>
        <v>0</v>
      </c>
      <c r="F73" s="1">
        <f>K21-F72</f>
        <v>0</v>
      </c>
      <c r="G73" s="1">
        <f>K22-G72</f>
        <v>0</v>
      </c>
      <c r="H73" s="1">
        <f>K22-H72</f>
        <v>8.6969621539243072</v>
      </c>
      <c r="K73">
        <v>10</v>
      </c>
      <c r="L73">
        <v>43</v>
      </c>
      <c r="M73">
        <f t="shared" si="9"/>
        <v>8</v>
      </c>
      <c r="N73">
        <f t="shared" si="0"/>
        <v>430</v>
      </c>
      <c r="O73">
        <f t="shared" si="1"/>
        <v>408.5</v>
      </c>
      <c r="P73">
        <f t="shared" si="2"/>
        <v>451.5</v>
      </c>
      <c r="Q73">
        <f t="shared" si="10"/>
        <v>1</v>
      </c>
      <c r="R73" s="126">
        <f t="shared" si="16"/>
        <v>2.0570653311331031E-8</v>
      </c>
      <c r="S73" s="126">
        <f t="shared" si="17"/>
        <v>3.4596265722396605E-8</v>
      </c>
      <c r="T73">
        <v>1000</v>
      </c>
      <c r="U73">
        <v>18</v>
      </c>
      <c r="V73">
        <f t="shared" si="11"/>
        <v>8</v>
      </c>
      <c r="W73">
        <f t="shared" si="12"/>
        <v>18000</v>
      </c>
      <c r="X73">
        <f t="shared" si="5"/>
        <v>16200</v>
      </c>
      <c r="Y73">
        <f t="shared" si="6"/>
        <v>19800</v>
      </c>
      <c r="Z73">
        <f t="shared" si="13"/>
        <v>0</v>
      </c>
      <c r="AA73" s="126">
        <f t="shared" si="14"/>
        <v>2.0570653311331031E-8</v>
      </c>
      <c r="AB73" s="126">
        <f t="shared" si="15"/>
        <v>3.4596265722396605E-8</v>
      </c>
      <c r="AC73" s="126">
        <f t="shared" si="18"/>
        <v>1.1002035402721827E-8</v>
      </c>
      <c r="AD73" s="126">
        <f t="shared" si="19"/>
        <v>8.6097086632625073E-9</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9</v>
      </c>
      <c r="N74">
        <f t="shared" si="0"/>
        <v>470</v>
      </c>
      <c r="O74">
        <f t="shared" si="1"/>
        <v>446.5</v>
      </c>
      <c r="P74">
        <f t="shared" si="2"/>
        <v>493.5</v>
      </c>
      <c r="Q74">
        <f t="shared" si="10"/>
        <v>1</v>
      </c>
      <c r="R74" s="126">
        <f t="shared" si="16"/>
        <v>2.2484202453723124E-8</v>
      </c>
      <c r="S74" s="126">
        <f t="shared" si="17"/>
        <v>3.7714337503154142E-8</v>
      </c>
      <c r="T74">
        <v>1000</v>
      </c>
      <c r="U74">
        <v>22</v>
      </c>
      <c r="V74">
        <f t="shared" si="11"/>
        <v>8</v>
      </c>
      <c r="W74">
        <f t="shared" si="12"/>
        <v>22000</v>
      </c>
      <c r="X74">
        <f t="shared" si="5"/>
        <v>19800</v>
      </c>
      <c r="Y74">
        <f t="shared" si="6"/>
        <v>24200.000000000004</v>
      </c>
      <c r="Z74">
        <f t="shared" si="13"/>
        <v>0</v>
      </c>
      <c r="AA74" s="126">
        <f t="shared" si="14"/>
        <v>2.2484202453723124E-8</v>
      </c>
      <c r="AB74" s="126">
        <f t="shared" si="15"/>
        <v>3.7714337503154142E-8</v>
      </c>
      <c r="AC74" s="126">
        <f t="shared" si="18"/>
        <v>1.0606266886849398E-8</v>
      </c>
      <c r="AD74" s="126">
        <f t="shared" si="19"/>
        <v>8.3751419235788391E-9</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10</v>
      </c>
      <c r="N75">
        <f t="shared" si="0"/>
        <v>510</v>
      </c>
      <c r="O75">
        <f t="shared" si="1"/>
        <v>484.5</v>
      </c>
      <c r="P75">
        <f t="shared" si="2"/>
        <v>535.5</v>
      </c>
      <c r="Q75">
        <f t="shared" si="10"/>
        <v>1</v>
      </c>
      <c r="R75" s="126">
        <f t="shared" si="16"/>
        <v>2.4397751595630459E-8</v>
      </c>
      <c r="S75" s="126">
        <f t="shared" si="17"/>
        <v>4.0832409283197359E-8</v>
      </c>
      <c r="T75">
        <v>1000</v>
      </c>
      <c r="U75">
        <v>27</v>
      </c>
      <c r="V75">
        <f t="shared" si="11"/>
        <v>8</v>
      </c>
      <c r="W75">
        <f t="shared" si="12"/>
        <v>27000</v>
      </c>
      <c r="X75">
        <f t="shared" si="5"/>
        <v>24300</v>
      </c>
      <c r="Y75">
        <f t="shared" si="6"/>
        <v>29700.000000000004</v>
      </c>
      <c r="Z75">
        <f t="shared" si="13"/>
        <v>0</v>
      </c>
      <c r="AA75" s="126">
        <f t="shared" si="14"/>
        <v>2.4397751595630459E-8</v>
      </c>
      <c r="AB75" s="126">
        <f t="shared" si="15"/>
        <v>4.0832409283197359E-8</v>
      </c>
      <c r="AC75" s="126">
        <f t="shared" si="18"/>
        <v>1.0300399297749352E-8</v>
      </c>
      <c r="AD75" s="126">
        <f t="shared" si="19"/>
        <v>8.1902942813285636E-9</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11</v>
      </c>
      <c r="N76">
        <f t="shared" si="0"/>
        <v>560</v>
      </c>
      <c r="O76">
        <f t="shared" si="1"/>
        <v>532</v>
      </c>
      <c r="P76">
        <f t="shared" si="2"/>
        <v>588</v>
      </c>
      <c r="Q76">
        <f t="shared" si="10"/>
        <v>1</v>
      </c>
      <c r="R76" s="126">
        <f t="shared" si="16"/>
        <v>2.6789688022332924E-8</v>
      </c>
      <c r="S76" s="126">
        <f t="shared" si="17"/>
        <v>4.4729999007246864E-8</v>
      </c>
      <c r="T76">
        <v>1000</v>
      </c>
      <c r="U76">
        <v>33</v>
      </c>
      <c r="V76">
        <f t="shared" si="11"/>
        <v>8</v>
      </c>
      <c r="W76">
        <f t="shared" si="12"/>
        <v>33000</v>
      </c>
      <c r="X76">
        <f t="shared" si="5"/>
        <v>29700</v>
      </c>
      <c r="Y76">
        <f t="shared" si="6"/>
        <v>36300</v>
      </c>
      <c r="Z76">
        <f t="shared" si="13"/>
        <v>0</v>
      </c>
      <c r="AA76" s="126">
        <f t="shared" si="14"/>
        <v>2.6789688022332924E-8</v>
      </c>
      <c r="AB76" s="126">
        <f t="shared" si="15"/>
        <v>4.4729999007246864E-8</v>
      </c>
      <c r="AC76" s="126">
        <f t="shared" si="18"/>
        <v>1.0003630268136286E-8</v>
      </c>
      <c r="AD76" s="126">
        <f t="shared" si="19"/>
        <v>8.0079544912181643E-9</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12</v>
      </c>
      <c r="N77">
        <f t="shared" si="0"/>
        <v>620</v>
      </c>
      <c r="O77">
        <f t="shared" si="1"/>
        <v>589</v>
      </c>
      <c r="P77">
        <f t="shared" si="2"/>
        <v>651</v>
      </c>
      <c r="Q77">
        <f t="shared" si="10"/>
        <v>1</v>
      </c>
      <c r="R77" s="126">
        <f t="shared" si="16"/>
        <v>2.9660011733376047E-8</v>
      </c>
      <c r="S77" s="126">
        <f t="shared" si="17"/>
        <v>4.9407106674632984E-8</v>
      </c>
      <c r="T77">
        <v>1000</v>
      </c>
      <c r="U77">
        <v>39</v>
      </c>
      <c r="V77">
        <f t="shared" si="11"/>
        <v>8</v>
      </c>
      <c r="W77">
        <f t="shared" si="12"/>
        <v>39000</v>
      </c>
      <c r="X77">
        <f t="shared" si="5"/>
        <v>35100</v>
      </c>
      <c r="Y77">
        <f t="shared" si="6"/>
        <v>42900</v>
      </c>
      <c r="Z77">
        <f t="shared" si="13"/>
        <v>0</v>
      </c>
      <c r="AA77" s="126">
        <f t="shared" si="14"/>
        <v>2.9660011733376047E-8</v>
      </c>
      <c r="AB77" s="126">
        <f t="shared" si="15"/>
        <v>4.9407106674632984E-8</v>
      </c>
      <c r="AC77" s="126">
        <f t="shared" si="18"/>
        <v>9.7323507377823497E-9</v>
      </c>
      <c r="AD77" s="126">
        <f t="shared" si="19"/>
        <v>7.8386699206897994E-9</v>
      </c>
    </row>
    <row r="78" spans="1:31" x14ac:dyDescent="0.35">
      <c r="A78" t="s">
        <v>344</v>
      </c>
      <c r="B78">
        <v>1</v>
      </c>
      <c r="C78">
        <v>1</v>
      </c>
      <c r="D78">
        <v>1</v>
      </c>
      <c r="E78">
        <v>1</v>
      </c>
      <c r="F78">
        <v>1</v>
      </c>
      <c r="G78">
        <v>1</v>
      </c>
      <c r="H78">
        <v>1</v>
      </c>
      <c r="K78">
        <v>10</v>
      </c>
      <c r="L78">
        <v>68</v>
      </c>
      <c r="M78">
        <f t="shared" si="9"/>
        <v>13</v>
      </c>
      <c r="N78">
        <f t="shared" si="0"/>
        <v>680</v>
      </c>
      <c r="O78">
        <f t="shared" si="1"/>
        <v>646</v>
      </c>
      <c r="P78">
        <f t="shared" si="2"/>
        <v>714</v>
      </c>
      <c r="Q78">
        <f t="shared" si="10"/>
        <v>1</v>
      </c>
      <c r="R78" s="126">
        <f t="shared" si="16"/>
        <v>3.2530335443328447E-8</v>
      </c>
      <c r="S78" s="126">
        <f t="shared" si="17"/>
        <v>5.4084214340411879E-8</v>
      </c>
      <c r="T78">
        <v>1000</v>
      </c>
      <c r="U78">
        <v>47</v>
      </c>
      <c r="V78">
        <f t="shared" si="11"/>
        <v>8</v>
      </c>
      <c r="W78">
        <f t="shared" si="12"/>
        <v>47000</v>
      </c>
      <c r="X78">
        <f t="shared" si="5"/>
        <v>42300</v>
      </c>
      <c r="Y78">
        <f t="shared" si="6"/>
        <v>51700.000000000007</v>
      </c>
      <c r="Z78">
        <f t="shared" si="13"/>
        <v>0</v>
      </c>
      <c r="AA78" s="126">
        <f t="shared" si="14"/>
        <v>3.2530335443328447E-8</v>
      </c>
      <c r="AB78" s="126">
        <f t="shared" si="15"/>
        <v>5.4084214340411879E-8</v>
      </c>
      <c r="AC78" s="126">
        <f t="shared" si="18"/>
        <v>9.5235626209621209E-9</v>
      </c>
      <c r="AD78" s="126">
        <f t="shared" si="19"/>
        <v>7.706660476828719E-9</v>
      </c>
    </row>
    <row r="79" spans="1:31" x14ac:dyDescent="0.35">
      <c r="A79" t="s">
        <v>345</v>
      </c>
      <c r="B79">
        <v>1</v>
      </c>
      <c r="C79">
        <v>1</v>
      </c>
      <c r="D79">
        <v>1</v>
      </c>
      <c r="E79">
        <v>1</v>
      </c>
      <c r="F79">
        <v>1</v>
      </c>
      <c r="G79">
        <v>1</v>
      </c>
      <c r="H79">
        <v>1</v>
      </c>
      <c r="K79">
        <v>10</v>
      </c>
      <c r="L79">
        <v>75</v>
      </c>
      <c r="M79">
        <f t="shared" si="9"/>
        <v>14</v>
      </c>
      <c r="N79">
        <f t="shared" si="0"/>
        <v>750</v>
      </c>
      <c r="O79">
        <f t="shared" si="1"/>
        <v>712.5</v>
      </c>
      <c r="P79">
        <f t="shared" si="2"/>
        <v>787.5</v>
      </c>
      <c r="Q79">
        <f t="shared" si="10"/>
        <v>1</v>
      </c>
      <c r="R79" s="126">
        <f t="shared" si="16"/>
        <v>3.5879046436894368E-8</v>
      </c>
      <c r="S79" s="126">
        <f t="shared" si="17"/>
        <v>5.95408399484559E-8</v>
      </c>
      <c r="T79">
        <v>1000</v>
      </c>
      <c r="U79">
        <v>56</v>
      </c>
      <c r="V79">
        <f t="shared" si="11"/>
        <v>8</v>
      </c>
      <c r="W79">
        <f t="shared" si="12"/>
        <v>56000</v>
      </c>
      <c r="X79">
        <f t="shared" si="5"/>
        <v>50400</v>
      </c>
      <c r="Y79">
        <f t="shared" si="6"/>
        <v>61600.000000000007</v>
      </c>
      <c r="Z79">
        <f t="shared" si="13"/>
        <v>0</v>
      </c>
      <c r="AA79" s="126">
        <f t="shared" si="14"/>
        <v>3.5879046436894368E-8</v>
      </c>
      <c r="AB79" s="126">
        <f t="shared" si="15"/>
        <v>5.95408399484559E-8</v>
      </c>
      <c r="AC79" s="126">
        <f t="shared" si="18"/>
        <v>9.3336614651991574E-9</v>
      </c>
      <c r="AD79" s="126">
        <f t="shared" si="19"/>
        <v>7.5852686083036321E-9</v>
      </c>
      <c r="AE79" s="128"/>
    </row>
    <row r="80" spans="1:31" x14ac:dyDescent="0.35">
      <c r="A80" t="s">
        <v>346</v>
      </c>
      <c r="B80">
        <v>1</v>
      </c>
      <c r="C80">
        <v>1</v>
      </c>
      <c r="D80">
        <v>1</v>
      </c>
      <c r="E80">
        <v>1</v>
      </c>
      <c r="F80">
        <v>1</v>
      </c>
      <c r="G80">
        <v>1</v>
      </c>
      <c r="H80">
        <v>1</v>
      </c>
      <c r="K80">
        <v>10</v>
      </c>
      <c r="L80">
        <v>82</v>
      </c>
      <c r="M80">
        <f t="shared" si="9"/>
        <v>15</v>
      </c>
      <c r="N80">
        <f t="shared" si="0"/>
        <v>820</v>
      </c>
      <c r="O80">
        <f t="shared" si="1"/>
        <v>779</v>
      </c>
      <c r="P80">
        <f t="shared" si="2"/>
        <v>861</v>
      </c>
      <c r="Q80">
        <f t="shared" si="10"/>
        <v>1</v>
      </c>
      <c r="R80" s="126">
        <f t="shared" si="16"/>
        <v>3.9227757428975685E-8</v>
      </c>
      <c r="S80" s="126">
        <f t="shared" si="17"/>
        <v>6.4997465554312313E-8</v>
      </c>
      <c r="T80">
        <v>1000</v>
      </c>
      <c r="U80">
        <v>68</v>
      </c>
      <c r="V80">
        <f t="shared" si="11"/>
        <v>8</v>
      </c>
      <c r="W80">
        <f>U80*T80</f>
        <v>68000</v>
      </c>
      <c r="X80">
        <f t="shared" si="5"/>
        <v>61200</v>
      </c>
      <c r="Y80">
        <f t="shared" si="6"/>
        <v>74800</v>
      </c>
      <c r="Z80">
        <f t="shared" si="13"/>
        <v>0</v>
      </c>
      <c r="AA80" s="126">
        <f t="shared" si="14"/>
        <v>3.9227757428975685E-8</v>
      </c>
      <c r="AB80" s="126">
        <f t="shared" si="15"/>
        <v>6.4997465554312313E-8</v>
      </c>
      <c r="AC80" s="126">
        <f t="shared" si="18"/>
        <v>9.1841264563328777E-9</v>
      </c>
      <c r="AD80" s="126">
        <f t="shared" si="19"/>
        <v>7.48877507163683E-9</v>
      </c>
      <c r="AE80" s="128"/>
    </row>
    <row r="81" spans="1:31" x14ac:dyDescent="0.35">
      <c r="K81">
        <v>10</v>
      </c>
      <c r="L81">
        <v>91</v>
      </c>
      <c r="M81">
        <f t="shared" si="9"/>
        <v>16</v>
      </c>
      <c r="N81">
        <f t="shared" si="0"/>
        <v>910</v>
      </c>
      <c r="O81">
        <f t="shared" si="1"/>
        <v>864.5</v>
      </c>
      <c r="P81">
        <f t="shared" si="2"/>
        <v>955.5</v>
      </c>
      <c r="Q81">
        <f t="shared" si="10"/>
        <v>1</v>
      </c>
      <c r="R81" s="126">
        <f t="shared" si="16"/>
        <v>4.3533242988041653E-8</v>
      </c>
      <c r="S81" s="126">
        <f t="shared" si="17"/>
        <v>7.2013127044341813E-8</v>
      </c>
      <c r="T81">
        <v>1000</v>
      </c>
      <c r="U81">
        <v>82</v>
      </c>
      <c r="V81">
        <f t="shared" si="11"/>
        <v>8</v>
      </c>
      <c r="W81">
        <f t="shared" ref="W81" si="20">U81*T81</f>
        <v>82000</v>
      </c>
      <c r="X81">
        <f t="shared" si="5"/>
        <v>73800</v>
      </c>
      <c r="Y81">
        <f t="shared" si="6"/>
        <v>90200.000000000015</v>
      </c>
      <c r="Z81">
        <f t="shared" si="13"/>
        <v>0</v>
      </c>
      <c r="AA81" s="126">
        <f t="shared" si="14"/>
        <v>4.3533242988041653E-8</v>
      </c>
      <c r="AB81" s="126">
        <f t="shared" si="15"/>
        <v>7.2013127044341813E-8</v>
      </c>
      <c r="AC81" s="126">
        <f t="shared" si="18"/>
        <v>9.0330361494779759E-9</v>
      </c>
      <c r="AD81" s="126">
        <f t="shared" si="19"/>
        <v>7.3904499258914875E-9</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0.99999912325077067</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7.9163324874026053E-2</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4.5454543736265098E-2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0.81161492742167307</v>
      </c>
      <c r="F82" s="13"/>
      <c r="K82">
        <v>100</v>
      </c>
      <c r="L82">
        <v>10</v>
      </c>
      <c r="M82">
        <f>IF(AND(Q81=1,Q82=0),Q82+M81+1, Q82+M81)</f>
        <v>17</v>
      </c>
      <c r="N82">
        <f t="shared" si="0"/>
        <v>1000</v>
      </c>
      <c r="O82">
        <f t="shared" si="1"/>
        <v>950</v>
      </c>
      <c r="P82">
        <f t="shared" si="2"/>
        <v>1050</v>
      </c>
      <c r="Q82">
        <f t="shared" si="10"/>
        <v>1</v>
      </c>
      <c r="R82" s="126">
        <f t="shared" si="16"/>
        <v>4.7838728544653489E-8</v>
      </c>
      <c r="S82" s="126">
        <f t="shared" si="17"/>
        <v>7.9028788530755091E-8</v>
      </c>
      <c r="V82">
        <f t="shared" si="11"/>
        <v>8</v>
      </c>
      <c r="W82">
        <v>9999999</v>
      </c>
      <c r="AA82" s="126">
        <f t="shared" si="14"/>
        <v>4.7838728544653489E-8</v>
      </c>
      <c r="AB82" s="126">
        <f t="shared" si="15"/>
        <v>7.9028788530755091E-8</v>
      </c>
      <c r="AC82" s="126">
        <f t="shared" si="18"/>
        <v>8.9144893710633247E-9</v>
      </c>
      <c r="AD82" s="126">
        <f t="shared" si="19"/>
        <v>7.3127071537816522E-9</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0.99999912325077067</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9.7538034587048225E-2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4.5454543736265098E-2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18</v>
      </c>
      <c r="N83">
        <f t="shared" si="0"/>
        <v>1100</v>
      </c>
      <c r="O83">
        <f t="shared" si="1"/>
        <v>1045</v>
      </c>
      <c r="P83">
        <f t="shared" si="2"/>
        <v>1155</v>
      </c>
      <c r="Q83">
        <f t="shared" si="10"/>
        <v>0</v>
      </c>
      <c r="R83" s="126">
        <f t="shared" si="16"/>
        <v>5.2622601382455019E-8</v>
      </c>
      <c r="S83" s="126">
        <f t="shared" si="17"/>
        <v>8.6823967955861868E-8</v>
      </c>
      <c r="AA83" s="126">
        <f t="shared" si="14"/>
        <v>5.2622601382455019E-8</v>
      </c>
      <c r="AB83" s="126">
        <f t="shared" si="15"/>
        <v>8.6823967955861868E-8</v>
      </c>
      <c r="AC83" s="126">
        <f t="shared" si="18"/>
        <v>8.8095637916002777E-9</v>
      </c>
      <c r="AD83" s="126">
        <f t="shared" si="19"/>
        <v>7.2434494560325274E-9</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0.99999912323465179</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9.7538034587048225E-2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4.5454543748121107E-2</v>
      </c>
      <c r="E84" s="12">
        <f>IF(Summary!N37="absolute",(R3-N7)/(J2+J2*Summary!N17),R3-N7)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9.7538034644757965E-2</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9.0847561669234952E-2</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4.5454543743372794E-2</v>
      </c>
      <c r="K84">
        <v>100</v>
      </c>
      <c r="L84">
        <v>12</v>
      </c>
      <c r="M84">
        <f t="shared" si="21"/>
        <v>18</v>
      </c>
      <c r="N84">
        <f t="shared" si="0"/>
        <v>1200</v>
      </c>
      <c r="O84">
        <f t="shared" si="1"/>
        <v>1140</v>
      </c>
      <c r="P84">
        <f t="shared" si="2"/>
        <v>1260</v>
      </c>
      <c r="Q84">
        <f t="shared" si="10"/>
        <v>0</v>
      </c>
      <c r="R84" s="126">
        <f t="shared" si="16"/>
        <v>5.7406474217226764E-8</v>
      </c>
      <c r="S84" s="126">
        <f t="shared" si="17"/>
        <v>9.4619147376504132E-8</v>
      </c>
      <c r="AA84" s="126">
        <f t="shared" si="14"/>
        <v>5.7406474217226764E-8</v>
      </c>
      <c r="AB84" s="126">
        <f t="shared" si="15"/>
        <v>9.4619147376504132E-8</v>
      </c>
      <c r="AC84" s="126">
        <f t="shared" si="18"/>
        <v>8.7249626326270838E-9</v>
      </c>
      <c r="AD84" s="126">
        <f t="shared" si="19"/>
        <v>7.1872941281246987E-9</v>
      </c>
      <c r="AE84" s="128"/>
    </row>
    <row r="85" spans="1:31" x14ac:dyDescent="0.35">
      <c r="E85" s="73"/>
      <c r="K85">
        <v>100</v>
      </c>
      <c r="L85">
        <v>13</v>
      </c>
      <c r="M85">
        <f t="shared" si="21"/>
        <v>18</v>
      </c>
      <c r="N85">
        <f t="shared" si="0"/>
        <v>1300</v>
      </c>
      <c r="O85">
        <f t="shared" si="1"/>
        <v>1235</v>
      </c>
      <c r="P85">
        <f t="shared" si="2"/>
        <v>1365</v>
      </c>
      <c r="Q85">
        <f t="shared" si="10"/>
        <v>0</v>
      </c>
      <c r="R85" s="126">
        <f t="shared" si="16"/>
        <v>6.2190347048968726E-8</v>
      </c>
      <c r="S85" s="126">
        <f t="shared" si="17"/>
        <v>1.0241432679268188E-7</v>
      </c>
      <c r="AA85" s="126">
        <f t="shared" si="14"/>
        <v>6.2190347048968726E-8</v>
      </c>
      <c r="AB85" s="126">
        <f t="shared" si="15"/>
        <v>1.0241432679268188E-7</v>
      </c>
      <c r="AC85" s="126">
        <f t="shared" si="18"/>
        <v>8.6553217192028031E-9</v>
      </c>
      <c r="AD85" s="126">
        <f t="shared" si="19"/>
        <v>7.1408546902656129E-9</v>
      </c>
      <c r="AE85" s="128"/>
    </row>
    <row r="86" spans="1:31" x14ac:dyDescent="0.35">
      <c r="K86">
        <v>100</v>
      </c>
      <c r="L86">
        <v>15</v>
      </c>
      <c r="M86">
        <f t="shared" si="21"/>
        <v>18</v>
      </c>
      <c r="N86">
        <f t="shared" si="0"/>
        <v>1500</v>
      </c>
      <c r="O86">
        <f t="shared" si="1"/>
        <v>1425</v>
      </c>
      <c r="P86">
        <f t="shared" si="2"/>
        <v>1575</v>
      </c>
      <c r="Q86">
        <f t="shared" si="10"/>
        <v>0</v>
      </c>
      <c r="R86" s="126">
        <f t="shared" si="16"/>
        <v>7.1758092703363271E-8</v>
      </c>
      <c r="S86" s="126">
        <f t="shared" si="17"/>
        <v>1.1800468561164385E-7</v>
      </c>
      <c r="AA86" s="126">
        <f t="shared" si="14"/>
        <v>7.1758092703363271E-8</v>
      </c>
      <c r="AB86" s="126">
        <f t="shared" si="15"/>
        <v>1.1800468561164385E-7</v>
      </c>
      <c r="AC86" s="126">
        <f t="shared" si="18"/>
        <v>8.5474734814054074E-9</v>
      </c>
      <c r="AD86" s="126">
        <f t="shared" si="19"/>
        <v>7.0685460756255164E-9</v>
      </c>
      <c r="AE86" s="128"/>
    </row>
    <row r="87" spans="1:31" x14ac:dyDescent="0.35">
      <c r="B87" s="171" t="s">
        <v>362</v>
      </c>
      <c r="C87" s="171"/>
      <c r="K87">
        <v>100</v>
      </c>
      <c r="L87">
        <v>16</v>
      </c>
      <c r="M87">
        <f t="shared" si="21"/>
        <v>18</v>
      </c>
      <c r="N87">
        <f t="shared" si="0"/>
        <v>1600</v>
      </c>
      <c r="O87">
        <f t="shared" si="1"/>
        <v>1520</v>
      </c>
      <c r="P87">
        <f t="shared" si="2"/>
        <v>1680</v>
      </c>
      <c r="Q87">
        <f t="shared" si="10"/>
        <v>0</v>
      </c>
      <c r="R87" s="126">
        <f t="shared" si="16"/>
        <v>7.6541965526015868E-8</v>
      </c>
      <c r="S87" s="126">
        <f t="shared" si="17"/>
        <v>1.2579986501442806E-7</v>
      </c>
      <c r="AA87" s="126">
        <f t="shared" si="14"/>
        <v>7.6541965526015868E-8</v>
      </c>
      <c r="AB87" s="126">
        <f t="shared" si="15"/>
        <v>1.2579986501442806E-7</v>
      </c>
      <c r="AC87" s="126">
        <f t="shared" si="18"/>
        <v>8.5048803939236626E-9</v>
      </c>
      <c r="AD87" s="126">
        <f t="shared" si="19"/>
        <v>7.0398550616709673E-9</v>
      </c>
      <c r="AE87" s="128"/>
    </row>
    <row r="88" spans="1:31" ht="29" x14ac:dyDescent="0.35">
      <c r="B88" t="s">
        <v>355</v>
      </c>
      <c r="C88" t="s">
        <v>363</v>
      </c>
      <c r="D88" t="s">
        <v>364</v>
      </c>
      <c r="E88" s="32" t="str">
        <f>IF(Summary!N37="absolute","find min R2, so that max (Vx) = " &amp; TRUNC(R2/J3,3),"find min R2, so that max (Vx) = " &amp; R2)</f>
        <v>find min R2, so that max (Vx) = 0.3</v>
      </c>
      <c r="F88" s="32" t="s">
        <v>365</v>
      </c>
      <c r="G88" s="32" t="s">
        <v>366</v>
      </c>
      <c r="H88" s="32" t="s">
        <v>367</v>
      </c>
      <c r="K88">
        <v>100</v>
      </c>
      <c r="L88">
        <v>18</v>
      </c>
      <c r="M88">
        <f t="shared" si="21"/>
        <v>18</v>
      </c>
      <c r="N88">
        <f t="shared" si="0"/>
        <v>1800</v>
      </c>
      <c r="O88">
        <f t="shared" si="1"/>
        <v>1710</v>
      </c>
      <c r="P88">
        <f t="shared" si="2"/>
        <v>1890</v>
      </c>
      <c r="Q88">
        <f t="shared" si="10"/>
        <v>0</v>
      </c>
      <c r="R88" s="126">
        <f t="shared" si="16"/>
        <v>8.6109711162231683E-8</v>
      </c>
      <c r="S88" s="126">
        <f t="shared" si="17"/>
        <v>1.4139022380660294E-7</v>
      </c>
      <c r="AA88" s="126">
        <f t="shared" si="14"/>
        <v>8.6109711162231683E-8</v>
      </c>
      <c r="AB88" s="126">
        <f t="shared" si="15"/>
        <v>1.4139022380660294E-7</v>
      </c>
      <c r="AC88" s="126">
        <f t="shared" si="18"/>
        <v>8.4354120074563017E-9</v>
      </c>
      <c r="AD88" s="126">
        <f t="shared" si="19"/>
        <v>6.9928941738008643E-9</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18</v>
      </c>
      <c r="N89">
        <f t="shared" si="0"/>
        <v>2000</v>
      </c>
      <c r="O89">
        <f t="shared" si="1"/>
        <v>1900</v>
      </c>
      <c r="P89">
        <f t="shared" si="2"/>
        <v>2100</v>
      </c>
      <c r="Q89">
        <f t="shared" si="10"/>
        <v>0</v>
      </c>
      <c r="R89" s="126">
        <f t="shared" si="16"/>
        <v>9.5677456786328389E-8</v>
      </c>
      <c r="S89" s="126">
        <f t="shared" si="17"/>
        <v>1.5698058258091983E-7</v>
      </c>
      <c r="AA89" s="126">
        <f t="shared" si="14"/>
        <v>9.5677456786328389E-8</v>
      </c>
      <c r="AB89" s="126">
        <f t="shared" si="15"/>
        <v>1.5698058258091983E-7</v>
      </c>
      <c r="AC89" s="126">
        <f t="shared" si="18"/>
        <v>8.3811742459823697E-9</v>
      </c>
      <c r="AD89" s="126">
        <f t="shared" si="19"/>
        <v>6.9560828989060788E-9</v>
      </c>
      <c r="AE89" s="128"/>
    </row>
    <row r="90" spans="1:31" x14ac:dyDescent="0.35">
      <c r="A90" t="s">
        <v>320</v>
      </c>
      <c r="B90" s="11">
        <f>F11*(1+H11)</f>
        <v>787.5</v>
      </c>
      <c r="C90" s="11">
        <f>F11*(1-H11)</f>
        <v>712.5</v>
      </c>
      <c r="D90" s="11">
        <f>F11*(1+H11)</f>
        <v>787.5</v>
      </c>
      <c r="E90" s="11"/>
      <c r="F90" s="11">
        <f>F11*(1-H11)</f>
        <v>712.5</v>
      </c>
      <c r="G90">
        <f>F11*(1-H11)</f>
        <v>712.5</v>
      </c>
      <c r="H90">
        <f>F11*(1+H11)</f>
        <v>787.5</v>
      </c>
      <c r="K90">
        <v>100</v>
      </c>
      <c r="L90">
        <v>22</v>
      </c>
      <c r="M90">
        <f t="shared" si="21"/>
        <v>18</v>
      </c>
      <c r="N90">
        <f t="shared" si="0"/>
        <v>2200</v>
      </c>
      <c r="O90">
        <f t="shared" si="1"/>
        <v>2090</v>
      </c>
      <c r="P90">
        <f t="shared" si="2"/>
        <v>2310</v>
      </c>
      <c r="Q90">
        <f t="shared" si="10"/>
        <v>0</v>
      </c>
      <c r="R90" s="126">
        <f t="shared" si="16"/>
        <v>1.0524520239830591E-7</v>
      </c>
      <c r="S90" s="126">
        <f t="shared" si="17"/>
        <v>1.7257094133737858E-7</v>
      </c>
      <c r="AA90" s="126">
        <f t="shared" si="14"/>
        <v>1.0524520239830591E-7</v>
      </c>
      <c r="AB90" s="126">
        <f t="shared" si="15"/>
        <v>1.7257094133737858E-7</v>
      </c>
      <c r="AC90" s="126">
        <f t="shared" si="18"/>
        <v>8.3376615877526328E-9</v>
      </c>
      <c r="AD90" s="126">
        <f t="shared" si="19"/>
        <v>6.9264560150048314E-9</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18</v>
      </c>
      <c r="N91">
        <f t="shared" si="0"/>
        <v>2400</v>
      </c>
      <c r="O91">
        <f t="shared" si="1"/>
        <v>2280</v>
      </c>
      <c r="P91">
        <f t="shared" si="2"/>
        <v>2520</v>
      </c>
      <c r="Q91">
        <f t="shared" si="10"/>
        <v>0</v>
      </c>
      <c r="R91" s="126">
        <f t="shared" si="16"/>
        <v>1.1481294799816431E-7</v>
      </c>
      <c r="S91" s="126">
        <f t="shared" si="17"/>
        <v>1.8816130007597937E-7</v>
      </c>
      <c r="AA91" s="126">
        <f t="shared" si="14"/>
        <v>1.1481294799816431E-7</v>
      </c>
      <c r="AB91" s="126">
        <f t="shared" si="15"/>
        <v>1.8816130007597937E-7</v>
      </c>
      <c r="AC91" s="126">
        <f t="shared" si="18"/>
        <v>8.3019839163672858E-9</v>
      </c>
      <c r="AD91" s="126">
        <f t="shared" si="19"/>
        <v>6.9020997291761879E-9</v>
      </c>
      <c r="AE91" s="128"/>
    </row>
    <row r="92" spans="1:31" x14ac:dyDescent="0.35">
      <c r="A92" t="s">
        <v>324</v>
      </c>
      <c r="B92" s="1">
        <f>K21-B93</f>
        <v>14.506962153924308</v>
      </c>
      <c r="C92" s="1">
        <f>K21-C93</f>
        <v>0</v>
      </c>
      <c r="D92" s="1">
        <f>K21-D93</f>
        <v>14.506962153924308</v>
      </c>
      <c r="E92" s="1">
        <f>K21-E93</f>
        <v>0</v>
      </c>
      <c r="F92" s="1">
        <f>K21-F93</f>
        <v>0</v>
      </c>
      <c r="G92" s="1">
        <f>K22-G93</f>
        <v>0</v>
      </c>
      <c r="H92" s="1">
        <f>K22-H93</f>
        <v>8.6969621539243072</v>
      </c>
      <c r="K92">
        <v>100</v>
      </c>
      <c r="L92">
        <v>27</v>
      </c>
      <c r="M92">
        <f t="shared" si="21"/>
        <v>18</v>
      </c>
      <c r="N92">
        <f t="shared" si="0"/>
        <v>2700</v>
      </c>
      <c r="O92">
        <f t="shared" si="1"/>
        <v>2565</v>
      </c>
      <c r="P92">
        <f t="shared" si="2"/>
        <v>2835</v>
      </c>
      <c r="Q92">
        <f t="shared" si="10"/>
        <v>0</v>
      </c>
      <c r="R92" s="126">
        <f t="shared" si="16"/>
        <v>1.2916456637522855E-7</v>
      </c>
      <c r="S92" s="126">
        <f t="shared" si="17"/>
        <v>2.1154683815039663E-7</v>
      </c>
      <c r="AA92" s="126">
        <f t="shared" si="14"/>
        <v>1.2916456637522855E-7</v>
      </c>
      <c r="AB92" s="126">
        <f t="shared" si="15"/>
        <v>2.1154683815039663E-7</v>
      </c>
      <c r="AC92" s="126">
        <f t="shared" si="18"/>
        <v>8.2590853200478062E-9</v>
      </c>
      <c r="AD92" s="126">
        <f t="shared" si="19"/>
        <v>6.8727360928676294E-9</v>
      </c>
      <c r="AE92" s="128"/>
    </row>
    <row r="93" spans="1:31" x14ac:dyDescent="0.35">
      <c r="A93" t="s">
        <v>327</v>
      </c>
      <c r="B93" s="1">
        <f>K21*(1-MAX(K25,K24))</f>
        <v>0</v>
      </c>
      <c r="C93" s="1">
        <f>K21*(1-MIN(K25,K24))</f>
        <v>14.506962153924308</v>
      </c>
      <c r="D93" s="1">
        <f>K21*(1-MAX(K25,K24))</f>
        <v>0</v>
      </c>
      <c r="E93" s="1">
        <f>K21*(1-MIN(K25,K24))</f>
        <v>14.506962153924308</v>
      </c>
      <c r="F93" s="125">
        <f>K21*(1-MIN(K25,K24))</f>
        <v>14.506962153924308</v>
      </c>
      <c r="G93" s="125">
        <f>K22*(1-MIN(K25,K24))</f>
        <v>8.6969621539243072</v>
      </c>
      <c r="H93" s="1">
        <f>K22*(1-MAX(K25,K24))</f>
        <v>0</v>
      </c>
      <c r="K93">
        <v>100</v>
      </c>
      <c r="L93">
        <v>30</v>
      </c>
      <c r="M93">
        <f t="shared" si="21"/>
        <v>18</v>
      </c>
      <c r="N93">
        <f t="shared" si="0"/>
        <v>3000</v>
      </c>
      <c r="O93">
        <f t="shared" si="1"/>
        <v>2850</v>
      </c>
      <c r="P93">
        <f t="shared" si="2"/>
        <v>3150</v>
      </c>
      <c r="Q93">
        <f t="shared" si="10"/>
        <v>0</v>
      </c>
      <c r="R93" s="126">
        <f t="shared" si="16"/>
        <v>1.4351618472502466E-7</v>
      </c>
      <c r="S93" s="126">
        <f t="shared" si="17"/>
        <v>2.3493237618463335E-7</v>
      </c>
      <c r="AA93" s="126">
        <f t="shared" si="14"/>
        <v>1.4351618472502466E-7</v>
      </c>
      <c r="AB93" s="126">
        <f t="shared" si="15"/>
        <v>2.3493237618463335E-7</v>
      </c>
      <c r="AC93" s="126">
        <f t="shared" si="18"/>
        <v>8.2253180064184547E-9</v>
      </c>
      <c r="AD93" s="126">
        <f t="shared" si="19"/>
        <v>6.8495619607388155E-9</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18</v>
      </c>
      <c r="N94">
        <f t="shared" si="0"/>
        <v>3300</v>
      </c>
      <c r="O94">
        <f t="shared" si="1"/>
        <v>3135</v>
      </c>
      <c r="P94">
        <f t="shared" si="2"/>
        <v>3465</v>
      </c>
      <c r="Q94">
        <f t="shared" si="10"/>
        <v>0</v>
      </c>
      <c r="R94" s="126">
        <f t="shared" si="16"/>
        <v>1.5786780304755272E-7</v>
      </c>
      <c r="S94" s="126">
        <f t="shared" si="17"/>
        <v>2.5831791417868944E-7</v>
      </c>
      <c r="AA94" s="126">
        <f t="shared" si="14"/>
        <v>1.5786780304755272E-7</v>
      </c>
      <c r="AB94" s="126">
        <f t="shared" si="15"/>
        <v>2.5831791417868944E-7</v>
      </c>
      <c r="AC94" s="126">
        <f t="shared" si="18"/>
        <v>8.1980496061070622E-9</v>
      </c>
      <c r="AD94" s="126">
        <f t="shared" si="19"/>
        <v>6.8308082571624744E-9</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18</v>
      </c>
      <c r="N95">
        <f t="shared" si="0"/>
        <v>3600</v>
      </c>
      <c r="O95">
        <f t="shared" si="1"/>
        <v>3420</v>
      </c>
      <c r="P95">
        <f t="shared" si="2"/>
        <v>3780</v>
      </c>
      <c r="Q95">
        <f t="shared" si="10"/>
        <v>0</v>
      </c>
      <c r="R95" s="126">
        <f t="shared" si="16"/>
        <v>1.7221942134281266E-7</v>
      </c>
      <c r="S95" s="126">
        <f t="shared" si="17"/>
        <v>2.8170345213256485E-7</v>
      </c>
      <c r="AA95" s="126">
        <f t="shared" si="14"/>
        <v>1.7221942134281266E-7</v>
      </c>
      <c r="AB95" s="126">
        <f t="shared" si="15"/>
        <v>2.8170345213256485E-7</v>
      </c>
      <c r="AC95" s="126">
        <f t="shared" si="18"/>
        <v>8.1755701490672192E-9</v>
      </c>
      <c r="AD95" s="126">
        <f t="shared" si="19"/>
        <v>6.8153210829472489E-9</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1"/>
        <v>18</v>
      </c>
      <c r="N96">
        <f t="shared" si="0"/>
        <v>3900</v>
      </c>
      <c r="O96">
        <f t="shared" si="1"/>
        <v>3705</v>
      </c>
      <c r="P96">
        <f t="shared" si="2"/>
        <v>4095</v>
      </c>
      <c r="Q96">
        <f t="shared" si="10"/>
        <v>0</v>
      </c>
      <c r="R96" s="126">
        <f t="shared" si="16"/>
        <v>1.8657103961080458E-7</v>
      </c>
      <c r="S96" s="126">
        <f t="shared" si="17"/>
        <v>3.0508899004625973E-7</v>
      </c>
      <c r="AA96" s="126">
        <f t="shared" si="14"/>
        <v>1.8657103961080458E-7</v>
      </c>
      <c r="AB96" s="126">
        <f t="shared" si="15"/>
        <v>3.0508899004625973E-7</v>
      </c>
      <c r="AC96" s="126">
        <f t="shared" si="18"/>
        <v>8.1567208093732155E-9</v>
      </c>
      <c r="AD96" s="126">
        <f t="shared" si="19"/>
        <v>6.8023158144966389E-9</v>
      </c>
      <c r="AE96" s="128"/>
    </row>
    <row r="97" spans="1:31" x14ac:dyDescent="0.35">
      <c r="K97">
        <v>100</v>
      </c>
      <c r="L97">
        <v>43</v>
      </c>
      <c r="M97">
        <f t="shared" si="21"/>
        <v>18</v>
      </c>
      <c r="N97">
        <f t="shared" si="0"/>
        <v>4300</v>
      </c>
      <c r="O97">
        <f t="shared" si="1"/>
        <v>4085</v>
      </c>
      <c r="P97">
        <f t="shared" si="2"/>
        <v>4515</v>
      </c>
      <c r="Q97">
        <f t="shared" si="10"/>
        <v>0</v>
      </c>
      <c r="R97" s="126">
        <f t="shared" si="16"/>
        <v>2.0570653059237677E-7</v>
      </c>
      <c r="S97" s="126">
        <f t="shared" si="17"/>
        <v>3.3626970720201638E-7</v>
      </c>
      <c r="AA97" s="126">
        <f t="shared" si="14"/>
        <v>2.0570653059237677E-7</v>
      </c>
      <c r="AB97" s="126">
        <f t="shared" si="15"/>
        <v>3.3626970720201638E-7</v>
      </c>
      <c r="AC97" s="126">
        <f t="shared" si="18"/>
        <v>8.1358640147728209E-9</v>
      </c>
      <c r="AD97" s="126">
        <f t="shared" si="19"/>
        <v>6.7879050085146585E-9</v>
      </c>
      <c r="AE97" s="128"/>
    </row>
    <row r="98" spans="1:31" x14ac:dyDescent="0.35">
      <c r="A98" t="s">
        <v>344</v>
      </c>
      <c r="B98">
        <v>1</v>
      </c>
      <c r="C98">
        <v>1</v>
      </c>
      <c r="D98">
        <v>1</v>
      </c>
      <c r="E98">
        <v>1</v>
      </c>
      <c r="F98">
        <v>1</v>
      </c>
      <c r="G98">
        <v>1</v>
      </c>
      <c r="H98">
        <v>1</v>
      </c>
      <c r="K98">
        <v>100</v>
      </c>
      <c r="L98">
        <v>47</v>
      </c>
      <c r="M98">
        <f t="shared" si="21"/>
        <v>18</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2.2484202152547237E-7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3.6745042428634089E-7</v>
      </c>
      <c r="AA98" s="126">
        <f t="shared" si="14"/>
        <v>2.2484202152547237E-7</v>
      </c>
      <c r="AB98" s="126">
        <f t="shared" si="15"/>
        <v>3.6745042428634089E-7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8.1187037588820128E-9</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6.7760319972963842E-9</v>
      </c>
      <c r="AE98" s="128"/>
    </row>
    <row r="99" spans="1:31" x14ac:dyDescent="0.35">
      <c r="A99" t="s">
        <v>345</v>
      </c>
      <c r="B99">
        <v>1</v>
      </c>
      <c r="C99">
        <v>1</v>
      </c>
      <c r="D99">
        <v>1</v>
      </c>
      <c r="E99">
        <v>1</v>
      </c>
      <c r="F99">
        <v>1</v>
      </c>
      <c r="G99">
        <v>1</v>
      </c>
      <c r="H99">
        <v>1</v>
      </c>
      <c r="K99">
        <v>100</v>
      </c>
      <c r="L99">
        <v>51</v>
      </c>
      <c r="M99">
        <f t="shared" si="21"/>
        <v>18</v>
      </c>
      <c r="N99">
        <f t="shared" si="23"/>
        <v>5100</v>
      </c>
      <c r="O99">
        <f t="shared" si="24"/>
        <v>4845</v>
      </c>
      <c r="P99">
        <f t="shared" si="25"/>
        <v>5355</v>
      </c>
      <c r="Q99">
        <f t="shared" ref="Q99:Q129" si="30">IF($Q$2="N/A",IF(AND((O99&gt;=MAX($H$7:$I$7)),(P99&lt;=MIN($F$7:$G$7)),(P99&lt;=MIN($B$7:$C$7)),(O99&gt;=MAX($D$7:$E$7))),1,0),IF(AND((O99&gt;=MAX($I$7)),(P99&lt;=MIN($G$7)),(P99&lt;=MIN($C$7)),(O99&gt;=MAX($E$7))),1,0))</f>
        <v>0</v>
      </c>
      <c r="R99" s="126">
        <f t="shared" si="26"/>
        <v>2.439775124100915E-7</v>
      </c>
      <c r="S99" s="126">
        <f t="shared" si="27"/>
        <v>3.9863114129923326E-7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2.439775124100915E-7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3.9863114129923326E-7</v>
      </c>
      <c r="AC99" s="126">
        <f t="shared" si="28"/>
        <v>8.1043377524210901E-9</v>
      </c>
      <c r="AD99" s="126">
        <f t="shared" si="29"/>
        <v>6.7660808799197573E-9</v>
      </c>
      <c r="AE99" s="128"/>
    </row>
    <row r="100" spans="1:31" x14ac:dyDescent="0.35">
      <c r="A100" t="s">
        <v>346</v>
      </c>
      <c r="B100">
        <v>1</v>
      </c>
      <c r="C100">
        <v>1</v>
      </c>
      <c r="D100">
        <v>1</v>
      </c>
      <c r="E100">
        <v>1</v>
      </c>
      <c r="F100">
        <v>1</v>
      </c>
      <c r="G100">
        <v>1</v>
      </c>
      <c r="H100">
        <v>1</v>
      </c>
      <c r="K100">
        <v>100</v>
      </c>
      <c r="L100">
        <v>56</v>
      </c>
      <c r="M100">
        <f t="shared" si="21"/>
        <v>18</v>
      </c>
      <c r="N100">
        <f t="shared" si="23"/>
        <v>5600</v>
      </c>
      <c r="O100">
        <f t="shared" si="24"/>
        <v>5320</v>
      </c>
      <c r="P100">
        <f t="shared" si="25"/>
        <v>5880</v>
      </c>
      <c r="Q100">
        <f t="shared" si="30"/>
        <v>0</v>
      </c>
      <c r="R100" s="126">
        <f t="shared" si="26"/>
        <v>2.6789687594769503E-7</v>
      </c>
      <c r="S100" s="126">
        <f t="shared" si="27"/>
        <v>4.3760703746489717E-7</v>
      </c>
      <c r="AA100" s="126">
        <f t="shared" si="31"/>
        <v>2.6789687594769503E-7</v>
      </c>
      <c r="AB100" s="126">
        <f t="shared" si="32"/>
        <v>4.3760703746489717E-7</v>
      </c>
      <c r="AC100" s="126">
        <f t="shared" si="28"/>
        <v>8.0893663553965055E-9</v>
      </c>
      <c r="AD100" s="126">
        <f t="shared" si="29"/>
        <v>6.7556992471297804E-9</v>
      </c>
      <c r="AE100" s="128"/>
    </row>
    <row r="101" spans="1:31" x14ac:dyDescent="0.35">
      <c r="K101">
        <v>100</v>
      </c>
      <c r="L101">
        <v>62</v>
      </c>
      <c r="M101">
        <f t="shared" si="21"/>
        <v>18</v>
      </c>
      <c r="N101">
        <f t="shared" si="23"/>
        <v>6200</v>
      </c>
      <c r="O101">
        <f t="shared" si="24"/>
        <v>5890</v>
      </c>
      <c r="P101">
        <f t="shared" si="25"/>
        <v>6510</v>
      </c>
      <c r="Q101">
        <f t="shared" si="30"/>
        <v>0</v>
      </c>
      <c r="R101" s="126">
        <f t="shared" si="26"/>
        <v>2.9660011209283648E-7</v>
      </c>
      <c r="S101" s="126">
        <f t="shared" si="27"/>
        <v>4.8437811271636476E-7</v>
      </c>
      <c r="AA101" s="126">
        <f t="shared" si="31"/>
        <v>2.9660011209283648E-7</v>
      </c>
      <c r="AB101" s="126">
        <f t="shared" si="32"/>
        <v>4.8437811271636476E-7</v>
      </c>
      <c r="AC101" s="126">
        <f t="shared" si="28"/>
        <v>8.0746880201659959E-9</v>
      </c>
      <c r="AD101" s="126">
        <f t="shared" si="29"/>
        <v>6.7455096716931884E-9</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0.99999912323465157</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8.3019795066711241E-2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3.0769230015508572E-2</v>
      </c>
      <c r="E102" s="12">
        <f>IF(Summary!N50="absolute",(R2-N7)/(J3+J3*Summary!N18),R2-N7)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8.3019795114376391E-2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7.6111502317420157E-2</v>
      </c>
      <c r="H102" s="12">
        <f t="shared" si="33"/>
        <v>3.0769230010587904E-2</v>
      </c>
      <c r="K102">
        <v>100</v>
      </c>
      <c r="L102">
        <v>68</v>
      </c>
      <c r="M102">
        <f t="shared" si="21"/>
        <v>18</v>
      </c>
      <c r="N102">
        <f t="shared" si="23"/>
        <v>6800</v>
      </c>
      <c r="O102">
        <f t="shared" si="24"/>
        <v>6460</v>
      </c>
      <c r="P102">
        <f t="shared" si="25"/>
        <v>7140</v>
      </c>
      <c r="Q102">
        <f t="shared" si="30"/>
        <v>0</v>
      </c>
      <c r="R102" s="126">
        <f t="shared" si="26"/>
        <v>3.2530334812890555E-7</v>
      </c>
      <c r="S102" s="126">
        <f t="shared" si="27"/>
        <v>5.3114918780711017E-7</v>
      </c>
      <c r="AA102" s="126">
        <f t="shared" si="31"/>
        <v>3.2530334812890555E-7</v>
      </c>
      <c r="AB102" s="126">
        <f t="shared" si="32"/>
        <v>5.3114918780711017E-7</v>
      </c>
      <c r="AC102" s="126">
        <f t="shared" si="28"/>
        <v>8.0626740523969265E-9</v>
      </c>
      <c r="AD102" s="126">
        <f t="shared" si="29"/>
        <v>6.737161387529538E-9</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0.99999912325077045</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8.3019795066711241E-2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3.0769230003222181E-2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8.3019795114376391E-2</v>
      </c>
      <c r="K103">
        <v>100</v>
      </c>
      <c r="L103">
        <v>75</v>
      </c>
      <c r="M103">
        <f t="shared" si="21"/>
        <v>18</v>
      </c>
      <c r="N103">
        <f t="shared" si="23"/>
        <v>7500</v>
      </c>
      <c r="O103">
        <f t="shared" si="24"/>
        <v>7125</v>
      </c>
      <c r="P103">
        <f t="shared" si="25"/>
        <v>7875</v>
      </c>
      <c r="Q103">
        <f t="shared" si="30"/>
        <v>0</v>
      </c>
      <c r="R103" s="126">
        <f t="shared" si="26"/>
        <v>3.5879045669979767E-7</v>
      </c>
      <c r="S103" s="126">
        <f t="shared" si="27"/>
        <v>5.8571544187651114E-7</v>
      </c>
      <c r="AA103" s="126">
        <f t="shared" si="31"/>
        <v>3.5879045669979767E-7</v>
      </c>
      <c r="AB103" s="126">
        <f t="shared" si="32"/>
        <v>5.8571544187651114E-7</v>
      </c>
      <c r="AC103" s="126">
        <f t="shared" si="28"/>
        <v>8.0511502843233727E-9</v>
      </c>
      <c r="AD103" s="126">
        <f t="shared" si="29"/>
        <v>6.7291466694834302E-9</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0.99999912325077045</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6.4349484388092251E-2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3.0769230003222181E-2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0.77511013276926366</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6.4349484436727902E-2</v>
      </c>
      <c r="K104">
        <v>100</v>
      </c>
      <c r="L104">
        <v>82</v>
      </c>
      <c r="M104">
        <f t="shared" si="21"/>
        <v>18</v>
      </c>
      <c r="N104">
        <f t="shared" si="23"/>
        <v>8200</v>
      </c>
      <c r="O104">
        <f t="shared" si="24"/>
        <v>7790</v>
      </c>
      <c r="P104">
        <f t="shared" si="25"/>
        <v>8610</v>
      </c>
      <c r="Q104">
        <f t="shared" si="30"/>
        <v>0</v>
      </c>
      <c r="R104" s="126">
        <f t="shared" si="26"/>
        <v>3.9227756512223011E-7</v>
      </c>
      <c r="S104" s="126">
        <f t="shared" si="27"/>
        <v>6.4028169572715091E-7</v>
      </c>
      <c r="AA104" s="126">
        <f t="shared" si="31"/>
        <v>3.9227756512223011E-7</v>
      </c>
      <c r="AB104" s="126">
        <f t="shared" si="32"/>
        <v>6.4028169572715091E-7</v>
      </c>
      <c r="AC104" s="126">
        <f t="shared" si="28"/>
        <v>8.0416407156236449E-9</v>
      </c>
      <c r="AD104" s="126">
        <f t="shared" si="29"/>
        <v>6.7225275723068252E-9</v>
      </c>
      <c r="AE104" s="128"/>
    </row>
    <row r="105" spans="1:31" x14ac:dyDescent="0.35">
      <c r="K105">
        <v>100</v>
      </c>
      <c r="L105">
        <v>91</v>
      </c>
      <c r="M105">
        <f t="shared" si="21"/>
        <v>18</v>
      </c>
      <c r="N105">
        <f t="shared" si="23"/>
        <v>9100</v>
      </c>
      <c r="O105">
        <f t="shared" si="24"/>
        <v>8645</v>
      </c>
      <c r="P105">
        <f t="shared" si="25"/>
        <v>9555</v>
      </c>
      <c r="Q105">
        <f t="shared" si="30"/>
        <v>0</v>
      </c>
      <c r="R105" s="126">
        <f t="shared" si="26"/>
        <v>4.3533241859007031E-7</v>
      </c>
      <c r="S105" s="126">
        <f t="shared" si="27"/>
        <v>7.1043830749938601E-7</v>
      </c>
      <c r="AA105" s="126">
        <f t="shared" si="31"/>
        <v>4.3533241859007031E-7</v>
      </c>
      <c r="AB105" s="126">
        <f t="shared" si="32"/>
        <v>7.1043830749938601E-7</v>
      </c>
      <c r="AC105" s="126">
        <f t="shared" si="28"/>
        <v>8.0316098856682556E-9</v>
      </c>
      <c r="AD105" s="126">
        <f t="shared" si="29"/>
        <v>6.7155404823656239E-9</v>
      </c>
      <c r="AE105" s="128"/>
    </row>
    <row r="106" spans="1:31" x14ac:dyDescent="0.35">
      <c r="K106">
        <v>1000</v>
      </c>
      <c r="L106">
        <v>10</v>
      </c>
      <c r="M106">
        <f t="shared" si="21"/>
        <v>18</v>
      </c>
      <c r="N106">
        <f t="shared" si="23"/>
        <v>10000</v>
      </c>
      <c r="O106">
        <f t="shared" si="24"/>
        <v>9500</v>
      </c>
      <c r="P106">
        <f t="shared" si="25"/>
        <v>10500</v>
      </c>
      <c r="Q106">
        <f t="shared" si="30"/>
        <v>0</v>
      </c>
      <c r="R106" s="126">
        <f t="shared" si="26"/>
        <v>4.7838727181249776E-7</v>
      </c>
      <c r="S106" s="126">
        <f t="shared" si="27"/>
        <v>7.8059491890999542E-7</v>
      </c>
      <c r="AA106" s="126">
        <f t="shared" si="31"/>
        <v>4.7838727181249776E-7</v>
      </c>
      <c r="AB106" s="126">
        <f t="shared" si="32"/>
        <v>7.8059491890999542E-7</v>
      </c>
      <c r="AC106" s="126">
        <f t="shared" si="28"/>
        <v>8.0234198074870333E-9</v>
      </c>
      <c r="AD106" s="126">
        <f t="shared" si="29"/>
        <v>6.7098316299422502E-9</v>
      </c>
      <c r="AE106" s="128"/>
    </row>
    <row r="107" spans="1:31" x14ac:dyDescent="0.35">
      <c r="K107">
        <v>1000</v>
      </c>
      <c r="L107">
        <v>11</v>
      </c>
      <c r="M107">
        <f t="shared" si="21"/>
        <v>18</v>
      </c>
      <c r="N107">
        <f t="shared" si="23"/>
        <v>11000</v>
      </c>
      <c r="O107">
        <f t="shared" si="24"/>
        <v>10450</v>
      </c>
      <c r="P107">
        <f t="shared" si="25"/>
        <v>11550</v>
      </c>
      <c r="Q107">
        <f t="shared" si="30"/>
        <v>0</v>
      </c>
      <c r="R107" s="126">
        <f t="shared" si="26"/>
        <v>5.2622599732736532E-7</v>
      </c>
      <c r="S107" s="126">
        <f t="shared" si="27"/>
        <v>8.5854670894209963E-7</v>
      </c>
      <c r="AA107" s="126">
        <f t="shared" si="31"/>
        <v>5.2622599732736532E-7</v>
      </c>
      <c r="AB107" s="126">
        <f t="shared" si="32"/>
        <v>8.5854670894209963E-7</v>
      </c>
      <c r="AC107" s="126">
        <f t="shared" si="28"/>
        <v>8.0159194311759554E-9</v>
      </c>
      <c r="AD107" s="126">
        <f t="shared" si="29"/>
        <v>6.7046003917465642E-9</v>
      </c>
      <c r="AE107" s="128"/>
    </row>
    <row r="108" spans="1:31" x14ac:dyDescent="0.35">
      <c r="K108">
        <v>1000</v>
      </c>
      <c r="L108">
        <v>12</v>
      </c>
      <c r="M108">
        <f t="shared" si="21"/>
        <v>18</v>
      </c>
      <c r="N108">
        <f t="shared" si="23"/>
        <v>12000</v>
      </c>
      <c r="O108">
        <f t="shared" si="24"/>
        <v>11400</v>
      </c>
      <c r="P108">
        <f t="shared" si="25"/>
        <v>12600</v>
      </c>
      <c r="Q108">
        <f t="shared" si="30"/>
        <v>0</v>
      </c>
      <c r="R108" s="126">
        <f t="shared" si="26"/>
        <v>5.7406472253925428E-7</v>
      </c>
      <c r="S108" s="126">
        <f t="shared" si="27"/>
        <v>9.3649849852775288E-7</v>
      </c>
      <c r="AA108" s="126">
        <f t="shared" si="31"/>
        <v>5.7406472253925428E-7</v>
      </c>
      <c r="AB108" s="126">
        <f t="shared" si="32"/>
        <v>9.3649849852775288E-7</v>
      </c>
      <c r="AC108" s="126">
        <f t="shared" si="28"/>
        <v>8.0096894526809268E-9</v>
      </c>
      <c r="AD108" s="126">
        <f t="shared" si="29"/>
        <v>6.7002529175281408E-9</v>
      </c>
      <c r="AE108" s="128"/>
    </row>
    <row r="109" spans="1:31" x14ac:dyDescent="0.35">
      <c r="K109">
        <v>1000</v>
      </c>
      <c r="L109">
        <v>13</v>
      </c>
      <c r="M109">
        <f t="shared" si="21"/>
        <v>18</v>
      </c>
      <c r="N109">
        <f t="shared" si="23"/>
        <v>13000</v>
      </c>
      <c r="O109">
        <f t="shared" si="24"/>
        <v>12350</v>
      </c>
      <c r="P109">
        <f t="shared" si="25"/>
        <v>13650</v>
      </c>
      <c r="Q109">
        <f t="shared" si="30"/>
        <v>0</v>
      </c>
      <c r="R109" s="126">
        <f t="shared" si="26"/>
        <v>6.2190344744816454E-7</v>
      </c>
      <c r="S109" s="126">
        <f t="shared" si="27"/>
        <v>1.014450287666955E-6</v>
      </c>
      <c r="AA109" s="126">
        <f t="shared" si="31"/>
        <v>6.2190344744816454E-7</v>
      </c>
      <c r="AB109" s="126">
        <f t="shared" si="32"/>
        <v>1.014450287666955E-6</v>
      </c>
      <c r="AC109" s="126">
        <f t="shared" si="28"/>
        <v>8.0044323325943975E-9</v>
      </c>
      <c r="AD109" s="126">
        <f t="shared" si="29"/>
        <v>6.6965827097827662E-9</v>
      </c>
      <c r="AE109" s="128"/>
    </row>
    <row r="110" spans="1:31" x14ac:dyDescent="0.35">
      <c r="K110">
        <v>1000</v>
      </c>
      <c r="L110">
        <v>15</v>
      </c>
      <c r="M110">
        <f t="shared" si="21"/>
        <v>18</v>
      </c>
      <c r="N110">
        <f t="shared" si="23"/>
        <v>15000</v>
      </c>
      <c r="O110">
        <f t="shared" si="24"/>
        <v>14250</v>
      </c>
      <c r="P110">
        <f t="shared" si="25"/>
        <v>15750</v>
      </c>
      <c r="Q110">
        <f t="shared" si="30"/>
        <v>0</v>
      </c>
      <c r="R110" s="126">
        <f t="shared" si="26"/>
        <v>7.1758089635704955E-7</v>
      </c>
      <c r="S110" s="126">
        <f t="shared" si="27"/>
        <v>1.1703538646060053E-6</v>
      </c>
      <c r="AA110" s="126">
        <f t="shared" si="31"/>
        <v>7.1758089635704955E-7</v>
      </c>
      <c r="AB110" s="126">
        <f t="shared" si="32"/>
        <v>1.1703538646060053E-6</v>
      </c>
      <c r="AC110" s="126">
        <f t="shared" si="28"/>
        <v>7.9960483192382687E-9</v>
      </c>
      <c r="AD110" s="126">
        <f t="shared" si="29"/>
        <v>6.6907264018427183E-9</v>
      </c>
      <c r="AE110" s="128"/>
    </row>
    <row r="111" spans="1:31" x14ac:dyDescent="0.35">
      <c r="K111">
        <v>1000</v>
      </c>
      <c r="L111">
        <v>16</v>
      </c>
      <c r="M111">
        <f t="shared" si="21"/>
        <v>18</v>
      </c>
      <c r="N111">
        <f t="shared" si="23"/>
        <v>16000</v>
      </c>
      <c r="O111">
        <f t="shared" si="24"/>
        <v>15200</v>
      </c>
      <c r="P111">
        <f t="shared" si="25"/>
        <v>16800</v>
      </c>
      <c r="Q111">
        <f t="shared" si="30"/>
        <v>0</v>
      </c>
      <c r="R111" s="126">
        <f t="shared" si="26"/>
        <v>7.654196203570241E-7</v>
      </c>
      <c r="S111" s="126">
        <f t="shared" si="27"/>
        <v>1.2483056524058539E-6</v>
      </c>
      <c r="AA111" s="126">
        <f t="shared" si="31"/>
        <v>7.654196203570241E-7</v>
      </c>
      <c r="AB111" s="126">
        <f t="shared" si="32"/>
        <v>1.2483056524058539E-6</v>
      </c>
      <c r="AC111" s="126">
        <f t="shared" si="28"/>
        <v>7.9926519158473403E-9</v>
      </c>
      <c r="AD111" s="126">
        <f t="shared" si="29"/>
        <v>6.6883528989492077E-9</v>
      </c>
      <c r="AE111" s="128"/>
    </row>
    <row r="112" spans="1:31" x14ac:dyDescent="0.35">
      <c r="K112">
        <v>1000</v>
      </c>
      <c r="L112">
        <v>18</v>
      </c>
      <c r="M112">
        <f t="shared" si="21"/>
        <v>18</v>
      </c>
      <c r="N112">
        <f t="shared" si="23"/>
        <v>18000</v>
      </c>
      <c r="O112">
        <f t="shared" si="24"/>
        <v>17100</v>
      </c>
      <c r="P112">
        <f t="shared" si="25"/>
        <v>18900</v>
      </c>
      <c r="Q112">
        <f t="shared" si="30"/>
        <v>0</v>
      </c>
      <c r="R112" s="126">
        <f t="shared" si="26"/>
        <v>8.6109706744803771E-7</v>
      </c>
      <c r="S112" s="126">
        <f t="shared" si="27"/>
        <v>1.4042092266661976E-6</v>
      </c>
      <c r="AA112" s="126">
        <f t="shared" si="31"/>
        <v>8.6109706744803771E-7</v>
      </c>
      <c r="AB112" s="126">
        <f t="shared" si="32"/>
        <v>1.4042092266661976E-6</v>
      </c>
      <c r="AC112" s="126">
        <f t="shared" si="28"/>
        <v>7.9870035415067553E-9</v>
      </c>
      <c r="AD112" s="126">
        <f t="shared" si="29"/>
        <v>6.6844042644908481E-9</v>
      </c>
      <c r="AE112" s="128"/>
    </row>
    <row r="113" spans="11:31" x14ac:dyDescent="0.35">
      <c r="K113">
        <v>1000</v>
      </c>
      <c r="L113">
        <v>20</v>
      </c>
      <c r="M113">
        <f t="shared" si="21"/>
        <v>18</v>
      </c>
      <c r="N113">
        <f t="shared" si="23"/>
        <v>20000</v>
      </c>
      <c r="O113">
        <f t="shared" si="24"/>
        <v>19000</v>
      </c>
      <c r="P113">
        <f t="shared" si="25"/>
        <v>21000</v>
      </c>
      <c r="Q113">
        <f t="shared" si="30"/>
        <v>0</v>
      </c>
      <c r="R113" s="126">
        <f t="shared" si="26"/>
        <v>9.5677451332713712E-7</v>
      </c>
      <c r="S113" s="126">
        <f t="shared" si="27"/>
        <v>1.5601127991407367E-6</v>
      </c>
      <c r="AA113" s="126">
        <f t="shared" si="31"/>
        <v>9.5677451332713712E-7</v>
      </c>
      <c r="AB113" s="126">
        <f t="shared" si="32"/>
        <v>1.5601127991407367E-6</v>
      </c>
      <c r="AC113" s="126">
        <f t="shared" si="28"/>
        <v>7.9824958888589699E-9</v>
      </c>
      <c r="AD113" s="126">
        <f t="shared" si="29"/>
        <v>6.6812518298052204E-9</v>
      </c>
      <c r="AE113" s="128"/>
    </row>
    <row r="114" spans="11:31" x14ac:dyDescent="0.35">
      <c r="K114">
        <v>1000</v>
      </c>
      <c r="L114">
        <v>22</v>
      </c>
      <c r="M114">
        <f t="shared" si="21"/>
        <v>18</v>
      </c>
      <c r="N114">
        <f t="shared" si="23"/>
        <v>22000</v>
      </c>
      <c r="O114">
        <f t="shared" si="24"/>
        <v>20900</v>
      </c>
      <c r="P114">
        <f t="shared" si="25"/>
        <v>23100</v>
      </c>
      <c r="Q114">
        <f t="shared" si="30"/>
        <v>0</v>
      </c>
      <c r="R114" s="126">
        <f t="shared" si="26"/>
        <v>1.052451957994322E-6</v>
      </c>
      <c r="S114" s="126">
        <f t="shared" si="27"/>
        <v>1.7160163698294716E-6</v>
      </c>
      <c r="AA114" s="126">
        <f t="shared" si="31"/>
        <v>1.052451957994322E-6</v>
      </c>
      <c r="AB114" s="126">
        <f t="shared" si="32"/>
        <v>1.7160163698294716E-6</v>
      </c>
      <c r="AC114" s="126">
        <f t="shared" si="28"/>
        <v>7.9788150987179284E-9</v>
      </c>
      <c r="AD114" s="126">
        <f t="shared" si="29"/>
        <v>6.6786768376107785E-9</v>
      </c>
      <c r="AE114" s="128"/>
    </row>
    <row r="115" spans="11:31" x14ac:dyDescent="0.35">
      <c r="K115">
        <v>1000</v>
      </c>
      <c r="L115">
        <v>24</v>
      </c>
      <c r="M115">
        <f t="shared" si="21"/>
        <v>18</v>
      </c>
      <c r="N115">
        <f t="shared" si="23"/>
        <v>24000</v>
      </c>
      <c r="O115">
        <f t="shared" si="24"/>
        <v>22800</v>
      </c>
      <c r="P115">
        <f t="shared" si="25"/>
        <v>25200</v>
      </c>
      <c r="Q115">
        <f t="shared" si="30"/>
        <v>0</v>
      </c>
      <c r="R115" s="126">
        <f t="shared" si="26"/>
        <v>1.1481294014495929E-6</v>
      </c>
      <c r="S115" s="126">
        <f t="shared" si="27"/>
        <v>1.8719199387324022E-6</v>
      </c>
      <c r="AA115" s="126">
        <f t="shared" si="31"/>
        <v>1.1481294014495929E-6</v>
      </c>
      <c r="AB115" s="126">
        <f t="shared" si="32"/>
        <v>1.8719199387324022E-6</v>
      </c>
      <c r="AC115" s="126">
        <f t="shared" si="28"/>
        <v>7.975752776961715E-9</v>
      </c>
      <c r="AD115" s="126">
        <f t="shared" si="29"/>
        <v>6.6765339442257345E-9</v>
      </c>
      <c r="AE115" s="128"/>
    </row>
    <row r="116" spans="11:31" x14ac:dyDescent="0.35">
      <c r="K116">
        <v>1000</v>
      </c>
      <c r="L116">
        <v>27</v>
      </c>
      <c r="M116">
        <f t="shared" si="21"/>
        <v>18</v>
      </c>
      <c r="N116">
        <f t="shared" si="23"/>
        <v>27000</v>
      </c>
      <c r="O116">
        <f t="shared" si="24"/>
        <v>25650</v>
      </c>
      <c r="P116">
        <f t="shared" si="25"/>
        <v>28350</v>
      </c>
      <c r="Q116">
        <f t="shared" si="30"/>
        <v>0</v>
      </c>
      <c r="R116" s="126">
        <f t="shared" si="26"/>
        <v>1.2916455643601598E-6</v>
      </c>
      <c r="S116" s="126">
        <f t="shared" si="27"/>
        <v>2.1057752887384145E-6</v>
      </c>
      <c r="AA116" s="126">
        <f t="shared" si="31"/>
        <v>1.2916455643601598E-6</v>
      </c>
      <c r="AB116" s="126">
        <f t="shared" si="32"/>
        <v>2.1057752887384145E-6</v>
      </c>
      <c r="AC116" s="126">
        <f t="shared" si="28"/>
        <v>7.9720161070242576E-9</v>
      </c>
      <c r="AD116" s="126">
        <f t="shared" si="29"/>
        <v>6.6739184693258239E-9</v>
      </c>
      <c r="AE116" s="128"/>
    </row>
    <row r="117" spans="11:31" x14ac:dyDescent="0.35">
      <c r="K117">
        <v>1000</v>
      </c>
      <c r="L117">
        <v>30</v>
      </c>
      <c r="M117">
        <f t="shared" si="21"/>
        <v>18</v>
      </c>
      <c r="N117">
        <f t="shared" si="23"/>
        <v>30000</v>
      </c>
      <c r="O117">
        <f t="shared" si="24"/>
        <v>28500</v>
      </c>
      <c r="P117">
        <f t="shared" si="25"/>
        <v>31500</v>
      </c>
      <c r="Q117">
        <f t="shared" si="30"/>
        <v>0</v>
      </c>
      <c r="R117" s="126">
        <f t="shared" si="26"/>
        <v>1.4351617245439204E-6</v>
      </c>
      <c r="S117" s="126">
        <f t="shared" si="27"/>
        <v>2.3396306347263676E-6</v>
      </c>
      <c r="AA117" s="126">
        <f t="shared" si="31"/>
        <v>1.4351617245439204E-6</v>
      </c>
      <c r="AB117" s="126">
        <f t="shared" si="32"/>
        <v>2.3396306347263676E-6</v>
      </c>
      <c r="AC117" s="126">
        <f t="shared" si="28"/>
        <v>7.9690316491317311E-9</v>
      </c>
      <c r="AD117" s="126">
        <f t="shared" si="29"/>
        <v>6.6718289507422972E-9</v>
      </c>
      <c r="AE117" s="128"/>
    </row>
    <row r="118" spans="11:31" x14ac:dyDescent="0.35">
      <c r="K118">
        <v>1000</v>
      </c>
      <c r="L118">
        <v>33</v>
      </c>
      <c r="M118">
        <f t="shared" si="21"/>
        <v>18</v>
      </c>
      <c r="N118">
        <f t="shared" si="23"/>
        <v>33000</v>
      </c>
      <c r="O118">
        <f t="shared" si="24"/>
        <v>31350</v>
      </c>
      <c r="P118">
        <f t="shared" si="25"/>
        <v>34650</v>
      </c>
      <c r="Q118">
        <f t="shared" si="30"/>
        <v>0</v>
      </c>
      <c r="R118" s="126">
        <f t="shared" si="26"/>
        <v>1.5786778820008738E-6</v>
      </c>
      <c r="S118" s="126">
        <f t="shared" si="27"/>
        <v>2.5734859766962598E-6</v>
      </c>
      <c r="AA118" s="126">
        <f t="shared" si="31"/>
        <v>1.5786778820008738E-6</v>
      </c>
      <c r="AB118" s="126">
        <f t="shared" si="32"/>
        <v>2.5734859766962598E-6</v>
      </c>
      <c r="AC118" s="126">
        <f t="shared" si="28"/>
        <v>7.9665930408973948E-9</v>
      </c>
      <c r="AD118" s="126">
        <f t="shared" si="29"/>
        <v>6.670121234355649E-9</v>
      </c>
      <c r="AE118" s="128"/>
    </row>
    <row r="119" spans="11:31" x14ac:dyDescent="0.35">
      <c r="K119">
        <v>1000</v>
      </c>
      <c r="L119">
        <v>36</v>
      </c>
      <c r="M119">
        <f t="shared" si="21"/>
        <v>18</v>
      </c>
      <c r="N119">
        <f t="shared" si="23"/>
        <v>36000</v>
      </c>
      <c r="O119">
        <f t="shared" si="24"/>
        <v>34200</v>
      </c>
      <c r="P119">
        <f t="shared" si="25"/>
        <v>37800</v>
      </c>
      <c r="Q119">
        <f t="shared" si="30"/>
        <v>0</v>
      </c>
      <c r="R119" s="126">
        <f t="shared" si="26"/>
        <v>1.7221940367310205E-6</v>
      </c>
      <c r="S119" s="126">
        <f t="shared" si="27"/>
        <v>2.8073413146480932E-6</v>
      </c>
      <c r="AA119" s="126">
        <f t="shared" si="31"/>
        <v>1.7221940367310205E-6</v>
      </c>
      <c r="AB119" s="126">
        <f t="shared" si="32"/>
        <v>2.8073413146480932E-6</v>
      </c>
      <c r="AC119" s="126">
        <f t="shared" si="28"/>
        <v>7.9645630794186001E-9</v>
      </c>
      <c r="AD119" s="126">
        <f t="shared" si="29"/>
        <v>6.6686994353994079E-9</v>
      </c>
      <c r="AE119" s="128"/>
    </row>
    <row r="120" spans="11:31" x14ac:dyDescent="0.35">
      <c r="K120">
        <v>1000</v>
      </c>
      <c r="L120">
        <v>39</v>
      </c>
      <c r="M120">
        <f t="shared" si="21"/>
        <v>18</v>
      </c>
      <c r="N120">
        <f t="shared" si="23"/>
        <v>39000</v>
      </c>
      <c r="O120">
        <f t="shared" si="24"/>
        <v>37050</v>
      </c>
      <c r="P120">
        <f t="shared" si="25"/>
        <v>40950</v>
      </c>
      <c r="Q120">
        <f t="shared" si="30"/>
        <v>0</v>
      </c>
      <c r="R120" s="126">
        <f t="shared" si="26"/>
        <v>1.8657101887343607E-6</v>
      </c>
      <c r="S120" s="126">
        <f t="shared" si="27"/>
        <v>3.0411966485818675E-6</v>
      </c>
      <c r="AA120" s="126">
        <f t="shared" si="31"/>
        <v>1.8657101887343607E-6</v>
      </c>
      <c r="AB120" s="126">
        <f t="shared" si="32"/>
        <v>3.0411966485818675E-6</v>
      </c>
      <c r="AC120" s="126">
        <f t="shared" si="28"/>
        <v>7.9628469890063403E-9</v>
      </c>
      <c r="AD120" s="126">
        <f t="shared" si="29"/>
        <v>6.6674972957440109E-9</v>
      </c>
      <c r="AE120" s="128"/>
    </row>
    <row r="121" spans="11:31" x14ac:dyDescent="0.35">
      <c r="K121">
        <v>1000</v>
      </c>
      <c r="L121">
        <v>43</v>
      </c>
      <c r="M121">
        <f t="shared" si="21"/>
        <v>18</v>
      </c>
      <c r="N121">
        <f t="shared" si="23"/>
        <v>43000</v>
      </c>
      <c r="O121">
        <f t="shared" si="24"/>
        <v>40850</v>
      </c>
      <c r="P121">
        <f t="shared" si="25"/>
        <v>45150</v>
      </c>
      <c r="Q121">
        <f t="shared" si="30"/>
        <v>0</v>
      </c>
      <c r="R121" s="126">
        <f t="shared" si="26"/>
        <v>2.0570650538304488E-6</v>
      </c>
      <c r="S121" s="126">
        <f t="shared" si="27"/>
        <v>3.3530037542432511E-6</v>
      </c>
      <c r="AA121" s="126">
        <f t="shared" si="31"/>
        <v>2.0570650538304488E-6</v>
      </c>
      <c r="AB121" s="126">
        <f t="shared" si="32"/>
        <v>3.3530037542432511E-6</v>
      </c>
      <c r="AC121" s="126">
        <f t="shared" si="28"/>
        <v>7.9609330509812913E-9</v>
      </c>
      <c r="AD121" s="126">
        <f t="shared" si="29"/>
        <v>6.6661563689443726E-9</v>
      </c>
      <c r="AE121" s="128"/>
    </row>
    <row r="122" spans="11:31" x14ac:dyDescent="0.35">
      <c r="K122">
        <v>1000</v>
      </c>
      <c r="L122">
        <v>47</v>
      </c>
      <c r="M122">
        <f t="shared" si="21"/>
        <v>18</v>
      </c>
      <c r="N122">
        <f t="shared" si="23"/>
        <v>47000</v>
      </c>
      <c r="O122">
        <f t="shared" si="24"/>
        <v>44650</v>
      </c>
      <c r="P122">
        <f t="shared" si="25"/>
        <v>49350</v>
      </c>
      <c r="Q122">
        <f t="shared" si="30"/>
        <v>0</v>
      </c>
      <c r="R122" s="126">
        <f t="shared" si="26"/>
        <v>2.2484199140788808E-6</v>
      </c>
      <c r="S122" s="126">
        <f t="shared" si="27"/>
        <v>3.6648108527614191E-6</v>
      </c>
      <c r="AA122" s="126">
        <f t="shared" si="31"/>
        <v>2.2484199140788808E-6</v>
      </c>
      <c r="AB122" s="126">
        <f t="shared" si="32"/>
        <v>3.6648108527614191E-6</v>
      </c>
      <c r="AC122" s="126">
        <f t="shared" si="28"/>
        <v>7.9593462483495355E-9</v>
      </c>
      <c r="AD122" s="126">
        <f t="shared" si="29"/>
        <v>6.6650444826129487E-9</v>
      </c>
      <c r="AE122" s="128"/>
    </row>
    <row r="123" spans="11:31" x14ac:dyDescent="0.35">
      <c r="K123">
        <v>1000</v>
      </c>
      <c r="L123">
        <v>51</v>
      </c>
      <c r="M123">
        <f t="shared" si="21"/>
        <v>18</v>
      </c>
      <c r="N123">
        <f t="shared" si="23"/>
        <v>51000</v>
      </c>
      <c r="O123">
        <f t="shared" si="24"/>
        <v>48450</v>
      </c>
      <c r="P123">
        <f t="shared" si="25"/>
        <v>53550</v>
      </c>
      <c r="Q123">
        <f t="shared" si="30"/>
        <v>0</v>
      </c>
      <c r="R123" s="126">
        <f t="shared" si="26"/>
        <v>2.4397747694796576E-6</v>
      </c>
      <c r="S123" s="126">
        <f t="shared" si="27"/>
        <v>3.9766179441363715E-6</v>
      </c>
      <c r="AA123" s="126">
        <f t="shared" si="31"/>
        <v>2.4397747694796576E-6</v>
      </c>
      <c r="AB123" s="126">
        <f t="shared" si="32"/>
        <v>3.9766179441363715E-6</v>
      </c>
      <c r="AC123" s="126">
        <f t="shared" si="28"/>
        <v>7.9580093127944398E-9</v>
      </c>
      <c r="AD123" s="126">
        <f t="shared" si="29"/>
        <v>6.6641075715969526E-9</v>
      </c>
      <c r="AE123" s="128"/>
    </row>
    <row r="124" spans="11:31" x14ac:dyDescent="0.35">
      <c r="K124">
        <v>1000</v>
      </c>
      <c r="L124">
        <v>56</v>
      </c>
      <c r="M124">
        <f t="shared" si="21"/>
        <v>18</v>
      </c>
      <c r="N124">
        <f t="shared" si="23"/>
        <v>56000</v>
      </c>
      <c r="O124">
        <f t="shared" si="24"/>
        <v>53200</v>
      </c>
      <c r="P124">
        <f t="shared" si="25"/>
        <v>58800</v>
      </c>
      <c r="Q124">
        <f t="shared" si="30"/>
        <v>0</v>
      </c>
      <c r="R124" s="126">
        <f t="shared" si="26"/>
        <v>2.6789683319136128E-6</v>
      </c>
      <c r="S124" s="126">
        <f t="shared" si="27"/>
        <v>4.3663767983099126E-6</v>
      </c>
      <c r="AA124" s="126">
        <f t="shared" si="31"/>
        <v>2.6789683319136128E-6</v>
      </c>
      <c r="AB124" s="126">
        <f t="shared" si="32"/>
        <v>4.3663767983099126E-6</v>
      </c>
      <c r="AC124" s="126">
        <f t="shared" si="28"/>
        <v>7.9566076645380959E-9</v>
      </c>
      <c r="AD124" s="126">
        <f t="shared" si="29"/>
        <v>6.6631252037137713E-9</v>
      </c>
      <c r="AE124" s="128"/>
    </row>
    <row r="125" spans="11:31" x14ac:dyDescent="0.35">
      <c r="K125">
        <v>1000</v>
      </c>
      <c r="L125">
        <v>62</v>
      </c>
      <c r="M125">
        <f t="shared" si="21"/>
        <v>18</v>
      </c>
      <c r="N125">
        <f t="shared" si="23"/>
        <v>62000</v>
      </c>
      <c r="O125">
        <f t="shared" si="24"/>
        <v>58900</v>
      </c>
      <c r="P125">
        <f t="shared" si="25"/>
        <v>65100</v>
      </c>
      <c r="Q125">
        <f t="shared" si="30"/>
        <v>0</v>
      </c>
      <c r="R125" s="126">
        <f t="shared" si="26"/>
        <v>2.9660005968360695E-6</v>
      </c>
      <c r="S125" s="126">
        <f t="shared" si="27"/>
        <v>4.8340874085852812E-6</v>
      </c>
      <c r="AA125" s="126">
        <f t="shared" si="31"/>
        <v>2.9660005968360695E-6</v>
      </c>
      <c r="AB125" s="126">
        <f t="shared" si="32"/>
        <v>4.8340874085852812E-6</v>
      </c>
      <c r="AC125" s="126">
        <f t="shared" si="28"/>
        <v>7.9552250458735703E-9</v>
      </c>
      <c r="AD125" s="126">
        <f t="shared" si="29"/>
        <v>6.6621560657646882E-9</v>
      </c>
      <c r="AE125" s="128"/>
    </row>
    <row r="126" spans="11:31" x14ac:dyDescent="0.35">
      <c r="K126">
        <v>1000</v>
      </c>
      <c r="L126">
        <v>68</v>
      </c>
      <c r="M126">
        <f t="shared" si="21"/>
        <v>18</v>
      </c>
      <c r="N126">
        <f t="shared" si="23"/>
        <v>68000</v>
      </c>
      <c r="O126">
        <f t="shared" si="24"/>
        <v>64600</v>
      </c>
      <c r="P126">
        <f t="shared" si="25"/>
        <v>71400</v>
      </c>
      <c r="Q126">
        <f t="shared" si="30"/>
        <v>0</v>
      </c>
      <c r="R126" s="126">
        <f t="shared" si="26"/>
        <v>3.2530328508513028E-6</v>
      </c>
      <c r="S126" s="126">
        <f t="shared" si="27"/>
        <v>5.3017980027884157E-6</v>
      </c>
      <c r="AA126" s="126">
        <f t="shared" si="31"/>
        <v>3.2530328508513028E-6</v>
      </c>
      <c r="AB126" s="126">
        <f t="shared" si="32"/>
        <v>5.3017980027884157E-6</v>
      </c>
      <c r="AC126" s="126">
        <f t="shared" si="28"/>
        <v>7.9540871224144035E-9</v>
      </c>
      <c r="AD126" s="126">
        <f t="shared" si="29"/>
        <v>6.6613583654076006E-9</v>
      </c>
      <c r="AE126" s="128"/>
    </row>
    <row r="127" spans="11:31" x14ac:dyDescent="0.35">
      <c r="K127">
        <v>1000</v>
      </c>
      <c r="L127">
        <v>75</v>
      </c>
      <c r="M127">
        <f t="shared" si="21"/>
        <v>18</v>
      </c>
      <c r="N127">
        <f t="shared" si="23"/>
        <v>75000</v>
      </c>
      <c r="O127">
        <f t="shared" si="24"/>
        <v>71250</v>
      </c>
      <c r="P127">
        <f t="shared" si="25"/>
        <v>78750</v>
      </c>
      <c r="Q127">
        <f t="shared" si="30"/>
        <v>0</v>
      </c>
      <c r="R127" s="126">
        <f t="shared" si="26"/>
        <v>3.5879038000835575E-6</v>
      </c>
      <c r="S127" s="126">
        <f t="shared" si="27"/>
        <v>5.847460342378555E-6</v>
      </c>
      <c r="AA127" s="126">
        <f t="shared" si="31"/>
        <v>3.5879038000835575E-6</v>
      </c>
      <c r="AB127" s="126">
        <f t="shared" si="32"/>
        <v>5.847460342378555E-6</v>
      </c>
      <c r="AC127" s="126">
        <f t="shared" si="28"/>
        <v>7.9529902602278545E-9</v>
      </c>
      <c r="AD127" s="126">
        <f t="shared" si="29"/>
        <v>6.660589381162246E-9</v>
      </c>
      <c r="AE127" s="128"/>
    </row>
    <row r="128" spans="11:31" x14ac:dyDescent="0.35">
      <c r="K128">
        <v>1000</v>
      </c>
      <c r="L128">
        <v>82</v>
      </c>
      <c r="M128">
        <f t="shared" si="21"/>
        <v>18</v>
      </c>
      <c r="N128">
        <f t="shared" si="23"/>
        <v>82000</v>
      </c>
      <c r="O128">
        <f t="shared" si="24"/>
        <v>77900</v>
      </c>
      <c r="P128">
        <f t="shared" si="25"/>
        <v>86100</v>
      </c>
      <c r="Q128">
        <f t="shared" si="30"/>
        <v>0</v>
      </c>
      <c r="R128" s="126">
        <f t="shared" si="26"/>
        <v>3.9227747344698703E-6</v>
      </c>
      <c r="S128" s="126">
        <f t="shared" si="27"/>
        <v>6.3931226600926013E-6</v>
      </c>
      <c r="AA128" s="126">
        <f t="shared" si="31"/>
        <v>3.9227747344698703E-6</v>
      </c>
      <c r="AB128" s="126">
        <f t="shared" si="32"/>
        <v>6.3931226600926013E-6</v>
      </c>
      <c r="AC128" s="126">
        <f t="shared" si="28"/>
        <v>7.9520811151628874E-9</v>
      </c>
      <c r="AD128" s="126">
        <f t="shared" si="29"/>
        <v>6.6599519500294817E-9</v>
      </c>
      <c r="AE128" s="128"/>
    </row>
    <row r="129" spans="11:31" x14ac:dyDescent="0.35">
      <c r="K129">
        <v>1000</v>
      </c>
      <c r="L129">
        <v>91</v>
      </c>
      <c r="M129">
        <f t="shared" si="21"/>
        <v>18</v>
      </c>
      <c r="N129">
        <f t="shared" si="23"/>
        <v>91000</v>
      </c>
      <c r="O129">
        <f t="shared" si="24"/>
        <v>86450</v>
      </c>
      <c r="P129">
        <f t="shared" si="25"/>
        <v>95550</v>
      </c>
      <c r="Q129">
        <f t="shared" si="30"/>
        <v>0</v>
      </c>
      <c r="R129" s="126">
        <f t="shared" si="26"/>
        <v>4.3533230568664005E-6</v>
      </c>
      <c r="S129" s="126">
        <f t="shared" si="27"/>
        <v>7.0946884650090531E-6</v>
      </c>
      <c r="AA129" s="126">
        <f t="shared" si="31"/>
        <v>4.3533230568664005E-6</v>
      </c>
      <c r="AB129" s="126">
        <f t="shared" si="32"/>
        <v>7.0946884650090531E-6</v>
      </c>
      <c r="AC129" s="126">
        <f t="shared" si="28"/>
        <v>7.9511181784204435E-9</v>
      </c>
      <c r="AD129" s="126">
        <f t="shared" si="29"/>
        <v>6.6592767534183611E-9</v>
      </c>
      <c r="AE129" s="128"/>
    </row>
    <row r="130" spans="11:31" x14ac:dyDescent="0.35">
      <c r="M130">
        <f t="shared" si="21"/>
        <v>18</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639" priority="34" stopIfTrue="1">
      <formula>AND($B$11="need resistor",$C$11&gt;0)</formula>
    </cfRule>
    <cfRule type="containsText" dxfId="638" priority="38" operator="containsText" text="need resistor">
      <formula>NOT(ISERROR(SEARCH("need resistor",B11)))</formula>
    </cfRule>
  </conditionalFormatting>
  <conditionalFormatting sqref="B11:B12">
    <cfRule type="containsText" dxfId="637" priority="36" operator="containsText" text="no need">
      <formula>NOT(ISERROR(SEARCH("no need",B11)))</formula>
    </cfRule>
  </conditionalFormatting>
  <conditionalFormatting sqref="B12">
    <cfRule type="expression" dxfId="636" priority="33" stopIfTrue="1">
      <formula>AND($B$12="need resistor",$C$12&gt;0)</formula>
    </cfRule>
    <cfRule type="containsText" dxfId="635" priority="35" operator="containsText" text="need resistor">
      <formula>NOT(ISERROR(SEARCH("need resistor",B12)))</formula>
    </cfRule>
  </conditionalFormatting>
  <conditionalFormatting sqref="B42">
    <cfRule type="expression" dxfId="634" priority="61">
      <formula>AND($B$42&gt;$S$2,$B$2=1)</formula>
    </cfRule>
    <cfRule type="expression" dxfId="633" priority="60">
      <formula>AND($B$42&lt;$R$2,$B$2=0)</formula>
    </cfRule>
    <cfRule type="expression" dxfId="632" priority="59" stopIfTrue="1">
      <formula>AND($B$42&lt;=$S$2,$B$2=1)</formula>
    </cfRule>
    <cfRule type="expression" dxfId="631" priority="58" stopIfTrue="1">
      <formula>AND($B$42&gt;=$R$2,$B$2=0)</formula>
    </cfRule>
  </conditionalFormatting>
  <conditionalFormatting sqref="B62">
    <cfRule type="expression" dxfId="630" priority="69">
      <formula>AND($B$62&gt;$S$2,$B$2=1)</formula>
    </cfRule>
    <cfRule type="expression" dxfId="629" priority="68">
      <formula>AND($B$62&lt;$R$2,$B$2=0)</formula>
    </cfRule>
    <cfRule type="expression" dxfId="628" priority="67" stopIfTrue="1">
      <formula>AND($B$62&lt;=$S$2,$B$2=1)</formula>
    </cfRule>
    <cfRule type="expression" dxfId="627" priority="66" stopIfTrue="1">
      <formula>AND($B$62&gt;=$R$2,$B$2=0)</formula>
    </cfRule>
  </conditionalFormatting>
  <conditionalFormatting sqref="B84">
    <cfRule type="cellIs" dxfId="626" priority="47" operator="greaterThan">
      <formula>$S$3</formula>
    </cfRule>
    <cfRule type="cellIs" dxfId="625" priority="46" operator="lessThanOrEqual">
      <formula>$S$3</formula>
    </cfRule>
  </conditionalFormatting>
  <conditionalFormatting sqref="B102">
    <cfRule type="cellIs" dxfId="624" priority="50" operator="lessThanOrEqual">
      <formula>$S$2</formula>
    </cfRule>
    <cfRule type="cellIs" dxfId="623" priority="51" operator="greaterThan">
      <formula>$S$2</formula>
    </cfRule>
  </conditionalFormatting>
  <conditionalFormatting sqref="B18:C18">
    <cfRule type="expression" dxfId="622" priority="55">
      <formula>OR(AND($B$2=0,$C$18&lt;$R$2),AND($B$2=1,$C$18&gt;$S$2))</formula>
    </cfRule>
    <cfRule type="expression" dxfId="621" priority="54" stopIfTrue="1">
      <formula>OR(AND($B$2=0,$C$18&gt;=$R$2),AND($B$2=1,$C$18&lt;=$S$2))</formula>
    </cfRule>
  </conditionalFormatting>
  <conditionalFormatting sqref="B19:C19">
    <cfRule type="expression" dxfId="620" priority="57">
      <formula>OR(AND($B$3=0,$C$19&lt;$R$3),AND($B$3=1,$C$19&gt;$S$3))</formula>
    </cfRule>
    <cfRule type="expression" dxfId="619" priority="56" stopIfTrue="1">
      <formula>OR(AND($B$3=0,$C$19&gt;=$R$3),AND($B$3=1,$C$19&lt;=$S$3))</formula>
    </cfRule>
  </conditionalFormatting>
  <conditionalFormatting sqref="C14">
    <cfRule type="cellIs" dxfId="618" priority="28" operator="equal">
      <formula>"no solution"</formula>
    </cfRule>
  </conditionalFormatting>
  <conditionalFormatting sqref="C44">
    <cfRule type="expression" dxfId="617" priority="65">
      <formula>AND($B$44&gt;$S$3,$B$3=1)</formula>
    </cfRule>
    <cfRule type="expression" dxfId="616" priority="64">
      <formula>AND($B$44&lt;$R$3,$B$3=0)</formula>
    </cfRule>
    <cfRule type="expression" dxfId="615" priority="63" stopIfTrue="1">
      <formula>AND($C$44&lt;=$S$3,$B$3=1)</formula>
    </cfRule>
    <cfRule type="expression" dxfId="614" priority="62" stopIfTrue="1">
      <formula>AND($C$44&gt;=$R$3,$B$3=0)</formula>
    </cfRule>
  </conditionalFormatting>
  <conditionalFormatting sqref="C64">
    <cfRule type="expression" dxfId="613" priority="71" stopIfTrue="1">
      <formula>AND($C$64&lt;=$S$3,$B$3=1)</formula>
    </cfRule>
    <cfRule type="expression" dxfId="612" priority="72">
      <formula>AND($B$64&lt;$R$3,$B$3=0)</formula>
    </cfRule>
    <cfRule type="expression" dxfId="611" priority="73">
      <formula>AND($B$64&gt;$S$3,$B$3=1)</formula>
    </cfRule>
    <cfRule type="expression" dxfId="610" priority="70" stopIfTrue="1">
      <formula>AND($C$64&gt;=$R$3,$B$3=0)</formula>
    </cfRule>
  </conditionalFormatting>
  <conditionalFormatting sqref="C102:D102">
    <cfRule type="cellIs" dxfId="609" priority="30" operator="lessThan">
      <formula>$R$2</formula>
    </cfRule>
    <cfRule type="cellIs" dxfId="608" priority="29" operator="greaterThanOrEqual">
      <formula>$R$2</formula>
    </cfRule>
  </conditionalFormatting>
  <conditionalFormatting sqref="C84:H84">
    <cfRule type="cellIs" dxfId="607" priority="15" operator="lessThan">
      <formula>$R$3</formula>
    </cfRule>
    <cfRule type="cellIs" dxfId="606" priority="14" operator="greaterThanOrEqual">
      <formula>$R$3</formula>
    </cfRule>
  </conditionalFormatting>
  <conditionalFormatting sqref="D11">
    <cfRule type="containsText" dxfId="605" priority="41" stopIfTrue="1" operator="containsText" text="please remove resistor">
      <formula>NOT(ISERROR(SEARCH("please remove resistor",D11)))</formula>
    </cfRule>
    <cfRule type="cellIs" dxfId="604" priority="43" operator="greaterThan">
      <formula>$S$2</formula>
    </cfRule>
    <cfRule type="cellIs" dxfId="603" priority="42" operator="lessThan">
      <formula>$S$2</formula>
    </cfRule>
  </conditionalFormatting>
  <conditionalFormatting sqref="D11:D12">
    <cfRule type="cellIs" priority="26" stopIfTrue="1" operator="equal">
      <formula>""</formula>
    </cfRule>
  </conditionalFormatting>
  <conditionalFormatting sqref="D12 E18:E19">
    <cfRule type="cellIs" dxfId="602" priority="40" operator="lessThan">
      <formula>$R$2-$N$7</formula>
    </cfRule>
    <cfRule type="cellIs" dxfId="601" priority="39" operator="greaterThanOrEqual">
      <formula>$R$2-$N$7</formula>
    </cfRule>
  </conditionalFormatting>
  <conditionalFormatting sqref="D18:D19">
    <cfRule type="cellIs" dxfId="600" priority="44" operator="lessThanOrEqual">
      <formula>$S$2+$N$7</formula>
    </cfRule>
    <cfRule type="cellIs" dxfId="599" priority="45" operator="greaterThan">
      <formula>$S$2+$N$7</formula>
    </cfRule>
  </conditionalFormatting>
  <conditionalFormatting sqref="E102">
    <cfRule type="cellIs" dxfId="598" priority="13" operator="lessThan">
      <formula>$R$3</formula>
    </cfRule>
    <cfRule type="cellIs" dxfId="597" priority="12" operator="greaterThanOrEqual">
      <formula>$R$3</formula>
    </cfRule>
  </conditionalFormatting>
  <conditionalFormatting sqref="F21">
    <cfRule type="containsText" dxfId="596" priority="11" operator="containsText" text="failed">
      <formula>NOT(ISERROR(SEARCH("failed",F21)))</formula>
    </cfRule>
  </conditionalFormatting>
  <conditionalFormatting sqref="F22">
    <cfRule type="containsText" dxfId="595" priority="10" operator="containsText" text="fail">
      <formula>NOT(ISERROR(SEARCH("fail",F22)))</formula>
    </cfRule>
  </conditionalFormatting>
  <conditionalFormatting sqref="F23">
    <cfRule type="containsText" dxfId="594" priority="9" operator="containsText" text="failed">
      <formula>NOT(ISERROR(SEARCH("failed",F23)))</formula>
    </cfRule>
  </conditionalFormatting>
  <conditionalFormatting sqref="F102:H102">
    <cfRule type="cellIs" dxfId="593" priority="22" operator="greaterThanOrEqual">
      <formula>$R$2</formula>
    </cfRule>
    <cfRule type="cellIs" dxfId="592" priority="23" operator="lessThan">
      <formula>$R$2</formula>
    </cfRule>
  </conditionalFormatting>
  <conditionalFormatting sqref="G18">
    <cfRule type="cellIs" dxfId="591" priority="3" operator="greaterThan">
      <formula>$V$2</formula>
    </cfRule>
    <cfRule type="cellIs" dxfId="590" priority="4" operator="lessThan">
      <formula>$V$2</formula>
    </cfRule>
  </conditionalFormatting>
  <conditionalFormatting sqref="G19">
    <cfRule type="cellIs" dxfId="589" priority="6" operator="lessThan">
      <formula>$V$3</formula>
    </cfRule>
    <cfRule type="cellIs" dxfId="588" priority="5" operator="greaterThan">
      <formula>$V$3</formula>
    </cfRule>
  </conditionalFormatting>
  <conditionalFormatting sqref="I18:I19">
    <cfRule type="cellIs" dxfId="587" priority="2" operator="lessThan">
      <formula>$W$2</formula>
    </cfRule>
    <cfRule type="cellIs" dxfId="586" priority="1" operator="greaterThan">
      <formula>$W$2</formula>
    </cfRule>
  </conditionalFormatting>
  <conditionalFormatting sqref="K12">
    <cfRule type="expression" dxfId="585" priority="74">
      <formula>SEARCH("reduce",$F$23)</formula>
    </cfRule>
    <cfRule type="expression" dxfId="584" priority="75">
      <formula>SEARCH("reduce",$F$21)</formula>
    </cfRule>
  </conditionalFormatting>
  <conditionalFormatting sqref="N2">
    <cfRule type="expression" dxfId="583" priority="76">
      <formula>SEARCH("strength",$F$21)</formula>
    </cfRule>
    <cfRule type="expression" dxfId="582" priority="77">
      <formula>SEARCH("strength",$F$23)</formula>
    </cfRule>
  </conditionalFormatting>
  <hyperlinks>
    <hyperlink ref="N25" location="Summary!A1" display="Link to summary" xr:uid="{180F35B6-EAEE-4A6B-914B-DE70E3AF9733}"/>
  </hyperlinks>
  <pageMargins left="0.7" right="0.7" top="0.75" bottom="0.75" header="0.3" footer="0.3"/>
  <pageSetup paperSize="9" orientation="portrait" r:id="rId1"/>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D7E34-48F2-4743-A17D-1A050BBEA5E9}">
  <dimension ref="A1:AK130"/>
  <sheetViews>
    <sheetView topLeftCell="B10"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Summary!O16</f>
        <v>1.8</v>
      </c>
      <c r="K2" s="10">
        <v>1000000000000</v>
      </c>
      <c r="L2" s="15">
        <v>0.1</v>
      </c>
      <c r="M2" s="15">
        <v>0.1</v>
      </c>
      <c r="N2" s="66">
        <f>Summary!O26</f>
        <v>50</v>
      </c>
      <c r="O2" s="15">
        <f>Summary!O88</f>
        <v>0.25</v>
      </c>
      <c r="P2" s="15">
        <f>Summary!O89</f>
        <v>0.25</v>
      </c>
      <c r="Q2" s="5" t="str">
        <f>Summary!O27</f>
        <v>N/A</v>
      </c>
      <c r="R2" s="5">
        <f>Summary!O51</f>
        <v>0.3</v>
      </c>
      <c r="S2" s="5">
        <f>Summary!O52</f>
        <v>0.7</v>
      </c>
      <c r="T2" s="5">
        <f>Summary!O53</f>
        <v>0.3</v>
      </c>
      <c r="U2" s="5">
        <f>Summary!O54</f>
        <v>0.7</v>
      </c>
      <c r="V2" s="130">
        <f>Summary!O55</f>
        <v>9.9999999999999995E-7</v>
      </c>
      <c r="W2" s="130">
        <f>Summary!O56</f>
        <v>2.9999999999999999E-7</v>
      </c>
      <c r="X2" s="131">
        <f>V2</f>
        <v>9.9999999999999995E-7</v>
      </c>
      <c r="Y2" s="132" t="str">
        <f>IF(Summary!O57="","",Summary!O57)</f>
        <v/>
      </c>
      <c r="Z2" s="132" t="str">
        <f>IF(Summary!O58="","",Summary!O58)</f>
        <v/>
      </c>
      <c r="AA2" s="4">
        <f>Summary!O59</f>
        <v>1E-10</v>
      </c>
      <c r="AB2" s="41">
        <f>Summary!O81</f>
        <v>4.9999999999999997E-12</v>
      </c>
      <c r="AC2" s="41">
        <f>Summary!O83</f>
        <v>8.1900000000000013E-12</v>
      </c>
      <c r="AD2" s="3">
        <f>Summary!O84</f>
        <v>0.69</v>
      </c>
      <c r="AE2" s="41">
        <f>Summary!O86</f>
        <v>4.9999999999999997E-12</v>
      </c>
      <c r="AF2" s="5">
        <f>Summary!O87</f>
        <v>2.93</v>
      </c>
      <c r="AG2" s="127" t="str">
        <f>Summary!O50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Summary!O16</f>
        <v>1.8</v>
      </c>
      <c r="K3" s="10">
        <v>1000000000000</v>
      </c>
      <c r="L3" s="15">
        <v>0.1</v>
      </c>
      <c r="M3" s="15">
        <v>0.1</v>
      </c>
      <c r="N3">
        <f>Summary!O97</f>
        <v>50</v>
      </c>
      <c r="O3" s="15">
        <f>Summary!O98</f>
        <v>0.5</v>
      </c>
      <c r="P3" s="15">
        <f>Summary!O99</f>
        <v>0</v>
      </c>
      <c r="Q3"/>
      <c r="R3" s="5">
        <f>Summary!O38</f>
        <v>0.3</v>
      </c>
      <c r="S3" s="5">
        <f>Summary!O39</f>
        <v>0.7</v>
      </c>
      <c r="T3" s="5">
        <f>Summary!O42</f>
        <v>0.3</v>
      </c>
      <c r="U3" s="5">
        <f>Summary!O43</f>
        <v>0.7</v>
      </c>
      <c r="V3" s="130">
        <f>Summary!O44</f>
        <v>9.9999999999999995E-7</v>
      </c>
      <c r="W3" s="130">
        <f>Summary!O45</f>
        <v>2.9999999999999999E-7</v>
      </c>
      <c r="X3" s="131">
        <f>V3</f>
        <v>9.9999999999999995E-7</v>
      </c>
      <c r="Y3" s="132" t="str">
        <f>IF(Summary!O46="","",Summary!O46)</f>
        <v/>
      </c>
      <c r="Z3" s="132" t="str">
        <f>IF(Summary!O47="","",Summary!O47)</f>
        <v/>
      </c>
      <c r="AA3" s="4">
        <f>Summary!O59</f>
        <v>1E-10</v>
      </c>
      <c r="AB3" s="41">
        <f>Summary!O96</f>
        <v>9.9999999999999994E-12</v>
      </c>
      <c r="AG3" s="127" t="str">
        <f>Summary!O37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427329345.73772496</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427329345.73772496</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165.87503585207278</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198.01788887753889</v>
      </c>
      <c r="F7" s="123">
        <f>_xlfn.IFNA(_xlfn.XLOOKUP($X$2,AB34:AB129,P34:P129,,-1), "Out of support PU range")</f>
        <v>12600</v>
      </c>
      <c r="G7" s="124">
        <f>_xlfn.IFNA(_xlfn.XLOOKUP($X$3,S34:S129,P34:P129,,-1), "Out of support PU range")</f>
        <v>12600</v>
      </c>
      <c r="H7" s="124">
        <f>_xlfn.IFNA(MAX(_xlfn.XLOOKUP(MAX($Y$2:$AA$2),AA34:AA129,O34:O129,,1), _xlfn.XLOOKUP($W$2,AD34:AD129,O34:O129,,-1)), "Fail AC VIL")</f>
        <v>171</v>
      </c>
      <c r="I7" s="129">
        <f>_xlfn.IFNA(MAX(_xlfn.XLOOKUP(MAX($Y$3:$AA$3),R34:R129,O34:O129,,1), _xlfn.XLOOKUP($W$3,AC34:AC129,O34:O129,,-1)), "Fail AC VIL")</f>
        <v>209</v>
      </c>
      <c r="J7" s="21">
        <v>20000</v>
      </c>
      <c r="K7" s="2">
        <f>MIN(
MIN(FLOOR(B7,10^(LEN(ROUND(B7,0))-1))/10,
FLOOR(C7,10^(LEN(ROUND(C7,0))-1))/10,
IF(F7*10&gt;=J7,FLOOR(F7,10^(LEN(ROUND(F7,0))-1))/10,FLOOR(F7,10^(LEN(ROUND(F7,0))-1))),
FLOOR(G7,10^(LEN(ROUND(G7,0))-1))/10),
MAX(I7,J7)
)</f>
        <v>1000</v>
      </c>
      <c r="L7" s="1"/>
      <c r="N7" s="71">
        <f>Summary!O62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158.7857141952824</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158.7857141952824</v>
      </c>
      <c r="E8">
        <f>X2/(1.204*K18)</f>
        <v>10251.088604082392</v>
      </c>
      <c r="F8">
        <f>X3/(1.204*K18)</f>
        <v>10251.088604082392</v>
      </c>
      <c r="H8">
        <f>AA2/(1.204*K18)</f>
        <v>1.0251088604082392</v>
      </c>
      <c r="I8" s="2">
        <f>AA3/(1.204*K18)</f>
        <v>1.0251088604082392</v>
      </c>
      <c r="J8" s="8">
        <v>20000</v>
      </c>
      <c r="K8">
        <f>MIN(MIN(FLOOR(B8,10^(LEN(ROUND(B8,0))-1))/10,FLOOR(C8,10^(LEN(ROUND(C8,0))-1))/10,FLOOR(E8,10^(LEN(ROUND(E8,0))-1))/10,FLOOR(F8,10^(LEN(ROUND(F8,0))-1))/10),MAX(I8,J8))</f>
        <v>10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Summary!O24</f>
        <v>390</v>
      </c>
      <c r="D11" s="1">
        <f>IF(AND(B11="no need", C11=""), "",IF(AND(B11="no need", C11&gt;0), "please remove resistor",   IF(AND(B11="need resistor", ISBLANK(C11)), "please enter resistor",  (1/(1/F2+1/F3))/(1/(1/(1/(1/C2+1/C3))+1/C11)+(1/(1/F2+1/F3))) ) ))</f>
        <v>0.99999999922000005</v>
      </c>
      <c r="F11" s="7">
        <f>IF(B11="no need", 1000000000, C11)</f>
        <v>390</v>
      </c>
      <c r="G11" s="7" t="s">
        <v>281</v>
      </c>
      <c r="H11" s="62">
        <f>Summary!O25</f>
        <v>0.05</v>
      </c>
      <c r="K11" s="6" t="s">
        <v>282</v>
      </c>
      <c r="N11" s="19" t="s">
        <v>283</v>
      </c>
      <c r="P11" s="19" t="s">
        <v>284</v>
      </c>
      <c r="R11" s="127" t="s">
        <v>285</v>
      </c>
      <c r="S11" s="127">
        <f>($J$2+$J$2*Summary!$O$17)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Summary!O10</f>
        <v>10</v>
      </c>
      <c r="L12" t="s">
        <v>287</v>
      </c>
      <c r="N12" s="4">
        <f>SUM(AB2:AC3,AE2:AE3)</f>
        <v>2.8189999999999998E-11</v>
      </c>
      <c r="O12" t="s">
        <v>288</v>
      </c>
      <c r="P12" s="61">
        <f>Summary!O84+Summary!O87</f>
        <v>3.62</v>
      </c>
      <c r="Q12" t="s">
        <v>289</v>
      </c>
      <c r="R12" s="127" t="s">
        <v>290</v>
      </c>
      <c r="S12" s="127">
        <f>($J$2-$J$2*Summary!$O$17)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($J$3+$J$3*Summary!$O$18)</f>
        <v>1.8900000000000001</v>
      </c>
    </row>
    <row r="14" spans="1:37" x14ac:dyDescent="0.35">
      <c r="K14" s="6" t="s">
        <v>293</v>
      </c>
      <c r="N14" s="6" t="s">
        <v>294</v>
      </c>
      <c r="R14" s="127" t="s">
        <v>295</v>
      </c>
      <c r="S14" s="127">
        <f>($J$3-$J$3*Summary!$O$18)</f>
        <v>1.71</v>
      </c>
    </row>
    <row r="15" spans="1:37" x14ac:dyDescent="0.35">
      <c r="B15" s="2"/>
      <c r="C15" s="2"/>
      <c r="K15" s="3">
        <f>Summary!O8</f>
        <v>19.988</v>
      </c>
      <c r="L15" t="s">
        <v>296</v>
      </c>
      <c r="N15" s="41">
        <f>Summary!O9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0.99999954407408942</v>
      </c>
      <c r="C18">
        <f>B42</f>
        <v>0.99999966249510797</v>
      </c>
      <c r="D18">
        <f>B102</f>
        <v>0.99999954407408942</v>
      </c>
      <c r="E18">
        <f>C102</f>
        <v>0.14828948632981465</v>
      </c>
      <c r="F18" s="126">
        <f>_xlfn.LET(
_xlpm.Rbus, (1/(1/((1/(1/($G$91+$G$93)+1/$G$90))+$G$92)+1/($G$89))),
_xlpm.VCC, IF($AG$2="absolute",$S$13,1),
_xlpm.Vspec_abs, $U$2-$N$7,
(LN(1-$T$2/_xlpm.VCC)-LN(1-_xlpm.Vspec_abs/_xlpm.VCC))*$K$19*_xlpm.Rbus
)</f>
        <v>1.8657104168454167E-8</v>
      </c>
      <c r="G18" s="128">
        <f>_xlfn.LET(
_xlpm.Rbus, (1/(1/((1/(1/($D$91+$D$93)+1/$D$90))+$D$92)+1/($D$89))),
_xlpm.VCC, IF($AG$2="absolute",$S$14,1),
_xlpm.Vspec_abs, $U$2+$N$7,
(LN(1-$T$2/_xlpm.VCC)-LN(1-_xlpm.Vspec_abs/_xlpm.VCC))*$K$18*_xlpm.Rbus
)</f>
        <v>3.1478193940924747E-8</v>
      </c>
      <c r="H18" s="126">
        <f>_xlfn.LET(
_xlpm.Rbus, (1/(1/((1/(1/($H$96+$H$93)+1/$H$95))+$H$92)+1/($H$94))),
_xlpm.VCC, IF($AG$2="absolute",$S$14,1),
_xlpm.Vspec_abs, $T$2+$N$7,
_xlpm.Vspec_rel, _xlpm.Vspec_abs/_xlpm.VCC,
IFERROR((LN($U$2)-LN(_xlpm.Vspec_rel))*$K$19*_xlpm.Rbus, "Vlow exceeds VIL spec")
)</f>
        <v>1.6968629442640647E-9</v>
      </c>
      <c r="I18" s="128">
        <f>_xlfn.LET(
_xlpm.Rbus, (1/(1/((1/(1/($F$96+$F$93)+1/$F$95))+$F$92)+1/($F$94))),
_xlpm.VCC, IF($AG$2="absolute",$S$13,1),
_xlpm.Vspec_abs, $T$2-$N$7,
_xlpm.Vspec_rel, _xlpm.Vspec_abs/_xlpm.VCC,
IFERROR((LN($U$2)-LN(_xlpm.Vspec_rel))*$K$18*_xlpm.Rbus,"Vlow exceeds VIL spec")
)</f>
        <v>4.7889839777171611E-9</v>
      </c>
      <c r="J18" s="139" t="s">
        <v>307</v>
      </c>
      <c r="K18" s="4">
        <f>Summary!O102</f>
        <v>8.1022105664211338E-11</v>
      </c>
      <c r="L18" s="22" t="s">
        <v>288</v>
      </c>
      <c r="M18" s="10">
        <f>K18*1000000000000</f>
        <v>81.022105664211338</v>
      </c>
      <c r="N18" t="s">
        <v>308</v>
      </c>
      <c r="O18" s="49">
        <f>N12+K12/39.37*N15</f>
        <v>8.1022105664211338E-11</v>
      </c>
    </row>
    <row r="19" spans="1:26" x14ac:dyDescent="0.35">
      <c r="A19" t="s">
        <v>309</v>
      </c>
      <c r="B19">
        <f>C64</f>
        <v>0.99999954407408942</v>
      </c>
      <c r="C19">
        <f>C44</f>
        <v>0.99999966249510797</v>
      </c>
      <c r="D19">
        <f>B84</f>
        <v>0.99999954407408964</v>
      </c>
      <c r="E19">
        <f>C84</f>
        <v>0.17207990991013794</v>
      </c>
      <c r="F19" s="126">
        <f>_xlfn.LET(
_xlpm.Rbus,(1/(1/((1/(1/($G$77+$G$72)+1/$G$70))+$G$73)+1/($G$71))),
_xlpm.VCC,IF($AG$3="absolute",$S$11,1),
_xlpm.Vspec_abs,$U$3-$N$7,
(LN(1-($T$3/_xlpm.VCC))-LN(1-_xlpm.Vspec_abs/_xlpm.VCC))*$K$19*_xlpm.Rbus
)</f>
        <v>1.8657104168454167E-8</v>
      </c>
      <c r="G19" s="128">
        <f>_xlfn.LET(
_xlpm.Rbus, (1/(1/((1/(1/($D$77+$D$72)+1/$D$70))+$D$73)+1/($D$71))),
_xlpm.VCC, IF($AG$3="absolute",$S$12,1),
_xlpm.Vspec_abs, $U$3+$N$7,
(LN(1-$T$3/_xlpm.VCC)-LN(1-_xlpm.Vspec_abs/_xlpm.VCC))*$K$18*_xlpm.Rbus
)</f>
        <v>3.1478193940924747E-8</v>
      </c>
      <c r="H19" s="126">
        <f>_xlfn.LET(
_xlpm.Rbus, (1/(1/((1/(1/($H$74+$H$72)+1/$H$75))+$H$73)+1/($H$76))),
_xlpm.VCC, IF($AG$3="absolute",$S$12,1),
_xlpm.Vspec_abs, $T$3+$N$7,
_xlpm.Vspec_rel, _xlpm.Vspec_abs/_xlpm.VCC,
IFERROR((LN($U$3)-LN(_xlpm.Vspec_rel))*$K$19*_xlpm.Rbus, "Vlow exceeds VIL spec")
)</f>
        <v>2.3263198569803835E-9</v>
      </c>
      <c r="I19" s="128">
        <f>_xlfn.LET(
_xlpm.Rbus, (1/(1/((1/(1/($F$74+$F$72)+1/$F$75))+$F$73)+1/($F$76))),
_xlpm.VCC, IF($AG$3="absolute",$S$11,1),
_xlpm.Vspec_abs, $T$3-$N$7,
_xlpm.Vspec_rel, _xlpm.Vspec_abs/_xlpm.VCC,
IFERROR((LN($U$3)-LN(_xlpm.Vspec_rel))*$K$18*_xlpm.Rbus,"Vlow exceeds VIL spec")
)</f>
        <v>5.716981414329966E-9</v>
      </c>
      <c r="J19" s="139" t="s">
        <v>310</v>
      </c>
      <c r="K19" s="122">
        <f>Summary!O101</f>
        <v>6.4332105664211329E-11</v>
      </c>
      <c r="L19" t="s">
        <v>288</v>
      </c>
    </row>
    <row r="20" spans="1:26" x14ac:dyDescent="0.35">
      <c r="J20" s="139"/>
      <c r="K20" s="6" t="s">
        <v>311</v>
      </c>
    </row>
    <row r="21" spans="1:26" x14ac:dyDescent="0.35">
      <c r="E21" s="120" t="s">
        <v>137</v>
      </c>
      <c r="F21" t="str">
        <f>IF(OR(AND(E18&gt;(R2-N7), Summary!O50="relative"), AND(E18&gt;(R2-N7)/(J3+J3*Summary!O18), Summary!O50="absolute")),IF(U29="no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IF(OR(Summary!O24&gt;Summary!O22,Summary!O24&lt;Summary!O21), "- ensure board PU is within recommended range" &amp; CHAR(10),) &amp; "- reduce MB trace length",""))</f>
        <v/>
      </c>
      <c r="J21" s="139" t="s">
        <v>307</v>
      </c>
      <c r="K21" s="5">
        <f>Summary!O104</f>
        <v>14.506962153924308</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Summary!O103</f>
        <v>8.6969621539243072</v>
      </c>
      <c r="L22" t="s">
        <v>289</v>
      </c>
    </row>
    <row r="23" spans="1:26" x14ac:dyDescent="0.35">
      <c r="B23" s="171" t="s">
        <v>313</v>
      </c>
      <c r="C23" s="171"/>
      <c r="D23" t="s">
        <v>314</v>
      </c>
      <c r="E23" s="175"/>
      <c r="F23" t="str">
        <f>IF(F22="",IF(OR(AND(E19&lt;=(R3-N7), Summary!O37="relative"),AND(E19&lt;=(R3-N7)/(J2+J2*Summary!O17), Summary!O37="absolute")),IF(OR(G19&gt;V3,I19&gt;W3), IF(N2=MIN(AH2:AH5), "failed max rise/fall time spec, recommendations:" &amp; CHAR(10) &amp; "-reduce MB trace length" &amp; CHAR(10) &amp; "-increase trace width (reduce MB trace resistance per length)", "failed max rise/fall time spec, recommendations:" &amp; CHAR(10) &amp; IF(OR(Summary!O24&gt;Summary!O22,Summary!O24&lt;Summary!O21),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Summary!O13</f>
        <v>0</v>
      </c>
      <c r="L24" t="s">
        <v>305</v>
      </c>
    </row>
    <row r="25" spans="1:26" x14ac:dyDescent="0.35">
      <c r="A25" t="s">
        <v>318</v>
      </c>
      <c r="B25" s="11">
        <f>C2*(1-D2)</f>
        <v>900000000000</v>
      </c>
      <c r="C25" s="11">
        <f>C2*(1-D2)</f>
        <v>900000000000</v>
      </c>
      <c r="K25" s="18">
        <f>Summary!O14</f>
        <v>1</v>
      </c>
      <c r="L25" t="s">
        <v>274</v>
      </c>
      <c r="N25" s="72" t="s">
        <v>319</v>
      </c>
    </row>
    <row r="26" spans="1:26" x14ac:dyDescent="0.35">
      <c r="A26" t="s">
        <v>320</v>
      </c>
      <c r="B26" s="11">
        <f>F11*(1-H11)</f>
        <v>370.5</v>
      </c>
      <c r="C26" s="11">
        <f>F11*(1-H11)</f>
        <v>370.5</v>
      </c>
      <c r="Q26" t="s">
        <v>321</v>
      </c>
    </row>
    <row r="27" spans="1:26" x14ac:dyDescent="0.35">
      <c r="A27" t="s">
        <v>322</v>
      </c>
      <c r="B27" s="11">
        <f>C3*(1-D3)</f>
        <v>900000000000</v>
      </c>
      <c r="C27" s="11">
        <f>C3*(1-D3)</f>
        <v>900000000000</v>
      </c>
      <c r="Q27" t="s">
        <v>323</v>
      </c>
    </row>
    <row r="28" spans="1:26" x14ac:dyDescent="0.35">
      <c r="A28" t="s">
        <v>324</v>
      </c>
      <c r="B28" s="1">
        <f>K21</f>
        <v>14.506962153924308</v>
      </c>
      <c r="C28">
        <v>0</v>
      </c>
      <c r="Q28" t="s">
        <v>325</v>
      </c>
      <c r="V28" t="s">
        <v>305</v>
      </c>
      <c r="W28" t="s">
        <v>274</v>
      </c>
      <c r="X28" t="s">
        <v>326</v>
      </c>
    </row>
    <row r="29" spans="1:26" x14ac:dyDescent="0.35">
      <c r="A29" t="s">
        <v>327</v>
      </c>
      <c r="B29">
        <v>0</v>
      </c>
      <c r="C29" s="1">
        <f>K21</f>
        <v>14.506962153924308</v>
      </c>
      <c r="F29" s="11"/>
      <c r="T29" t="s">
        <v>328</v>
      </c>
      <c r="U29">
        <f>IF(IF(ISBLANK(Summary!O25),IF(U30=W82,L30,U30),IF(Summary!O25=5%,L30,U30))=N130,"no solution",IF(ISBLANK(Summary!O25),IF(U30=W82,L30,U30),IF(Summary!O25=5%,L30,U30)))</f>
        <v>1600</v>
      </c>
      <c r="V29">
        <f>IFERROR(IF(X29=5%,VLOOKUP(1,M34:N129,2,FALSE),VLOOKUP(1,V34:W81,2,FALSE)),"no solution")</f>
        <v>220</v>
      </c>
      <c r="W29">
        <f>IF(U29="no solution","no solution",IF(X29=5%,VLOOKUP(MAX(M34:M129)-1,M34:N129,2,FALSE),VLOOKUP(MAX(V34:V81)-1,V34:W81,2,FALSE)))</f>
        <v>12000</v>
      </c>
      <c r="X29" s="64">
        <f>Summary!O25</f>
        <v>0.05</v>
      </c>
    </row>
    <row r="30" spans="1:26" x14ac:dyDescent="0.35">
      <c r="A30" t="s">
        <v>329</v>
      </c>
      <c r="B30" s="11">
        <f>F2*(1+H2)</f>
        <v>1100000000000</v>
      </c>
      <c r="C30" s="11">
        <f>F2*(1+H2)</f>
        <v>1100000000000</v>
      </c>
      <c r="K30" t="s">
        <v>330</v>
      </c>
      <c r="L30">
        <f>VLOOKUP(Q31,M34:Q154,2)</f>
        <v>1600</v>
      </c>
      <c r="T30" t="s">
        <v>331</v>
      </c>
      <c r="U30">
        <f>VLOOKUP(Z31,V34:W82,2)</f>
        <v>1800</v>
      </c>
    </row>
    <row r="31" spans="1:26" x14ac:dyDescent="0.35">
      <c r="A31" t="s">
        <v>332</v>
      </c>
      <c r="B31" s="11">
        <f>F12*(1+H12)</f>
        <v>1100000000</v>
      </c>
      <c r="C31" s="11">
        <f>F12*(1+H12)</f>
        <v>1100000000</v>
      </c>
      <c r="Q31" cm="1">
        <f t="array" ref="Q31">MAX(M34:M129+1)/2</f>
        <v>22.5</v>
      </c>
      <c r="Z31" cm="1">
        <f t="array" ref="Z31">MAX(V34:V81+1)/2</f>
        <v>11</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65" si="0">L34*K34</f>
        <v>10</v>
      </c>
      <c r="O34">
        <f t="shared" ref="O34:O65" si="1">N34*(1-$M$32)</f>
        <v>9.5</v>
      </c>
      <c r="P34">
        <f t="shared" ref="P34:P65" si="2">N34*(1+$M$32)</f>
        <v>10.5</v>
      </c>
      <c r="Q34">
        <f t="shared" ref="Q34:Q65" si="3">IF($Q$2="N/A",IF(AND((O34&gt;=MAX($H$7:$I$7)),(P34&lt;=MIN($F$7:$G$7)),(P34&lt;=MIN($B$7:$C$7)),(O34&gt;=MAX($D$7:$E$7))),1,0),IF(AND((O34&gt;=MAX($I$7)),(P34&lt;=MIN($G$7)),(P34&lt;=MIN($C$7)),(O34&gt;=MAX($E$7))),1,0))</f>
        <v>0</v>
      </c>
      <c r="R34" s="126">
        <f t="shared" ref="R34:R65" si="4">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4.783872869462792E-10</v>
      </c>
      <c r="S34" s="126">
        <f t="shared" ref="S34:S65" si="5">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1.8565119813152651E-9</v>
      </c>
      <c r="T34">
        <v>1</v>
      </c>
      <c r="U34">
        <v>10</v>
      </c>
      <c r="V34">
        <f>Z34</f>
        <v>0</v>
      </c>
      <c r="W34">
        <f>U34*T34</f>
        <v>10</v>
      </c>
      <c r="X34">
        <f t="shared" ref="X34:X81" si="6">W34*(1-$V$32)</f>
        <v>9</v>
      </c>
      <c r="Y34">
        <f t="shared" ref="Y34:Y81" si="7">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4.783872869462792E-10</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1.8565119813152651E-9</v>
      </c>
      <c r="AC34" s="126" t="str">
        <f t="shared" ref="AC34:AC65" si="8">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9">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66" si="10">IF(AND(Q34=1,Q35=0),Q35+M34+1, Q35+M34)</f>
        <v>0</v>
      </c>
      <c r="N35">
        <f t="shared" si="0"/>
        <v>11</v>
      </c>
      <c r="O35">
        <f t="shared" si="1"/>
        <v>10.45</v>
      </c>
      <c r="P35">
        <f t="shared" si="2"/>
        <v>11.55</v>
      </c>
      <c r="Q35">
        <f t="shared" si="3"/>
        <v>0</v>
      </c>
      <c r="R35" s="126">
        <f t="shared" si="4"/>
        <v>5.2622601563924061E-10</v>
      </c>
      <c r="S35" s="126">
        <f t="shared" si="5"/>
        <v>1.9344637760304184E-9</v>
      </c>
      <c r="T35">
        <v>1</v>
      </c>
      <c r="U35">
        <v>12</v>
      </c>
      <c r="V35">
        <f t="shared" ref="V35:V82" si="11">IF(AND(Z34=1,Z35=0),Z35+V34+1, Z35+V34)</f>
        <v>0</v>
      </c>
      <c r="W35">
        <f t="shared" ref="W35:W79" si="12">U35*T35</f>
        <v>12</v>
      </c>
      <c r="X35">
        <f t="shared" si="6"/>
        <v>10.8</v>
      </c>
      <c r="Y35">
        <f t="shared" si="7"/>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5.2622601563924061E-10</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1.9344637760304184E-9</v>
      </c>
      <c r="AC35" s="126" t="str">
        <f t="shared" si="8"/>
        <v>Vlow exceeds VIL spec</v>
      </c>
      <c r="AD35" s="126" t="str">
        <f t="shared" si="9"/>
        <v>Vlow exceeds VIL spec</v>
      </c>
    </row>
    <row r="36" spans="1:30" x14ac:dyDescent="0.35">
      <c r="A36" t="s">
        <v>346</v>
      </c>
      <c r="B36">
        <v>1</v>
      </c>
      <c r="C36">
        <v>1</v>
      </c>
      <c r="K36">
        <v>1</v>
      </c>
      <c r="L36">
        <v>12</v>
      </c>
      <c r="M36">
        <f t="shared" si="10"/>
        <v>0</v>
      </c>
      <c r="N36">
        <f t="shared" si="0"/>
        <v>12</v>
      </c>
      <c r="O36">
        <f t="shared" si="1"/>
        <v>11.399999999999999</v>
      </c>
      <c r="P36">
        <f t="shared" si="2"/>
        <v>12.600000000000001</v>
      </c>
      <c r="Q36">
        <f t="shared" si="3"/>
        <v>0</v>
      </c>
      <c r="R36" s="126">
        <f t="shared" si="4"/>
        <v>5.7406474433189906E-10</v>
      </c>
      <c r="S36" s="126">
        <f t="shared" si="5"/>
        <v>2.0124155707451262E-9</v>
      </c>
      <c r="T36">
        <v>1</v>
      </c>
      <c r="U36">
        <v>15</v>
      </c>
      <c r="V36">
        <f t="shared" si="11"/>
        <v>0</v>
      </c>
      <c r="W36">
        <f t="shared" si="12"/>
        <v>15</v>
      </c>
      <c r="X36">
        <f t="shared" si="6"/>
        <v>13.5</v>
      </c>
      <c r="Y36">
        <f t="shared" si="7"/>
        <v>16.5</v>
      </c>
      <c r="Z36">
        <f t="shared" si="13"/>
        <v>0</v>
      </c>
      <c r="AA36" s="126">
        <f t="shared" si="14"/>
        <v>5.7406474433189906E-10</v>
      </c>
      <c r="AB36" s="126">
        <f t="shared" si="15"/>
        <v>2.0124155707451262E-9</v>
      </c>
      <c r="AC36" s="126" t="str">
        <f t="shared" si="8"/>
        <v>Vlow exceeds VIL spec</v>
      </c>
      <c r="AD36" s="126" t="str">
        <f t="shared" si="9"/>
        <v>Vlow exceeds VIL spec</v>
      </c>
    </row>
    <row r="37" spans="1:30" x14ac:dyDescent="0.35">
      <c r="K37">
        <v>1</v>
      </c>
      <c r="L37">
        <v>13</v>
      </c>
      <c r="M37">
        <f t="shared" si="10"/>
        <v>0</v>
      </c>
      <c r="N37">
        <f t="shared" si="0"/>
        <v>13</v>
      </c>
      <c r="O37">
        <f t="shared" si="1"/>
        <v>12.35</v>
      </c>
      <c r="P37">
        <f t="shared" si="2"/>
        <v>13.65</v>
      </c>
      <c r="Q37">
        <f t="shared" si="3"/>
        <v>0</v>
      </c>
      <c r="R37" s="126">
        <f t="shared" si="4"/>
        <v>6.2190347302425477E-10</v>
      </c>
      <c r="S37" s="126">
        <f t="shared" si="5"/>
        <v>2.0903673654593866E-9</v>
      </c>
      <c r="T37">
        <v>1</v>
      </c>
      <c r="U37">
        <v>18</v>
      </c>
      <c r="V37">
        <f t="shared" si="11"/>
        <v>0</v>
      </c>
      <c r="W37">
        <f t="shared" si="12"/>
        <v>18</v>
      </c>
      <c r="X37">
        <f t="shared" si="6"/>
        <v>16.2</v>
      </c>
      <c r="Y37">
        <f t="shared" si="7"/>
        <v>19.8</v>
      </c>
      <c r="Z37">
        <f t="shared" si="13"/>
        <v>0</v>
      </c>
      <c r="AA37" s="126">
        <f t="shared" si="14"/>
        <v>6.2190347302425477E-10</v>
      </c>
      <c r="AB37" s="126">
        <f t="shared" si="15"/>
        <v>2.0903673654593866E-9</v>
      </c>
      <c r="AC37" s="126" t="str">
        <f t="shared" si="8"/>
        <v>Vlow exceeds VIL spec</v>
      </c>
      <c r="AD37" s="126" t="str">
        <f t="shared" si="9"/>
        <v>Vlow exceeds VIL spec</v>
      </c>
    </row>
    <row r="38" spans="1:30" x14ac:dyDescent="0.35">
      <c r="A38" t="s">
        <v>347</v>
      </c>
      <c r="B38" s="125">
        <f>IF(Summary!O50="absolute",(S2+N7)/(J3-J3*Summary!O18),S2+N7)</f>
        <v>0.72</v>
      </c>
      <c r="K38">
        <v>1</v>
      </c>
      <c r="L38">
        <v>15</v>
      </c>
      <c r="M38">
        <f t="shared" si="10"/>
        <v>0</v>
      </c>
      <c r="N38">
        <f t="shared" si="0"/>
        <v>15</v>
      </c>
      <c r="O38">
        <f t="shared" si="1"/>
        <v>14.25</v>
      </c>
      <c r="P38">
        <f t="shared" si="2"/>
        <v>15.75</v>
      </c>
      <c r="Q38">
        <f t="shared" si="3"/>
        <v>0</v>
      </c>
      <c r="R38" s="126">
        <f t="shared" si="4"/>
        <v>7.1758093040805701E-10</v>
      </c>
      <c r="S38" s="126">
        <f t="shared" si="5"/>
        <v>2.2462709548865697E-9</v>
      </c>
      <c r="T38">
        <v>1</v>
      </c>
      <c r="U38">
        <v>22</v>
      </c>
      <c r="V38">
        <f t="shared" si="11"/>
        <v>0</v>
      </c>
      <c r="W38">
        <f t="shared" si="12"/>
        <v>22</v>
      </c>
      <c r="X38">
        <f t="shared" si="6"/>
        <v>19.8</v>
      </c>
      <c r="Y38">
        <f t="shared" si="7"/>
        <v>24.200000000000003</v>
      </c>
      <c r="Z38">
        <f t="shared" si="13"/>
        <v>0</v>
      </c>
      <c r="AA38" s="126">
        <f t="shared" si="14"/>
        <v>7.1758093040805701E-10</v>
      </c>
      <c r="AB38" s="126">
        <f t="shared" si="15"/>
        <v>2.2462709548865697E-9</v>
      </c>
      <c r="AC38" s="126" t="str">
        <f t="shared" si="8"/>
        <v>Vlow exceeds VIL spec</v>
      </c>
      <c r="AD38" s="126" t="str">
        <f t="shared" si="9"/>
        <v>Vlow exceeds VIL spec</v>
      </c>
    </row>
    <row r="39" spans="1:30" x14ac:dyDescent="0.35">
      <c r="A39" t="s">
        <v>348</v>
      </c>
      <c r="K39">
        <v>1</v>
      </c>
      <c r="L39">
        <v>16</v>
      </c>
      <c r="M39">
        <f t="shared" si="10"/>
        <v>0</v>
      </c>
      <c r="N39">
        <f t="shared" si="0"/>
        <v>16</v>
      </c>
      <c r="O39">
        <f t="shared" si="1"/>
        <v>15.2</v>
      </c>
      <c r="P39">
        <f t="shared" si="2"/>
        <v>16.8</v>
      </c>
      <c r="Q39">
        <f t="shared" si="3"/>
        <v>0</v>
      </c>
      <c r="R39" s="126">
        <f t="shared" si="4"/>
        <v>7.6541965909950354E-10</v>
      </c>
      <c r="S39" s="126">
        <f t="shared" si="5"/>
        <v>2.3242227495994904E-9</v>
      </c>
      <c r="T39">
        <v>1</v>
      </c>
      <c r="U39">
        <v>27</v>
      </c>
      <c r="V39">
        <f t="shared" si="11"/>
        <v>0</v>
      </c>
      <c r="W39">
        <f t="shared" si="12"/>
        <v>27</v>
      </c>
      <c r="X39">
        <f t="shared" si="6"/>
        <v>24.3</v>
      </c>
      <c r="Y39">
        <f t="shared" si="7"/>
        <v>29.700000000000003</v>
      </c>
      <c r="Z39">
        <f t="shared" si="13"/>
        <v>0</v>
      </c>
      <c r="AA39" s="126">
        <f t="shared" si="14"/>
        <v>7.6541965909950354E-10</v>
      </c>
      <c r="AB39" s="126">
        <f t="shared" si="15"/>
        <v>2.3242227495994904E-9</v>
      </c>
      <c r="AC39" s="126" t="str">
        <f t="shared" si="8"/>
        <v>Vlow exceeds VIL spec</v>
      </c>
      <c r="AD39" s="126" t="str">
        <f t="shared" si="9"/>
        <v>Vlow exceeds VIL spec</v>
      </c>
    </row>
    <row r="40" spans="1:30" x14ac:dyDescent="0.35">
      <c r="A40" t="s">
        <v>349</v>
      </c>
      <c r="C40" s="125">
        <f>IF(Summary!O37="absolute",(S3+N7)/(J2-J2*Summary!O17),S3+N7)</f>
        <v>0.72</v>
      </c>
      <c r="K40">
        <v>1</v>
      </c>
      <c r="L40">
        <v>18</v>
      </c>
      <c r="M40">
        <f t="shared" si="10"/>
        <v>0</v>
      </c>
      <c r="N40">
        <f t="shared" si="0"/>
        <v>18</v>
      </c>
      <c r="O40">
        <f t="shared" si="1"/>
        <v>17.099999999999998</v>
      </c>
      <c r="P40">
        <f t="shared" si="2"/>
        <v>18.900000000000002</v>
      </c>
      <c r="Q40">
        <f t="shared" si="3"/>
        <v>0</v>
      </c>
      <c r="R40" s="126">
        <f t="shared" si="4"/>
        <v>8.6109711648148774E-10</v>
      </c>
      <c r="S40" s="126">
        <f t="shared" si="5"/>
        <v>2.4801263390239943E-9</v>
      </c>
      <c r="T40">
        <v>1</v>
      </c>
      <c r="U40">
        <v>33</v>
      </c>
      <c r="V40">
        <f t="shared" si="11"/>
        <v>0</v>
      </c>
      <c r="W40">
        <f t="shared" si="12"/>
        <v>33</v>
      </c>
      <c r="X40">
        <f t="shared" si="6"/>
        <v>29.7</v>
      </c>
      <c r="Y40">
        <f t="shared" si="7"/>
        <v>36.300000000000004</v>
      </c>
      <c r="Z40">
        <f t="shared" si="13"/>
        <v>0</v>
      </c>
      <c r="AA40" s="126">
        <f t="shared" si="14"/>
        <v>8.6109711648148774E-10</v>
      </c>
      <c r="AB40" s="126">
        <f t="shared" si="15"/>
        <v>2.4801263390239943E-9</v>
      </c>
      <c r="AC40" s="126" t="str">
        <f t="shared" si="8"/>
        <v>Vlow exceeds VIL spec</v>
      </c>
      <c r="AD40" s="126" t="str">
        <f t="shared" si="9"/>
        <v>Vlow exceeds VIL spec</v>
      </c>
    </row>
    <row r="41" spans="1:30" x14ac:dyDescent="0.35">
      <c r="C41" s="1"/>
      <c r="K41">
        <v>1</v>
      </c>
      <c r="L41">
        <v>20</v>
      </c>
      <c r="M41">
        <f t="shared" si="10"/>
        <v>0</v>
      </c>
      <c r="N41">
        <f t="shared" si="0"/>
        <v>20</v>
      </c>
      <c r="O41">
        <f t="shared" si="1"/>
        <v>19</v>
      </c>
      <c r="P41">
        <f t="shared" si="2"/>
        <v>21</v>
      </c>
      <c r="Q41">
        <f t="shared" si="3"/>
        <v>0</v>
      </c>
      <c r="R41" s="126">
        <f t="shared" si="4"/>
        <v>9.5677457386226022E-10</v>
      </c>
      <c r="S41" s="126">
        <f t="shared" si="5"/>
        <v>2.6360299284467119E-9</v>
      </c>
      <c r="T41">
        <v>1</v>
      </c>
      <c r="U41">
        <v>39</v>
      </c>
      <c r="V41">
        <f t="shared" si="11"/>
        <v>0</v>
      </c>
      <c r="W41">
        <f t="shared" si="12"/>
        <v>39</v>
      </c>
      <c r="X41">
        <f t="shared" si="6"/>
        <v>35.1</v>
      </c>
      <c r="Y41">
        <f t="shared" si="7"/>
        <v>42.900000000000006</v>
      </c>
      <c r="Z41">
        <f t="shared" si="13"/>
        <v>0</v>
      </c>
      <c r="AA41" s="126">
        <f t="shared" si="14"/>
        <v>9.5677457386226022E-10</v>
      </c>
      <c r="AB41" s="126">
        <f t="shared" si="15"/>
        <v>2.6360299284467119E-9</v>
      </c>
      <c r="AC41" s="126" t="str">
        <f t="shared" si="8"/>
        <v>Vlow exceeds VIL spec</v>
      </c>
      <c r="AD41" s="126" t="str">
        <f t="shared" si="9"/>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0.99999966249510797</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0.99999966250829608</v>
      </c>
      <c r="K42">
        <v>1</v>
      </c>
      <c r="L42">
        <v>22</v>
      </c>
      <c r="M42">
        <f t="shared" si="10"/>
        <v>0</v>
      </c>
      <c r="N42">
        <f t="shared" si="0"/>
        <v>22</v>
      </c>
      <c r="O42">
        <f t="shared" si="1"/>
        <v>20.9</v>
      </c>
      <c r="P42">
        <f t="shared" si="2"/>
        <v>23.1</v>
      </c>
      <c r="Q42">
        <f t="shared" si="3"/>
        <v>0</v>
      </c>
      <c r="R42" s="126">
        <f t="shared" si="4"/>
        <v>1.0524520312418208E-9</v>
      </c>
      <c r="S42" s="126">
        <f t="shared" si="5"/>
        <v>2.791933517867644E-9</v>
      </c>
      <c r="T42">
        <v>1</v>
      </c>
      <c r="U42">
        <v>47</v>
      </c>
      <c r="V42">
        <f t="shared" si="11"/>
        <v>0</v>
      </c>
      <c r="W42">
        <f t="shared" si="12"/>
        <v>47</v>
      </c>
      <c r="X42">
        <f t="shared" si="6"/>
        <v>42.300000000000004</v>
      </c>
      <c r="Y42">
        <f t="shared" si="7"/>
        <v>51.7</v>
      </c>
      <c r="Z42">
        <f t="shared" si="13"/>
        <v>0</v>
      </c>
      <c r="AA42" s="126">
        <f t="shared" si="14"/>
        <v>1.0524520312418208E-9</v>
      </c>
      <c r="AB42" s="126">
        <f t="shared" si="15"/>
        <v>2.791933517867644E-9</v>
      </c>
      <c r="AC42" s="126" t="str">
        <f t="shared" si="8"/>
        <v>Vlow exceeds VIL spec</v>
      </c>
      <c r="AD42" s="126" t="str">
        <f t="shared" si="9"/>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0.99999966250829608</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0.99999966250829608</v>
      </c>
      <c r="K43">
        <v>1</v>
      </c>
      <c r="L43">
        <v>24</v>
      </c>
      <c r="M43">
        <f t="shared" si="10"/>
        <v>0</v>
      </c>
      <c r="N43">
        <f t="shared" si="0"/>
        <v>24</v>
      </c>
      <c r="O43">
        <f t="shared" si="1"/>
        <v>22.799999999999997</v>
      </c>
      <c r="P43">
        <f t="shared" si="2"/>
        <v>25.200000000000003</v>
      </c>
      <c r="Q43">
        <f t="shared" si="3"/>
        <v>0</v>
      </c>
      <c r="R43" s="126">
        <f t="shared" si="4"/>
        <v>1.1481294886201691E-9</v>
      </c>
      <c r="S43" s="126">
        <f t="shared" si="5"/>
        <v>2.9478371072867907E-9</v>
      </c>
      <c r="T43">
        <v>1</v>
      </c>
      <c r="U43">
        <v>56</v>
      </c>
      <c r="V43">
        <f t="shared" si="11"/>
        <v>0</v>
      </c>
      <c r="W43">
        <f t="shared" si="12"/>
        <v>56</v>
      </c>
      <c r="X43">
        <f t="shared" si="6"/>
        <v>50.4</v>
      </c>
      <c r="Y43">
        <f t="shared" si="7"/>
        <v>61.600000000000009</v>
      </c>
      <c r="Z43">
        <f t="shared" si="13"/>
        <v>0</v>
      </c>
      <c r="AA43" s="126">
        <f t="shared" si="14"/>
        <v>1.1481294886201691E-9</v>
      </c>
      <c r="AB43" s="126">
        <f t="shared" si="15"/>
        <v>2.9478371072867907E-9</v>
      </c>
      <c r="AC43" s="126" t="str">
        <f t="shared" si="8"/>
        <v>Vlow exceeds VIL spec</v>
      </c>
      <c r="AD43" s="126" t="str">
        <f t="shared" si="9"/>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0.99999966250829608</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0.99999966249510797</v>
      </c>
      <c r="K44">
        <v>1</v>
      </c>
      <c r="L44">
        <v>27</v>
      </c>
      <c r="M44">
        <f t="shared" si="10"/>
        <v>0</v>
      </c>
      <c r="N44">
        <f t="shared" si="0"/>
        <v>27</v>
      </c>
      <c r="O44">
        <f t="shared" si="1"/>
        <v>25.65</v>
      </c>
      <c r="P44">
        <f t="shared" si="2"/>
        <v>28.35</v>
      </c>
      <c r="Q44">
        <f t="shared" si="3"/>
        <v>0</v>
      </c>
      <c r="R44" s="126">
        <f t="shared" si="4"/>
        <v>1.2916456746854197E-9</v>
      </c>
      <c r="S44" s="126">
        <f t="shared" si="5"/>
        <v>3.1816924914121612E-9</v>
      </c>
      <c r="T44">
        <v>1</v>
      </c>
      <c r="U44">
        <v>68</v>
      </c>
      <c r="V44">
        <f t="shared" si="11"/>
        <v>0</v>
      </c>
      <c r="W44">
        <f t="shared" si="12"/>
        <v>68</v>
      </c>
      <c r="X44">
        <f t="shared" si="6"/>
        <v>61.2</v>
      </c>
      <c r="Y44">
        <f t="shared" si="7"/>
        <v>74.800000000000011</v>
      </c>
      <c r="Z44">
        <f t="shared" si="13"/>
        <v>0</v>
      </c>
      <c r="AA44" s="126">
        <f t="shared" si="14"/>
        <v>1.2916456746854197E-9</v>
      </c>
      <c r="AB44" s="126">
        <f t="shared" si="15"/>
        <v>3.1816924914121612E-9</v>
      </c>
      <c r="AC44" s="126" t="str">
        <f t="shared" si="8"/>
        <v>Vlow exceeds VIL spec</v>
      </c>
      <c r="AD44" s="126" t="str">
        <f t="shared" si="9"/>
        <v>Vlow exceeds VIL spec</v>
      </c>
    </row>
    <row r="45" spans="1:30" x14ac:dyDescent="0.35">
      <c r="K45">
        <v>1</v>
      </c>
      <c r="L45">
        <v>30</v>
      </c>
      <c r="M45">
        <f t="shared" si="10"/>
        <v>0</v>
      </c>
      <c r="N45">
        <f t="shared" si="0"/>
        <v>30</v>
      </c>
      <c r="O45">
        <f t="shared" si="1"/>
        <v>28.5</v>
      </c>
      <c r="P45">
        <f t="shared" si="2"/>
        <v>31.5</v>
      </c>
      <c r="Q45">
        <f t="shared" si="3"/>
        <v>0</v>
      </c>
      <c r="R45" s="126">
        <f t="shared" si="4"/>
        <v>1.4351618607479438E-9</v>
      </c>
      <c r="S45" s="126">
        <f t="shared" si="5"/>
        <v>3.4155478755335145E-9</v>
      </c>
      <c r="T45">
        <v>1</v>
      </c>
      <c r="U45">
        <v>82</v>
      </c>
      <c r="V45">
        <f t="shared" si="11"/>
        <v>0</v>
      </c>
      <c r="W45">
        <f t="shared" si="12"/>
        <v>82</v>
      </c>
      <c r="X45">
        <f t="shared" si="6"/>
        <v>73.8</v>
      </c>
      <c r="Y45">
        <f t="shared" si="7"/>
        <v>90.2</v>
      </c>
      <c r="Z45">
        <f t="shared" si="13"/>
        <v>0</v>
      </c>
      <c r="AA45" s="126">
        <f t="shared" si="14"/>
        <v>1.4351618607479438E-9</v>
      </c>
      <c r="AB45" s="126">
        <f t="shared" si="15"/>
        <v>3.4155478755335145E-9</v>
      </c>
      <c r="AC45" s="126" t="str">
        <f t="shared" si="8"/>
        <v>Vlow exceeds VIL spec</v>
      </c>
      <c r="AD45" s="126" t="str">
        <f t="shared" si="9"/>
        <v>Vlow exceeds VIL spec</v>
      </c>
    </row>
    <row r="46" spans="1:30" x14ac:dyDescent="0.35">
      <c r="K46">
        <v>1</v>
      </c>
      <c r="L46">
        <v>33</v>
      </c>
      <c r="M46">
        <f t="shared" si="10"/>
        <v>0</v>
      </c>
      <c r="N46">
        <f t="shared" si="0"/>
        <v>33</v>
      </c>
      <c r="O46">
        <f t="shared" si="1"/>
        <v>31.349999999999998</v>
      </c>
      <c r="P46">
        <f t="shared" si="2"/>
        <v>34.65</v>
      </c>
      <c r="Q46">
        <f t="shared" si="3"/>
        <v>0</v>
      </c>
      <c r="R46" s="126">
        <f t="shared" si="4"/>
        <v>1.5786780468077402E-9</v>
      </c>
      <c r="S46" s="126">
        <f t="shared" si="5"/>
        <v>3.649403259650849E-9</v>
      </c>
      <c r="T46">
        <v>10</v>
      </c>
      <c r="U46">
        <v>10</v>
      </c>
      <c r="V46">
        <f t="shared" si="11"/>
        <v>0</v>
      </c>
      <c r="W46">
        <f t="shared" si="12"/>
        <v>100</v>
      </c>
      <c r="X46">
        <f t="shared" si="6"/>
        <v>90</v>
      </c>
      <c r="Y46">
        <f t="shared" si="7"/>
        <v>110.00000000000001</v>
      </c>
      <c r="Z46">
        <f t="shared" si="13"/>
        <v>0</v>
      </c>
      <c r="AA46" s="126">
        <f t="shared" si="14"/>
        <v>1.5786780468077402E-9</v>
      </c>
      <c r="AB46" s="126">
        <f t="shared" si="15"/>
        <v>3.649403259650849E-9</v>
      </c>
      <c r="AC46" s="126" t="str">
        <f t="shared" si="8"/>
        <v>Vlow exceeds VIL spec</v>
      </c>
      <c r="AD46" s="126" t="str">
        <f t="shared" si="9"/>
        <v>Vlow exceeds VIL spec</v>
      </c>
    </row>
    <row r="47" spans="1:30" x14ac:dyDescent="0.35">
      <c r="B47" s="171" t="s">
        <v>353</v>
      </c>
      <c r="C47" s="171"/>
      <c r="K47">
        <v>1</v>
      </c>
      <c r="L47">
        <v>36</v>
      </c>
      <c r="M47">
        <f t="shared" si="10"/>
        <v>0</v>
      </c>
      <c r="N47">
        <f t="shared" si="0"/>
        <v>36</v>
      </c>
      <c r="O47">
        <f t="shared" si="1"/>
        <v>34.199999999999996</v>
      </c>
      <c r="P47">
        <f t="shared" si="2"/>
        <v>37.800000000000004</v>
      </c>
      <c r="Q47">
        <f t="shared" si="3"/>
        <v>0</v>
      </c>
      <c r="R47" s="126">
        <f t="shared" si="4"/>
        <v>1.7221942328648102E-9</v>
      </c>
      <c r="S47" s="126">
        <f t="shared" si="5"/>
        <v>3.8832586437641663E-9</v>
      </c>
      <c r="T47">
        <v>10</v>
      </c>
      <c r="U47">
        <v>12</v>
      </c>
      <c r="V47">
        <f t="shared" si="11"/>
        <v>0</v>
      </c>
      <c r="W47">
        <f>U47*T47</f>
        <v>120</v>
      </c>
      <c r="X47">
        <f t="shared" si="6"/>
        <v>108</v>
      </c>
      <c r="Y47">
        <f t="shared" si="7"/>
        <v>132</v>
      </c>
      <c r="Z47">
        <f t="shared" si="13"/>
        <v>0</v>
      </c>
      <c r="AA47" s="126">
        <f t="shared" si="14"/>
        <v>1.7221942328648102E-9</v>
      </c>
      <c r="AB47" s="126">
        <f t="shared" si="15"/>
        <v>3.8832586437641663E-9</v>
      </c>
      <c r="AC47" s="126" t="str">
        <f t="shared" si="8"/>
        <v>Vlow exceeds VIL spec</v>
      </c>
      <c r="AD47" s="126" t="str">
        <f t="shared" si="9"/>
        <v>Vlow exceeds VIL spec</v>
      </c>
    </row>
    <row r="48" spans="1:30" x14ac:dyDescent="0.35">
      <c r="B48" t="s">
        <v>316</v>
      </c>
      <c r="C48" t="s">
        <v>317</v>
      </c>
      <c r="K48">
        <v>1</v>
      </c>
      <c r="L48">
        <v>39</v>
      </c>
      <c r="M48">
        <f t="shared" si="10"/>
        <v>0</v>
      </c>
      <c r="N48">
        <f t="shared" si="0"/>
        <v>39</v>
      </c>
      <c r="O48">
        <f t="shared" si="1"/>
        <v>37.049999999999997</v>
      </c>
      <c r="P48">
        <f t="shared" si="2"/>
        <v>40.950000000000003</v>
      </c>
      <c r="Q48">
        <f t="shared" si="3"/>
        <v>0</v>
      </c>
      <c r="R48" s="126">
        <f t="shared" si="4"/>
        <v>1.8657104189191537E-9</v>
      </c>
      <c r="S48" s="126">
        <f t="shared" si="5"/>
        <v>4.1171140278734651E-9</v>
      </c>
      <c r="T48">
        <v>10</v>
      </c>
      <c r="U48">
        <v>15</v>
      </c>
      <c r="V48">
        <f t="shared" si="11"/>
        <v>0</v>
      </c>
      <c r="W48">
        <f t="shared" si="12"/>
        <v>150</v>
      </c>
      <c r="X48">
        <f t="shared" si="6"/>
        <v>135</v>
      </c>
      <c r="Y48">
        <f t="shared" si="7"/>
        <v>165</v>
      </c>
      <c r="Z48">
        <f t="shared" si="13"/>
        <v>0</v>
      </c>
      <c r="AA48" s="126">
        <f t="shared" si="14"/>
        <v>1.8657104189191537E-9</v>
      </c>
      <c r="AB48" s="126">
        <f t="shared" si="15"/>
        <v>4.1171140278734651E-9</v>
      </c>
      <c r="AC48" s="126" t="str">
        <f t="shared" si="8"/>
        <v>Vlow exceeds VIL spec</v>
      </c>
      <c r="AD48" s="126" t="str">
        <f t="shared" si="9"/>
        <v>Vlow exceeds VIL spec</v>
      </c>
    </row>
    <row r="49" spans="1:30" x14ac:dyDescent="0.35">
      <c r="A49" t="s">
        <v>318</v>
      </c>
      <c r="B49" s="11">
        <f>C2*(1+E2)</f>
        <v>1100000000000</v>
      </c>
      <c r="C49" s="11">
        <f>C2*(1+E2)</f>
        <v>1100000000000</v>
      </c>
      <c r="K49">
        <v>1</v>
      </c>
      <c r="L49">
        <v>43</v>
      </c>
      <c r="M49">
        <f t="shared" si="10"/>
        <v>0</v>
      </c>
      <c r="N49">
        <f t="shared" si="0"/>
        <v>43</v>
      </c>
      <c r="O49">
        <f t="shared" si="1"/>
        <v>40.85</v>
      </c>
      <c r="P49">
        <f t="shared" si="2"/>
        <v>45.15</v>
      </c>
      <c r="Q49">
        <f t="shared" si="3"/>
        <v>0</v>
      </c>
      <c r="R49" s="126">
        <f t="shared" si="4"/>
        <v>2.0570653336540367E-9</v>
      </c>
      <c r="S49" s="126">
        <f t="shared" si="5"/>
        <v>4.4289212066796125E-9</v>
      </c>
      <c r="T49">
        <v>10</v>
      </c>
      <c r="U49">
        <v>18</v>
      </c>
      <c r="V49">
        <f t="shared" si="11"/>
        <v>0</v>
      </c>
      <c r="W49">
        <f t="shared" si="12"/>
        <v>180</v>
      </c>
      <c r="X49">
        <f t="shared" si="6"/>
        <v>162</v>
      </c>
      <c r="Y49">
        <f t="shared" si="7"/>
        <v>198.00000000000003</v>
      </c>
      <c r="Z49">
        <f t="shared" si="13"/>
        <v>0</v>
      </c>
      <c r="AA49" s="126">
        <f t="shared" si="14"/>
        <v>2.0570653336540367E-9</v>
      </c>
      <c r="AB49" s="126">
        <f t="shared" si="15"/>
        <v>4.4289212066796125E-9</v>
      </c>
      <c r="AC49" s="126" t="str">
        <f t="shared" si="8"/>
        <v>Vlow exceeds VIL spec</v>
      </c>
      <c r="AD49" s="126" t="str">
        <f t="shared" si="9"/>
        <v>Vlow exceeds VIL spec</v>
      </c>
    </row>
    <row r="50" spans="1:30" x14ac:dyDescent="0.35">
      <c r="A50" t="s">
        <v>320</v>
      </c>
      <c r="B50" s="11">
        <f>F11*(1+H11)</f>
        <v>409.5</v>
      </c>
      <c r="C50" s="11">
        <f>F11*(1+H11)</f>
        <v>409.5</v>
      </c>
      <c r="K50">
        <v>1</v>
      </c>
      <c r="L50">
        <v>47</v>
      </c>
      <c r="M50">
        <f t="shared" si="10"/>
        <v>0</v>
      </c>
      <c r="N50">
        <f t="shared" si="0"/>
        <v>47</v>
      </c>
      <c r="O50">
        <f t="shared" si="1"/>
        <v>44.65</v>
      </c>
      <c r="P50">
        <f t="shared" si="2"/>
        <v>49.35</v>
      </c>
      <c r="Q50">
        <f t="shared" si="3"/>
        <v>0</v>
      </c>
      <c r="R50" s="126">
        <f t="shared" si="4"/>
        <v>2.2484202483840717E-9</v>
      </c>
      <c r="S50" s="126">
        <f t="shared" si="5"/>
        <v>4.7407283854786172E-9</v>
      </c>
      <c r="T50">
        <v>10</v>
      </c>
      <c r="U50">
        <v>22</v>
      </c>
      <c r="V50">
        <f t="shared" si="11"/>
        <v>0</v>
      </c>
      <c r="W50">
        <f t="shared" si="12"/>
        <v>220</v>
      </c>
      <c r="X50">
        <f t="shared" si="6"/>
        <v>198</v>
      </c>
      <c r="Y50">
        <f t="shared" si="7"/>
        <v>242.00000000000003</v>
      </c>
      <c r="Z50">
        <f t="shared" si="13"/>
        <v>0</v>
      </c>
      <c r="AA50" s="126">
        <f t="shared" si="14"/>
        <v>2.2484202483840717E-9</v>
      </c>
      <c r="AB50" s="126">
        <f t="shared" si="15"/>
        <v>4.7407283854786172E-9</v>
      </c>
      <c r="AC50" s="126" t="str">
        <f t="shared" si="8"/>
        <v>Vlow exceeds VIL spec</v>
      </c>
      <c r="AD50" s="126" t="str">
        <f t="shared" si="9"/>
        <v>Vlow exceeds VIL spec</v>
      </c>
    </row>
    <row r="51" spans="1:30" x14ac:dyDescent="0.35">
      <c r="A51" t="s">
        <v>322</v>
      </c>
      <c r="B51" s="11">
        <f>C3*(1+E3)</f>
        <v>1100000000000</v>
      </c>
      <c r="C51" s="11">
        <f>C3*(1+E3)</f>
        <v>1100000000000</v>
      </c>
      <c r="K51">
        <v>1</v>
      </c>
      <c r="L51">
        <v>51</v>
      </c>
      <c r="M51">
        <f t="shared" si="10"/>
        <v>0</v>
      </c>
      <c r="N51">
        <f t="shared" si="0"/>
        <v>51</v>
      </c>
      <c r="O51">
        <f t="shared" si="1"/>
        <v>48.449999999999996</v>
      </c>
      <c r="P51">
        <f t="shared" si="2"/>
        <v>53.550000000000004</v>
      </c>
      <c r="Q51">
        <f t="shared" si="3"/>
        <v>0</v>
      </c>
      <c r="R51" s="126">
        <f t="shared" si="4"/>
        <v>2.4397751631092586E-9</v>
      </c>
      <c r="S51" s="126">
        <f t="shared" si="5"/>
        <v>5.0525355642704809E-9</v>
      </c>
      <c r="T51">
        <v>10</v>
      </c>
      <c r="U51">
        <v>27</v>
      </c>
      <c r="V51">
        <f t="shared" si="11"/>
        <v>1</v>
      </c>
      <c r="W51">
        <f t="shared" si="12"/>
        <v>270</v>
      </c>
      <c r="X51">
        <f t="shared" si="6"/>
        <v>243</v>
      </c>
      <c r="Y51">
        <f t="shared" si="7"/>
        <v>297</v>
      </c>
      <c r="Z51">
        <f t="shared" si="13"/>
        <v>1</v>
      </c>
      <c r="AA51" s="126">
        <f t="shared" si="14"/>
        <v>2.4397751631092586E-9</v>
      </c>
      <c r="AB51" s="126">
        <f t="shared" si="15"/>
        <v>5.0525355642704809E-9</v>
      </c>
      <c r="AC51" s="126" t="str">
        <f t="shared" si="8"/>
        <v>Vlow exceeds VIL spec</v>
      </c>
      <c r="AD51" s="126" t="str">
        <f t="shared" si="9"/>
        <v>Vlow exceeds VIL spec</v>
      </c>
    </row>
    <row r="52" spans="1:30" x14ac:dyDescent="0.35">
      <c r="A52" t="s">
        <v>324</v>
      </c>
      <c r="B52" s="1">
        <f>K21</f>
        <v>14.506962153924308</v>
      </c>
      <c r="C52">
        <v>0</v>
      </c>
      <c r="K52">
        <v>1</v>
      </c>
      <c r="L52">
        <v>56</v>
      </c>
      <c r="M52">
        <f t="shared" si="10"/>
        <v>0</v>
      </c>
      <c r="N52">
        <f t="shared" si="0"/>
        <v>56</v>
      </c>
      <c r="O52">
        <f t="shared" si="1"/>
        <v>53.199999999999996</v>
      </c>
      <c r="P52">
        <f t="shared" si="2"/>
        <v>58.800000000000004</v>
      </c>
      <c r="Q52">
        <f t="shared" si="3"/>
        <v>0</v>
      </c>
      <c r="R52" s="126">
        <f t="shared" si="4"/>
        <v>2.6789688065089258E-9</v>
      </c>
      <c r="S52" s="126">
        <f t="shared" si="5"/>
        <v>5.4422945377502613E-9</v>
      </c>
      <c r="T52">
        <v>10</v>
      </c>
      <c r="U52">
        <v>33</v>
      </c>
      <c r="V52">
        <f t="shared" si="11"/>
        <v>2</v>
      </c>
      <c r="W52">
        <f t="shared" si="12"/>
        <v>330</v>
      </c>
      <c r="X52">
        <f t="shared" si="6"/>
        <v>297</v>
      </c>
      <c r="Y52">
        <f t="shared" si="7"/>
        <v>363.00000000000006</v>
      </c>
      <c r="Z52">
        <f t="shared" si="13"/>
        <v>1</v>
      </c>
      <c r="AA52" s="126">
        <f t="shared" si="14"/>
        <v>2.6789688065089258E-9</v>
      </c>
      <c r="AB52" s="126">
        <f t="shared" si="15"/>
        <v>5.4422945377502613E-9</v>
      </c>
      <c r="AC52" s="126" t="str">
        <f t="shared" si="8"/>
        <v>Vlow exceeds VIL spec</v>
      </c>
      <c r="AD52" s="126" t="str">
        <f t="shared" si="9"/>
        <v>Vlow exceeds VIL spec</v>
      </c>
    </row>
    <row r="53" spans="1:30" x14ac:dyDescent="0.35">
      <c r="A53" t="s">
        <v>327</v>
      </c>
      <c r="B53">
        <v>0</v>
      </c>
      <c r="C53" s="1">
        <f>K21</f>
        <v>14.506962153924308</v>
      </c>
      <c r="K53">
        <v>1</v>
      </c>
      <c r="L53">
        <v>62</v>
      </c>
      <c r="M53">
        <f t="shared" si="10"/>
        <v>0</v>
      </c>
      <c r="N53">
        <f t="shared" si="0"/>
        <v>62</v>
      </c>
      <c r="O53">
        <f t="shared" si="1"/>
        <v>58.9</v>
      </c>
      <c r="P53">
        <f t="shared" si="2"/>
        <v>65.100000000000009</v>
      </c>
      <c r="Q53">
        <f t="shared" si="3"/>
        <v>0</v>
      </c>
      <c r="R53" s="126">
        <f t="shared" si="4"/>
        <v>2.9660011785785288E-9</v>
      </c>
      <c r="S53" s="126">
        <f t="shared" si="5"/>
        <v>5.9100053059112673E-9</v>
      </c>
      <c r="T53">
        <v>10</v>
      </c>
      <c r="U53">
        <v>39</v>
      </c>
      <c r="V53">
        <f t="shared" si="11"/>
        <v>3</v>
      </c>
      <c r="W53">
        <f t="shared" si="12"/>
        <v>390</v>
      </c>
      <c r="X53">
        <f t="shared" si="6"/>
        <v>351</v>
      </c>
      <c r="Y53">
        <f t="shared" si="7"/>
        <v>429.00000000000006</v>
      </c>
      <c r="Z53">
        <f t="shared" si="13"/>
        <v>1</v>
      </c>
      <c r="AA53" s="126">
        <f t="shared" si="14"/>
        <v>2.9660011785785288E-9</v>
      </c>
      <c r="AB53" s="126">
        <f t="shared" si="15"/>
        <v>5.9100053059112673E-9</v>
      </c>
      <c r="AC53" s="126" t="str">
        <f t="shared" si="8"/>
        <v>Vlow exceeds VIL spec</v>
      </c>
      <c r="AD53" s="126" t="str">
        <f t="shared" si="9"/>
        <v>Vlow exceeds VIL spec</v>
      </c>
    </row>
    <row r="54" spans="1:30" x14ac:dyDescent="0.35">
      <c r="A54" t="s">
        <v>329</v>
      </c>
      <c r="B54" s="11">
        <f>F2*(1-G2)</f>
        <v>900000000000</v>
      </c>
      <c r="C54" s="11">
        <f>F2*(1-G2)</f>
        <v>900000000000</v>
      </c>
      <c r="K54">
        <v>1</v>
      </c>
      <c r="L54">
        <v>68</v>
      </c>
      <c r="M54">
        <f t="shared" si="10"/>
        <v>0</v>
      </c>
      <c r="N54">
        <f t="shared" si="0"/>
        <v>68</v>
      </c>
      <c r="O54">
        <f t="shared" si="1"/>
        <v>64.599999999999994</v>
      </c>
      <c r="P54">
        <f t="shared" si="2"/>
        <v>71.400000000000006</v>
      </c>
      <c r="Q54">
        <f t="shared" si="3"/>
        <v>0</v>
      </c>
      <c r="R54" s="126">
        <f t="shared" si="4"/>
        <v>3.2530335506372233E-9</v>
      </c>
      <c r="S54" s="126">
        <f t="shared" si="5"/>
        <v>6.3777160740561995E-9</v>
      </c>
      <c r="T54">
        <v>10</v>
      </c>
      <c r="U54">
        <v>47</v>
      </c>
      <c r="V54">
        <f t="shared" si="11"/>
        <v>4</v>
      </c>
      <c r="W54">
        <f t="shared" si="12"/>
        <v>470</v>
      </c>
      <c r="X54">
        <f t="shared" si="6"/>
        <v>423</v>
      </c>
      <c r="Y54">
        <f t="shared" si="7"/>
        <v>517</v>
      </c>
      <c r="Z54">
        <f t="shared" si="13"/>
        <v>1</v>
      </c>
      <c r="AA54" s="126">
        <f t="shared" si="14"/>
        <v>3.2530335506372233E-9</v>
      </c>
      <c r="AB54" s="126">
        <f t="shared" si="15"/>
        <v>6.3777160740561995E-9</v>
      </c>
      <c r="AC54" s="126" t="str">
        <f t="shared" si="8"/>
        <v>Vlow exceeds VIL spec</v>
      </c>
      <c r="AD54" s="126" t="str">
        <f t="shared" si="9"/>
        <v>Vlow exceeds VIL spec</v>
      </c>
    </row>
    <row r="55" spans="1:30" x14ac:dyDescent="0.35">
      <c r="A55" t="s">
        <v>332</v>
      </c>
      <c r="B55" s="11">
        <f>F12*(1-H12)</f>
        <v>900000000</v>
      </c>
      <c r="C55" s="11">
        <f>F12*(1-H12)</f>
        <v>900000000</v>
      </c>
      <c r="K55">
        <v>1</v>
      </c>
      <c r="L55">
        <v>75</v>
      </c>
      <c r="M55">
        <f t="shared" si="10"/>
        <v>0</v>
      </c>
      <c r="N55">
        <f t="shared" si="0"/>
        <v>75</v>
      </c>
      <c r="O55">
        <f t="shared" si="1"/>
        <v>71.25</v>
      </c>
      <c r="P55">
        <f t="shared" si="2"/>
        <v>78.75</v>
      </c>
      <c r="Q55">
        <f t="shared" si="3"/>
        <v>0</v>
      </c>
      <c r="R55" s="126">
        <f t="shared" si="4"/>
        <v>3.5879046513585819E-9</v>
      </c>
      <c r="S55" s="126">
        <f t="shared" si="5"/>
        <v>6.9233786368716421E-9</v>
      </c>
      <c r="T55">
        <v>10</v>
      </c>
      <c r="U55">
        <v>56</v>
      </c>
      <c r="V55">
        <f t="shared" si="11"/>
        <v>5</v>
      </c>
      <c r="W55">
        <f t="shared" si="12"/>
        <v>560</v>
      </c>
      <c r="X55">
        <f t="shared" si="6"/>
        <v>504</v>
      </c>
      <c r="Y55">
        <f t="shared" si="7"/>
        <v>616</v>
      </c>
      <c r="Z55">
        <f t="shared" si="13"/>
        <v>1</v>
      </c>
      <c r="AA55" s="126">
        <f t="shared" si="14"/>
        <v>3.5879046513585819E-9</v>
      </c>
      <c r="AB55" s="126">
        <f t="shared" si="15"/>
        <v>6.9233786368716421E-9</v>
      </c>
      <c r="AC55" s="126" t="str">
        <f t="shared" si="8"/>
        <v>Vlow exceeds VIL spec</v>
      </c>
      <c r="AD55" s="126" t="str">
        <f t="shared" si="9"/>
        <v>Vlow exceeds VIL spec</v>
      </c>
    </row>
    <row r="56" spans="1:30" x14ac:dyDescent="0.35">
      <c r="A56" t="s">
        <v>333</v>
      </c>
      <c r="B56" s="11">
        <f>F3*(1-G3)</f>
        <v>900000000000</v>
      </c>
      <c r="C56" s="11">
        <f>F3*(1-G3)</f>
        <v>900000000000</v>
      </c>
      <c r="K56">
        <v>1</v>
      </c>
      <c r="L56">
        <v>82</v>
      </c>
      <c r="M56">
        <f t="shared" si="10"/>
        <v>0</v>
      </c>
      <c r="N56">
        <f t="shared" si="0"/>
        <v>82</v>
      </c>
      <c r="O56">
        <f t="shared" si="1"/>
        <v>77.899999999999991</v>
      </c>
      <c r="P56">
        <f t="shared" si="2"/>
        <v>86.100000000000009</v>
      </c>
      <c r="Q56">
        <f t="shared" si="3"/>
        <v>0</v>
      </c>
      <c r="R56" s="126">
        <f t="shared" si="4"/>
        <v>3.9227757520650955E-9</v>
      </c>
      <c r="S56" s="126">
        <f t="shared" si="5"/>
        <v>7.4690411996652074E-9</v>
      </c>
      <c r="T56">
        <v>10</v>
      </c>
      <c r="U56">
        <v>68</v>
      </c>
      <c r="V56">
        <f t="shared" si="11"/>
        <v>6</v>
      </c>
      <c r="W56">
        <f t="shared" si="12"/>
        <v>680</v>
      </c>
      <c r="X56">
        <f t="shared" si="6"/>
        <v>612</v>
      </c>
      <c r="Y56">
        <f t="shared" si="7"/>
        <v>748.00000000000011</v>
      </c>
      <c r="Z56">
        <f t="shared" si="13"/>
        <v>1</v>
      </c>
      <c r="AA56" s="126">
        <f t="shared" si="14"/>
        <v>3.9227757520650955E-9</v>
      </c>
      <c r="AB56" s="126">
        <f t="shared" si="15"/>
        <v>7.4690411996652074E-9</v>
      </c>
      <c r="AC56" s="126" t="str">
        <f t="shared" si="8"/>
        <v>Vlow exceeds VIL spec</v>
      </c>
      <c r="AD56" s="126" t="str">
        <f t="shared" si="9"/>
        <v>Vlow exceeds VIL spec</v>
      </c>
    </row>
    <row r="57" spans="1:30" x14ac:dyDescent="0.35">
      <c r="K57">
        <v>1</v>
      </c>
      <c r="L57">
        <v>91</v>
      </c>
      <c r="M57">
        <f t="shared" si="10"/>
        <v>0</v>
      </c>
      <c r="N57">
        <f t="shared" si="0"/>
        <v>91</v>
      </c>
      <c r="O57">
        <f t="shared" si="1"/>
        <v>86.45</v>
      </c>
      <c r="P57">
        <f t="shared" si="2"/>
        <v>95.55</v>
      </c>
      <c r="Q57">
        <f t="shared" si="3"/>
        <v>0</v>
      </c>
      <c r="R57" s="126">
        <f t="shared" si="4"/>
        <v>4.353324310094512E-9</v>
      </c>
      <c r="S57" s="126">
        <f t="shared" si="5"/>
        <v>8.17060735179622E-9</v>
      </c>
      <c r="T57">
        <v>10</v>
      </c>
      <c r="U57">
        <v>82</v>
      </c>
      <c r="V57">
        <f t="shared" si="11"/>
        <v>7</v>
      </c>
      <c r="W57">
        <f t="shared" si="12"/>
        <v>820</v>
      </c>
      <c r="X57">
        <f t="shared" si="6"/>
        <v>738</v>
      </c>
      <c r="Y57">
        <f t="shared" si="7"/>
        <v>902.00000000000011</v>
      </c>
      <c r="Z57">
        <f t="shared" si="13"/>
        <v>1</v>
      </c>
      <c r="AA57" s="126">
        <f t="shared" si="14"/>
        <v>4.353324310094512E-9</v>
      </c>
      <c r="AB57" s="126">
        <f t="shared" si="15"/>
        <v>8.17060735179622E-9</v>
      </c>
      <c r="AC57" s="126" t="str">
        <f t="shared" si="8"/>
        <v>Vlow exceeds VIL spec</v>
      </c>
      <c r="AD57" s="126" t="str">
        <f t="shared" si="9"/>
        <v>Vlow exceeds VIL spec</v>
      </c>
    </row>
    <row r="58" spans="1:30" x14ac:dyDescent="0.35">
      <c r="A58" t="s">
        <v>344</v>
      </c>
      <c r="B58">
        <v>1</v>
      </c>
      <c r="C58">
        <v>1</v>
      </c>
      <c r="K58">
        <v>10</v>
      </c>
      <c r="L58">
        <v>10</v>
      </c>
      <c r="M58">
        <f t="shared" si="10"/>
        <v>0</v>
      </c>
      <c r="N58">
        <f t="shared" si="0"/>
        <v>100</v>
      </c>
      <c r="O58">
        <f t="shared" si="1"/>
        <v>95</v>
      </c>
      <c r="P58">
        <f t="shared" si="2"/>
        <v>105</v>
      </c>
      <c r="Q58">
        <f t="shared" si="3"/>
        <v>0</v>
      </c>
      <c r="R58" s="126">
        <f t="shared" si="4"/>
        <v>4.7838728680993876E-9</v>
      </c>
      <c r="S58" s="126">
        <f t="shared" si="5"/>
        <v>8.8721735038910666E-9</v>
      </c>
      <c r="T58">
        <v>100</v>
      </c>
      <c r="U58">
        <v>10</v>
      </c>
      <c r="V58">
        <f t="shared" si="11"/>
        <v>8</v>
      </c>
      <c r="W58">
        <f t="shared" si="12"/>
        <v>1000</v>
      </c>
      <c r="X58">
        <f t="shared" si="6"/>
        <v>900</v>
      </c>
      <c r="Y58">
        <f t="shared" si="7"/>
        <v>1100</v>
      </c>
      <c r="Z58">
        <f t="shared" si="13"/>
        <v>1</v>
      </c>
      <c r="AA58" s="126">
        <f t="shared" si="14"/>
        <v>4.7838728680993876E-9</v>
      </c>
      <c r="AB58" s="126">
        <f t="shared" si="15"/>
        <v>8.8721735038910666E-9</v>
      </c>
      <c r="AC58" s="126" t="str">
        <f t="shared" si="8"/>
        <v>Vlow exceeds VIL spec</v>
      </c>
      <c r="AD58" s="126" t="str">
        <f t="shared" si="9"/>
        <v>Vlow exceeds VIL spec</v>
      </c>
    </row>
    <row r="59" spans="1:30" x14ac:dyDescent="0.35">
      <c r="A59" t="s">
        <v>345</v>
      </c>
      <c r="B59">
        <v>1</v>
      </c>
      <c r="C59">
        <v>1</v>
      </c>
      <c r="K59">
        <v>10</v>
      </c>
      <c r="L59">
        <v>11</v>
      </c>
      <c r="M59">
        <f t="shared" si="10"/>
        <v>0</v>
      </c>
      <c r="N59">
        <f t="shared" si="0"/>
        <v>110</v>
      </c>
      <c r="O59">
        <f t="shared" si="1"/>
        <v>104.5</v>
      </c>
      <c r="P59">
        <f t="shared" si="2"/>
        <v>115.5</v>
      </c>
      <c r="Q59">
        <f t="shared" si="3"/>
        <v>0</v>
      </c>
      <c r="R59" s="126">
        <f t="shared" si="4"/>
        <v>5.2622601547426876E-9</v>
      </c>
      <c r="S59" s="126">
        <f t="shared" si="5"/>
        <v>9.6516914506207091E-9</v>
      </c>
      <c r="T59">
        <v>100</v>
      </c>
      <c r="U59">
        <v>12</v>
      </c>
      <c r="V59">
        <f t="shared" si="11"/>
        <v>9</v>
      </c>
      <c r="W59">
        <f t="shared" si="12"/>
        <v>1200</v>
      </c>
      <c r="X59">
        <f t="shared" si="6"/>
        <v>1080</v>
      </c>
      <c r="Y59">
        <f t="shared" si="7"/>
        <v>1320</v>
      </c>
      <c r="Z59">
        <f t="shared" si="13"/>
        <v>1</v>
      </c>
      <c r="AA59" s="126">
        <f t="shared" si="14"/>
        <v>5.2622601547426876E-9</v>
      </c>
      <c r="AB59" s="126">
        <f t="shared" si="15"/>
        <v>9.6516914506207091E-9</v>
      </c>
      <c r="AC59" s="126" t="str">
        <f t="shared" si="8"/>
        <v>Vlow exceeds VIL spec</v>
      </c>
      <c r="AD59" s="126" t="str">
        <f t="shared" si="9"/>
        <v>Vlow exceeds VIL spec</v>
      </c>
    </row>
    <row r="60" spans="1:30" x14ac:dyDescent="0.35">
      <c r="A60" t="s">
        <v>346</v>
      </c>
      <c r="B60">
        <v>1</v>
      </c>
      <c r="C60">
        <v>1</v>
      </c>
      <c r="K60">
        <v>10</v>
      </c>
      <c r="L60">
        <v>12</v>
      </c>
      <c r="M60">
        <f t="shared" si="10"/>
        <v>0</v>
      </c>
      <c r="N60">
        <f t="shared" si="0"/>
        <v>120</v>
      </c>
      <c r="O60">
        <f t="shared" si="1"/>
        <v>114</v>
      </c>
      <c r="P60">
        <f t="shared" si="2"/>
        <v>126</v>
      </c>
      <c r="Q60">
        <f t="shared" si="3"/>
        <v>0</v>
      </c>
      <c r="R60" s="126">
        <f t="shared" si="4"/>
        <v>5.7406474413556897E-9</v>
      </c>
      <c r="S60" s="126">
        <f t="shared" si="5"/>
        <v>1.0431209397305707E-8</v>
      </c>
      <c r="T60">
        <v>100</v>
      </c>
      <c r="U60">
        <v>15</v>
      </c>
      <c r="V60">
        <f t="shared" si="11"/>
        <v>10</v>
      </c>
      <c r="W60">
        <f t="shared" si="12"/>
        <v>1500</v>
      </c>
      <c r="X60">
        <f t="shared" si="6"/>
        <v>1350</v>
      </c>
      <c r="Y60">
        <f t="shared" si="7"/>
        <v>1650.0000000000002</v>
      </c>
      <c r="Z60">
        <f t="shared" si="13"/>
        <v>1</v>
      </c>
      <c r="AA60" s="126">
        <f t="shared" si="14"/>
        <v>5.7406474413556897E-9</v>
      </c>
      <c r="AB60" s="126">
        <f t="shared" si="15"/>
        <v>1.0431209397305707E-8</v>
      </c>
      <c r="AC60" s="126" t="str">
        <f t="shared" si="8"/>
        <v>Vlow exceeds VIL spec</v>
      </c>
      <c r="AD60" s="126" t="str">
        <f t="shared" si="9"/>
        <v>Vlow exceeds VIL spec</v>
      </c>
    </row>
    <row r="61" spans="1:30" x14ac:dyDescent="0.35">
      <c r="K61">
        <v>10</v>
      </c>
      <c r="L61">
        <v>13</v>
      </c>
      <c r="M61">
        <f t="shared" si="10"/>
        <v>0</v>
      </c>
      <c r="N61">
        <f t="shared" si="0"/>
        <v>130</v>
      </c>
      <c r="O61">
        <f t="shared" si="1"/>
        <v>123.5</v>
      </c>
      <c r="P61">
        <f t="shared" si="2"/>
        <v>136.5</v>
      </c>
      <c r="Q61">
        <f t="shared" si="3"/>
        <v>0</v>
      </c>
      <c r="R61" s="126">
        <f t="shared" si="4"/>
        <v>6.2190347279383946E-9</v>
      </c>
      <c r="S61" s="126">
        <f t="shared" si="5"/>
        <v>1.1210727343946056E-8</v>
      </c>
      <c r="T61">
        <v>100</v>
      </c>
      <c r="U61">
        <v>18</v>
      </c>
      <c r="V61">
        <f t="shared" si="11"/>
        <v>11</v>
      </c>
      <c r="W61">
        <f t="shared" si="12"/>
        <v>1800</v>
      </c>
      <c r="X61">
        <f t="shared" si="6"/>
        <v>1620</v>
      </c>
      <c r="Y61">
        <f t="shared" si="7"/>
        <v>1980.0000000000002</v>
      </c>
      <c r="Z61">
        <f t="shared" si="13"/>
        <v>1</v>
      </c>
      <c r="AA61" s="126">
        <f t="shared" si="14"/>
        <v>6.2190347279383946E-9</v>
      </c>
      <c r="AB61" s="126">
        <f t="shared" si="15"/>
        <v>1.1210727343946056E-8</v>
      </c>
      <c r="AC61" s="126" t="str">
        <f t="shared" si="8"/>
        <v>Vlow exceeds VIL spec</v>
      </c>
      <c r="AD61" s="126" t="str">
        <f t="shared" si="9"/>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0.99999954407408942</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0.99999954409020808</v>
      </c>
      <c r="K62">
        <v>10</v>
      </c>
      <c r="L62">
        <v>15</v>
      </c>
      <c r="M62">
        <f t="shared" si="10"/>
        <v>0</v>
      </c>
      <c r="N62">
        <f t="shared" si="0"/>
        <v>150</v>
      </c>
      <c r="O62">
        <f t="shared" si="1"/>
        <v>142.5</v>
      </c>
      <c r="P62">
        <f t="shared" si="2"/>
        <v>157.5</v>
      </c>
      <c r="Q62">
        <f t="shared" si="3"/>
        <v>0</v>
      </c>
      <c r="R62" s="126">
        <f t="shared" si="4"/>
        <v>7.1758093010129112E-9</v>
      </c>
      <c r="S62" s="126">
        <f t="shared" si="5"/>
        <v>1.2769763237092824E-8</v>
      </c>
      <c r="T62">
        <v>100</v>
      </c>
      <c r="U62">
        <v>22</v>
      </c>
      <c r="V62">
        <f t="shared" si="11"/>
        <v>12</v>
      </c>
      <c r="W62">
        <f t="shared" si="12"/>
        <v>2200</v>
      </c>
      <c r="X62">
        <f t="shared" si="6"/>
        <v>1980</v>
      </c>
      <c r="Y62">
        <f t="shared" si="7"/>
        <v>2420</v>
      </c>
      <c r="Z62">
        <f t="shared" si="13"/>
        <v>1</v>
      </c>
      <c r="AA62" s="126">
        <f t="shared" si="14"/>
        <v>7.1758093010129112E-9</v>
      </c>
      <c r="AB62" s="126">
        <f t="shared" si="15"/>
        <v>1.2769763237092824E-8</v>
      </c>
      <c r="AC62" s="126" t="str">
        <f t="shared" si="8"/>
        <v>Vlow exceeds VIL spec</v>
      </c>
      <c r="AD62" s="126" t="str">
        <f t="shared" si="9"/>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0.99999954409020808</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0.99999954409020808</v>
      </c>
      <c r="K63">
        <v>10</v>
      </c>
      <c r="L63">
        <v>16</v>
      </c>
      <c r="M63">
        <f t="shared" si="10"/>
        <v>0</v>
      </c>
      <c r="N63">
        <f t="shared" si="0"/>
        <v>160</v>
      </c>
      <c r="O63">
        <f t="shared" si="1"/>
        <v>152</v>
      </c>
      <c r="P63">
        <f t="shared" si="2"/>
        <v>168</v>
      </c>
      <c r="Q63">
        <f t="shared" si="3"/>
        <v>0</v>
      </c>
      <c r="R63" s="126">
        <f t="shared" si="4"/>
        <v>7.6541965875047222E-9</v>
      </c>
      <c r="S63" s="126">
        <f t="shared" si="5"/>
        <v>1.354928118359924E-8</v>
      </c>
      <c r="T63">
        <v>100</v>
      </c>
      <c r="U63">
        <v>27</v>
      </c>
      <c r="V63">
        <f t="shared" si="11"/>
        <v>13</v>
      </c>
      <c r="W63">
        <f t="shared" si="12"/>
        <v>2700</v>
      </c>
      <c r="X63">
        <f t="shared" si="6"/>
        <v>2430</v>
      </c>
      <c r="Y63">
        <f t="shared" si="7"/>
        <v>2970.0000000000005</v>
      </c>
      <c r="Z63">
        <f t="shared" si="13"/>
        <v>1</v>
      </c>
      <c r="AA63" s="126">
        <f t="shared" si="14"/>
        <v>7.6541965875047222E-9</v>
      </c>
      <c r="AB63" s="126">
        <f t="shared" si="15"/>
        <v>1.354928118359924E-8</v>
      </c>
      <c r="AC63" s="126" t="str">
        <f t="shared" si="8"/>
        <v>Vlow exceeds VIL spec</v>
      </c>
      <c r="AD63" s="126" t="str">
        <f t="shared" si="9"/>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0.99999954409020808</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0.99999954407408942</v>
      </c>
      <c r="K64">
        <v>10</v>
      </c>
      <c r="L64">
        <v>18</v>
      </c>
      <c r="M64">
        <f t="shared" si="10"/>
        <v>0</v>
      </c>
      <c r="N64">
        <f t="shared" si="0"/>
        <v>180</v>
      </c>
      <c r="O64">
        <f t="shared" si="1"/>
        <v>171</v>
      </c>
      <c r="P64">
        <f t="shared" si="2"/>
        <v>189</v>
      </c>
      <c r="Q64">
        <f t="shared" si="3"/>
        <v>0</v>
      </c>
      <c r="R64" s="126">
        <f t="shared" si="4"/>
        <v>8.6109711603974502E-9</v>
      </c>
      <c r="S64" s="126">
        <f t="shared" si="5"/>
        <v>1.5108317076478139E-8</v>
      </c>
      <c r="T64">
        <v>100</v>
      </c>
      <c r="U64">
        <v>33</v>
      </c>
      <c r="V64">
        <f t="shared" si="11"/>
        <v>14</v>
      </c>
      <c r="W64">
        <f t="shared" si="12"/>
        <v>3300</v>
      </c>
      <c r="X64">
        <f t="shared" si="6"/>
        <v>2970</v>
      </c>
      <c r="Y64">
        <f t="shared" si="7"/>
        <v>3630.0000000000005</v>
      </c>
      <c r="Z64">
        <f t="shared" si="13"/>
        <v>1</v>
      </c>
      <c r="AA64" s="126">
        <f t="shared" si="14"/>
        <v>8.6109711603974502E-9</v>
      </c>
      <c r="AB64" s="126">
        <f t="shared" si="15"/>
        <v>1.5108317076478139E-8</v>
      </c>
      <c r="AC64" s="126" t="str">
        <f t="shared" si="8"/>
        <v>Vlow exceeds VIL spec</v>
      </c>
      <c r="AD64" s="126">
        <f t="shared" si="9"/>
        <v>2.3312381461783523E-8</v>
      </c>
    </row>
    <row r="65" spans="1:31" x14ac:dyDescent="0.35">
      <c r="K65">
        <v>10</v>
      </c>
      <c r="L65">
        <v>20</v>
      </c>
      <c r="M65">
        <f t="shared" si="10"/>
        <v>0</v>
      </c>
      <c r="N65">
        <f t="shared" si="0"/>
        <v>200</v>
      </c>
      <c r="O65">
        <f t="shared" si="1"/>
        <v>190</v>
      </c>
      <c r="P65">
        <f t="shared" si="2"/>
        <v>210</v>
      </c>
      <c r="Q65">
        <f t="shared" si="3"/>
        <v>0</v>
      </c>
      <c r="R65" s="126">
        <f t="shared" si="4"/>
        <v>9.567745733168988E-9</v>
      </c>
      <c r="S65" s="126">
        <f t="shared" si="5"/>
        <v>1.6667352969178449E-8</v>
      </c>
      <c r="T65">
        <v>100</v>
      </c>
      <c r="U65">
        <v>39</v>
      </c>
      <c r="V65">
        <f t="shared" si="11"/>
        <v>15</v>
      </c>
      <c r="W65">
        <f t="shared" si="12"/>
        <v>3900</v>
      </c>
      <c r="X65">
        <f t="shared" si="6"/>
        <v>3510</v>
      </c>
      <c r="Y65">
        <f t="shared" si="7"/>
        <v>4290</v>
      </c>
      <c r="Z65">
        <f t="shared" si="13"/>
        <v>1</v>
      </c>
      <c r="AA65" s="126">
        <f t="shared" si="14"/>
        <v>9.567745733168988E-9</v>
      </c>
      <c r="AB65" s="126">
        <f t="shared" si="15"/>
        <v>1.6667352969178449E-8</v>
      </c>
      <c r="AC65" s="126" t="str">
        <f t="shared" si="8"/>
        <v>Vlow exceeds VIL spec</v>
      </c>
      <c r="AD65" s="126">
        <f t="shared" si="9"/>
        <v>1.5911722869812024E-8</v>
      </c>
    </row>
    <row r="66" spans="1:31" x14ac:dyDescent="0.35">
      <c r="I66" s="128"/>
      <c r="J66" s="128"/>
      <c r="K66">
        <v>10</v>
      </c>
      <c r="L66">
        <v>22</v>
      </c>
      <c r="M66">
        <f t="shared" si="10"/>
        <v>1</v>
      </c>
      <c r="N66">
        <f t="shared" ref="N66:N97" si="16">L66*K66</f>
        <v>220</v>
      </c>
      <c r="O66">
        <f t="shared" ref="O66:O97" si="17">N66*(1-$M$32)</f>
        <v>209</v>
      </c>
      <c r="P66">
        <f t="shared" ref="P66:P97" si="18">N66*(1+$M$32)</f>
        <v>231</v>
      </c>
      <c r="Q66">
        <f t="shared" ref="Q66:Q97" si="19">IF($Q$2="N/A",IF(AND((O66&gt;=MAX($H$7:$I$7)),(P66&lt;=MIN($F$7:$G$7)),(P66&lt;=MIN($B$7:$C$7)),(O66&gt;=MAX($D$7:$E$7))),1,0),IF(AND((O66&gt;=MAX($I$7)),(P66&lt;=MIN($G$7)),(P66&lt;=MIN($C$7)),(O66&gt;=MAX($E$7))),1,0))</f>
        <v>1</v>
      </c>
      <c r="R66" s="126">
        <f t="shared" ref="R66:R97" si="20">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1.0524520305819334E-8</v>
      </c>
      <c r="S66" s="126">
        <f t="shared" ref="S66:S97" si="21">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1.8226388861700188E-8</v>
      </c>
      <c r="T66">
        <v>100</v>
      </c>
      <c r="U66">
        <v>47</v>
      </c>
      <c r="V66">
        <f t="shared" si="11"/>
        <v>16</v>
      </c>
      <c r="W66">
        <f t="shared" si="12"/>
        <v>4700</v>
      </c>
      <c r="X66">
        <f t="shared" si="6"/>
        <v>4230</v>
      </c>
      <c r="Y66">
        <f t="shared" si="7"/>
        <v>5170</v>
      </c>
      <c r="Z66">
        <f t="shared" si="13"/>
        <v>1</v>
      </c>
      <c r="AA66" s="126">
        <f t="shared" si="14"/>
        <v>1.0524520305819334E-8</v>
      </c>
      <c r="AB66" s="126">
        <f t="shared" si="15"/>
        <v>1.8226388861700188E-8</v>
      </c>
      <c r="AC66" s="126">
        <f t="shared" ref="AC66:AC97" si="22">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2.4366515003129204E-8</v>
      </c>
      <c r="AD66" s="126">
        <f t="shared" ref="AD66:AD97" si="23">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1.3495864833372218E-8</v>
      </c>
    </row>
    <row r="67" spans="1:31" x14ac:dyDescent="0.35">
      <c r="B67" s="171" t="s">
        <v>354</v>
      </c>
      <c r="C67" s="171"/>
      <c r="I67" s="128"/>
      <c r="K67">
        <v>10</v>
      </c>
      <c r="L67">
        <v>24</v>
      </c>
      <c r="M67">
        <f t="shared" ref="M67:M98" si="24">IF(AND(Q66=1,Q67=0),Q67+M66+1, Q67+M66)</f>
        <v>2</v>
      </c>
      <c r="N67">
        <f t="shared" si="16"/>
        <v>240</v>
      </c>
      <c r="O67">
        <f t="shared" si="17"/>
        <v>228</v>
      </c>
      <c r="P67">
        <f t="shared" si="18"/>
        <v>252</v>
      </c>
      <c r="Q67">
        <f t="shared" si="19"/>
        <v>1</v>
      </c>
      <c r="R67" s="126">
        <f t="shared" si="20"/>
        <v>1.1481294878348488E-8</v>
      </c>
      <c r="S67" s="126">
        <f t="shared" si="21"/>
        <v>1.9785424754043342E-8</v>
      </c>
      <c r="T67">
        <v>100</v>
      </c>
      <c r="U67">
        <v>56</v>
      </c>
      <c r="V67">
        <f t="shared" si="11"/>
        <v>17</v>
      </c>
      <c r="W67">
        <f t="shared" si="12"/>
        <v>5600</v>
      </c>
      <c r="X67">
        <f t="shared" si="6"/>
        <v>5040</v>
      </c>
      <c r="Y67">
        <f t="shared" si="7"/>
        <v>6160.0000000000009</v>
      </c>
      <c r="Z67">
        <f t="shared" si="13"/>
        <v>1</v>
      </c>
      <c r="AA67" s="126">
        <f t="shared" si="14"/>
        <v>1.1481294878348488E-8</v>
      </c>
      <c r="AB67" s="126">
        <f t="shared" si="15"/>
        <v>1.9785424754043342E-8</v>
      </c>
      <c r="AC67" s="126">
        <f t="shared" si="22"/>
        <v>1.8784687482620281E-8</v>
      </c>
      <c r="AD67" s="126">
        <f t="shared" si="23"/>
        <v>1.214646628227567E-8</v>
      </c>
    </row>
    <row r="68" spans="1:31" ht="28.4" customHeight="1" x14ac:dyDescent="0.35">
      <c r="B68" s="32" t="s">
        <v>355</v>
      </c>
      <c r="C68" s="32" t="s">
        <v>356</v>
      </c>
      <c r="D68" s="32" t="s">
        <v>357</v>
      </c>
      <c r="E68" s="32" t="str">
        <f>IF(Summary!O37="absolute","find min R2, so that max (Vz) = " &amp; TRUNC(R3/J2,3),"find min R2, so that max (Vz) = " &amp; R3)</f>
        <v>find min R2, so that max (Vz) = 0.3</v>
      </c>
      <c r="F68" s="32" t="s">
        <v>358</v>
      </c>
      <c r="G68" s="32" t="s">
        <v>359</v>
      </c>
      <c r="H68" s="32" t="s">
        <v>360</v>
      </c>
      <c r="I68" s="49"/>
      <c r="J68" s="49"/>
      <c r="K68">
        <v>10</v>
      </c>
      <c r="L68">
        <v>27</v>
      </c>
      <c r="M68">
        <f t="shared" si="24"/>
        <v>3</v>
      </c>
      <c r="N68">
        <f t="shared" si="16"/>
        <v>270</v>
      </c>
      <c r="O68">
        <f t="shared" si="17"/>
        <v>256.5</v>
      </c>
      <c r="P68">
        <f t="shared" si="18"/>
        <v>283.5</v>
      </c>
      <c r="Q68">
        <f t="shared" si="19"/>
        <v>1</v>
      </c>
      <c r="R68" s="126">
        <f t="shared" si="20"/>
        <v>1.2916456736914984E-8</v>
      </c>
      <c r="S68" s="126">
        <f t="shared" si="21"/>
        <v>2.2123978592223235E-8</v>
      </c>
      <c r="T68">
        <v>100</v>
      </c>
      <c r="U68">
        <v>68</v>
      </c>
      <c r="V68">
        <f t="shared" si="11"/>
        <v>18</v>
      </c>
      <c r="W68">
        <f t="shared" si="12"/>
        <v>6800</v>
      </c>
      <c r="X68">
        <f t="shared" si="6"/>
        <v>6120</v>
      </c>
      <c r="Y68">
        <f t="shared" si="7"/>
        <v>7480.0000000000009</v>
      </c>
      <c r="Z68">
        <f t="shared" si="13"/>
        <v>1</v>
      </c>
      <c r="AA68" s="126">
        <f t="shared" si="14"/>
        <v>1.2916456736914984E-8</v>
      </c>
      <c r="AB68" s="126">
        <f t="shared" si="15"/>
        <v>2.2123978592223235E-8</v>
      </c>
      <c r="AC68" s="126">
        <f t="shared" si="22"/>
        <v>1.5528520370293372E-8</v>
      </c>
      <c r="AD68" s="126">
        <f t="shared" si="23"/>
        <v>1.0918293130755981E-8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24"/>
        <v>4</v>
      </c>
      <c r="N69">
        <f t="shared" si="16"/>
        <v>300</v>
      </c>
      <c r="O69">
        <f t="shared" si="17"/>
        <v>285</v>
      </c>
      <c r="P69">
        <f t="shared" si="18"/>
        <v>315</v>
      </c>
      <c r="Q69">
        <f t="shared" si="19"/>
        <v>1</v>
      </c>
      <c r="R69" s="126">
        <f t="shared" si="20"/>
        <v>1.43516185952088E-8</v>
      </c>
      <c r="S69" s="126">
        <f t="shared" si="21"/>
        <v>2.446253243000132E-8</v>
      </c>
      <c r="T69">
        <v>100</v>
      </c>
      <c r="U69">
        <v>82</v>
      </c>
      <c r="V69">
        <f t="shared" si="11"/>
        <v>19</v>
      </c>
      <c r="W69">
        <f t="shared" si="12"/>
        <v>8200</v>
      </c>
      <c r="X69">
        <f t="shared" si="6"/>
        <v>7380</v>
      </c>
      <c r="Y69">
        <f t="shared" si="7"/>
        <v>9020</v>
      </c>
      <c r="Z69">
        <f t="shared" si="13"/>
        <v>1</v>
      </c>
      <c r="AA69" s="126">
        <f t="shared" si="14"/>
        <v>1.43516185952088E-8</v>
      </c>
      <c r="AB69" s="126">
        <f t="shared" si="15"/>
        <v>2.446253243000132E-8</v>
      </c>
      <c r="AC69" s="126">
        <f t="shared" si="22"/>
        <v>1.3854773539097793E-8</v>
      </c>
      <c r="AD69" s="126">
        <f t="shared" si="23"/>
        <v>1.0145906966844443E-8</v>
      </c>
    </row>
    <row r="70" spans="1:31" x14ac:dyDescent="0.35">
      <c r="A70" t="s">
        <v>320</v>
      </c>
      <c r="B70" s="11">
        <f>F11*(1+H11)</f>
        <v>409.5</v>
      </c>
      <c r="C70" s="11">
        <f>F11*(1-H11)</f>
        <v>370.5</v>
      </c>
      <c r="D70" s="11">
        <f>F11*(1+H11)</f>
        <v>409.5</v>
      </c>
      <c r="E70" s="11"/>
      <c r="F70" s="11">
        <f>F11*(1-H11)</f>
        <v>370.5</v>
      </c>
      <c r="G70" s="11">
        <f>F11*(1-H11)</f>
        <v>370.5</v>
      </c>
      <c r="H70" s="11">
        <f>F11*(1+H11)</f>
        <v>409.5</v>
      </c>
      <c r="K70">
        <v>10</v>
      </c>
      <c r="L70">
        <v>33</v>
      </c>
      <c r="M70">
        <f t="shared" si="24"/>
        <v>5</v>
      </c>
      <c r="N70">
        <f t="shared" si="16"/>
        <v>330</v>
      </c>
      <c r="O70">
        <f t="shared" si="17"/>
        <v>313.5</v>
      </c>
      <c r="P70">
        <f t="shared" si="18"/>
        <v>346.5</v>
      </c>
      <c r="Q70">
        <f t="shared" si="19"/>
        <v>1</v>
      </c>
      <c r="R70" s="126">
        <f t="shared" si="20"/>
        <v>1.5786780453229936E-8</v>
      </c>
      <c r="S70" s="126">
        <f t="shared" si="21"/>
        <v>2.68010862673776E-8</v>
      </c>
      <c r="T70">
        <v>1000</v>
      </c>
      <c r="U70">
        <v>10</v>
      </c>
      <c r="V70">
        <f t="shared" si="11"/>
        <v>20</v>
      </c>
      <c r="W70">
        <f t="shared" si="12"/>
        <v>10000</v>
      </c>
      <c r="X70">
        <f t="shared" si="6"/>
        <v>9000</v>
      </c>
      <c r="Y70">
        <f t="shared" si="7"/>
        <v>11000</v>
      </c>
      <c r="Z70">
        <f t="shared" si="13"/>
        <v>1</v>
      </c>
      <c r="AA70" s="126">
        <f t="shared" si="14"/>
        <v>1.5786780453229936E-8</v>
      </c>
      <c r="AB70" s="126">
        <f t="shared" si="15"/>
        <v>2.68010862673776E-8</v>
      </c>
      <c r="AC70" s="126">
        <f t="shared" si="22"/>
        <v>1.2802988423694648E-8</v>
      </c>
      <c r="AD70" s="126">
        <f t="shared" si="23"/>
        <v>9.6113900366045382E-9</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24"/>
        <v>6</v>
      </c>
      <c r="N71">
        <f t="shared" si="16"/>
        <v>360</v>
      </c>
      <c r="O71">
        <f t="shared" si="17"/>
        <v>342</v>
      </c>
      <c r="P71">
        <f t="shared" si="18"/>
        <v>378</v>
      </c>
      <c r="Q71">
        <f t="shared" si="19"/>
        <v>1</v>
      </c>
      <c r="R71" s="126">
        <f t="shared" si="20"/>
        <v>1.7221942310978391E-8</v>
      </c>
      <c r="S71" s="126">
        <f t="shared" si="21"/>
        <v>2.9139640104352076E-8</v>
      </c>
      <c r="T71">
        <v>1000</v>
      </c>
      <c r="U71">
        <v>12</v>
      </c>
      <c r="V71">
        <f t="shared" si="11"/>
        <v>21</v>
      </c>
      <c r="W71">
        <f t="shared" si="12"/>
        <v>12000</v>
      </c>
      <c r="X71">
        <f t="shared" si="6"/>
        <v>10800</v>
      </c>
      <c r="Y71">
        <f t="shared" si="7"/>
        <v>13200.000000000002</v>
      </c>
      <c r="Z71">
        <f t="shared" si="13"/>
        <v>0</v>
      </c>
      <c r="AA71" s="126">
        <f t="shared" si="14"/>
        <v>1.7221942310978391E-8</v>
      </c>
      <c r="AB71" s="126">
        <f t="shared" si="15"/>
        <v>2.9139640104352076E-8</v>
      </c>
      <c r="AC71" s="126">
        <f t="shared" si="22"/>
        <v>1.2073041724492476E-8</v>
      </c>
      <c r="AD71" s="126">
        <f t="shared" si="23"/>
        <v>9.2184394685424517E-9</v>
      </c>
    </row>
    <row r="72" spans="1:31" x14ac:dyDescent="0.35">
      <c r="A72" t="s">
        <v>324</v>
      </c>
      <c r="B72" s="1">
        <f>K21*MIN(K25,K24)</f>
        <v>0</v>
      </c>
      <c r="C72" s="1">
        <f>K21*MAX(K25,K24)</f>
        <v>14.506962153924308</v>
      </c>
      <c r="D72" s="1">
        <f>K21*MIN(K25,K24)</f>
        <v>0</v>
      </c>
      <c r="E72" s="1">
        <f>K21*MAX(K25,K24)</f>
        <v>14.506962153924308</v>
      </c>
      <c r="F72" s="125">
        <f>K21*MAX(K25,K24)</f>
        <v>14.506962153924308</v>
      </c>
      <c r="G72" s="125">
        <f>K22*MAX(K25,K24)</f>
        <v>8.6969621539243072</v>
      </c>
      <c r="H72" s="1">
        <f>K22*MIN(K25,K24)</f>
        <v>0</v>
      </c>
      <c r="K72">
        <v>10</v>
      </c>
      <c r="L72">
        <v>39</v>
      </c>
      <c r="M72">
        <f t="shared" si="24"/>
        <v>7</v>
      </c>
      <c r="N72">
        <f t="shared" si="16"/>
        <v>390</v>
      </c>
      <c r="O72">
        <f t="shared" si="17"/>
        <v>370.5</v>
      </c>
      <c r="P72">
        <f t="shared" si="18"/>
        <v>409.5</v>
      </c>
      <c r="Q72">
        <f t="shared" si="19"/>
        <v>1</v>
      </c>
      <c r="R72" s="126">
        <f t="shared" si="20"/>
        <v>1.8657104168454167E-8</v>
      </c>
      <c r="S72" s="126">
        <f t="shared" si="21"/>
        <v>3.1478193940924747E-8</v>
      </c>
      <c r="T72">
        <v>1000</v>
      </c>
      <c r="U72">
        <v>15</v>
      </c>
      <c r="V72">
        <f t="shared" si="11"/>
        <v>21</v>
      </c>
      <c r="W72">
        <f t="shared" si="12"/>
        <v>15000</v>
      </c>
      <c r="X72">
        <f t="shared" si="6"/>
        <v>13500</v>
      </c>
      <c r="Y72">
        <f t="shared" si="7"/>
        <v>16500</v>
      </c>
      <c r="Z72">
        <f t="shared" si="13"/>
        <v>0</v>
      </c>
      <c r="AA72" s="126">
        <f t="shared" si="14"/>
        <v>1.8657104168454167E-8</v>
      </c>
      <c r="AB72" s="126">
        <f t="shared" si="15"/>
        <v>3.1478193940924747E-8</v>
      </c>
      <c r="AC72" s="126">
        <f t="shared" si="22"/>
        <v>1.1534445833461516E-8</v>
      </c>
      <c r="AD72" s="126">
        <f t="shared" si="23"/>
        <v>8.9170766681327571E-9</v>
      </c>
    </row>
    <row r="73" spans="1:31" x14ac:dyDescent="0.35">
      <c r="A73" t="s">
        <v>327</v>
      </c>
      <c r="B73" s="1">
        <f>K21-B72</f>
        <v>14.506962153924308</v>
      </c>
      <c r="C73" s="1">
        <f>K21-C72</f>
        <v>0</v>
      </c>
      <c r="D73" s="1">
        <f>K21-D72</f>
        <v>14.506962153924308</v>
      </c>
      <c r="E73" s="1">
        <f>K21-E72</f>
        <v>0</v>
      </c>
      <c r="F73" s="1">
        <f>K21-F72</f>
        <v>0</v>
      </c>
      <c r="G73" s="1">
        <f>K22-G72</f>
        <v>0</v>
      </c>
      <c r="H73" s="1">
        <f>K22-H72</f>
        <v>8.6969621539243072</v>
      </c>
      <c r="K73">
        <v>10</v>
      </c>
      <c r="L73">
        <v>43</v>
      </c>
      <c r="M73">
        <f t="shared" si="24"/>
        <v>8</v>
      </c>
      <c r="N73">
        <f t="shared" si="16"/>
        <v>430</v>
      </c>
      <c r="O73">
        <f t="shared" si="17"/>
        <v>408.5</v>
      </c>
      <c r="P73">
        <f t="shared" si="18"/>
        <v>451.5</v>
      </c>
      <c r="Q73">
        <f t="shared" si="19"/>
        <v>1</v>
      </c>
      <c r="R73" s="126">
        <f t="shared" si="20"/>
        <v>2.0570653311331031E-8</v>
      </c>
      <c r="S73" s="126">
        <f t="shared" si="21"/>
        <v>3.4596265722396605E-8</v>
      </c>
      <c r="T73">
        <v>1000</v>
      </c>
      <c r="U73">
        <v>18</v>
      </c>
      <c r="V73">
        <f t="shared" si="11"/>
        <v>21</v>
      </c>
      <c r="W73">
        <f t="shared" si="12"/>
        <v>18000</v>
      </c>
      <c r="X73">
        <f t="shared" si="6"/>
        <v>16200</v>
      </c>
      <c r="Y73">
        <f t="shared" si="7"/>
        <v>19800</v>
      </c>
      <c r="Z73">
        <f t="shared" si="13"/>
        <v>0</v>
      </c>
      <c r="AA73" s="126">
        <f t="shared" si="14"/>
        <v>2.0570653311331031E-8</v>
      </c>
      <c r="AB73" s="126">
        <f t="shared" si="15"/>
        <v>3.4596265722396605E-8</v>
      </c>
      <c r="AC73" s="126">
        <f t="shared" si="22"/>
        <v>1.1002038523433599E-8</v>
      </c>
      <c r="AD73" s="126">
        <f t="shared" si="23"/>
        <v>8.6097112101063997E-9</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24"/>
        <v>9</v>
      </c>
      <c r="N74">
        <f t="shared" si="16"/>
        <v>470</v>
      </c>
      <c r="O74">
        <f t="shared" si="17"/>
        <v>446.5</v>
      </c>
      <c r="P74">
        <f t="shared" si="18"/>
        <v>493.5</v>
      </c>
      <c r="Q74">
        <f t="shared" si="19"/>
        <v>1</v>
      </c>
      <c r="R74" s="126">
        <f t="shared" si="20"/>
        <v>2.2484202453723124E-8</v>
      </c>
      <c r="S74" s="126">
        <f t="shared" si="21"/>
        <v>3.7714337503154142E-8</v>
      </c>
      <c r="T74">
        <v>1000</v>
      </c>
      <c r="U74">
        <v>22</v>
      </c>
      <c r="V74">
        <f t="shared" si="11"/>
        <v>21</v>
      </c>
      <c r="W74">
        <f t="shared" si="12"/>
        <v>22000</v>
      </c>
      <c r="X74">
        <f t="shared" si="6"/>
        <v>19800</v>
      </c>
      <c r="Y74">
        <f t="shared" si="7"/>
        <v>24200.000000000004</v>
      </c>
      <c r="Z74">
        <f t="shared" si="13"/>
        <v>0</v>
      </c>
      <c r="AA74" s="126">
        <f t="shared" si="14"/>
        <v>2.2484202453723124E-8</v>
      </c>
      <c r="AB74" s="126">
        <f t="shared" si="15"/>
        <v>3.7714337503154142E-8</v>
      </c>
      <c r="AC74" s="126">
        <f t="shared" si="22"/>
        <v>1.0606269965435127E-8</v>
      </c>
      <c r="AD74" s="126">
        <f t="shared" si="23"/>
        <v>8.3751444408627738E-9</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24"/>
        <v>10</v>
      </c>
      <c r="N75">
        <f t="shared" si="16"/>
        <v>510</v>
      </c>
      <c r="O75">
        <f t="shared" si="17"/>
        <v>484.5</v>
      </c>
      <c r="P75">
        <f t="shared" si="18"/>
        <v>535.5</v>
      </c>
      <c r="Q75">
        <f t="shared" si="19"/>
        <v>1</v>
      </c>
      <c r="R75" s="126">
        <f t="shared" si="20"/>
        <v>2.4397751595630459E-8</v>
      </c>
      <c r="S75" s="126">
        <f t="shared" si="21"/>
        <v>4.0832409283197359E-8</v>
      </c>
      <c r="T75">
        <v>1000</v>
      </c>
      <c r="U75">
        <v>27</v>
      </c>
      <c r="V75">
        <f t="shared" si="11"/>
        <v>21</v>
      </c>
      <c r="W75">
        <f t="shared" si="12"/>
        <v>27000</v>
      </c>
      <c r="X75">
        <f t="shared" si="6"/>
        <v>24300</v>
      </c>
      <c r="Y75">
        <f t="shared" si="7"/>
        <v>29700.000000000004</v>
      </c>
      <c r="Z75">
        <f t="shared" si="13"/>
        <v>0</v>
      </c>
      <c r="AA75" s="126">
        <f t="shared" si="14"/>
        <v>2.4397751595630459E-8</v>
      </c>
      <c r="AB75" s="126">
        <f t="shared" si="15"/>
        <v>4.0832409283197359E-8</v>
      </c>
      <c r="AC75" s="126">
        <f t="shared" si="22"/>
        <v>1.0300402340817047E-8</v>
      </c>
      <c r="AD75" s="126">
        <f t="shared" si="23"/>
        <v>8.1902967736893976E-9</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24"/>
        <v>11</v>
      </c>
      <c r="N76">
        <f t="shared" si="16"/>
        <v>560</v>
      </c>
      <c r="O76">
        <f t="shared" si="17"/>
        <v>532</v>
      </c>
      <c r="P76">
        <f t="shared" si="18"/>
        <v>588</v>
      </c>
      <c r="Q76">
        <f t="shared" si="19"/>
        <v>1</v>
      </c>
      <c r="R76" s="126">
        <f t="shared" si="20"/>
        <v>2.6789688022332924E-8</v>
      </c>
      <c r="S76" s="126">
        <f t="shared" si="21"/>
        <v>4.4729999007246864E-8</v>
      </c>
      <c r="T76">
        <v>1000</v>
      </c>
      <c r="U76">
        <v>33</v>
      </c>
      <c r="V76">
        <f t="shared" si="11"/>
        <v>21</v>
      </c>
      <c r="W76">
        <f t="shared" si="12"/>
        <v>33000</v>
      </c>
      <c r="X76">
        <f t="shared" si="6"/>
        <v>29700</v>
      </c>
      <c r="Y76">
        <f t="shared" si="7"/>
        <v>36300</v>
      </c>
      <c r="Z76">
        <f t="shared" si="13"/>
        <v>0</v>
      </c>
      <c r="AA76" s="126">
        <f t="shared" si="14"/>
        <v>2.6789688022332924E-8</v>
      </c>
      <c r="AB76" s="126">
        <f t="shared" si="15"/>
        <v>4.4729999007246864E-8</v>
      </c>
      <c r="AC76" s="126">
        <f t="shared" si="22"/>
        <v>1.000363327394176E-8</v>
      </c>
      <c r="AD76" s="126">
        <f t="shared" si="23"/>
        <v>8.0079569574319928E-9</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24"/>
        <v>12</v>
      </c>
      <c r="N77">
        <f t="shared" si="16"/>
        <v>620</v>
      </c>
      <c r="O77">
        <f t="shared" si="17"/>
        <v>589</v>
      </c>
      <c r="P77">
        <f t="shared" si="18"/>
        <v>651</v>
      </c>
      <c r="Q77">
        <f t="shared" si="19"/>
        <v>1</v>
      </c>
      <c r="R77" s="126">
        <f t="shared" si="20"/>
        <v>2.9660011733376047E-8</v>
      </c>
      <c r="S77" s="126">
        <f t="shared" si="21"/>
        <v>4.9407106674632984E-8</v>
      </c>
      <c r="T77">
        <v>1000</v>
      </c>
      <c r="U77">
        <v>39</v>
      </c>
      <c r="V77">
        <f t="shared" si="11"/>
        <v>21</v>
      </c>
      <c r="W77">
        <f t="shared" si="12"/>
        <v>39000</v>
      </c>
      <c r="X77">
        <f t="shared" si="6"/>
        <v>35100</v>
      </c>
      <c r="Y77">
        <f t="shared" si="7"/>
        <v>42900</v>
      </c>
      <c r="Z77">
        <f t="shared" si="13"/>
        <v>0</v>
      </c>
      <c r="AA77" s="126">
        <f t="shared" si="14"/>
        <v>2.9660011733376047E-8</v>
      </c>
      <c r="AB77" s="126">
        <f t="shared" si="15"/>
        <v>4.9407106674632984E-8</v>
      </c>
      <c r="AC77" s="126">
        <f t="shared" si="22"/>
        <v>9.732353706806407E-9</v>
      </c>
      <c r="AD77" s="126">
        <f t="shared" si="23"/>
        <v>7.838672361094003E-9</v>
      </c>
    </row>
    <row r="78" spans="1:31" x14ac:dyDescent="0.35">
      <c r="A78" t="s">
        <v>344</v>
      </c>
      <c r="B78">
        <v>1</v>
      </c>
      <c r="C78">
        <v>1</v>
      </c>
      <c r="D78">
        <v>1</v>
      </c>
      <c r="E78">
        <v>1</v>
      </c>
      <c r="F78">
        <v>1</v>
      </c>
      <c r="G78">
        <v>1</v>
      </c>
      <c r="H78">
        <v>1</v>
      </c>
      <c r="K78">
        <v>10</v>
      </c>
      <c r="L78">
        <v>68</v>
      </c>
      <c r="M78">
        <f t="shared" si="24"/>
        <v>13</v>
      </c>
      <c r="N78">
        <f t="shared" si="16"/>
        <v>680</v>
      </c>
      <c r="O78">
        <f t="shared" si="17"/>
        <v>646</v>
      </c>
      <c r="P78">
        <f t="shared" si="18"/>
        <v>714</v>
      </c>
      <c r="Q78">
        <f t="shared" si="19"/>
        <v>1</v>
      </c>
      <c r="R78" s="126">
        <f t="shared" si="20"/>
        <v>3.2530335443328447E-8</v>
      </c>
      <c r="S78" s="126">
        <f t="shared" si="21"/>
        <v>5.4084214340411879E-8</v>
      </c>
      <c r="T78">
        <v>1000</v>
      </c>
      <c r="U78">
        <v>47</v>
      </c>
      <c r="V78">
        <f t="shared" si="11"/>
        <v>21</v>
      </c>
      <c r="W78">
        <f t="shared" si="12"/>
        <v>47000</v>
      </c>
      <c r="X78">
        <f t="shared" si="6"/>
        <v>42300</v>
      </c>
      <c r="Y78">
        <f t="shared" si="7"/>
        <v>51700.000000000007</v>
      </c>
      <c r="Z78">
        <f t="shared" si="13"/>
        <v>0</v>
      </c>
      <c r="AA78" s="126">
        <f t="shared" si="14"/>
        <v>3.2530335443328447E-8</v>
      </c>
      <c r="AB78" s="126">
        <f t="shared" si="15"/>
        <v>5.4084214340411879E-8</v>
      </c>
      <c r="AC78" s="126">
        <f t="shared" si="22"/>
        <v>9.5235655596955985E-9</v>
      </c>
      <c r="AD78" s="126">
        <f t="shared" si="23"/>
        <v>7.7066628959779394E-9</v>
      </c>
    </row>
    <row r="79" spans="1:31" x14ac:dyDescent="0.35">
      <c r="A79" t="s">
        <v>345</v>
      </c>
      <c r="B79">
        <v>1</v>
      </c>
      <c r="C79">
        <v>1</v>
      </c>
      <c r="D79">
        <v>1</v>
      </c>
      <c r="E79">
        <v>1</v>
      </c>
      <c r="F79">
        <v>1</v>
      </c>
      <c r="G79">
        <v>1</v>
      </c>
      <c r="H79">
        <v>1</v>
      </c>
      <c r="K79">
        <v>10</v>
      </c>
      <c r="L79">
        <v>75</v>
      </c>
      <c r="M79">
        <f t="shared" si="24"/>
        <v>14</v>
      </c>
      <c r="N79">
        <f t="shared" si="16"/>
        <v>750</v>
      </c>
      <c r="O79">
        <f t="shared" si="17"/>
        <v>712.5</v>
      </c>
      <c r="P79">
        <f t="shared" si="18"/>
        <v>787.5</v>
      </c>
      <c r="Q79">
        <f t="shared" si="19"/>
        <v>1</v>
      </c>
      <c r="R79" s="126">
        <f t="shared" si="20"/>
        <v>3.5879046436894368E-8</v>
      </c>
      <c r="S79" s="126">
        <f t="shared" si="21"/>
        <v>5.95408399484559E-8</v>
      </c>
      <c r="T79">
        <v>1000</v>
      </c>
      <c r="U79">
        <v>56</v>
      </c>
      <c r="V79">
        <f t="shared" si="11"/>
        <v>21</v>
      </c>
      <c r="W79">
        <f t="shared" si="12"/>
        <v>56000</v>
      </c>
      <c r="X79">
        <f t="shared" si="6"/>
        <v>50400</v>
      </c>
      <c r="Y79">
        <f t="shared" si="7"/>
        <v>61600.000000000007</v>
      </c>
      <c r="Z79">
        <f t="shared" si="13"/>
        <v>0</v>
      </c>
      <c r="AA79" s="126">
        <f t="shared" si="14"/>
        <v>3.5879046436894368E-8</v>
      </c>
      <c r="AB79" s="126">
        <f t="shared" si="15"/>
        <v>5.95408399484559E-8</v>
      </c>
      <c r="AC79" s="126">
        <f t="shared" si="22"/>
        <v>9.3336643747190559E-9</v>
      </c>
      <c r="AD79" s="126">
        <f t="shared" si="23"/>
        <v>7.5852710069536046E-9</v>
      </c>
      <c r="AE79" s="128"/>
    </row>
    <row r="80" spans="1:31" x14ac:dyDescent="0.35">
      <c r="A80" t="s">
        <v>346</v>
      </c>
      <c r="B80">
        <v>1</v>
      </c>
      <c r="C80">
        <v>1</v>
      </c>
      <c r="D80">
        <v>1</v>
      </c>
      <c r="E80">
        <v>1</v>
      </c>
      <c r="F80">
        <v>1</v>
      </c>
      <c r="G80">
        <v>1</v>
      </c>
      <c r="H80">
        <v>1</v>
      </c>
      <c r="K80">
        <v>10</v>
      </c>
      <c r="L80">
        <v>82</v>
      </c>
      <c r="M80">
        <f t="shared" si="24"/>
        <v>15</v>
      </c>
      <c r="N80">
        <f t="shared" si="16"/>
        <v>820</v>
      </c>
      <c r="O80">
        <f t="shared" si="17"/>
        <v>779</v>
      </c>
      <c r="P80">
        <f t="shared" si="18"/>
        <v>861</v>
      </c>
      <c r="Q80">
        <f t="shared" si="19"/>
        <v>1</v>
      </c>
      <c r="R80" s="126">
        <f t="shared" si="20"/>
        <v>3.9227757428975685E-8</v>
      </c>
      <c r="S80" s="126">
        <f t="shared" si="21"/>
        <v>6.4997465554312313E-8</v>
      </c>
      <c r="T80">
        <v>1000</v>
      </c>
      <c r="U80">
        <v>68</v>
      </c>
      <c r="V80">
        <f t="shared" si="11"/>
        <v>21</v>
      </c>
      <c r="W80">
        <f>U80*T80</f>
        <v>68000</v>
      </c>
      <c r="X80">
        <f t="shared" si="6"/>
        <v>61200</v>
      </c>
      <c r="Y80">
        <f t="shared" si="7"/>
        <v>74800</v>
      </c>
      <c r="Z80">
        <f t="shared" si="13"/>
        <v>0</v>
      </c>
      <c r="AA80" s="126">
        <f t="shared" si="14"/>
        <v>3.9227757428975685E-8</v>
      </c>
      <c r="AB80" s="126">
        <f t="shared" si="15"/>
        <v>6.4997465554312313E-8</v>
      </c>
      <c r="AC80" s="126">
        <f t="shared" si="22"/>
        <v>9.1841293416268779E-9</v>
      </c>
      <c r="AD80" s="126">
        <f t="shared" si="23"/>
        <v>7.488777453287422E-9</v>
      </c>
      <c r="AE80" s="128"/>
    </row>
    <row r="81" spans="1:31" x14ac:dyDescent="0.35">
      <c r="K81">
        <v>10</v>
      </c>
      <c r="L81">
        <v>91</v>
      </c>
      <c r="M81">
        <f t="shared" si="24"/>
        <v>16</v>
      </c>
      <c r="N81">
        <f t="shared" si="16"/>
        <v>910</v>
      </c>
      <c r="O81">
        <f t="shared" si="17"/>
        <v>864.5</v>
      </c>
      <c r="P81">
        <f t="shared" si="18"/>
        <v>955.5</v>
      </c>
      <c r="Q81">
        <f t="shared" si="19"/>
        <v>1</v>
      </c>
      <c r="R81" s="126">
        <f t="shared" si="20"/>
        <v>4.3533242988041653E-8</v>
      </c>
      <c r="S81" s="126">
        <f t="shared" si="21"/>
        <v>7.2013127044341813E-8</v>
      </c>
      <c r="T81">
        <v>1000</v>
      </c>
      <c r="U81">
        <v>82</v>
      </c>
      <c r="V81">
        <f t="shared" si="11"/>
        <v>21</v>
      </c>
      <c r="W81">
        <f t="shared" ref="W81" si="25">U81*T81</f>
        <v>82000</v>
      </c>
      <c r="X81">
        <f t="shared" si="6"/>
        <v>73800</v>
      </c>
      <c r="Y81">
        <f t="shared" si="7"/>
        <v>90200.000000000015</v>
      </c>
      <c r="Z81">
        <f t="shared" si="13"/>
        <v>0</v>
      </c>
      <c r="AA81" s="126">
        <f t="shared" si="14"/>
        <v>4.3533242988041653E-8</v>
      </c>
      <c r="AB81" s="126">
        <f t="shared" si="15"/>
        <v>7.2013127044341813E-8</v>
      </c>
      <c r="AC81" s="126">
        <f t="shared" si="22"/>
        <v>9.033039009100894E-9</v>
      </c>
      <c r="AD81" s="126">
        <f t="shared" si="23"/>
        <v>7.3904522895286112E-9</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0.9999995440902083</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0.13966262360327575</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8.3892614326815731E-2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0.81161492742167307</v>
      </c>
      <c r="F82" s="13"/>
      <c r="K82">
        <v>100</v>
      </c>
      <c r="L82">
        <v>10</v>
      </c>
      <c r="M82">
        <f t="shared" si="24"/>
        <v>17</v>
      </c>
      <c r="N82">
        <f t="shared" si="16"/>
        <v>1000</v>
      </c>
      <c r="O82">
        <f t="shared" si="17"/>
        <v>950</v>
      </c>
      <c r="P82">
        <f t="shared" si="18"/>
        <v>1050</v>
      </c>
      <c r="Q82">
        <f t="shared" si="19"/>
        <v>1</v>
      </c>
      <c r="R82" s="126">
        <f t="shared" si="20"/>
        <v>4.7838728544653489E-8</v>
      </c>
      <c r="S82" s="126">
        <f t="shared" si="21"/>
        <v>7.9028788530755091E-8</v>
      </c>
      <c r="V82">
        <f t="shared" si="11"/>
        <v>21</v>
      </c>
      <c r="W82">
        <v>9999999</v>
      </c>
      <c r="AA82" s="126">
        <f t="shared" si="14"/>
        <v>4.7838728544653489E-8</v>
      </c>
      <c r="AB82" s="126">
        <f t="shared" si="15"/>
        <v>7.9028788530755091E-8</v>
      </c>
      <c r="AC82" s="126">
        <f t="shared" si="22"/>
        <v>8.914492209635957E-9</v>
      </c>
      <c r="AD82" s="126">
        <f t="shared" si="23"/>
        <v>7.3127095026477306E-9</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0.9999995440902083</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0.17207990991013794</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8.3892614326815731E-2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si="24"/>
        <v>18</v>
      </c>
      <c r="N83">
        <f t="shared" si="16"/>
        <v>1100</v>
      </c>
      <c r="O83">
        <f t="shared" si="17"/>
        <v>1045</v>
      </c>
      <c r="P83">
        <f t="shared" si="18"/>
        <v>1155</v>
      </c>
      <c r="Q83">
        <f t="shared" si="19"/>
        <v>1</v>
      </c>
      <c r="R83" s="126">
        <f t="shared" si="20"/>
        <v>5.2622601382455019E-8</v>
      </c>
      <c r="S83" s="126">
        <f t="shared" si="21"/>
        <v>8.6823967955861868E-8</v>
      </c>
      <c r="AA83" s="126">
        <f t="shared" si="14"/>
        <v>5.2622601382455019E-8</v>
      </c>
      <c r="AB83" s="126">
        <f t="shared" si="15"/>
        <v>8.6823967955861868E-8</v>
      </c>
      <c r="AC83" s="126">
        <f t="shared" si="22"/>
        <v>8.8095666108236583E-9</v>
      </c>
      <c r="AD83" s="126">
        <f t="shared" si="23"/>
        <v>7.2434517913211813E-9</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0.99999954407408964</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0.17207990991013794</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8.3892614337545232E-2</v>
      </c>
      <c r="E84" s="12">
        <f>IF(Summary!O37="absolute",(R3-N7)/(J2+J2*Summary!O17),R3-N7)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0.17207990995960251</v>
      </c>
      <c r="G84" s="12">
        <f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0.16118960384797706</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8.3892614333248086E-2</v>
      </c>
      <c r="K84">
        <v>100</v>
      </c>
      <c r="L84">
        <v>12</v>
      </c>
      <c r="M84">
        <f t="shared" si="24"/>
        <v>19</v>
      </c>
      <c r="N84">
        <f t="shared" si="16"/>
        <v>1200</v>
      </c>
      <c r="O84">
        <f t="shared" si="17"/>
        <v>1140</v>
      </c>
      <c r="P84">
        <f t="shared" si="18"/>
        <v>1260</v>
      </c>
      <c r="Q84">
        <f t="shared" si="19"/>
        <v>1</v>
      </c>
      <c r="R84" s="126">
        <f t="shared" si="20"/>
        <v>5.7406474217226764E-8</v>
      </c>
      <c r="S84" s="126">
        <f t="shared" si="21"/>
        <v>9.4619147376504132E-8</v>
      </c>
      <c r="AA84" s="126">
        <f t="shared" si="14"/>
        <v>5.7406474217226764E-8</v>
      </c>
      <c r="AB84" s="126">
        <f t="shared" si="15"/>
        <v>9.4619147376504132E-8</v>
      </c>
      <c r="AC84" s="126">
        <f t="shared" si="22"/>
        <v>8.7249654357260871E-9</v>
      </c>
      <c r="AD84" s="126">
        <f t="shared" si="23"/>
        <v>7.1872964520988321E-9</v>
      </c>
      <c r="AE84" s="128"/>
    </row>
    <row r="85" spans="1:31" x14ac:dyDescent="0.35">
      <c r="E85" s="73"/>
      <c r="K85">
        <v>100</v>
      </c>
      <c r="L85">
        <v>13</v>
      </c>
      <c r="M85">
        <f t="shared" si="24"/>
        <v>20</v>
      </c>
      <c r="N85">
        <f t="shared" si="16"/>
        <v>1300</v>
      </c>
      <c r="O85">
        <f t="shared" si="17"/>
        <v>1235</v>
      </c>
      <c r="P85">
        <f t="shared" si="18"/>
        <v>1365</v>
      </c>
      <c r="Q85">
        <f t="shared" si="19"/>
        <v>1</v>
      </c>
      <c r="R85" s="126">
        <f t="shared" si="20"/>
        <v>6.2190347048968726E-8</v>
      </c>
      <c r="S85" s="126">
        <f t="shared" si="21"/>
        <v>1.0241432679268188E-7</v>
      </c>
      <c r="AA85" s="126">
        <f t="shared" si="14"/>
        <v>6.2190347048968726E-8</v>
      </c>
      <c r="AB85" s="126">
        <f t="shared" si="15"/>
        <v>1.0241432679268188E-7</v>
      </c>
      <c r="AC85" s="126">
        <f t="shared" si="22"/>
        <v>8.6553245086581024E-9</v>
      </c>
      <c r="AD85" s="126">
        <f t="shared" si="23"/>
        <v>7.1408570046659198E-9</v>
      </c>
      <c r="AE85" s="128"/>
    </row>
    <row r="86" spans="1:31" x14ac:dyDescent="0.35">
      <c r="K86">
        <v>100</v>
      </c>
      <c r="L86">
        <v>15</v>
      </c>
      <c r="M86">
        <f t="shared" si="24"/>
        <v>21</v>
      </c>
      <c r="N86">
        <f t="shared" si="16"/>
        <v>1500</v>
      </c>
      <c r="O86">
        <f t="shared" si="17"/>
        <v>1425</v>
      </c>
      <c r="P86">
        <f t="shared" si="18"/>
        <v>1575</v>
      </c>
      <c r="Q86">
        <f t="shared" si="19"/>
        <v>1</v>
      </c>
      <c r="R86" s="126">
        <f t="shared" si="20"/>
        <v>7.1758092703363271E-8</v>
      </c>
      <c r="S86" s="126">
        <f t="shared" si="21"/>
        <v>1.1800468561164385E-7</v>
      </c>
      <c r="AA86" s="126">
        <f t="shared" si="14"/>
        <v>7.1758092703363271E-8</v>
      </c>
      <c r="AB86" s="126">
        <f t="shared" si="15"/>
        <v>1.1800468561164385E-7</v>
      </c>
      <c r="AC86" s="126">
        <f t="shared" si="22"/>
        <v>8.54747624903078E-9</v>
      </c>
      <c r="AD86" s="126">
        <f t="shared" si="23"/>
        <v>7.068548374707704E-9</v>
      </c>
      <c r="AE86" s="128"/>
    </row>
    <row r="87" spans="1:31" x14ac:dyDescent="0.35">
      <c r="B87" s="171" t="s">
        <v>362</v>
      </c>
      <c r="C87" s="171"/>
      <c r="K87">
        <v>100</v>
      </c>
      <c r="L87">
        <v>16</v>
      </c>
      <c r="M87">
        <f t="shared" si="24"/>
        <v>22</v>
      </c>
      <c r="N87">
        <f t="shared" si="16"/>
        <v>1600</v>
      </c>
      <c r="O87">
        <f t="shared" si="17"/>
        <v>1520</v>
      </c>
      <c r="P87">
        <f t="shared" si="18"/>
        <v>1680</v>
      </c>
      <c r="Q87">
        <f t="shared" si="19"/>
        <v>1</v>
      </c>
      <c r="R87" s="126">
        <f t="shared" si="20"/>
        <v>7.6541965526015868E-8</v>
      </c>
      <c r="S87" s="126">
        <f t="shared" si="21"/>
        <v>1.2579986501442806E-7</v>
      </c>
      <c r="AA87" s="126">
        <f t="shared" si="14"/>
        <v>7.6541965526015868E-8</v>
      </c>
      <c r="AB87" s="126">
        <f t="shared" si="15"/>
        <v>1.2579986501442806E-7</v>
      </c>
      <c r="AC87" s="126">
        <f t="shared" si="22"/>
        <v>8.5048831526806284E-9</v>
      </c>
      <c r="AD87" s="126">
        <f t="shared" si="23"/>
        <v>7.0398573545301693E-9</v>
      </c>
      <c r="AE87" s="128"/>
    </row>
    <row r="88" spans="1:31" ht="29" x14ac:dyDescent="0.35">
      <c r="B88" t="s">
        <v>355</v>
      </c>
      <c r="C88" t="s">
        <v>363</v>
      </c>
      <c r="D88" t="s">
        <v>364</v>
      </c>
      <c r="E88" s="32" t="str">
        <f>IF(Summary!O37="absolute","find min R2, so that max (Vx) = " &amp; TRUNC(R2/J3,3),"find min R2, so that max (Vx) = " &amp; R2)</f>
        <v>find min R2, so that max (Vx) = 0.3</v>
      </c>
      <c r="F88" s="32" t="s">
        <v>365</v>
      </c>
      <c r="G88" s="32" t="s">
        <v>366</v>
      </c>
      <c r="H88" s="32" t="s">
        <v>367</v>
      </c>
      <c r="K88">
        <v>100</v>
      </c>
      <c r="L88">
        <v>18</v>
      </c>
      <c r="M88">
        <f t="shared" si="24"/>
        <v>23</v>
      </c>
      <c r="N88">
        <f t="shared" si="16"/>
        <v>1800</v>
      </c>
      <c r="O88">
        <f t="shared" si="17"/>
        <v>1710</v>
      </c>
      <c r="P88">
        <f t="shared" si="18"/>
        <v>1890</v>
      </c>
      <c r="Q88">
        <f t="shared" si="19"/>
        <v>1</v>
      </c>
      <c r="R88" s="126">
        <f t="shared" si="20"/>
        <v>8.6109711162231683E-8</v>
      </c>
      <c r="S88" s="126">
        <f t="shared" si="21"/>
        <v>1.4139022380660294E-7</v>
      </c>
      <c r="AA88" s="126">
        <f t="shared" si="14"/>
        <v>8.6109711162231683E-8</v>
      </c>
      <c r="AB88" s="126">
        <f t="shared" si="15"/>
        <v>1.4139022380660294E-7</v>
      </c>
      <c r="AC88" s="126">
        <f t="shared" si="22"/>
        <v>8.4354147514325873E-9</v>
      </c>
      <c r="AD88" s="126">
        <f t="shared" si="23"/>
        <v>6.9928964562884225E-9</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4"/>
        <v>24</v>
      </c>
      <c r="N89">
        <f t="shared" si="16"/>
        <v>2000</v>
      </c>
      <c r="O89">
        <f t="shared" si="17"/>
        <v>1900</v>
      </c>
      <c r="P89">
        <f t="shared" si="18"/>
        <v>2100</v>
      </c>
      <c r="Q89">
        <f t="shared" si="19"/>
        <v>1</v>
      </c>
      <c r="R89" s="126">
        <f t="shared" si="20"/>
        <v>9.5677456786328389E-8</v>
      </c>
      <c r="S89" s="126">
        <f t="shared" si="21"/>
        <v>1.5698058258091983E-7</v>
      </c>
      <c r="AA89" s="126">
        <f t="shared" si="14"/>
        <v>9.5677456786328389E-8</v>
      </c>
      <c r="AB89" s="126">
        <f t="shared" si="15"/>
        <v>1.5698058258091983E-7</v>
      </c>
      <c r="AC89" s="126">
        <f t="shared" si="22"/>
        <v>8.3811769781341117E-9</v>
      </c>
      <c r="AD89" s="126">
        <f t="shared" si="23"/>
        <v>6.9560851730963206E-9</v>
      </c>
      <c r="AE89" s="128"/>
    </row>
    <row r="90" spans="1:31" x14ac:dyDescent="0.35">
      <c r="A90" t="s">
        <v>320</v>
      </c>
      <c r="B90" s="11">
        <f>F11*(1+H11)</f>
        <v>409.5</v>
      </c>
      <c r="C90" s="11">
        <f>F11*(1-H11)</f>
        <v>370.5</v>
      </c>
      <c r="D90" s="11">
        <f>F11*(1+H11)</f>
        <v>409.5</v>
      </c>
      <c r="E90" s="11"/>
      <c r="F90" s="11">
        <f>F11*(1-H11)</f>
        <v>370.5</v>
      </c>
      <c r="G90">
        <f>F11*(1-H11)</f>
        <v>370.5</v>
      </c>
      <c r="H90">
        <f>F11*(1+H11)</f>
        <v>409.5</v>
      </c>
      <c r="K90">
        <v>100</v>
      </c>
      <c r="L90">
        <v>22</v>
      </c>
      <c r="M90">
        <f t="shared" si="24"/>
        <v>25</v>
      </c>
      <c r="N90">
        <f t="shared" si="16"/>
        <v>2200</v>
      </c>
      <c r="O90">
        <f t="shared" si="17"/>
        <v>2090</v>
      </c>
      <c r="P90">
        <f t="shared" si="18"/>
        <v>2310</v>
      </c>
      <c r="Q90">
        <f t="shared" si="19"/>
        <v>1</v>
      </c>
      <c r="R90" s="126">
        <f t="shared" si="20"/>
        <v>1.0524520239830591E-7</v>
      </c>
      <c r="S90" s="126">
        <f t="shared" si="21"/>
        <v>1.7257094133737858E-7</v>
      </c>
      <c r="AA90" s="126">
        <f t="shared" si="14"/>
        <v>1.0524520239830591E-7</v>
      </c>
      <c r="AB90" s="126">
        <f t="shared" si="15"/>
        <v>1.7257094133737858E-7</v>
      </c>
      <c r="AC90" s="126">
        <f t="shared" si="22"/>
        <v>8.3376643102297481E-9</v>
      </c>
      <c r="AD90" s="126">
        <f t="shared" si="23"/>
        <v>6.9264582824063622E-9</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4"/>
        <v>26</v>
      </c>
      <c r="N91">
        <f t="shared" si="16"/>
        <v>2400</v>
      </c>
      <c r="O91">
        <f t="shared" si="17"/>
        <v>2280</v>
      </c>
      <c r="P91">
        <f t="shared" si="18"/>
        <v>2520</v>
      </c>
      <c r="Q91">
        <f t="shared" si="19"/>
        <v>1</v>
      </c>
      <c r="R91" s="126">
        <f t="shared" si="20"/>
        <v>1.1481294799816431E-7</v>
      </c>
      <c r="S91" s="126">
        <f t="shared" si="21"/>
        <v>1.8816130007597937E-7</v>
      </c>
      <c r="AA91" s="126">
        <f t="shared" si="14"/>
        <v>1.1481294799816431E-7</v>
      </c>
      <c r="AB91" s="126">
        <f t="shared" si="15"/>
        <v>1.8816130007597937E-7</v>
      </c>
      <c r="AC91" s="126">
        <f t="shared" si="22"/>
        <v>8.3019866307822125E-9</v>
      </c>
      <c r="AD91" s="126">
        <f t="shared" si="23"/>
        <v>6.9021019909204584E-9</v>
      </c>
      <c r="AE91" s="128"/>
    </row>
    <row r="92" spans="1:31" x14ac:dyDescent="0.35">
      <c r="A92" t="s">
        <v>324</v>
      </c>
      <c r="B92" s="1">
        <f>K21-B93</f>
        <v>14.506962153924308</v>
      </c>
      <c r="C92" s="1">
        <f>K21-C93</f>
        <v>0</v>
      </c>
      <c r="D92" s="1">
        <f>K21-D93</f>
        <v>14.506962153924308</v>
      </c>
      <c r="E92" s="1">
        <f>K21-E93</f>
        <v>0</v>
      </c>
      <c r="F92" s="1">
        <f>K21-F93</f>
        <v>0</v>
      </c>
      <c r="G92" s="1">
        <f>K22-G93</f>
        <v>0</v>
      </c>
      <c r="H92" s="1">
        <f>K22-H93</f>
        <v>8.6969621539243072</v>
      </c>
      <c r="K92">
        <v>100</v>
      </c>
      <c r="L92">
        <v>27</v>
      </c>
      <c r="M92">
        <f t="shared" si="24"/>
        <v>27</v>
      </c>
      <c r="N92">
        <f t="shared" si="16"/>
        <v>2700</v>
      </c>
      <c r="O92">
        <f t="shared" si="17"/>
        <v>2565</v>
      </c>
      <c r="P92">
        <f t="shared" si="18"/>
        <v>2835</v>
      </c>
      <c r="Q92">
        <f t="shared" si="19"/>
        <v>1</v>
      </c>
      <c r="R92" s="126">
        <f t="shared" si="20"/>
        <v>1.2916456637522855E-7</v>
      </c>
      <c r="S92" s="126">
        <f t="shared" si="21"/>
        <v>2.1154683815039663E-7</v>
      </c>
      <c r="AA92" s="126">
        <f t="shared" si="14"/>
        <v>1.2916456637522855E-7</v>
      </c>
      <c r="AB92" s="126">
        <f t="shared" si="15"/>
        <v>2.1154683815039663E-7</v>
      </c>
      <c r="AC92" s="126">
        <f t="shared" si="22"/>
        <v>8.2590880246089488E-9</v>
      </c>
      <c r="AD92" s="126">
        <f t="shared" si="23"/>
        <v>6.8727383476974698E-9</v>
      </c>
      <c r="AE92" s="128"/>
    </row>
    <row r="93" spans="1:31" x14ac:dyDescent="0.35">
      <c r="A93" t="s">
        <v>327</v>
      </c>
      <c r="B93" s="1">
        <f>K21*(1-MAX(K25,K24))</f>
        <v>0</v>
      </c>
      <c r="C93" s="1">
        <f>K21*(1-MIN(K25,K24))</f>
        <v>14.506962153924308</v>
      </c>
      <c r="D93" s="1">
        <f>K21*(1-MAX(K25,K24))</f>
        <v>0</v>
      </c>
      <c r="E93" s="1">
        <f>K21*(1-MIN(K25,K24))</f>
        <v>14.506962153924308</v>
      </c>
      <c r="F93" s="125">
        <f>K21*(1-MIN(K25,K24))</f>
        <v>14.506962153924308</v>
      </c>
      <c r="G93" s="125">
        <f>K22*(1-MIN(K25,K24))</f>
        <v>8.6969621539243072</v>
      </c>
      <c r="H93" s="1">
        <f>K22*(1-MAX(K25,K24))</f>
        <v>0</v>
      </c>
      <c r="K93">
        <v>100</v>
      </c>
      <c r="L93">
        <v>30</v>
      </c>
      <c r="M93">
        <f t="shared" si="24"/>
        <v>28</v>
      </c>
      <c r="N93">
        <f t="shared" si="16"/>
        <v>3000</v>
      </c>
      <c r="O93">
        <f t="shared" si="17"/>
        <v>2850</v>
      </c>
      <c r="P93">
        <f t="shared" si="18"/>
        <v>3150</v>
      </c>
      <c r="Q93">
        <f t="shared" si="19"/>
        <v>1</v>
      </c>
      <c r="R93" s="126">
        <f t="shared" si="20"/>
        <v>1.4351618472502466E-7</v>
      </c>
      <c r="S93" s="126">
        <f t="shared" si="21"/>
        <v>2.3493237618463335E-7</v>
      </c>
      <c r="AA93" s="126">
        <f t="shared" si="14"/>
        <v>1.4351618472502466E-7</v>
      </c>
      <c r="AB93" s="126">
        <f t="shared" si="15"/>
        <v>2.3493237618463335E-7</v>
      </c>
      <c r="AC93" s="126">
        <f t="shared" si="22"/>
        <v>8.2253207030965677E-9</v>
      </c>
      <c r="AD93" s="126">
        <f t="shared" si="23"/>
        <v>6.8495642100371131E-9</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4"/>
        <v>29</v>
      </c>
      <c r="N94">
        <f t="shared" si="16"/>
        <v>3300</v>
      </c>
      <c r="O94">
        <f t="shared" si="17"/>
        <v>3135</v>
      </c>
      <c r="P94">
        <f t="shared" si="18"/>
        <v>3465</v>
      </c>
      <c r="Q94">
        <f t="shared" si="19"/>
        <v>1</v>
      </c>
      <c r="R94" s="126">
        <f t="shared" si="20"/>
        <v>1.5786780304755272E-7</v>
      </c>
      <c r="S94" s="126">
        <f t="shared" si="21"/>
        <v>2.5831791417868944E-7</v>
      </c>
      <c r="AA94" s="126">
        <f t="shared" si="14"/>
        <v>1.5786780304755272E-7</v>
      </c>
      <c r="AB94" s="126">
        <f t="shared" si="15"/>
        <v>2.5831791417868944E-7</v>
      </c>
      <c r="AC94" s="126">
        <f t="shared" si="22"/>
        <v>8.1980522963354229E-9</v>
      </c>
      <c r="AD94" s="126">
        <f t="shared" si="23"/>
        <v>6.8308105019349641E-9</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4"/>
        <v>30</v>
      </c>
      <c r="N95">
        <f t="shared" si="16"/>
        <v>3600</v>
      </c>
      <c r="O95">
        <f t="shared" si="17"/>
        <v>3420</v>
      </c>
      <c r="P95">
        <f t="shared" si="18"/>
        <v>3780</v>
      </c>
      <c r="Q95">
        <f t="shared" si="19"/>
        <v>1</v>
      </c>
      <c r="R95" s="126">
        <f t="shared" si="20"/>
        <v>1.7221942134281266E-7</v>
      </c>
      <c r="S95" s="126">
        <f t="shared" si="21"/>
        <v>2.8170345213256485E-7</v>
      </c>
      <c r="AA95" s="126">
        <f t="shared" si="14"/>
        <v>1.7221942134281266E-7</v>
      </c>
      <c r="AB95" s="126">
        <f t="shared" si="15"/>
        <v>2.8170345213256485E-7</v>
      </c>
      <c r="AC95" s="126">
        <f t="shared" si="22"/>
        <v>8.1755728339207887E-9</v>
      </c>
      <c r="AD95" s="126">
        <f t="shared" si="23"/>
        <v>6.8153233239482335E-9</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4"/>
        <v>31</v>
      </c>
      <c r="N96">
        <f t="shared" si="16"/>
        <v>3900</v>
      </c>
      <c r="O96">
        <f t="shared" si="17"/>
        <v>3705</v>
      </c>
      <c r="P96">
        <f t="shared" si="18"/>
        <v>4095</v>
      </c>
      <c r="Q96">
        <f t="shared" si="19"/>
        <v>1</v>
      </c>
      <c r="R96" s="126">
        <f t="shared" si="20"/>
        <v>1.8657103961080458E-7</v>
      </c>
      <c r="S96" s="126">
        <f t="shared" si="21"/>
        <v>3.0508899004625973E-7</v>
      </c>
      <c r="AA96" s="126">
        <f t="shared" si="14"/>
        <v>1.8657103961080458E-7</v>
      </c>
      <c r="AB96" s="126">
        <f t="shared" si="15"/>
        <v>3.0508899004625973E-7</v>
      </c>
      <c r="AC96" s="126">
        <f t="shared" si="22"/>
        <v>8.1567234896788847E-9</v>
      </c>
      <c r="AD96" s="126">
        <f t="shared" si="23"/>
        <v>6.8023180523063474E-9</v>
      </c>
      <c r="AE96" s="128"/>
    </row>
    <row r="97" spans="1:31" x14ac:dyDescent="0.35">
      <c r="K97">
        <v>100</v>
      </c>
      <c r="L97">
        <v>43</v>
      </c>
      <c r="M97">
        <f t="shared" si="24"/>
        <v>32</v>
      </c>
      <c r="N97">
        <f t="shared" si="16"/>
        <v>4300</v>
      </c>
      <c r="O97">
        <f t="shared" si="17"/>
        <v>4085</v>
      </c>
      <c r="P97">
        <f t="shared" si="18"/>
        <v>4515</v>
      </c>
      <c r="Q97">
        <f t="shared" si="19"/>
        <v>1</v>
      </c>
      <c r="R97" s="126">
        <f t="shared" si="20"/>
        <v>2.0570653059237677E-7</v>
      </c>
      <c r="S97" s="126">
        <f t="shared" si="21"/>
        <v>3.3626970720201638E-7</v>
      </c>
      <c r="AA97" s="126">
        <f t="shared" si="14"/>
        <v>2.0570653059237677E-7</v>
      </c>
      <c r="AB97" s="126">
        <f t="shared" si="15"/>
        <v>3.3626970720201638E-7</v>
      </c>
      <c r="AC97" s="126">
        <f t="shared" si="22"/>
        <v>8.1358666900017634E-9</v>
      </c>
      <c r="AD97" s="126">
        <f t="shared" si="23"/>
        <v>6.7879072427620128E-9</v>
      </c>
      <c r="AE97" s="128"/>
    </row>
    <row r="98" spans="1:31" x14ac:dyDescent="0.35">
      <c r="A98" t="s">
        <v>344</v>
      </c>
      <c r="B98">
        <v>1</v>
      </c>
      <c r="C98">
        <v>1</v>
      </c>
      <c r="D98">
        <v>1</v>
      </c>
      <c r="E98">
        <v>1</v>
      </c>
      <c r="F98">
        <v>1</v>
      </c>
      <c r="G98">
        <v>1</v>
      </c>
      <c r="H98">
        <v>1</v>
      </c>
      <c r="K98">
        <v>100</v>
      </c>
      <c r="L98">
        <v>47</v>
      </c>
      <c r="M98">
        <f t="shared" si="24"/>
        <v>33</v>
      </c>
      <c r="N98">
        <f t="shared" ref="N98:N129" si="26">L98*K98</f>
        <v>4700</v>
      </c>
      <c r="O98">
        <f t="shared" ref="O98:O129" si="27">N98*(1-$M$32)</f>
        <v>4465</v>
      </c>
      <c r="P98">
        <f t="shared" ref="P98:P129" si="28">N98*(1+$M$32)</f>
        <v>4935</v>
      </c>
      <c r="Q98">
        <f t="shared" ref="Q98:Q129" si="29">IF($Q$2="N/A",IF(AND((O98&gt;=MAX($H$7:$I$7)),(P98&lt;=MIN($F$7:$G$7)),(P98&lt;=MIN($B$7:$C$7)),(O98&gt;=MAX($D$7:$E$7))),1,0),IF(AND((O98&gt;=MAX($I$7)),(P98&lt;=MIN($G$7)),(P98&lt;=MIN($C$7)),(O98&gt;=MAX($E$7))),1,0))</f>
        <v>1</v>
      </c>
      <c r="R98" s="126">
        <f t="shared" ref="R98:R129" si="30">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2.2484202152547237E-7</v>
      </c>
      <c r="S98" s="126">
        <f t="shared" ref="S98:S129" si="31">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3.6745042428634089E-7</v>
      </c>
      <c r="AA98" s="126">
        <f t="shared" si="14"/>
        <v>2.2484202152547237E-7</v>
      </c>
      <c r="AB98" s="126">
        <f t="shared" si="15"/>
        <v>3.6745042428634089E-7</v>
      </c>
      <c r="AC98" s="126">
        <f t="shared" ref="AC98:AC129" si="32">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8.1187064298983527E-9</v>
      </c>
      <c r="AD98" s="126">
        <f t="shared" ref="AD98:AD129" si="33">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6.7760342285877449E-9</v>
      </c>
      <c r="AE98" s="128"/>
    </row>
    <row r="99" spans="1:31" x14ac:dyDescent="0.35">
      <c r="A99" t="s">
        <v>345</v>
      </c>
      <c r="B99">
        <v>1</v>
      </c>
      <c r="C99">
        <v>1</v>
      </c>
      <c r="D99">
        <v>1</v>
      </c>
      <c r="E99">
        <v>1</v>
      </c>
      <c r="F99">
        <v>1</v>
      </c>
      <c r="G99">
        <v>1</v>
      </c>
      <c r="H99">
        <v>1</v>
      </c>
      <c r="K99">
        <v>100</v>
      </c>
      <c r="L99">
        <v>51</v>
      </c>
      <c r="M99">
        <f t="shared" ref="M99:M130" si="34">IF(AND(Q98=1,Q99=0),Q99+M98+1, Q99+M98)</f>
        <v>34</v>
      </c>
      <c r="N99">
        <f t="shared" si="26"/>
        <v>5100</v>
      </c>
      <c r="O99">
        <f t="shared" si="27"/>
        <v>4845</v>
      </c>
      <c r="P99">
        <f t="shared" si="28"/>
        <v>5355</v>
      </c>
      <c r="Q99">
        <f t="shared" si="29"/>
        <v>1</v>
      </c>
      <c r="R99" s="126">
        <f t="shared" si="30"/>
        <v>2.439775124100915E-7</v>
      </c>
      <c r="S99" s="126">
        <f t="shared" si="31"/>
        <v>3.9863114129923326E-7</v>
      </c>
      <c r="AA99" s="126">
        <f t="shared" ref="AA99:AA129" si="35">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2.439775124100915E-7</v>
      </c>
      <c r="AB99" s="126">
        <f t="shared" ref="AB99:AB129" si="36">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3.9863114129923326E-7</v>
      </c>
      <c r="AC99" s="126">
        <f t="shared" si="32"/>
        <v>8.104340419885624E-9</v>
      </c>
      <c r="AD99" s="126">
        <f t="shared" si="33"/>
        <v>6.7660831087188079E-9</v>
      </c>
      <c r="AE99" s="128"/>
    </row>
    <row r="100" spans="1:31" x14ac:dyDescent="0.35">
      <c r="A100" t="s">
        <v>346</v>
      </c>
      <c r="B100">
        <v>1</v>
      </c>
      <c r="C100">
        <v>1</v>
      </c>
      <c r="D100">
        <v>1</v>
      </c>
      <c r="E100">
        <v>1</v>
      </c>
      <c r="F100">
        <v>1</v>
      </c>
      <c r="G100">
        <v>1</v>
      </c>
      <c r="H100">
        <v>1</v>
      </c>
      <c r="K100">
        <v>100</v>
      </c>
      <c r="L100">
        <v>56</v>
      </c>
      <c r="M100">
        <f t="shared" si="34"/>
        <v>35</v>
      </c>
      <c r="N100">
        <f t="shared" si="26"/>
        <v>5600</v>
      </c>
      <c r="O100">
        <f t="shared" si="27"/>
        <v>5320</v>
      </c>
      <c r="P100">
        <f t="shared" si="28"/>
        <v>5880</v>
      </c>
      <c r="Q100">
        <f t="shared" si="29"/>
        <v>1</v>
      </c>
      <c r="R100" s="126">
        <f t="shared" si="30"/>
        <v>2.6789687594769503E-7</v>
      </c>
      <c r="S100" s="126">
        <f t="shared" si="31"/>
        <v>4.3760703746489717E-7</v>
      </c>
      <c r="AA100" s="126">
        <f t="shared" si="35"/>
        <v>2.6789687594769503E-7</v>
      </c>
      <c r="AB100" s="126">
        <f t="shared" si="36"/>
        <v>4.3760703746489717E-7</v>
      </c>
      <c r="AC100" s="126">
        <f t="shared" si="32"/>
        <v>8.0893690191348207E-9</v>
      </c>
      <c r="AD100" s="126">
        <f t="shared" si="33"/>
        <v>6.7557014733141304E-9</v>
      </c>
      <c r="AE100" s="128"/>
    </row>
    <row r="101" spans="1:31" x14ac:dyDescent="0.35">
      <c r="K101">
        <v>100</v>
      </c>
      <c r="L101">
        <v>62</v>
      </c>
      <c r="M101">
        <f t="shared" si="34"/>
        <v>36</v>
      </c>
      <c r="N101">
        <f t="shared" si="26"/>
        <v>6200</v>
      </c>
      <c r="O101">
        <f t="shared" si="27"/>
        <v>5890</v>
      </c>
      <c r="P101">
        <f t="shared" si="28"/>
        <v>6510</v>
      </c>
      <c r="Q101">
        <f t="shared" si="29"/>
        <v>1</v>
      </c>
      <c r="R101" s="126">
        <f t="shared" si="30"/>
        <v>2.9660011209283648E-7</v>
      </c>
      <c r="S101" s="126">
        <f t="shared" si="31"/>
        <v>4.8437811271636476E-7</v>
      </c>
      <c r="AA101" s="126">
        <f t="shared" si="35"/>
        <v>2.9660011209283648E-7</v>
      </c>
      <c r="AB101" s="126">
        <f t="shared" si="36"/>
        <v>4.8437811271636476E-7</v>
      </c>
      <c r="AC101" s="126">
        <f t="shared" si="32"/>
        <v>8.0746906802261699E-9</v>
      </c>
      <c r="AD101" s="126">
        <f t="shared" si="33"/>
        <v>6.745511895296577E-9</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0.99999954407408942</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0.14828948632981465</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5.7537397872300784E-2</v>
      </c>
      <c r="E102" s="12">
        <f>IF(Summary!O50="absolute",(R2-N7)/(J3+J3*Summary!O18),R2-N7)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0.1482894863716932</v>
      </c>
      <c r="G102" s="12">
        <f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0.13675996029455931</v>
      </c>
      <c r="H102" s="12">
        <f xml:space="preserve"> (H89*H90*H94*H95*H96*H100+H89*H91*H93*H94*H95*H99+H89*H91*H94*H95*H96*H99+H89*H93*H94*H95*H96*H99+H90*H91*H92*H93*H94*H98+H90*H91*H92*H94*H95*H98+H90*H91*H92*H94*H96*H98+H90*H91*H93*H94*H95*H98+H90*H91*H94*H95*H96*H98+H90*H92*H93*H94*H96*H98+H90*H92*H94*H95*H96*H98+H90*H93*H94*H95*H96*H98+H91*H92*H93*H94*H95*H98+H91*H92*H94*H95*H96*H98+H92*H93*H94*H95*H96*H98) / (H89*H90*H91*H92*H93+H89*H90*H91*H92*H95+H89*H90*H91*H92*H96+H89*H90*H91*H93*H94+H89*H90*H91*H93*H95+H89*H90*H91*H94*H95+H89*H90*H91*H94*H96+H89*H90*H91*H95*H96+H89*H90*H92*H93*H96+H89*H90*H92*H95*H96+H89*H90*H93*H94*H96+H89*H90*H93*H95*H96+H89*H90*H94*H95*H96+H89*H91*H92*H93*H95+H89*H91*H92*H95*H96+H89*H91*H93*H94*H95+H89*H91*H94*H95*H96+H89*H92*H93*H95*H96+H89*H93*H94*H95*H96+H90*H91*H92*H93*H94+H90*H91*H92*H94*H95+H90*H91*H92*H94*H96+H90*H91*H93*H94*H95+H90*H91*H94*H95*H96+H90*H92*H93*H94*H96+H90*H92*H94*H95*H96+H90*H93*H94*H95*H96+H91*H92*H93*H94*H95+H91*H92*H94*H95*H96+H92*H93*H94*H95*H96)</f>
        <v>5.7537397867694282E-2</v>
      </c>
      <c r="K102">
        <v>100</v>
      </c>
      <c r="L102">
        <v>68</v>
      </c>
      <c r="M102">
        <f t="shared" si="34"/>
        <v>37</v>
      </c>
      <c r="N102">
        <f t="shared" si="26"/>
        <v>6800</v>
      </c>
      <c r="O102">
        <f t="shared" si="27"/>
        <v>6460</v>
      </c>
      <c r="P102">
        <f t="shared" si="28"/>
        <v>7140</v>
      </c>
      <c r="Q102">
        <f t="shared" si="29"/>
        <v>1</v>
      </c>
      <c r="R102" s="126">
        <f t="shared" si="30"/>
        <v>3.2530334812890555E-7</v>
      </c>
      <c r="S102" s="126">
        <f t="shared" si="31"/>
        <v>5.3114918780711017E-7</v>
      </c>
      <c r="AA102" s="126">
        <f t="shared" si="35"/>
        <v>3.2530334812890555E-7</v>
      </c>
      <c r="AB102" s="126">
        <f t="shared" si="36"/>
        <v>5.3114918780711017E-7</v>
      </c>
      <c r="AC102" s="126">
        <f t="shared" si="32"/>
        <v>8.0626767094280428E-9</v>
      </c>
      <c r="AD102" s="126">
        <f t="shared" si="33"/>
        <v>6.7371636090074288E-9</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0.9999995440902083</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0.14828948632981465</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5.7537397860798881E-2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0.1482894863716932</v>
      </c>
      <c r="K103">
        <v>100</v>
      </c>
      <c r="L103">
        <v>75</v>
      </c>
      <c r="M103">
        <f t="shared" si="34"/>
        <v>38</v>
      </c>
      <c r="N103">
        <f t="shared" si="26"/>
        <v>7500</v>
      </c>
      <c r="O103">
        <f t="shared" si="27"/>
        <v>7125</v>
      </c>
      <c r="P103">
        <f t="shared" si="28"/>
        <v>7875</v>
      </c>
      <c r="Q103">
        <f t="shared" si="29"/>
        <v>1</v>
      </c>
      <c r="R103" s="126">
        <f t="shared" si="30"/>
        <v>3.5879045669979767E-7</v>
      </c>
      <c r="S103" s="126">
        <f t="shared" si="31"/>
        <v>5.8571544187651114E-7</v>
      </c>
      <c r="AA103" s="126">
        <f t="shared" si="35"/>
        <v>3.5879045669979767E-7</v>
      </c>
      <c r="AB103" s="126">
        <f t="shared" si="36"/>
        <v>5.8571544187651114E-7</v>
      </c>
      <c r="AC103" s="126">
        <f t="shared" si="32"/>
        <v>8.0511529384331319E-9</v>
      </c>
      <c r="AD103" s="126">
        <f t="shared" si="33"/>
        <v>6.7291488889113955E-9</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0.9999995440902083</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0.11494068344802971</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5.7537397860798881E-2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0.77511013276926366</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0.11494068349154803</v>
      </c>
      <c r="K104">
        <v>100</v>
      </c>
      <c r="L104">
        <v>82</v>
      </c>
      <c r="M104">
        <f t="shared" si="34"/>
        <v>39</v>
      </c>
      <c r="N104">
        <f t="shared" si="26"/>
        <v>8200</v>
      </c>
      <c r="O104">
        <f t="shared" si="27"/>
        <v>7790</v>
      </c>
      <c r="P104">
        <f t="shared" si="28"/>
        <v>8610</v>
      </c>
      <c r="Q104">
        <f t="shared" si="29"/>
        <v>1</v>
      </c>
      <c r="R104" s="126">
        <f t="shared" si="30"/>
        <v>3.9227756512223011E-7</v>
      </c>
      <c r="S104" s="126">
        <f t="shared" si="31"/>
        <v>6.4028169572715091E-7</v>
      </c>
      <c r="AA104" s="126">
        <f t="shared" si="35"/>
        <v>3.9227756512223011E-7</v>
      </c>
      <c r="AB104" s="126">
        <f t="shared" si="36"/>
        <v>6.4028169572715091E-7</v>
      </c>
      <c r="AC104" s="126">
        <f t="shared" si="32"/>
        <v>8.0416433673108138E-9</v>
      </c>
      <c r="AD104" s="126">
        <f t="shared" si="33"/>
        <v>6.7225297900348525E-9</v>
      </c>
      <c r="AE104" s="128"/>
    </row>
    <row r="105" spans="1:31" x14ac:dyDescent="0.35">
      <c r="K105">
        <v>100</v>
      </c>
      <c r="L105">
        <v>91</v>
      </c>
      <c r="M105">
        <f t="shared" si="34"/>
        <v>40</v>
      </c>
      <c r="N105">
        <f t="shared" si="26"/>
        <v>9100</v>
      </c>
      <c r="O105">
        <f t="shared" si="27"/>
        <v>8645</v>
      </c>
      <c r="P105">
        <f t="shared" si="28"/>
        <v>9555</v>
      </c>
      <c r="Q105">
        <f t="shared" si="29"/>
        <v>1</v>
      </c>
      <c r="R105" s="126">
        <f t="shared" si="30"/>
        <v>4.3533241859007031E-7</v>
      </c>
      <c r="S105" s="126">
        <f t="shared" si="31"/>
        <v>7.1043830749938601E-7</v>
      </c>
      <c r="AA105" s="126">
        <f t="shared" si="35"/>
        <v>4.3533241859007031E-7</v>
      </c>
      <c r="AB105" s="126">
        <f t="shared" si="36"/>
        <v>7.1043830749938601E-7</v>
      </c>
      <c r="AC105" s="126">
        <f t="shared" si="32"/>
        <v>8.0316125347883174E-9</v>
      </c>
      <c r="AD105" s="126">
        <f t="shared" si="33"/>
        <v>6.715542698292304E-9</v>
      </c>
      <c r="AE105" s="128"/>
    </row>
    <row r="106" spans="1:31" x14ac:dyDescent="0.35">
      <c r="K106">
        <v>1000</v>
      </c>
      <c r="L106">
        <v>10</v>
      </c>
      <c r="M106">
        <f t="shared" si="34"/>
        <v>41</v>
      </c>
      <c r="N106">
        <f t="shared" si="26"/>
        <v>10000</v>
      </c>
      <c r="O106">
        <f t="shared" si="27"/>
        <v>9500</v>
      </c>
      <c r="P106">
        <f t="shared" si="28"/>
        <v>10500</v>
      </c>
      <c r="Q106">
        <f t="shared" si="29"/>
        <v>1</v>
      </c>
      <c r="R106" s="126">
        <f t="shared" si="30"/>
        <v>4.7838727181249776E-7</v>
      </c>
      <c r="S106" s="126">
        <f t="shared" si="31"/>
        <v>7.8059491890999542E-7</v>
      </c>
      <c r="AA106" s="126">
        <f t="shared" si="35"/>
        <v>4.7838727181249776E-7</v>
      </c>
      <c r="AB106" s="126">
        <f t="shared" si="36"/>
        <v>7.8059491890999542E-7</v>
      </c>
      <c r="AC106" s="126">
        <f t="shared" si="32"/>
        <v>8.0234224545020661E-9</v>
      </c>
      <c r="AD106" s="126">
        <f t="shared" si="33"/>
        <v>6.7098338443918256E-9</v>
      </c>
      <c r="AE106" s="128"/>
    </row>
    <row r="107" spans="1:31" x14ac:dyDescent="0.35">
      <c r="K107">
        <v>1000</v>
      </c>
      <c r="L107">
        <v>11</v>
      </c>
      <c r="M107">
        <f t="shared" si="34"/>
        <v>42</v>
      </c>
      <c r="N107">
        <f t="shared" si="26"/>
        <v>11000</v>
      </c>
      <c r="O107">
        <f t="shared" si="27"/>
        <v>10450</v>
      </c>
      <c r="P107">
        <f t="shared" si="28"/>
        <v>11550</v>
      </c>
      <c r="Q107">
        <f t="shared" si="29"/>
        <v>1</v>
      </c>
      <c r="R107" s="126">
        <f t="shared" si="30"/>
        <v>5.2622599732736532E-7</v>
      </c>
      <c r="S107" s="126">
        <f t="shared" si="31"/>
        <v>8.5854670894209963E-7</v>
      </c>
      <c r="AA107" s="126">
        <f t="shared" si="35"/>
        <v>5.2622599732736532E-7</v>
      </c>
      <c r="AB107" s="126">
        <f t="shared" si="36"/>
        <v>8.5854670894209963E-7</v>
      </c>
      <c r="AC107" s="126">
        <f t="shared" si="32"/>
        <v>8.0159220762560622E-9</v>
      </c>
      <c r="AD107" s="126">
        <f t="shared" si="33"/>
        <v>6.704602604838398E-9</v>
      </c>
      <c r="AE107" s="128"/>
    </row>
    <row r="108" spans="1:31" x14ac:dyDescent="0.35">
      <c r="K108">
        <v>1000</v>
      </c>
      <c r="L108">
        <v>12</v>
      </c>
      <c r="M108">
        <f t="shared" si="34"/>
        <v>43</v>
      </c>
      <c r="N108">
        <f t="shared" si="26"/>
        <v>12000</v>
      </c>
      <c r="O108">
        <f t="shared" si="27"/>
        <v>11400</v>
      </c>
      <c r="P108">
        <f t="shared" si="28"/>
        <v>12600</v>
      </c>
      <c r="Q108">
        <f t="shared" si="29"/>
        <v>1</v>
      </c>
      <c r="R108" s="126">
        <f t="shared" si="30"/>
        <v>5.7406472253925428E-7</v>
      </c>
      <c r="S108" s="126">
        <f t="shared" si="31"/>
        <v>9.3649849852775288E-7</v>
      </c>
      <c r="AA108" s="126">
        <f t="shared" si="35"/>
        <v>5.7406472253925428E-7</v>
      </c>
      <c r="AB108" s="126">
        <f t="shared" si="36"/>
        <v>9.3649849852775288E-7</v>
      </c>
      <c r="AC108" s="126">
        <f t="shared" si="32"/>
        <v>8.0096920961485955E-9</v>
      </c>
      <c r="AD108" s="126">
        <f t="shared" si="33"/>
        <v>6.7002551294885222E-9</v>
      </c>
      <c r="AE108" s="128"/>
    </row>
    <row r="109" spans="1:31" x14ac:dyDescent="0.35">
      <c r="K109">
        <v>1000</v>
      </c>
      <c r="L109">
        <v>13</v>
      </c>
      <c r="M109">
        <f t="shared" si="34"/>
        <v>44</v>
      </c>
      <c r="N109">
        <f t="shared" si="26"/>
        <v>13000</v>
      </c>
      <c r="O109">
        <f t="shared" si="27"/>
        <v>12350</v>
      </c>
      <c r="P109">
        <f t="shared" si="28"/>
        <v>13650</v>
      </c>
      <c r="Q109">
        <f t="shared" si="29"/>
        <v>0</v>
      </c>
      <c r="R109" s="126">
        <f t="shared" si="30"/>
        <v>6.2190344744816454E-7</v>
      </c>
      <c r="S109" s="126">
        <f t="shared" si="31"/>
        <v>1.014450287666955E-6</v>
      </c>
      <c r="AA109" s="126">
        <f t="shared" si="35"/>
        <v>6.2190344744816454E-7</v>
      </c>
      <c r="AB109" s="126">
        <f t="shared" si="36"/>
        <v>1.014450287666955E-6</v>
      </c>
      <c r="AC109" s="126">
        <f t="shared" si="32"/>
        <v>8.0044349746976979E-9</v>
      </c>
      <c r="AD109" s="126">
        <f t="shared" si="33"/>
        <v>6.6965849207857654E-9</v>
      </c>
      <c r="AE109" s="128"/>
    </row>
    <row r="110" spans="1:31" x14ac:dyDescent="0.35">
      <c r="K110">
        <v>1000</v>
      </c>
      <c r="L110">
        <v>15</v>
      </c>
      <c r="M110">
        <f t="shared" si="34"/>
        <v>44</v>
      </c>
      <c r="N110">
        <f t="shared" si="26"/>
        <v>15000</v>
      </c>
      <c r="O110">
        <f t="shared" si="27"/>
        <v>14250</v>
      </c>
      <c r="P110">
        <f t="shared" si="28"/>
        <v>15750</v>
      </c>
      <c r="Q110">
        <f t="shared" si="29"/>
        <v>0</v>
      </c>
      <c r="R110" s="126">
        <f t="shared" si="30"/>
        <v>7.1758089635704955E-7</v>
      </c>
      <c r="S110" s="126">
        <f t="shared" si="31"/>
        <v>1.1703538646060053E-6</v>
      </c>
      <c r="AA110" s="126">
        <f t="shared" si="35"/>
        <v>7.1758089635704955E-7</v>
      </c>
      <c r="AB110" s="126">
        <f t="shared" si="36"/>
        <v>1.1703538646060053E-6</v>
      </c>
      <c r="AC110" s="126">
        <f t="shared" si="32"/>
        <v>7.9960509591585766E-9</v>
      </c>
      <c r="AD110" s="126">
        <f t="shared" si="33"/>
        <v>6.6907286113139056E-9</v>
      </c>
      <c r="AE110" s="128"/>
    </row>
    <row r="111" spans="1:31" x14ac:dyDescent="0.35">
      <c r="K111">
        <v>1000</v>
      </c>
      <c r="L111">
        <v>16</v>
      </c>
      <c r="M111">
        <f t="shared" si="34"/>
        <v>44</v>
      </c>
      <c r="N111">
        <f t="shared" si="26"/>
        <v>16000</v>
      </c>
      <c r="O111">
        <f t="shared" si="27"/>
        <v>15200</v>
      </c>
      <c r="P111">
        <f t="shared" si="28"/>
        <v>16800</v>
      </c>
      <c r="Q111">
        <f t="shared" si="29"/>
        <v>0</v>
      </c>
      <c r="R111" s="126">
        <f t="shared" si="30"/>
        <v>7.654196203570241E-7</v>
      </c>
      <c r="S111" s="126">
        <f t="shared" si="31"/>
        <v>1.2483056524058539E-6</v>
      </c>
      <c r="AA111" s="126">
        <f t="shared" si="35"/>
        <v>7.654196203570241E-7</v>
      </c>
      <c r="AB111" s="126">
        <f t="shared" si="36"/>
        <v>1.2483056524058539E-6</v>
      </c>
      <c r="AC111" s="126">
        <f t="shared" si="32"/>
        <v>7.9926545548808064E-9</v>
      </c>
      <c r="AD111" s="126">
        <f t="shared" si="33"/>
        <v>6.6883551077980971E-9</v>
      </c>
      <c r="AE111" s="128"/>
    </row>
    <row r="112" spans="1:31" x14ac:dyDescent="0.35">
      <c r="K112">
        <v>1000</v>
      </c>
      <c r="L112">
        <v>18</v>
      </c>
      <c r="M112">
        <f t="shared" si="34"/>
        <v>44</v>
      </c>
      <c r="N112">
        <f t="shared" si="26"/>
        <v>18000</v>
      </c>
      <c r="O112">
        <f t="shared" si="27"/>
        <v>17100</v>
      </c>
      <c r="P112">
        <f t="shared" si="28"/>
        <v>18900</v>
      </c>
      <c r="Q112">
        <f t="shared" si="29"/>
        <v>0</v>
      </c>
      <c r="R112" s="126">
        <f t="shared" si="30"/>
        <v>8.6109706744803771E-7</v>
      </c>
      <c r="S112" s="126">
        <f t="shared" si="31"/>
        <v>1.4042092266661976E-6</v>
      </c>
      <c r="AA112" s="126">
        <f t="shared" si="35"/>
        <v>8.6109706744803771E-7</v>
      </c>
      <c r="AB112" s="126">
        <f t="shared" si="36"/>
        <v>1.4042092266661976E-6</v>
      </c>
      <c r="AC112" s="126">
        <f t="shared" si="32"/>
        <v>7.9870061790621538E-9</v>
      </c>
      <c r="AD112" s="126">
        <f t="shared" si="33"/>
        <v>6.6844064723025729E-9</v>
      </c>
      <c r="AE112" s="128"/>
    </row>
    <row r="113" spans="11:31" x14ac:dyDescent="0.35">
      <c r="K113">
        <v>1000</v>
      </c>
      <c r="L113">
        <v>20</v>
      </c>
      <c r="M113">
        <f t="shared" si="34"/>
        <v>44</v>
      </c>
      <c r="N113">
        <f t="shared" si="26"/>
        <v>20000</v>
      </c>
      <c r="O113">
        <f t="shared" si="27"/>
        <v>19000</v>
      </c>
      <c r="P113">
        <f t="shared" si="28"/>
        <v>21000</v>
      </c>
      <c r="Q113">
        <f t="shared" si="29"/>
        <v>0</v>
      </c>
      <c r="R113" s="126">
        <f t="shared" si="30"/>
        <v>9.5677451332713712E-7</v>
      </c>
      <c r="S113" s="126">
        <f t="shared" si="31"/>
        <v>1.5601127991407367E-6</v>
      </c>
      <c r="AA113" s="126">
        <f t="shared" si="35"/>
        <v>9.5677451332713712E-7</v>
      </c>
      <c r="AB113" s="126">
        <f t="shared" si="36"/>
        <v>1.5601127991407367E-6</v>
      </c>
      <c r="AC113" s="126">
        <f t="shared" si="32"/>
        <v>7.9824985252319154E-9</v>
      </c>
      <c r="AD113" s="126">
        <f t="shared" si="33"/>
        <v>6.6812540367872136E-9</v>
      </c>
      <c r="AE113" s="128"/>
    </row>
    <row r="114" spans="11:31" x14ac:dyDescent="0.35">
      <c r="K114">
        <v>1000</v>
      </c>
      <c r="L114">
        <v>22</v>
      </c>
      <c r="M114">
        <f t="shared" si="34"/>
        <v>44</v>
      </c>
      <c r="N114">
        <f t="shared" si="26"/>
        <v>22000</v>
      </c>
      <c r="O114">
        <f t="shared" si="27"/>
        <v>20900</v>
      </c>
      <c r="P114">
        <f t="shared" si="28"/>
        <v>23100</v>
      </c>
      <c r="Q114">
        <f t="shared" si="29"/>
        <v>0</v>
      </c>
      <c r="R114" s="126">
        <f t="shared" si="30"/>
        <v>1.052451957994322E-6</v>
      </c>
      <c r="S114" s="126">
        <f t="shared" si="31"/>
        <v>1.7160163698294716E-6</v>
      </c>
      <c r="AA114" s="126">
        <f t="shared" si="35"/>
        <v>1.052451957994322E-6</v>
      </c>
      <c r="AB114" s="126">
        <f t="shared" si="36"/>
        <v>1.7160163698294716E-6</v>
      </c>
      <c r="AC114" s="126">
        <f t="shared" si="32"/>
        <v>7.9788177341234118E-9</v>
      </c>
      <c r="AD114" s="126">
        <f t="shared" si="33"/>
        <v>6.6786790439138996E-9</v>
      </c>
      <c r="AE114" s="128"/>
    </row>
    <row r="115" spans="11:31" x14ac:dyDescent="0.35">
      <c r="K115">
        <v>1000</v>
      </c>
      <c r="L115">
        <v>24</v>
      </c>
      <c r="M115">
        <f t="shared" si="34"/>
        <v>44</v>
      </c>
      <c r="N115">
        <f t="shared" si="26"/>
        <v>24000</v>
      </c>
      <c r="O115">
        <f t="shared" si="27"/>
        <v>22800</v>
      </c>
      <c r="P115">
        <f t="shared" si="28"/>
        <v>25200</v>
      </c>
      <c r="Q115">
        <f t="shared" si="29"/>
        <v>0</v>
      </c>
      <c r="R115" s="126">
        <f t="shared" si="30"/>
        <v>1.1481294014495929E-6</v>
      </c>
      <c r="S115" s="126">
        <f t="shared" si="31"/>
        <v>1.8719199387324022E-6</v>
      </c>
      <c r="AA115" s="126">
        <f t="shared" si="35"/>
        <v>1.1481294014495929E-6</v>
      </c>
      <c r="AB115" s="126">
        <f t="shared" si="36"/>
        <v>1.8719199387324022E-6</v>
      </c>
      <c r="AC115" s="126">
        <f t="shared" si="32"/>
        <v>7.9757554115609769E-9</v>
      </c>
      <c r="AD115" s="126">
        <f t="shared" si="33"/>
        <v>6.6765361499631303E-9</v>
      </c>
      <c r="AE115" s="128"/>
    </row>
    <row r="116" spans="11:31" x14ac:dyDescent="0.35">
      <c r="K116">
        <v>1000</v>
      </c>
      <c r="L116">
        <v>27</v>
      </c>
      <c r="M116">
        <f t="shared" si="34"/>
        <v>44</v>
      </c>
      <c r="N116">
        <f t="shared" si="26"/>
        <v>27000</v>
      </c>
      <c r="O116">
        <f t="shared" si="27"/>
        <v>25650</v>
      </c>
      <c r="P116">
        <f t="shared" si="28"/>
        <v>28350</v>
      </c>
      <c r="Q116">
        <f t="shared" si="29"/>
        <v>0</v>
      </c>
      <c r="R116" s="126">
        <f t="shared" si="30"/>
        <v>1.2916455643601598E-6</v>
      </c>
      <c r="S116" s="126">
        <f t="shared" si="31"/>
        <v>2.1057752887384145E-6</v>
      </c>
      <c r="AA116" s="126">
        <f t="shared" si="35"/>
        <v>1.2916455643601598E-6</v>
      </c>
      <c r="AB116" s="126">
        <f t="shared" si="36"/>
        <v>2.1057752887384145E-6</v>
      </c>
      <c r="AC116" s="126">
        <f t="shared" si="32"/>
        <v>7.9720187406381422E-9</v>
      </c>
      <c r="AD116" s="126">
        <f t="shared" si="33"/>
        <v>6.6739206743717777E-9</v>
      </c>
      <c r="AE116" s="128"/>
    </row>
    <row r="117" spans="11:31" x14ac:dyDescent="0.35">
      <c r="K117">
        <v>1000</v>
      </c>
      <c r="L117">
        <v>30</v>
      </c>
      <c r="M117">
        <f t="shared" si="34"/>
        <v>44</v>
      </c>
      <c r="N117">
        <f t="shared" si="26"/>
        <v>30000</v>
      </c>
      <c r="O117">
        <f t="shared" si="27"/>
        <v>28500</v>
      </c>
      <c r="P117">
        <f t="shared" si="28"/>
        <v>31500</v>
      </c>
      <c r="Q117">
        <f t="shared" si="29"/>
        <v>0</v>
      </c>
      <c r="R117" s="126">
        <f t="shared" si="30"/>
        <v>1.4351617245439204E-6</v>
      </c>
      <c r="S117" s="126">
        <f t="shared" si="31"/>
        <v>2.3396306347263676E-6</v>
      </c>
      <c r="AA117" s="126">
        <f t="shared" si="35"/>
        <v>1.4351617245439204E-6</v>
      </c>
      <c r="AB117" s="126">
        <f t="shared" si="36"/>
        <v>2.3396306347263676E-6</v>
      </c>
      <c r="AC117" s="126">
        <f t="shared" si="32"/>
        <v>7.9690342819573109E-9</v>
      </c>
      <c r="AD117" s="126">
        <f t="shared" si="33"/>
        <v>6.6718311552350963E-9</v>
      </c>
      <c r="AE117" s="128"/>
    </row>
    <row r="118" spans="11:31" x14ac:dyDescent="0.35">
      <c r="K118">
        <v>1000</v>
      </c>
      <c r="L118">
        <v>33</v>
      </c>
      <c r="M118">
        <f t="shared" si="34"/>
        <v>44</v>
      </c>
      <c r="N118">
        <f t="shared" si="26"/>
        <v>33000</v>
      </c>
      <c r="O118">
        <f t="shared" si="27"/>
        <v>31350</v>
      </c>
      <c r="P118">
        <f t="shared" si="28"/>
        <v>34650</v>
      </c>
      <c r="Q118">
        <f t="shared" si="29"/>
        <v>0</v>
      </c>
      <c r="R118" s="126">
        <f t="shared" si="30"/>
        <v>1.5786778820008738E-6</v>
      </c>
      <c r="S118" s="126">
        <f t="shared" si="31"/>
        <v>2.5734859766962598E-6</v>
      </c>
      <c r="AA118" s="126">
        <f t="shared" si="35"/>
        <v>1.5786778820008738E-6</v>
      </c>
      <c r="AB118" s="126">
        <f t="shared" si="36"/>
        <v>2.5734859766962598E-6</v>
      </c>
      <c r="AC118" s="126">
        <f t="shared" si="32"/>
        <v>7.966595673078002E-9</v>
      </c>
      <c r="AD118" s="126">
        <f t="shared" si="33"/>
        <v>6.6701234383958662E-9</v>
      </c>
      <c r="AE118" s="128"/>
    </row>
    <row r="119" spans="11:31" x14ac:dyDescent="0.35">
      <c r="K119">
        <v>1000</v>
      </c>
      <c r="L119">
        <v>36</v>
      </c>
      <c r="M119">
        <f t="shared" si="34"/>
        <v>44</v>
      </c>
      <c r="N119">
        <f t="shared" si="26"/>
        <v>36000</v>
      </c>
      <c r="O119">
        <f t="shared" si="27"/>
        <v>34200</v>
      </c>
      <c r="P119">
        <f t="shared" si="28"/>
        <v>37800</v>
      </c>
      <c r="Q119">
        <f t="shared" si="29"/>
        <v>0</v>
      </c>
      <c r="R119" s="126">
        <f t="shared" si="30"/>
        <v>1.7221940367310205E-6</v>
      </c>
      <c r="S119" s="126">
        <f t="shared" si="31"/>
        <v>2.8073413146480932E-6</v>
      </c>
      <c r="AA119" s="126">
        <f t="shared" si="35"/>
        <v>1.7221940367310205E-6</v>
      </c>
      <c r="AB119" s="126">
        <f t="shared" si="36"/>
        <v>2.8073413146480932E-6</v>
      </c>
      <c r="AC119" s="126">
        <f t="shared" si="32"/>
        <v>7.9645657110617269E-9</v>
      </c>
      <c r="AD119" s="126">
        <f t="shared" si="33"/>
        <v>6.6687016390624745E-9</v>
      </c>
      <c r="AE119" s="128"/>
    </row>
    <row r="120" spans="11:31" x14ac:dyDescent="0.35">
      <c r="K120">
        <v>1000</v>
      </c>
      <c r="L120">
        <v>39</v>
      </c>
      <c r="M120">
        <f t="shared" si="34"/>
        <v>44</v>
      </c>
      <c r="N120">
        <f t="shared" si="26"/>
        <v>39000</v>
      </c>
      <c r="O120">
        <f t="shared" si="27"/>
        <v>37050</v>
      </c>
      <c r="P120">
        <f t="shared" si="28"/>
        <v>40950</v>
      </c>
      <c r="Q120">
        <f t="shared" si="29"/>
        <v>0</v>
      </c>
      <c r="R120" s="126">
        <f t="shared" si="30"/>
        <v>1.8657101887343607E-6</v>
      </c>
      <c r="S120" s="126">
        <f t="shared" si="31"/>
        <v>3.0411966485818675E-6</v>
      </c>
      <c r="AA120" s="126">
        <f t="shared" si="35"/>
        <v>1.8657101887343607E-6</v>
      </c>
      <c r="AB120" s="126">
        <f t="shared" si="36"/>
        <v>3.0411966485818675E-6</v>
      </c>
      <c r="AC120" s="126">
        <f t="shared" si="32"/>
        <v>7.9628496201946766E-9</v>
      </c>
      <c r="AD120" s="126">
        <f t="shared" si="33"/>
        <v>6.6674994990879505E-9</v>
      </c>
      <c r="AE120" s="128"/>
    </row>
    <row r="121" spans="11:31" x14ac:dyDescent="0.35">
      <c r="K121">
        <v>1000</v>
      </c>
      <c r="L121">
        <v>43</v>
      </c>
      <c r="M121">
        <f t="shared" si="34"/>
        <v>44</v>
      </c>
      <c r="N121">
        <f t="shared" si="26"/>
        <v>43000</v>
      </c>
      <c r="O121">
        <f t="shared" si="27"/>
        <v>40850</v>
      </c>
      <c r="P121">
        <f t="shared" si="28"/>
        <v>45150</v>
      </c>
      <c r="Q121">
        <f t="shared" si="29"/>
        <v>0</v>
      </c>
      <c r="R121" s="126">
        <f t="shared" si="30"/>
        <v>2.0570650538304488E-6</v>
      </c>
      <c r="S121" s="126">
        <f t="shared" si="31"/>
        <v>3.3530037542432511E-6</v>
      </c>
      <c r="AA121" s="126">
        <f t="shared" si="35"/>
        <v>2.0570650538304488E-6</v>
      </c>
      <c r="AB121" s="126">
        <f t="shared" si="36"/>
        <v>3.3530037542432511E-6</v>
      </c>
      <c r="AC121" s="126">
        <f t="shared" si="32"/>
        <v>7.960935681661957E-9</v>
      </c>
      <c r="AD121" s="126">
        <f t="shared" si="33"/>
        <v>6.6661585719320785E-9</v>
      </c>
      <c r="AE121" s="128"/>
    </row>
    <row r="122" spans="11:31" x14ac:dyDescent="0.35">
      <c r="K122">
        <v>1000</v>
      </c>
      <c r="L122">
        <v>47</v>
      </c>
      <c r="M122">
        <f t="shared" si="34"/>
        <v>44</v>
      </c>
      <c r="N122">
        <f t="shared" si="26"/>
        <v>47000</v>
      </c>
      <c r="O122">
        <f t="shared" si="27"/>
        <v>44650</v>
      </c>
      <c r="P122">
        <f t="shared" si="28"/>
        <v>49350</v>
      </c>
      <c r="Q122">
        <f t="shared" si="29"/>
        <v>0</v>
      </c>
      <c r="R122" s="126">
        <f t="shared" si="30"/>
        <v>2.2484199140788808E-6</v>
      </c>
      <c r="S122" s="126">
        <f t="shared" si="31"/>
        <v>3.6648108527614191E-6</v>
      </c>
      <c r="AA122" s="126">
        <f t="shared" si="35"/>
        <v>2.2484199140788808E-6</v>
      </c>
      <c r="AB122" s="126">
        <f t="shared" si="36"/>
        <v>3.6648108527614191E-6</v>
      </c>
      <c r="AC122" s="126">
        <f t="shared" si="32"/>
        <v>7.9593488786089413E-9</v>
      </c>
      <c r="AD122" s="126">
        <f t="shared" si="33"/>
        <v>6.6650466853050542E-9</v>
      </c>
      <c r="AE122" s="128"/>
    </row>
    <row r="123" spans="11:31" x14ac:dyDescent="0.35">
      <c r="K123">
        <v>1000</v>
      </c>
      <c r="L123">
        <v>51</v>
      </c>
      <c r="M123">
        <f t="shared" si="34"/>
        <v>44</v>
      </c>
      <c r="N123">
        <f t="shared" si="26"/>
        <v>51000</v>
      </c>
      <c r="O123">
        <f t="shared" si="27"/>
        <v>48450</v>
      </c>
      <c r="P123">
        <f t="shared" si="28"/>
        <v>53550</v>
      </c>
      <c r="Q123">
        <f t="shared" si="29"/>
        <v>0</v>
      </c>
      <c r="R123" s="126">
        <f t="shared" si="30"/>
        <v>2.4397747694796576E-6</v>
      </c>
      <c r="S123" s="126">
        <f t="shared" si="31"/>
        <v>3.9766179441363715E-6</v>
      </c>
      <c r="AA123" s="126">
        <f t="shared" si="35"/>
        <v>2.4397747694796576E-6</v>
      </c>
      <c r="AB123" s="126">
        <f t="shared" si="36"/>
        <v>3.9766179441363715E-6</v>
      </c>
      <c r="AC123" s="126">
        <f t="shared" si="32"/>
        <v>7.9580119426986625E-9</v>
      </c>
      <c r="AD123" s="126">
        <f t="shared" si="33"/>
        <v>6.6641097740398261E-9</v>
      </c>
      <c r="AE123" s="128"/>
    </row>
    <row r="124" spans="11:31" x14ac:dyDescent="0.35">
      <c r="K124">
        <v>1000</v>
      </c>
      <c r="L124">
        <v>56</v>
      </c>
      <c r="M124">
        <f t="shared" si="34"/>
        <v>44</v>
      </c>
      <c r="N124">
        <f t="shared" si="26"/>
        <v>56000</v>
      </c>
      <c r="O124">
        <f t="shared" si="27"/>
        <v>53200</v>
      </c>
      <c r="P124">
        <f t="shared" si="28"/>
        <v>58800</v>
      </c>
      <c r="Q124">
        <f t="shared" si="29"/>
        <v>0</v>
      </c>
      <c r="R124" s="126">
        <f t="shared" si="30"/>
        <v>2.6789683319136128E-6</v>
      </c>
      <c r="S124" s="126">
        <f t="shared" si="31"/>
        <v>4.3663767983099126E-6</v>
      </c>
      <c r="AA124" s="126">
        <f t="shared" si="35"/>
        <v>2.6789683319136128E-6</v>
      </c>
      <c r="AB124" s="126">
        <f t="shared" si="36"/>
        <v>4.3663767983099126E-6</v>
      </c>
      <c r="AC124" s="126">
        <f t="shared" si="32"/>
        <v>7.9566102940696953E-9</v>
      </c>
      <c r="AD124" s="126">
        <f t="shared" si="33"/>
        <v>6.6631274058951747E-9</v>
      </c>
      <c r="AE124" s="128"/>
    </row>
    <row r="125" spans="11:31" x14ac:dyDescent="0.35">
      <c r="K125">
        <v>1000</v>
      </c>
      <c r="L125">
        <v>62</v>
      </c>
      <c r="M125">
        <f t="shared" si="34"/>
        <v>44</v>
      </c>
      <c r="N125">
        <f t="shared" si="26"/>
        <v>62000</v>
      </c>
      <c r="O125">
        <f t="shared" si="27"/>
        <v>58900</v>
      </c>
      <c r="P125">
        <f t="shared" si="28"/>
        <v>65100</v>
      </c>
      <c r="Q125">
        <f t="shared" si="29"/>
        <v>0</v>
      </c>
      <c r="R125" s="126">
        <f t="shared" si="30"/>
        <v>2.9660005968360695E-6</v>
      </c>
      <c r="S125" s="126">
        <f t="shared" si="31"/>
        <v>4.8340874085852812E-6</v>
      </c>
      <c r="AA125" s="126">
        <f t="shared" si="35"/>
        <v>2.9660005968360695E-6</v>
      </c>
      <c r="AB125" s="126">
        <f t="shared" si="36"/>
        <v>4.8340874085852812E-6</v>
      </c>
      <c r="AC125" s="126">
        <f t="shared" si="32"/>
        <v>7.9552276750373606E-9</v>
      </c>
      <c r="AD125" s="126">
        <f t="shared" si="33"/>
        <v>6.6621582676879971E-9</v>
      </c>
      <c r="AE125" s="128"/>
    </row>
    <row r="126" spans="11:31" x14ac:dyDescent="0.35">
      <c r="K126">
        <v>1000</v>
      </c>
      <c r="L126">
        <v>68</v>
      </c>
      <c r="M126">
        <f t="shared" si="34"/>
        <v>44</v>
      </c>
      <c r="N126">
        <f t="shared" si="26"/>
        <v>68000</v>
      </c>
      <c r="O126">
        <f t="shared" si="27"/>
        <v>64600</v>
      </c>
      <c r="P126">
        <f t="shared" si="28"/>
        <v>71400</v>
      </c>
      <c r="Q126">
        <f t="shared" si="29"/>
        <v>0</v>
      </c>
      <c r="R126" s="126">
        <f t="shared" si="30"/>
        <v>3.2530328508513028E-6</v>
      </c>
      <c r="S126" s="126">
        <f t="shared" si="31"/>
        <v>5.3017980027884157E-6</v>
      </c>
      <c r="AA126" s="126">
        <f t="shared" si="35"/>
        <v>3.2530328508513028E-6</v>
      </c>
      <c r="AB126" s="126">
        <f t="shared" si="36"/>
        <v>5.3017980027884157E-6</v>
      </c>
      <c r="AC126" s="126">
        <f t="shared" si="32"/>
        <v>7.9540897512752868E-9</v>
      </c>
      <c r="AD126" s="126">
        <f t="shared" si="33"/>
        <v>6.661360567118358E-9</v>
      </c>
      <c r="AE126" s="128"/>
    </row>
    <row r="127" spans="11:31" x14ac:dyDescent="0.35">
      <c r="K127">
        <v>1000</v>
      </c>
      <c r="L127">
        <v>75</v>
      </c>
      <c r="M127">
        <f t="shared" si="34"/>
        <v>44</v>
      </c>
      <c r="N127">
        <f t="shared" si="26"/>
        <v>75000</v>
      </c>
      <c r="O127">
        <f t="shared" si="27"/>
        <v>71250</v>
      </c>
      <c r="P127">
        <f t="shared" si="28"/>
        <v>78750</v>
      </c>
      <c r="Q127">
        <f t="shared" si="29"/>
        <v>0</v>
      </c>
      <c r="R127" s="126">
        <f t="shared" si="30"/>
        <v>3.5879038000835575E-6</v>
      </c>
      <c r="S127" s="126">
        <f t="shared" si="31"/>
        <v>5.847460342378555E-6</v>
      </c>
      <c r="AA127" s="126">
        <f t="shared" si="35"/>
        <v>3.5879038000835575E-6</v>
      </c>
      <c r="AB127" s="126">
        <f t="shared" si="36"/>
        <v>5.847460342378555E-6</v>
      </c>
      <c r="AC127" s="126">
        <f t="shared" si="32"/>
        <v>7.9529928887966008E-9</v>
      </c>
      <c r="AD127" s="126">
        <f t="shared" si="33"/>
        <v>6.6605915826680116E-9</v>
      </c>
      <c r="AE127" s="128"/>
    </row>
    <row r="128" spans="11:31" x14ac:dyDescent="0.35">
      <c r="K128">
        <v>1000</v>
      </c>
      <c r="L128">
        <v>82</v>
      </c>
      <c r="M128">
        <f t="shared" si="34"/>
        <v>44</v>
      </c>
      <c r="N128">
        <f t="shared" si="26"/>
        <v>82000</v>
      </c>
      <c r="O128">
        <f t="shared" si="27"/>
        <v>77900</v>
      </c>
      <c r="P128">
        <f t="shared" si="28"/>
        <v>86100</v>
      </c>
      <c r="Q128">
        <f t="shared" si="29"/>
        <v>0</v>
      </c>
      <c r="R128" s="126">
        <f t="shared" si="30"/>
        <v>3.9227747344698703E-6</v>
      </c>
      <c r="S128" s="126">
        <f t="shared" si="31"/>
        <v>6.3931226600926013E-6</v>
      </c>
      <c r="AA128" s="126">
        <f t="shared" si="35"/>
        <v>3.9227747344698703E-6</v>
      </c>
      <c r="AB128" s="126">
        <f t="shared" si="36"/>
        <v>6.3931226600926013E-6</v>
      </c>
      <c r="AC128" s="126">
        <f t="shared" si="32"/>
        <v>7.9520837434893756E-9</v>
      </c>
      <c r="AD128" s="126">
        <f t="shared" si="33"/>
        <v>6.6599541513652525E-9</v>
      </c>
      <c r="AE128" s="128"/>
    </row>
    <row r="129" spans="11:31" x14ac:dyDescent="0.35">
      <c r="K129">
        <v>1000</v>
      </c>
      <c r="L129">
        <v>91</v>
      </c>
      <c r="M129">
        <f t="shared" si="34"/>
        <v>44</v>
      </c>
      <c r="N129">
        <f t="shared" si="26"/>
        <v>91000</v>
      </c>
      <c r="O129">
        <f t="shared" si="27"/>
        <v>86450</v>
      </c>
      <c r="P129">
        <f t="shared" si="28"/>
        <v>95550</v>
      </c>
      <c r="Q129">
        <f t="shared" si="29"/>
        <v>0</v>
      </c>
      <c r="R129" s="126">
        <f t="shared" si="30"/>
        <v>4.3533230568664005E-6</v>
      </c>
      <c r="S129" s="126">
        <f t="shared" si="31"/>
        <v>7.0946884650090531E-6</v>
      </c>
      <c r="AA129" s="126">
        <f t="shared" si="35"/>
        <v>4.3533230568664005E-6</v>
      </c>
      <c r="AB129" s="126">
        <f t="shared" si="36"/>
        <v>7.0946884650090531E-6</v>
      </c>
      <c r="AC129" s="126">
        <f t="shared" si="32"/>
        <v>7.9511208064902195E-9</v>
      </c>
      <c r="AD129" s="126">
        <f t="shared" si="33"/>
        <v>6.6592789545739984E-9</v>
      </c>
      <c r="AE129" s="128"/>
    </row>
    <row r="130" spans="11:31" x14ac:dyDescent="0.35">
      <c r="M130">
        <f t="shared" si="34"/>
        <v>44</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581" priority="34" stopIfTrue="1">
      <formula>AND($B$11="need resistor",$C$11&gt;0)</formula>
    </cfRule>
    <cfRule type="containsText" dxfId="580" priority="38" operator="containsText" text="need resistor">
      <formula>NOT(ISERROR(SEARCH("need resistor",B11)))</formula>
    </cfRule>
  </conditionalFormatting>
  <conditionalFormatting sqref="B11:B12">
    <cfRule type="containsText" dxfId="579" priority="36" operator="containsText" text="no need">
      <formula>NOT(ISERROR(SEARCH("no need",B11)))</formula>
    </cfRule>
  </conditionalFormatting>
  <conditionalFormatting sqref="B12">
    <cfRule type="expression" dxfId="578" priority="33" stopIfTrue="1">
      <formula>AND($B$12="need resistor",$C$12&gt;0)</formula>
    </cfRule>
    <cfRule type="containsText" dxfId="577" priority="35" operator="containsText" text="need resistor">
      <formula>NOT(ISERROR(SEARCH("need resistor",B12)))</formula>
    </cfRule>
  </conditionalFormatting>
  <conditionalFormatting sqref="B42">
    <cfRule type="expression" dxfId="576" priority="61">
      <formula>AND($B$42&gt;$S$2,$B$2=1)</formula>
    </cfRule>
    <cfRule type="expression" dxfId="575" priority="60">
      <formula>AND($B$42&lt;$R$2,$B$2=0)</formula>
    </cfRule>
    <cfRule type="expression" dxfId="574" priority="59" stopIfTrue="1">
      <formula>AND($B$42&lt;=$S$2,$B$2=1)</formula>
    </cfRule>
    <cfRule type="expression" dxfId="573" priority="58" stopIfTrue="1">
      <formula>AND($B$42&gt;=$R$2,$B$2=0)</formula>
    </cfRule>
  </conditionalFormatting>
  <conditionalFormatting sqref="B62">
    <cfRule type="expression" dxfId="572" priority="69">
      <formula>AND($B$62&gt;$S$2,$B$2=1)</formula>
    </cfRule>
    <cfRule type="expression" dxfId="571" priority="68">
      <formula>AND($B$62&lt;$R$2,$B$2=0)</formula>
    </cfRule>
    <cfRule type="expression" dxfId="570" priority="67" stopIfTrue="1">
      <formula>AND($B$62&lt;=$S$2,$B$2=1)</formula>
    </cfRule>
    <cfRule type="expression" dxfId="569" priority="66" stopIfTrue="1">
      <formula>AND($B$62&gt;=$R$2,$B$2=0)</formula>
    </cfRule>
  </conditionalFormatting>
  <conditionalFormatting sqref="B84">
    <cfRule type="cellIs" dxfId="568" priority="47" operator="greaterThan">
      <formula>$S$3</formula>
    </cfRule>
    <cfRule type="cellIs" dxfId="567" priority="46" operator="lessThanOrEqual">
      <formula>$S$3</formula>
    </cfRule>
  </conditionalFormatting>
  <conditionalFormatting sqref="B102">
    <cfRule type="cellIs" dxfId="566" priority="50" operator="lessThanOrEqual">
      <formula>$S$2</formula>
    </cfRule>
    <cfRule type="cellIs" dxfId="565" priority="51" operator="greaterThan">
      <formula>$S$2</formula>
    </cfRule>
  </conditionalFormatting>
  <conditionalFormatting sqref="B18:C18">
    <cfRule type="expression" dxfId="564" priority="55">
      <formula>OR(AND($B$2=0,$C$18&lt;$R$2),AND($B$2=1,$C$18&gt;$S$2))</formula>
    </cfRule>
    <cfRule type="expression" dxfId="563" priority="54" stopIfTrue="1">
      <formula>OR(AND($B$2=0,$C$18&gt;=$R$2),AND($B$2=1,$C$18&lt;=$S$2))</formula>
    </cfRule>
  </conditionalFormatting>
  <conditionalFormatting sqref="B19:C19">
    <cfRule type="expression" dxfId="562" priority="57">
      <formula>OR(AND($B$3=0,$C$19&lt;$R$3),AND($B$3=1,$C$19&gt;$S$3))</formula>
    </cfRule>
    <cfRule type="expression" dxfId="561" priority="56" stopIfTrue="1">
      <formula>OR(AND($B$3=0,$C$19&gt;=$R$3),AND($B$3=1,$C$19&lt;=$S$3))</formula>
    </cfRule>
  </conditionalFormatting>
  <conditionalFormatting sqref="C14">
    <cfRule type="cellIs" dxfId="560" priority="28" operator="equal">
      <formula>"no solution"</formula>
    </cfRule>
  </conditionalFormatting>
  <conditionalFormatting sqref="C44">
    <cfRule type="expression" dxfId="559" priority="65">
      <formula>AND($B$44&gt;$S$3,$B$3=1)</formula>
    </cfRule>
    <cfRule type="expression" dxfId="558" priority="64">
      <formula>AND($B$44&lt;$R$3,$B$3=0)</formula>
    </cfRule>
    <cfRule type="expression" dxfId="557" priority="63" stopIfTrue="1">
      <formula>AND($C$44&lt;=$S$3,$B$3=1)</formula>
    </cfRule>
    <cfRule type="expression" dxfId="556" priority="62" stopIfTrue="1">
      <formula>AND($C$44&gt;=$R$3,$B$3=0)</formula>
    </cfRule>
  </conditionalFormatting>
  <conditionalFormatting sqref="C64">
    <cfRule type="expression" dxfId="555" priority="71" stopIfTrue="1">
      <formula>AND($C$64&lt;=$S$3,$B$3=1)</formula>
    </cfRule>
    <cfRule type="expression" dxfId="554" priority="72">
      <formula>AND($B$64&lt;$R$3,$B$3=0)</formula>
    </cfRule>
    <cfRule type="expression" dxfId="553" priority="73">
      <formula>AND($B$64&gt;$S$3,$B$3=1)</formula>
    </cfRule>
    <cfRule type="expression" dxfId="552" priority="70" stopIfTrue="1">
      <formula>AND($C$64&gt;=$R$3,$B$3=0)</formula>
    </cfRule>
  </conditionalFormatting>
  <conditionalFormatting sqref="C102:D102">
    <cfRule type="cellIs" dxfId="551" priority="30" operator="lessThan">
      <formula>$R$2</formula>
    </cfRule>
    <cfRule type="cellIs" dxfId="550" priority="29" operator="greaterThanOrEqual">
      <formula>$R$2</formula>
    </cfRule>
  </conditionalFormatting>
  <conditionalFormatting sqref="C84:H84">
    <cfRule type="cellIs" dxfId="549" priority="15" operator="lessThan">
      <formula>$R$3</formula>
    </cfRule>
    <cfRule type="cellIs" dxfId="548" priority="14" operator="greaterThanOrEqual">
      <formula>$R$3</formula>
    </cfRule>
  </conditionalFormatting>
  <conditionalFormatting sqref="D11">
    <cfRule type="containsText" dxfId="547" priority="41" stopIfTrue="1" operator="containsText" text="please remove resistor">
      <formula>NOT(ISERROR(SEARCH("please remove resistor",D11)))</formula>
    </cfRule>
    <cfRule type="cellIs" dxfId="546" priority="43" operator="greaterThan">
      <formula>$S$2</formula>
    </cfRule>
    <cfRule type="cellIs" dxfId="545" priority="42" operator="lessThan">
      <formula>$S$2</formula>
    </cfRule>
  </conditionalFormatting>
  <conditionalFormatting sqref="D11:D12">
    <cfRule type="cellIs" priority="26" stopIfTrue="1" operator="equal">
      <formula>""</formula>
    </cfRule>
  </conditionalFormatting>
  <conditionalFormatting sqref="D12 E18:E19">
    <cfRule type="cellIs" dxfId="544" priority="40" operator="lessThan">
      <formula>$R$2-$N$7</formula>
    </cfRule>
    <cfRule type="cellIs" dxfId="543" priority="39" operator="greaterThanOrEqual">
      <formula>$R$2-$N$7</formula>
    </cfRule>
  </conditionalFormatting>
  <conditionalFormatting sqref="D18:D19">
    <cfRule type="cellIs" dxfId="542" priority="44" operator="lessThanOrEqual">
      <formula>$S$2+$N$7</formula>
    </cfRule>
    <cfRule type="cellIs" dxfId="541" priority="45" operator="greaterThan">
      <formula>$S$2+$N$7</formula>
    </cfRule>
  </conditionalFormatting>
  <conditionalFormatting sqref="E102">
    <cfRule type="cellIs" dxfId="540" priority="13" operator="lessThan">
      <formula>$R$3</formula>
    </cfRule>
    <cfRule type="cellIs" dxfId="539" priority="12" operator="greaterThanOrEqual">
      <formula>$R$3</formula>
    </cfRule>
  </conditionalFormatting>
  <conditionalFormatting sqref="F21">
    <cfRule type="containsText" dxfId="538" priority="11" operator="containsText" text="failed">
      <formula>NOT(ISERROR(SEARCH("failed",F21)))</formula>
    </cfRule>
  </conditionalFormatting>
  <conditionalFormatting sqref="F22">
    <cfRule type="containsText" dxfId="537" priority="10" operator="containsText" text="fail">
      <formula>NOT(ISERROR(SEARCH("fail",F22)))</formula>
    </cfRule>
  </conditionalFormatting>
  <conditionalFormatting sqref="F23">
    <cfRule type="containsText" dxfId="536" priority="9" operator="containsText" text="failed">
      <formula>NOT(ISERROR(SEARCH("failed",F23)))</formula>
    </cfRule>
  </conditionalFormatting>
  <conditionalFormatting sqref="F102:H102">
    <cfRule type="cellIs" dxfId="535" priority="22" operator="greaterThanOrEqual">
      <formula>$R$2</formula>
    </cfRule>
    <cfRule type="cellIs" dxfId="534" priority="23" operator="lessThan">
      <formula>$R$2</formula>
    </cfRule>
  </conditionalFormatting>
  <conditionalFormatting sqref="G18">
    <cfRule type="cellIs" dxfId="533" priority="3" operator="greaterThan">
      <formula>$V$2</formula>
    </cfRule>
    <cfRule type="cellIs" dxfId="532" priority="4" operator="lessThan">
      <formula>$V$2</formula>
    </cfRule>
  </conditionalFormatting>
  <conditionalFormatting sqref="G19">
    <cfRule type="cellIs" dxfId="531" priority="6" operator="lessThan">
      <formula>$V$3</formula>
    </cfRule>
    <cfRule type="cellIs" dxfId="530" priority="5" operator="greaterThan">
      <formula>$V$3</formula>
    </cfRule>
  </conditionalFormatting>
  <conditionalFormatting sqref="I18:I19">
    <cfRule type="cellIs" dxfId="529" priority="2" operator="lessThan">
      <formula>$W$2</formula>
    </cfRule>
    <cfRule type="cellIs" dxfId="528" priority="1" operator="greaterThan">
      <formula>$W$2</formula>
    </cfRule>
  </conditionalFormatting>
  <conditionalFormatting sqref="K12">
    <cfRule type="expression" dxfId="527" priority="74">
      <formula>SEARCH("reduce",$F$23)</formula>
    </cfRule>
    <cfRule type="expression" dxfId="526" priority="75">
      <formula>SEARCH("reduce",$F$21)</formula>
    </cfRule>
  </conditionalFormatting>
  <conditionalFormatting sqref="N2">
    <cfRule type="expression" dxfId="525" priority="76">
      <formula>SEARCH("strength",$F$21)</formula>
    </cfRule>
    <cfRule type="expression" dxfId="524" priority="77">
      <formula>SEARCH("strength",$F$23)</formula>
    </cfRule>
  </conditionalFormatting>
  <hyperlinks>
    <hyperlink ref="N25" location="Summary!A1" display="Link to summary" xr:uid="{FDA4A625-D062-4FD9-977C-BCA91F44E853}"/>
  </hyperlinks>
  <pageMargins left="0.7" right="0.7" top="0.75" bottom="0.75" header="0.3" footer="0.3"/>
  <pageSetup paperSize="9"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9FD6-7378-48D1-AF40-97C28138C569}">
  <dimension ref="A1:AK130"/>
  <sheetViews>
    <sheetView topLeftCell="C7"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Summary!P16</f>
        <v>1.8</v>
      </c>
      <c r="K2" s="10">
        <v>1000000000000</v>
      </c>
      <c r="L2" s="15">
        <v>0.1</v>
      </c>
      <c r="M2" s="15">
        <v>0.1</v>
      </c>
      <c r="N2" s="66">
        <f>Summary!P26</f>
        <v>50</v>
      </c>
      <c r="O2" s="15">
        <f>Summary!P88</f>
        <v>0.25</v>
      </c>
      <c r="P2" s="15">
        <f>Summary!P89</f>
        <v>0.25</v>
      </c>
      <c r="Q2" s="5" t="str">
        <f>Summary!P27</f>
        <v>N/A</v>
      </c>
      <c r="R2" s="5">
        <f>Summary!P51</f>
        <v>0.3</v>
      </c>
      <c r="S2" s="5">
        <f>Summary!P52</f>
        <v>0.7</v>
      </c>
      <c r="T2" s="5">
        <f>Summary!P53</f>
        <v>0.3</v>
      </c>
      <c r="U2" s="5">
        <f>Summary!P54</f>
        <v>0.7</v>
      </c>
      <c r="V2" s="130">
        <f>Summary!P55</f>
        <v>2.9999999999999999E-7</v>
      </c>
      <c r="W2" s="130">
        <f>Summary!P56</f>
        <v>2.9999999999999999E-7</v>
      </c>
      <c r="X2" s="131">
        <f>V2</f>
        <v>2.9999999999999999E-7</v>
      </c>
      <c r="Y2" s="132">
        <f>IF(Summary!P57="","",Summary!P57)</f>
        <v>1E-8</v>
      </c>
      <c r="Z2" s="132">
        <f>IF(Summary!P58="","",Summary!P58)</f>
        <v>6.5454545454545451E-9</v>
      </c>
      <c r="AA2" s="4">
        <f>Summary!P59</f>
        <v>1E-10</v>
      </c>
      <c r="AB2" s="41">
        <f>Summary!P81</f>
        <v>4.9999999999999997E-12</v>
      </c>
      <c r="AC2" s="41">
        <f>Summary!P83</f>
        <v>8.1900000000000013E-12</v>
      </c>
      <c r="AD2" s="3">
        <f>Summary!P84</f>
        <v>0.69</v>
      </c>
      <c r="AE2" s="41">
        <f>Summary!P86</f>
        <v>4.9999999999999997E-12</v>
      </c>
      <c r="AF2" s="5">
        <f>Summary!P87</f>
        <v>2.93</v>
      </c>
      <c r="AG2" s="127" t="str">
        <f>Summary!P50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Summary!P16</f>
        <v>1.8</v>
      </c>
      <c r="K3" s="10">
        <v>1000000000000</v>
      </c>
      <c r="L3" s="15">
        <v>0.1</v>
      </c>
      <c r="M3" s="15">
        <v>0.1</v>
      </c>
      <c r="N3">
        <f>Summary!P97</f>
        <v>50</v>
      </c>
      <c r="O3" s="15">
        <f>Summary!P98</f>
        <v>0.5</v>
      </c>
      <c r="P3" s="15">
        <f>Summary!P99</f>
        <v>0</v>
      </c>
      <c r="Q3"/>
      <c r="R3" s="5">
        <f>Summary!P38</f>
        <v>0.3</v>
      </c>
      <c r="S3" s="5">
        <f>Summary!P39</f>
        <v>0.7</v>
      </c>
      <c r="T3" s="5">
        <f>Summary!P42</f>
        <v>0.3</v>
      </c>
      <c r="U3" s="5">
        <f>Summary!P43</f>
        <v>0.7</v>
      </c>
      <c r="V3" s="130">
        <f>Summary!P44</f>
        <v>2.9999999999999999E-7</v>
      </c>
      <c r="W3" s="130">
        <f>Summary!P45</f>
        <v>2.9999999999999999E-7</v>
      </c>
      <c r="X3" s="131">
        <f>V3</f>
        <v>2.9999999999999999E-7</v>
      </c>
      <c r="Y3" s="132">
        <f>IF(Summary!P46="","",Summary!P46)</f>
        <v>1E-8</v>
      </c>
      <c r="Z3" s="132">
        <f>IF(Summary!P47="","",Summary!P47)</f>
        <v>6.5454545454545451E-9</v>
      </c>
      <c r="AA3" s="4">
        <f>Summary!P59</f>
        <v>1E-10</v>
      </c>
      <c r="AB3" s="41">
        <f>Summary!P96</f>
        <v>9.9999999999999994E-12</v>
      </c>
      <c r="AG3" s="127" t="str">
        <f>Summary!P37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427329345.73772496</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427329345.73772496</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165.87503585207278</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198.01788887753889</v>
      </c>
      <c r="F7" s="123">
        <f>_xlfn.IFNA(_xlfn.XLOOKUP($X$2,AB34:AB129,P34:P129,,-1), "Out of support PU range")</f>
        <v>3780</v>
      </c>
      <c r="G7" s="124">
        <f>_xlfn.IFNA(_xlfn.XLOOKUP($X$3,S34:S129,P34:P129,,-1), "Out of support PU range")</f>
        <v>3780</v>
      </c>
      <c r="H7" s="124">
        <f>_xlfn.IFNA(MAX(_xlfn.XLOOKUP(MAX($Y$2:$AA$2),AA34:AA129,O34:O129,,1), _xlfn.XLOOKUP($W$2,AD34:AD129,O34:O129,,-1)), "Fail AC VIL")</f>
        <v>209</v>
      </c>
      <c r="I7" s="129">
        <f>_xlfn.IFNA(MAX(_xlfn.XLOOKUP(MAX($Y$3:$AA$3),R34:R129,O34:O129,,1), _xlfn.XLOOKUP($W$3,AC34:AC129,O34:O129,,-1)), "Fail AC VIL")</f>
        <v>209</v>
      </c>
      <c r="J7" s="21">
        <v>20000</v>
      </c>
      <c r="K7" s="2">
        <f>MIN(
MIN(FLOOR(B7,10^(LEN(ROUND(B7,0))-1))/10,
FLOOR(C7,10^(LEN(ROUND(C7,0))-1))/10,
IF(F7*10&gt;=J7,FLOOR(F7,10^(LEN(ROUND(F7,0))-1))/10,FLOOR(F7,10^(LEN(ROUND(F7,0))-1))),
FLOOR(G7,10^(LEN(ROUND(G7,0))-1))/10),
MAX(I7,J7)
)</f>
        <v>300</v>
      </c>
      <c r="L7" s="1"/>
      <c r="N7" s="71">
        <f>Summary!P62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158.7857141952824</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158.7857141952824</v>
      </c>
      <c r="E8">
        <f>X2/(1.204*K18)</f>
        <v>3075.3265812247173</v>
      </c>
      <c r="F8">
        <f>X3/(1.204*K18)</f>
        <v>3075.3265812247173</v>
      </c>
      <c r="H8">
        <f>AA2/(1.204*K18)</f>
        <v>1.0251088604082392</v>
      </c>
      <c r="I8" s="2">
        <f>AA3/(1.204*K18)</f>
        <v>1.0251088604082392</v>
      </c>
      <c r="J8" s="8">
        <v>20000</v>
      </c>
      <c r="K8">
        <f>MIN(MIN(FLOOR(B8,10^(LEN(ROUND(B8,0))-1))/10,FLOOR(C8,10^(LEN(ROUND(C8,0))-1))/10,FLOOR(E8,10^(LEN(ROUND(E8,0))-1))/10,FLOOR(F8,10^(LEN(ROUND(F8,0))-1))/10),MAX(I8,J8))</f>
        <v>10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Summary!P24</f>
        <v>390</v>
      </c>
      <c r="D11" s="1">
        <f>IF(AND(B11="no need", C11=""), "",IF(AND(B11="no need", C11&gt;0), "please remove resistor",   IF(AND(B11="need resistor", ISBLANK(C11)), "please enter resistor",  (1/(1/F2+1/F3))/(1/(1/(1/(1/C2+1/C3))+1/C11)+(1/(1/F2+1/F3))) ) ))</f>
        <v>0.99999999922000005</v>
      </c>
      <c r="F11" s="7">
        <f>IF(B11="no need", 1000000000, C11)</f>
        <v>390</v>
      </c>
      <c r="G11" s="7" t="s">
        <v>281</v>
      </c>
      <c r="H11" s="62">
        <f>Summary!P25</f>
        <v>0.05</v>
      </c>
      <c r="K11" s="6" t="s">
        <v>282</v>
      </c>
      <c r="N11" s="19" t="s">
        <v>283</v>
      </c>
      <c r="P11" s="19" t="s">
        <v>284</v>
      </c>
      <c r="R11" s="127" t="s">
        <v>285</v>
      </c>
      <c r="S11" s="127">
        <f>($J$2+$J$2*Summary!$P$17)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Summary!P10</f>
        <v>10</v>
      </c>
      <c r="L12" t="s">
        <v>287</v>
      </c>
      <c r="N12" s="4">
        <f>SUM(AB2:AC3,AE2:AE3)</f>
        <v>2.8189999999999998E-11</v>
      </c>
      <c r="O12" t="s">
        <v>288</v>
      </c>
      <c r="P12" s="61">
        <f>Summary!P84+Summary!P87</f>
        <v>3.62</v>
      </c>
      <c r="Q12" t="s">
        <v>289</v>
      </c>
      <c r="R12" s="127" t="s">
        <v>290</v>
      </c>
      <c r="S12" s="127">
        <f>($J$2-$J$2*Summary!$P$17)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($J$3+$J$3*Summary!$P$18)</f>
        <v>1.8900000000000001</v>
      </c>
    </row>
    <row r="14" spans="1:37" x14ac:dyDescent="0.35">
      <c r="K14" s="6" t="s">
        <v>293</v>
      </c>
      <c r="N14" s="6" t="s">
        <v>294</v>
      </c>
      <c r="R14" s="127" t="s">
        <v>295</v>
      </c>
      <c r="S14" s="127">
        <f>($J$3-$J$3*Summary!$P$18)</f>
        <v>1.71</v>
      </c>
    </row>
    <row r="15" spans="1:37" x14ac:dyDescent="0.35">
      <c r="B15" s="2"/>
      <c r="C15" s="2"/>
      <c r="K15" s="3">
        <f>Summary!P8</f>
        <v>19.988</v>
      </c>
      <c r="L15" t="s">
        <v>296</v>
      </c>
      <c r="N15" s="41">
        <f>Summary!P9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0.99999954407408942</v>
      </c>
      <c r="C18">
        <f>B42</f>
        <v>0.99999966249510797</v>
      </c>
      <c r="D18">
        <f>B102</f>
        <v>0.99999954407408942</v>
      </c>
      <c r="E18">
        <f>C102</f>
        <v>0.14828948632981465</v>
      </c>
      <c r="F18" s="126">
        <f>_xlfn.LET(
_xlpm.Rbus, (1/(1/((1/(1/($G$91+$G$93)+1/$G$90))+$G$92)+1/($G$89))),
_xlpm.VCC, IF($AG$2="absolute",$S$13,1),
_xlpm.Vspec_abs, $U$2-$N$7,
(LN(1-$T$2/_xlpm.VCC)-LN(1-_xlpm.Vspec_abs/_xlpm.VCC))*$K$19*_xlpm.Rbus
)</f>
        <v>1.8657104168454167E-8</v>
      </c>
      <c r="G18" s="128">
        <f>_xlfn.LET(
_xlpm.Rbus, (1/(1/((1/(1/($D$91+$D$93)+1/$D$90))+$D$92)+1/($D$89))),
_xlpm.VCC, IF($AG$2="absolute",$S$14,1),
_xlpm.Vspec_abs, $U$2+$N$7,
(LN(1-$T$2/_xlpm.VCC)-LN(1-_xlpm.Vspec_abs/_xlpm.VCC))*$K$18*_xlpm.Rbus
)</f>
        <v>3.1478193940924747E-8</v>
      </c>
      <c r="H18" s="126">
        <f>_xlfn.LET(
_xlpm.Rbus, (1/(1/((1/(1/($H$96+$H$93)+1/$H$95))+$H$92)+1/($H$94))),
_xlpm.VCC, IF($AG$2="absolute",$S$14,1),
_xlpm.Vspec_abs, $T$2+$N$7,
_xlpm.Vspec_rel, _xlpm.Vspec_abs/_xlpm.VCC,
IFERROR((LN($U$2)-LN(_xlpm.Vspec_rel))*$K$19*_xlpm.Rbus, "Vlow exceeds VIL spec")
)</f>
        <v>1.6968629442640647E-9</v>
      </c>
      <c r="I18" s="128">
        <f>_xlfn.LET(
_xlpm.Rbus, (1/(1/((1/(1/($F$96+$F$93)+1/$F$95))+$F$92)+1/($F$94))),
_xlpm.VCC, IF($AG$2="absolute",$S$13,1),
_xlpm.Vspec_abs, $T$2-$N$7,
_xlpm.Vspec_rel, _xlpm.Vspec_abs/_xlpm.VCC,
IFERROR((LN($U$2)-LN(_xlpm.Vspec_rel))*$K$18*_xlpm.Rbus,"Vlow exceeds VIL spec")
)</f>
        <v>4.7889839777171611E-9</v>
      </c>
      <c r="J18" s="139" t="s">
        <v>307</v>
      </c>
      <c r="K18" s="4">
        <f>Summary!P102</f>
        <v>8.1022105664211338E-11</v>
      </c>
      <c r="L18" s="22" t="s">
        <v>288</v>
      </c>
      <c r="M18" s="10">
        <f>K18*1000000000000</f>
        <v>81.022105664211338</v>
      </c>
      <c r="N18" t="s">
        <v>308</v>
      </c>
      <c r="O18" s="49">
        <f>N12+K12/39.37*N15</f>
        <v>8.1022105664211338E-11</v>
      </c>
    </row>
    <row r="19" spans="1:26" x14ac:dyDescent="0.35">
      <c r="A19" t="s">
        <v>309</v>
      </c>
      <c r="B19">
        <f>C64</f>
        <v>0.99999954407408942</v>
      </c>
      <c r="C19">
        <f>C44</f>
        <v>0.99999966249510797</v>
      </c>
      <c r="D19">
        <f>B84</f>
        <v>0.99999954407408964</v>
      </c>
      <c r="E19">
        <f>C84</f>
        <v>0.17207990991013794</v>
      </c>
      <c r="F19" s="126">
        <f>_xlfn.LET(
_xlpm.Rbus,(1/(1/((1/(1/($G$77+$G$72)+1/$G$70))+$G$73)+1/($G$71))),
_xlpm.VCC,IF($AG$3="absolute",$S$11,1),
_xlpm.Vspec_abs,$U$3-$N$7,
(LN(1-($T$3/_xlpm.VCC))-LN(1-_xlpm.Vspec_abs/_xlpm.VCC))*$K$19*_xlpm.Rbus
)</f>
        <v>1.8657104168454167E-8</v>
      </c>
      <c r="G19" s="128">
        <f>_xlfn.LET(
_xlpm.Rbus, (1/(1/((1/(1/($D$77+$D$72)+1/$D$70))+$D$73)+1/($D$71))),
_xlpm.VCC, IF($AG$3="absolute",$S$12,1),
_xlpm.Vspec_abs, $U$3+$N$7,
(LN(1-$T$3/_xlpm.VCC)-LN(1-_xlpm.Vspec_abs/_xlpm.VCC))*$K$18*_xlpm.Rbus
)</f>
        <v>3.1478193940924747E-8</v>
      </c>
      <c r="H19" s="126">
        <f>_xlfn.LET(
_xlpm.Rbus, (1/(1/((1/(1/($H$74+$H$72)+1/$H$75))+$H$73)+1/($H$76))),
_xlpm.VCC, IF($AG$3="absolute",$S$12,1),
_xlpm.Vspec_abs, $T$3+$N$7,
_xlpm.Vspec_rel, _xlpm.Vspec_abs/_xlpm.VCC,
IFERROR((LN($U$3)-LN(_xlpm.Vspec_rel))*$K$19*_xlpm.Rbus, "Vlow exceeds VIL spec")
)</f>
        <v>2.3263198569803835E-9</v>
      </c>
      <c r="I19" s="128">
        <f>_xlfn.LET(
_xlpm.Rbus, (1/(1/((1/(1/($F$74+$F$72)+1/$F$75))+$F$73)+1/($F$76))),
_xlpm.VCC, IF($AG$3="absolute",$S$11,1),
_xlpm.Vspec_abs, $T$3-$N$7,
_xlpm.Vspec_rel, _xlpm.Vspec_abs/_xlpm.VCC,
IFERROR((LN($U$3)-LN(_xlpm.Vspec_rel))*$K$18*_xlpm.Rbus,"Vlow exceeds VIL spec")
)</f>
        <v>5.716981414329966E-9</v>
      </c>
      <c r="J19" s="139" t="s">
        <v>310</v>
      </c>
      <c r="K19" s="122">
        <f>Summary!P101</f>
        <v>6.4332105664211329E-11</v>
      </c>
      <c r="L19" t="s">
        <v>288</v>
      </c>
    </row>
    <row r="20" spans="1:26" x14ac:dyDescent="0.35">
      <c r="J20" s="139"/>
      <c r="K20" s="6" t="s">
        <v>311</v>
      </c>
    </row>
    <row r="21" spans="1:26" x14ac:dyDescent="0.35">
      <c r="E21" s="120" t="s">
        <v>137</v>
      </c>
      <c r="F21" t="str">
        <f>IF(OR(AND(E18&gt;(R2-N7), Summary!P50="relative"), AND(E18&gt;(R2-N7)/(J3+J3*Summary!P18), Summary!P50="absolute")),IF(U29="no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IF(OR(Summary!P24&gt;Summary!P22,Summary!P24&lt;Summary!P21), "- ensure board PU is within recommended range" &amp; CHAR(10),) &amp; "- reduce MB trace length",""))</f>
        <v/>
      </c>
      <c r="J21" s="139" t="s">
        <v>307</v>
      </c>
      <c r="K21" s="5">
        <f>Summary!P104</f>
        <v>14.506962153924308</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H22" s="126"/>
      <c r="I22" s="128"/>
      <c r="J22" s="139" t="s">
        <v>310</v>
      </c>
      <c r="K22">
        <f>Summary!P103</f>
        <v>8.6969621539243072</v>
      </c>
      <c r="L22" t="s">
        <v>289</v>
      </c>
    </row>
    <row r="23" spans="1:26" x14ac:dyDescent="0.35">
      <c r="B23" s="171" t="s">
        <v>313</v>
      </c>
      <c r="C23" s="171"/>
      <c r="D23" t="s">
        <v>314</v>
      </c>
      <c r="E23" s="175"/>
      <c r="F23" t="str">
        <f>IF(F22="",IF(OR(AND(E19&lt;=(R3-N7), Summary!P37="relative"),AND(E19&lt;=(R3-N7)/(J2+J2*Summary!P17), Summary!P37="absolute")),IF(OR(G19&gt;V3,I19&gt;W3), IF(N2=MIN(AH2:AH5), "failed max rise/fall time spec, recommendations:" &amp; CHAR(10) &amp; "-reduce MB trace length" &amp; CHAR(10) &amp; "-increase trace width (reduce MB trace resistance per length)", "failed max rise/fall time spec, recommendations:" &amp; CHAR(10) &amp; IF(OR(Summary!P24&gt;Summary!P22,Summary!P24&lt;Summary!P21),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H23" s="126"/>
      <c r="I23" s="128"/>
      <c r="K23" s="19" t="s">
        <v>315</v>
      </c>
    </row>
    <row r="24" spans="1:26" x14ac:dyDescent="0.35">
      <c r="B24" t="s">
        <v>316</v>
      </c>
      <c r="C24" t="s">
        <v>317</v>
      </c>
      <c r="K24" s="18">
        <f>Summary!P13</f>
        <v>0</v>
      </c>
      <c r="L24" t="s">
        <v>305</v>
      </c>
    </row>
    <row r="25" spans="1:26" x14ac:dyDescent="0.35">
      <c r="A25" t="s">
        <v>318</v>
      </c>
      <c r="B25" s="11">
        <f>C2*(1-D2)</f>
        <v>900000000000</v>
      </c>
      <c r="C25" s="11">
        <f>C2*(1-D2)</f>
        <v>900000000000</v>
      </c>
      <c r="K25" s="18">
        <f>Summary!P14</f>
        <v>1</v>
      </c>
      <c r="L25" t="s">
        <v>274</v>
      </c>
      <c r="N25" s="72" t="s">
        <v>319</v>
      </c>
    </row>
    <row r="26" spans="1:26" x14ac:dyDescent="0.35">
      <c r="A26" t="s">
        <v>320</v>
      </c>
      <c r="B26" s="11">
        <f>F11*(1-H11)</f>
        <v>370.5</v>
      </c>
      <c r="C26" s="11">
        <f>F11*(1-H11)</f>
        <v>370.5</v>
      </c>
      <c r="Q26" t="s">
        <v>321</v>
      </c>
    </row>
    <row r="27" spans="1:26" x14ac:dyDescent="0.35">
      <c r="A27" t="s">
        <v>322</v>
      </c>
      <c r="B27" s="11">
        <f>C3*(1-D3)</f>
        <v>900000000000</v>
      </c>
      <c r="C27" s="11">
        <f>C3*(1-D3)</f>
        <v>900000000000</v>
      </c>
      <c r="Q27" t="s">
        <v>323</v>
      </c>
    </row>
    <row r="28" spans="1:26" x14ac:dyDescent="0.35">
      <c r="A28" t="s">
        <v>324</v>
      </c>
      <c r="B28" s="1">
        <f>K21</f>
        <v>14.506962153924308</v>
      </c>
      <c r="C28">
        <v>0</v>
      </c>
      <c r="Q28" t="s">
        <v>325</v>
      </c>
      <c r="V28" t="s">
        <v>305</v>
      </c>
      <c r="W28" t="s">
        <v>274</v>
      </c>
      <c r="X28" t="s">
        <v>326</v>
      </c>
    </row>
    <row r="29" spans="1:26" x14ac:dyDescent="0.35">
      <c r="A29" t="s">
        <v>327</v>
      </c>
      <c r="B29">
        <v>0</v>
      </c>
      <c r="C29" s="1">
        <f>K21</f>
        <v>14.506962153924308</v>
      </c>
      <c r="F29" s="11"/>
      <c r="T29" t="s">
        <v>328</v>
      </c>
      <c r="U29">
        <f>IF(IF(ISBLANK(Summary!P25),IF(U30=W82,L30,U30),IF(Summary!P25=5%,L30,U30))=N130,"no solution",IF(ISBLANK(Summary!P25),IF(U30=W82,L30,U30),IF(Summary!P25=5%,L30,U30)))</f>
        <v>910</v>
      </c>
      <c r="V29">
        <f>IFERROR(IF(X29=5%,VLOOKUP(1,M34:N129,2,FALSE),VLOOKUP(1,V34:W81,2,FALSE)),"no solution")</f>
        <v>220</v>
      </c>
      <c r="W29">
        <f>IF(U29="no solution","no solution",IF(X29=5%,VLOOKUP(MAX(M34:M129)-1,M34:N129,2,FALSE),VLOOKUP(MAX(V34:V81)-1,V34:W81,2,FALSE)))</f>
        <v>3600</v>
      </c>
      <c r="X29" s="64">
        <f>Summary!P25</f>
        <v>0.05</v>
      </c>
    </row>
    <row r="30" spans="1:26" x14ac:dyDescent="0.35">
      <c r="A30" t="s">
        <v>329</v>
      </c>
      <c r="B30" s="11">
        <f>F2*(1+H2)</f>
        <v>1100000000000</v>
      </c>
      <c r="C30" s="11">
        <f>F2*(1+H2)</f>
        <v>1100000000000</v>
      </c>
      <c r="K30" t="s">
        <v>330</v>
      </c>
      <c r="L30">
        <f>VLOOKUP(Q31,M34:Q154,2)</f>
        <v>910</v>
      </c>
      <c r="T30" t="s">
        <v>331</v>
      </c>
      <c r="U30">
        <f>VLOOKUP(Z31,V34:W82,2)</f>
        <v>1000</v>
      </c>
    </row>
    <row r="31" spans="1:26" x14ac:dyDescent="0.35">
      <c r="A31" t="s">
        <v>332</v>
      </c>
      <c r="B31" s="11">
        <f>F12*(1+H12)</f>
        <v>1100000000</v>
      </c>
      <c r="C31" s="11">
        <f>F12*(1+H12)</f>
        <v>1100000000</v>
      </c>
      <c r="Q31" cm="1">
        <f t="array" ref="Q31">MAX(M34:M129+1)/2</f>
        <v>16</v>
      </c>
      <c r="Z31" cm="1">
        <f t="array" ref="Z31">MAX(V34:V81+1)/2</f>
        <v>8</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4.783872869462792E-10</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1.8565119813152651E-9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4.783872869462792E-10</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1.8565119813152651E-9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5.2622601563924061E-10</v>
      </c>
      <c r="S35" s="126">
        <f t="shared" si="4"/>
        <v>1.9344637760304184E-9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5.2622601563924061E-10</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1.9344637760304184E-9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5.7406474433189906E-10</v>
      </c>
      <c r="S36" s="126">
        <f t="shared" si="4"/>
        <v>2.0124155707451262E-9</v>
      </c>
      <c r="T36">
        <v>1</v>
      </c>
      <c r="U36">
        <v>15</v>
      </c>
      <c r="V36">
        <f t="shared" si="11"/>
        <v>0</v>
      </c>
      <c r="W36">
        <f t="shared" si="12"/>
        <v>15</v>
      </c>
      <c r="X36">
        <f t="shared" si="5"/>
        <v>13.5</v>
      </c>
      <c r="Y36">
        <f t="shared" si="6"/>
        <v>16.5</v>
      </c>
      <c r="Z36">
        <f t="shared" si="13"/>
        <v>0</v>
      </c>
      <c r="AA36" s="126">
        <f t="shared" si="14"/>
        <v>5.7406474433189906E-10</v>
      </c>
      <c r="AB36" s="126">
        <f t="shared" si="15"/>
        <v>2.0124155707451262E-9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6.2190347302425477E-10</v>
      </c>
      <c r="S37" s="126">
        <f t="shared" si="4"/>
        <v>2.0903673654593866E-9</v>
      </c>
      <c r="T37">
        <v>1</v>
      </c>
      <c r="U37">
        <v>18</v>
      </c>
      <c r="V37">
        <f t="shared" si="11"/>
        <v>0</v>
      </c>
      <c r="W37">
        <f t="shared" si="12"/>
        <v>18</v>
      </c>
      <c r="X37">
        <f t="shared" si="5"/>
        <v>16.2</v>
      </c>
      <c r="Y37">
        <f t="shared" si="6"/>
        <v>19.8</v>
      </c>
      <c r="Z37">
        <f t="shared" si="13"/>
        <v>0</v>
      </c>
      <c r="AA37" s="126">
        <f t="shared" si="14"/>
        <v>6.2190347302425477E-10</v>
      </c>
      <c r="AB37" s="126">
        <f t="shared" si="15"/>
        <v>2.0903673654593866E-9</v>
      </c>
      <c r="AC37" s="126" t="str">
        <f t="shared" si="7"/>
        <v>Vlow exceeds VIL spec</v>
      </c>
      <c r="AD37" s="126" t="str">
        <f t="shared" si="8"/>
        <v>Vlow exceeds VIL spec</v>
      </c>
    </row>
    <row r="38" spans="1:30" x14ac:dyDescent="0.35">
      <c r="A38" t="s">
        <v>347</v>
      </c>
      <c r="B38" s="125">
        <f>IF(Summary!P50="absolute",(S2+N7)/(J3-J3*Summary!P18),S2+N7)</f>
        <v>0.72</v>
      </c>
      <c r="K38">
        <v>1</v>
      </c>
      <c r="L38">
        <v>15</v>
      </c>
      <c r="M38">
        <f t="shared" si="9"/>
        <v>0</v>
      </c>
      <c r="N38">
        <f t="shared" si="0"/>
        <v>15</v>
      </c>
      <c r="O38">
        <f t="shared" si="1"/>
        <v>14.25</v>
      </c>
      <c r="P38">
        <f t="shared" si="2"/>
        <v>15.75</v>
      </c>
      <c r="Q38">
        <f t="shared" si="10"/>
        <v>0</v>
      </c>
      <c r="R38" s="126">
        <f t="shared" si="3"/>
        <v>7.1758093040805701E-10</v>
      </c>
      <c r="S38" s="126">
        <f t="shared" si="4"/>
        <v>2.2462709548865697E-9</v>
      </c>
      <c r="T38">
        <v>1</v>
      </c>
      <c r="U38">
        <v>22</v>
      </c>
      <c r="V38">
        <f t="shared" si="11"/>
        <v>0</v>
      </c>
      <c r="W38">
        <f t="shared" si="12"/>
        <v>22</v>
      </c>
      <c r="X38">
        <f t="shared" si="5"/>
        <v>19.8</v>
      </c>
      <c r="Y38">
        <f t="shared" si="6"/>
        <v>24.200000000000003</v>
      </c>
      <c r="Z38">
        <f t="shared" si="13"/>
        <v>0</v>
      </c>
      <c r="AA38" s="126">
        <f t="shared" si="14"/>
        <v>7.1758093040805701E-10</v>
      </c>
      <c r="AB38" s="126">
        <f t="shared" si="15"/>
        <v>2.2462709548865697E-9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7.6541965909950354E-10</v>
      </c>
      <c r="S39" s="126">
        <f t="shared" si="4"/>
        <v>2.3242227495994904E-9</v>
      </c>
      <c r="T39">
        <v>1</v>
      </c>
      <c r="U39">
        <v>27</v>
      </c>
      <c r="V39">
        <f t="shared" si="11"/>
        <v>0</v>
      </c>
      <c r="W39">
        <f t="shared" si="12"/>
        <v>27</v>
      </c>
      <c r="X39">
        <f t="shared" si="5"/>
        <v>24.3</v>
      </c>
      <c r="Y39">
        <f t="shared" si="6"/>
        <v>29.700000000000003</v>
      </c>
      <c r="Z39">
        <f t="shared" si="13"/>
        <v>0</v>
      </c>
      <c r="AA39" s="126">
        <f t="shared" si="14"/>
        <v>7.6541965909950354E-10</v>
      </c>
      <c r="AB39" s="126">
        <f t="shared" si="15"/>
        <v>2.3242227495994904E-9</v>
      </c>
      <c r="AC39" s="126" t="str">
        <f t="shared" si="7"/>
        <v>Vlow exceeds VIL spec</v>
      </c>
      <c r="AD39" s="126" t="str">
        <f t="shared" si="8"/>
        <v>Vlow exceeds VIL spec</v>
      </c>
    </row>
    <row r="40" spans="1:30" x14ac:dyDescent="0.35">
      <c r="A40" t="s">
        <v>349</v>
      </c>
      <c r="C40" s="125">
        <f>IF(Summary!P37="absolute",(S3+N7)/(J2-J2*Summary!P17),S3+N7)</f>
        <v>0.72</v>
      </c>
      <c r="K40">
        <v>1</v>
      </c>
      <c r="L40">
        <v>18</v>
      </c>
      <c r="M40">
        <f t="shared" si="9"/>
        <v>0</v>
      </c>
      <c r="N40">
        <f t="shared" si="0"/>
        <v>18</v>
      </c>
      <c r="O40">
        <f t="shared" si="1"/>
        <v>17.099999999999998</v>
      </c>
      <c r="P40">
        <f t="shared" si="2"/>
        <v>18.900000000000002</v>
      </c>
      <c r="Q40">
        <f t="shared" si="10"/>
        <v>0</v>
      </c>
      <c r="R40" s="126">
        <f t="shared" si="3"/>
        <v>8.6109711648148774E-10</v>
      </c>
      <c r="S40" s="126">
        <f t="shared" si="4"/>
        <v>2.4801263390239943E-9</v>
      </c>
      <c r="T40">
        <v>1</v>
      </c>
      <c r="U40">
        <v>33</v>
      </c>
      <c r="V40">
        <f t="shared" si="11"/>
        <v>0</v>
      </c>
      <c r="W40">
        <f t="shared" si="12"/>
        <v>33</v>
      </c>
      <c r="X40">
        <f t="shared" si="5"/>
        <v>29.7</v>
      </c>
      <c r="Y40">
        <f t="shared" si="6"/>
        <v>36.300000000000004</v>
      </c>
      <c r="Z40">
        <f t="shared" si="13"/>
        <v>0</v>
      </c>
      <c r="AA40" s="126">
        <f t="shared" si="14"/>
        <v>8.6109711648148774E-10</v>
      </c>
      <c r="AB40" s="126">
        <f t="shared" si="15"/>
        <v>2.4801263390239943E-9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9.5677457386226022E-10</v>
      </c>
      <c r="S41" s="126">
        <f t="shared" si="4"/>
        <v>2.6360299284467119E-9</v>
      </c>
      <c r="T41">
        <v>1</v>
      </c>
      <c r="U41">
        <v>39</v>
      </c>
      <c r="V41">
        <f t="shared" si="11"/>
        <v>0</v>
      </c>
      <c r="W41">
        <f t="shared" si="12"/>
        <v>39</v>
      </c>
      <c r="X41">
        <f t="shared" si="5"/>
        <v>35.1</v>
      </c>
      <c r="Y41">
        <f t="shared" si="6"/>
        <v>42.900000000000006</v>
      </c>
      <c r="Z41">
        <f t="shared" si="13"/>
        <v>0</v>
      </c>
      <c r="AA41" s="126">
        <f t="shared" si="14"/>
        <v>9.5677457386226022E-10</v>
      </c>
      <c r="AB41" s="126">
        <f t="shared" si="15"/>
        <v>2.6360299284467119E-9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0.99999966249510797</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0.99999966250829608</v>
      </c>
      <c r="K42">
        <v>1</v>
      </c>
      <c r="L42">
        <v>22</v>
      </c>
      <c r="M42">
        <f t="shared" si="9"/>
        <v>0</v>
      </c>
      <c r="N42">
        <f t="shared" si="0"/>
        <v>22</v>
      </c>
      <c r="O42">
        <f t="shared" si="1"/>
        <v>20.9</v>
      </c>
      <c r="P42">
        <f t="shared" si="2"/>
        <v>23.1</v>
      </c>
      <c r="Q42">
        <f t="shared" si="10"/>
        <v>0</v>
      </c>
      <c r="R42" s="126">
        <f t="shared" si="3"/>
        <v>1.0524520312418208E-9</v>
      </c>
      <c r="S42" s="126">
        <f t="shared" si="4"/>
        <v>2.791933517867644E-9</v>
      </c>
      <c r="T42">
        <v>1</v>
      </c>
      <c r="U42">
        <v>47</v>
      </c>
      <c r="V42">
        <f t="shared" si="11"/>
        <v>0</v>
      </c>
      <c r="W42">
        <f t="shared" si="12"/>
        <v>47</v>
      </c>
      <c r="X42">
        <f t="shared" si="5"/>
        <v>42.300000000000004</v>
      </c>
      <c r="Y42">
        <f t="shared" si="6"/>
        <v>51.7</v>
      </c>
      <c r="Z42">
        <f t="shared" si="13"/>
        <v>0</v>
      </c>
      <c r="AA42" s="126">
        <f t="shared" si="14"/>
        <v>1.0524520312418208E-9</v>
      </c>
      <c r="AB42" s="126">
        <f t="shared" si="15"/>
        <v>2.791933517867644E-9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0.99999966250829608</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0.99999966250829608</v>
      </c>
      <c r="K43">
        <v>1</v>
      </c>
      <c r="L43">
        <v>24</v>
      </c>
      <c r="M43">
        <f t="shared" si="9"/>
        <v>0</v>
      </c>
      <c r="N43">
        <f t="shared" si="0"/>
        <v>24</v>
      </c>
      <c r="O43">
        <f t="shared" si="1"/>
        <v>22.799999999999997</v>
      </c>
      <c r="P43">
        <f t="shared" si="2"/>
        <v>25.200000000000003</v>
      </c>
      <c r="Q43">
        <f t="shared" si="10"/>
        <v>0</v>
      </c>
      <c r="R43" s="126">
        <f t="shared" si="3"/>
        <v>1.1481294886201691E-9</v>
      </c>
      <c r="S43" s="126">
        <f t="shared" si="4"/>
        <v>2.9478371072867907E-9</v>
      </c>
      <c r="T43">
        <v>1</v>
      </c>
      <c r="U43">
        <v>56</v>
      </c>
      <c r="V43">
        <f t="shared" si="11"/>
        <v>0</v>
      </c>
      <c r="W43">
        <f t="shared" si="12"/>
        <v>56</v>
      </c>
      <c r="X43">
        <f t="shared" si="5"/>
        <v>50.4</v>
      </c>
      <c r="Y43">
        <f t="shared" si="6"/>
        <v>61.600000000000009</v>
      </c>
      <c r="Z43">
        <f t="shared" si="13"/>
        <v>0</v>
      </c>
      <c r="AA43" s="126">
        <f t="shared" si="14"/>
        <v>1.1481294886201691E-9</v>
      </c>
      <c r="AB43" s="126">
        <f t="shared" si="15"/>
        <v>2.9478371072867907E-9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0.99999966250829608</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0.99999966249510797</v>
      </c>
      <c r="K44">
        <v>1</v>
      </c>
      <c r="L44">
        <v>27</v>
      </c>
      <c r="M44">
        <f t="shared" si="9"/>
        <v>0</v>
      </c>
      <c r="N44">
        <f t="shared" si="0"/>
        <v>27</v>
      </c>
      <c r="O44">
        <f t="shared" si="1"/>
        <v>25.65</v>
      </c>
      <c r="P44">
        <f t="shared" si="2"/>
        <v>28.35</v>
      </c>
      <c r="Q44">
        <f t="shared" si="10"/>
        <v>0</v>
      </c>
      <c r="R44" s="126">
        <f t="shared" si="3"/>
        <v>1.2916456746854197E-9</v>
      </c>
      <c r="S44" s="126">
        <f t="shared" si="4"/>
        <v>3.1816924914121612E-9</v>
      </c>
      <c r="T44">
        <v>1</v>
      </c>
      <c r="U44">
        <v>68</v>
      </c>
      <c r="V44">
        <f t="shared" si="11"/>
        <v>0</v>
      </c>
      <c r="W44">
        <f t="shared" si="12"/>
        <v>68</v>
      </c>
      <c r="X44">
        <f t="shared" si="5"/>
        <v>61.2</v>
      </c>
      <c r="Y44">
        <f t="shared" si="6"/>
        <v>74.800000000000011</v>
      </c>
      <c r="Z44">
        <f t="shared" si="13"/>
        <v>0</v>
      </c>
      <c r="AA44" s="126">
        <f t="shared" si="14"/>
        <v>1.2916456746854197E-9</v>
      </c>
      <c r="AB44" s="126">
        <f t="shared" si="15"/>
        <v>3.1816924914121612E-9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1.4351618607479438E-9</v>
      </c>
      <c r="S45" s="126">
        <f t="shared" si="4"/>
        <v>3.4155478755335145E-9</v>
      </c>
      <c r="T45">
        <v>1</v>
      </c>
      <c r="U45">
        <v>82</v>
      </c>
      <c r="V45">
        <f t="shared" si="11"/>
        <v>0</v>
      </c>
      <c r="W45">
        <f t="shared" si="12"/>
        <v>82</v>
      </c>
      <c r="X45">
        <f t="shared" si="5"/>
        <v>73.8</v>
      </c>
      <c r="Y45">
        <f t="shared" si="6"/>
        <v>90.2</v>
      </c>
      <c r="Z45">
        <f t="shared" si="13"/>
        <v>0</v>
      </c>
      <c r="AA45" s="126">
        <f t="shared" si="14"/>
        <v>1.4351618607479438E-9</v>
      </c>
      <c r="AB45" s="126">
        <f t="shared" si="15"/>
        <v>3.4155478755335145E-9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1.5786780468077402E-9</v>
      </c>
      <c r="S46" s="126">
        <f t="shared" si="4"/>
        <v>3.649403259650849E-9</v>
      </c>
      <c r="T46">
        <v>10</v>
      </c>
      <c r="U46">
        <v>10</v>
      </c>
      <c r="V46">
        <f t="shared" si="11"/>
        <v>0</v>
      </c>
      <c r="W46">
        <f t="shared" si="12"/>
        <v>100</v>
      </c>
      <c r="X46">
        <f t="shared" si="5"/>
        <v>90</v>
      </c>
      <c r="Y46">
        <f t="shared" si="6"/>
        <v>110.00000000000001</v>
      </c>
      <c r="Z46">
        <f t="shared" si="13"/>
        <v>0</v>
      </c>
      <c r="AA46" s="126">
        <f t="shared" si="14"/>
        <v>1.5786780468077402E-9</v>
      </c>
      <c r="AB46" s="126">
        <f t="shared" si="15"/>
        <v>3.649403259650849E-9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1.7221942328648102E-9</v>
      </c>
      <c r="S47" s="126">
        <f t="shared" si="4"/>
        <v>3.8832586437641663E-9</v>
      </c>
      <c r="T47">
        <v>10</v>
      </c>
      <c r="U47">
        <v>12</v>
      </c>
      <c r="V47">
        <f t="shared" si="11"/>
        <v>0</v>
      </c>
      <c r="W47">
        <f>U47*T47</f>
        <v>120</v>
      </c>
      <c r="X47">
        <f t="shared" si="5"/>
        <v>108</v>
      </c>
      <c r="Y47">
        <f t="shared" si="6"/>
        <v>132</v>
      </c>
      <c r="Z47">
        <f t="shared" si="13"/>
        <v>0</v>
      </c>
      <c r="AA47" s="126">
        <f t="shared" si="14"/>
        <v>1.7221942328648102E-9</v>
      </c>
      <c r="AB47" s="126">
        <f t="shared" si="15"/>
        <v>3.8832586437641663E-9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1.8657104189191537E-9</v>
      </c>
      <c r="S48" s="126">
        <f t="shared" si="4"/>
        <v>4.1171140278734651E-9</v>
      </c>
      <c r="T48">
        <v>10</v>
      </c>
      <c r="U48">
        <v>15</v>
      </c>
      <c r="V48">
        <f t="shared" si="11"/>
        <v>0</v>
      </c>
      <c r="W48">
        <f t="shared" si="12"/>
        <v>150</v>
      </c>
      <c r="X48">
        <f t="shared" si="5"/>
        <v>135</v>
      </c>
      <c r="Y48">
        <f t="shared" si="6"/>
        <v>165</v>
      </c>
      <c r="Z48">
        <f t="shared" si="13"/>
        <v>0</v>
      </c>
      <c r="AA48" s="126">
        <f t="shared" si="14"/>
        <v>1.8657104189191537E-9</v>
      </c>
      <c r="AB48" s="126">
        <f t="shared" si="15"/>
        <v>4.1171140278734651E-9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2.0570653336540367E-9</v>
      </c>
      <c r="S49" s="126">
        <f t="shared" si="4"/>
        <v>4.4289212066796125E-9</v>
      </c>
      <c r="T49">
        <v>10</v>
      </c>
      <c r="U49">
        <v>18</v>
      </c>
      <c r="V49">
        <f t="shared" si="11"/>
        <v>0</v>
      </c>
      <c r="W49">
        <f t="shared" si="12"/>
        <v>180</v>
      </c>
      <c r="X49">
        <f t="shared" si="5"/>
        <v>162</v>
      </c>
      <c r="Y49">
        <f t="shared" si="6"/>
        <v>198.00000000000003</v>
      </c>
      <c r="Z49">
        <f t="shared" si="13"/>
        <v>0</v>
      </c>
      <c r="AA49" s="126">
        <f t="shared" si="14"/>
        <v>2.0570653336540367E-9</v>
      </c>
      <c r="AB49" s="126">
        <f t="shared" si="15"/>
        <v>4.4289212066796125E-9</v>
      </c>
      <c r="AC49" s="126" t="str">
        <f t="shared" si="7"/>
        <v>Vlow exceeds VIL spec</v>
      </c>
      <c r="AD49" s="126" t="str">
        <f t="shared" si="8"/>
        <v>Vlow exceeds VIL spec</v>
      </c>
    </row>
    <row r="50" spans="1:30" x14ac:dyDescent="0.35">
      <c r="A50" t="s">
        <v>320</v>
      </c>
      <c r="B50" s="11">
        <f>F11*(1+H11)</f>
        <v>409.5</v>
      </c>
      <c r="C50" s="11">
        <f>F11*(1+H11)</f>
        <v>409.5</v>
      </c>
      <c r="K50">
        <v>1</v>
      </c>
      <c r="L50">
        <v>47</v>
      </c>
      <c r="M50">
        <f t="shared" si="9"/>
        <v>0</v>
      </c>
      <c r="N50">
        <f t="shared" si="0"/>
        <v>47</v>
      </c>
      <c r="O50">
        <f t="shared" si="1"/>
        <v>44.65</v>
      </c>
      <c r="P50">
        <f t="shared" si="2"/>
        <v>49.35</v>
      </c>
      <c r="Q50">
        <f t="shared" si="10"/>
        <v>0</v>
      </c>
      <c r="R50" s="126">
        <f t="shared" si="3"/>
        <v>2.2484202483840717E-9</v>
      </c>
      <c r="S50" s="126">
        <f t="shared" si="4"/>
        <v>4.7407283854786172E-9</v>
      </c>
      <c r="T50">
        <v>10</v>
      </c>
      <c r="U50">
        <v>22</v>
      </c>
      <c r="V50">
        <f t="shared" si="11"/>
        <v>0</v>
      </c>
      <c r="W50">
        <f t="shared" si="12"/>
        <v>220</v>
      </c>
      <c r="X50">
        <f t="shared" si="5"/>
        <v>198</v>
      </c>
      <c r="Y50">
        <f t="shared" si="6"/>
        <v>242.00000000000003</v>
      </c>
      <c r="Z50">
        <f t="shared" si="13"/>
        <v>0</v>
      </c>
      <c r="AA50" s="126">
        <f t="shared" si="14"/>
        <v>2.2484202483840717E-9</v>
      </c>
      <c r="AB50" s="126">
        <f t="shared" si="15"/>
        <v>4.7407283854786172E-9</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2.4397751631092586E-9</v>
      </c>
      <c r="S51" s="126">
        <f t="shared" si="4"/>
        <v>5.0525355642704809E-9</v>
      </c>
      <c r="T51">
        <v>10</v>
      </c>
      <c r="U51">
        <v>27</v>
      </c>
      <c r="V51">
        <f t="shared" si="11"/>
        <v>1</v>
      </c>
      <c r="W51">
        <f t="shared" si="12"/>
        <v>270</v>
      </c>
      <c r="X51">
        <f t="shared" si="5"/>
        <v>243</v>
      </c>
      <c r="Y51">
        <f t="shared" si="6"/>
        <v>297</v>
      </c>
      <c r="Z51">
        <f t="shared" si="13"/>
        <v>1</v>
      </c>
      <c r="AA51" s="126">
        <f t="shared" si="14"/>
        <v>2.4397751631092586E-9</v>
      </c>
      <c r="AB51" s="126">
        <f t="shared" si="15"/>
        <v>5.0525355642704809E-9</v>
      </c>
      <c r="AC51" s="126" t="str">
        <f t="shared" si="7"/>
        <v>Vlow exceeds VIL spec</v>
      </c>
      <c r="AD51" s="126" t="str">
        <f t="shared" si="8"/>
        <v>Vlow exceeds VIL spec</v>
      </c>
    </row>
    <row r="52" spans="1:30" x14ac:dyDescent="0.35">
      <c r="A52" t="s">
        <v>324</v>
      </c>
      <c r="B52" s="1">
        <f>K21</f>
        <v>14.506962153924308</v>
      </c>
      <c r="C52">
        <v>0</v>
      </c>
      <c r="K52">
        <v>1</v>
      </c>
      <c r="L52">
        <v>56</v>
      </c>
      <c r="M52">
        <f t="shared" si="9"/>
        <v>0</v>
      </c>
      <c r="N52">
        <f t="shared" si="0"/>
        <v>56</v>
      </c>
      <c r="O52">
        <f t="shared" si="1"/>
        <v>53.199999999999996</v>
      </c>
      <c r="P52">
        <f t="shared" si="2"/>
        <v>58.800000000000004</v>
      </c>
      <c r="Q52">
        <f t="shared" si="10"/>
        <v>0</v>
      </c>
      <c r="R52" s="126">
        <f t="shared" si="3"/>
        <v>2.6789688065089258E-9</v>
      </c>
      <c r="S52" s="126">
        <f t="shared" si="4"/>
        <v>5.4422945377502613E-9</v>
      </c>
      <c r="T52">
        <v>10</v>
      </c>
      <c r="U52">
        <v>33</v>
      </c>
      <c r="V52">
        <f t="shared" si="11"/>
        <v>2</v>
      </c>
      <c r="W52">
        <f t="shared" si="12"/>
        <v>330</v>
      </c>
      <c r="X52">
        <f t="shared" si="5"/>
        <v>297</v>
      </c>
      <c r="Y52">
        <f t="shared" si="6"/>
        <v>363.00000000000006</v>
      </c>
      <c r="Z52">
        <f t="shared" si="13"/>
        <v>1</v>
      </c>
      <c r="AA52" s="126">
        <f t="shared" si="14"/>
        <v>2.6789688065089258E-9</v>
      </c>
      <c r="AB52" s="126">
        <f t="shared" si="15"/>
        <v>5.4422945377502613E-9</v>
      </c>
      <c r="AC52" s="126" t="str">
        <f t="shared" si="7"/>
        <v>Vlow exceeds VIL spec</v>
      </c>
      <c r="AD52" s="126" t="str">
        <f t="shared" si="8"/>
        <v>Vlow exceeds VIL spec</v>
      </c>
    </row>
    <row r="53" spans="1:30" x14ac:dyDescent="0.35">
      <c r="A53" t="s">
        <v>327</v>
      </c>
      <c r="B53">
        <v>0</v>
      </c>
      <c r="C53" s="1">
        <f>K21</f>
        <v>14.506962153924308</v>
      </c>
      <c r="K53">
        <v>1</v>
      </c>
      <c r="L53">
        <v>62</v>
      </c>
      <c r="M53">
        <f t="shared" si="9"/>
        <v>0</v>
      </c>
      <c r="N53">
        <f t="shared" si="0"/>
        <v>62</v>
      </c>
      <c r="O53">
        <f t="shared" si="1"/>
        <v>58.9</v>
      </c>
      <c r="P53">
        <f t="shared" si="2"/>
        <v>65.100000000000009</v>
      </c>
      <c r="Q53">
        <f t="shared" si="10"/>
        <v>0</v>
      </c>
      <c r="R53" s="126">
        <f t="shared" si="3"/>
        <v>2.9660011785785288E-9</v>
      </c>
      <c r="S53" s="126">
        <f t="shared" si="4"/>
        <v>5.9100053059112673E-9</v>
      </c>
      <c r="T53">
        <v>10</v>
      </c>
      <c r="U53">
        <v>39</v>
      </c>
      <c r="V53">
        <f t="shared" si="11"/>
        <v>3</v>
      </c>
      <c r="W53">
        <f t="shared" si="12"/>
        <v>390</v>
      </c>
      <c r="X53">
        <f t="shared" si="5"/>
        <v>351</v>
      </c>
      <c r="Y53">
        <f t="shared" si="6"/>
        <v>429.00000000000006</v>
      </c>
      <c r="Z53">
        <f t="shared" si="13"/>
        <v>1</v>
      </c>
      <c r="AA53" s="126">
        <f t="shared" si="14"/>
        <v>2.9660011785785288E-9</v>
      </c>
      <c r="AB53" s="126">
        <f t="shared" si="15"/>
        <v>5.9100053059112673E-9</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3.2530335506372233E-9</v>
      </c>
      <c r="S54" s="126">
        <f t="shared" si="4"/>
        <v>6.3777160740561995E-9</v>
      </c>
      <c r="T54">
        <v>10</v>
      </c>
      <c r="U54">
        <v>47</v>
      </c>
      <c r="V54">
        <f t="shared" si="11"/>
        <v>4</v>
      </c>
      <c r="W54">
        <f t="shared" si="12"/>
        <v>470</v>
      </c>
      <c r="X54">
        <f t="shared" si="5"/>
        <v>423</v>
      </c>
      <c r="Y54">
        <f t="shared" si="6"/>
        <v>517</v>
      </c>
      <c r="Z54">
        <f t="shared" si="13"/>
        <v>1</v>
      </c>
      <c r="AA54" s="126">
        <f t="shared" si="14"/>
        <v>3.2530335506372233E-9</v>
      </c>
      <c r="AB54" s="126">
        <f t="shared" si="15"/>
        <v>6.3777160740561995E-9</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3.5879046513585819E-9</v>
      </c>
      <c r="S55" s="126">
        <f t="shared" si="4"/>
        <v>6.9233786368716421E-9</v>
      </c>
      <c r="T55">
        <v>10</v>
      </c>
      <c r="U55">
        <v>56</v>
      </c>
      <c r="V55">
        <f t="shared" si="11"/>
        <v>5</v>
      </c>
      <c r="W55">
        <f t="shared" si="12"/>
        <v>560</v>
      </c>
      <c r="X55">
        <f t="shared" si="5"/>
        <v>504</v>
      </c>
      <c r="Y55">
        <f t="shared" si="6"/>
        <v>616</v>
      </c>
      <c r="Z55">
        <f t="shared" si="13"/>
        <v>1</v>
      </c>
      <c r="AA55" s="126">
        <f t="shared" si="14"/>
        <v>3.5879046513585819E-9</v>
      </c>
      <c r="AB55" s="126">
        <f t="shared" si="15"/>
        <v>6.9233786368716421E-9</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3.9227757520650955E-9</v>
      </c>
      <c r="S56" s="126">
        <f t="shared" si="4"/>
        <v>7.4690411996652074E-9</v>
      </c>
      <c r="T56">
        <v>10</v>
      </c>
      <c r="U56">
        <v>68</v>
      </c>
      <c r="V56">
        <f t="shared" si="11"/>
        <v>6</v>
      </c>
      <c r="W56">
        <f t="shared" si="12"/>
        <v>680</v>
      </c>
      <c r="X56">
        <f t="shared" si="5"/>
        <v>612</v>
      </c>
      <c r="Y56">
        <f t="shared" si="6"/>
        <v>748.00000000000011</v>
      </c>
      <c r="Z56">
        <f t="shared" si="13"/>
        <v>1</v>
      </c>
      <c r="AA56" s="126">
        <f t="shared" si="14"/>
        <v>3.9227757520650955E-9</v>
      </c>
      <c r="AB56" s="126">
        <f t="shared" si="15"/>
        <v>7.4690411996652074E-9</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4.353324310094512E-9</v>
      </c>
      <c r="S57" s="126">
        <f t="shared" si="4"/>
        <v>8.17060735179622E-9</v>
      </c>
      <c r="T57">
        <v>10</v>
      </c>
      <c r="U57">
        <v>82</v>
      </c>
      <c r="V57">
        <f t="shared" si="11"/>
        <v>7</v>
      </c>
      <c r="W57">
        <f t="shared" si="12"/>
        <v>820</v>
      </c>
      <c r="X57">
        <f t="shared" si="5"/>
        <v>738</v>
      </c>
      <c r="Y57">
        <f t="shared" si="6"/>
        <v>902.00000000000011</v>
      </c>
      <c r="Z57">
        <f t="shared" si="13"/>
        <v>1</v>
      </c>
      <c r="AA57" s="126">
        <f t="shared" si="14"/>
        <v>4.353324310094512E-9</v>
      </c>
      <c r="AB57" s="126">
        <f t="shared" si="15"/>
        <v>8.17060735179622E-9</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4.7838728680993876E-9</v>
      </c>
      <c r="S58" s="126">
        <f t="shared" si="4"/>
        <v>8.8721735038910666E-9</v>
      </c>
      <c r="T58">
        <v>100</v>
      </c>
      <c r="U58">
        <v>10</v>
      </c>
      <c r="V58">
        <f t="shared" si="11"/>
        <v>8</v>
      </c>
      <c r="W58">
        <f t="shared" si="12"/>
        <v>1000</v>
      </c>
      <c r="X58">
        <f t="shared" si="5"/>
        <v>900</v>
      </c>
      <c r="Y58">
        <f t="shared" si="6"/>
        <v>1100</v>
      </c>
      <c r="Z58">
        <f t="shared" si="13"/>
        <v>1</v>
      </c>
      <c r="AA58" s="126">
        <f t="shared" si="14"/>
        <v>4.7838728680993876E-9</v>
      </c>
      <c r="AB58" s="126">
        <f t="shared" si="15"/>
        <v>8.8721735038910666E-9</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5.2622601547426876E-9</v>
      </c>
      <c r="S59" s="126">
        <f t="shared" si="4"/>
        <v>9.6516914506207091E-9</v>
      </c>
      <c r="T59">
        <v>100</v>
      </c>
      <c r="U59">
        <v>12</v>
      </c>
      <c r="V59">
        <f t="shared" si="11"/>
        <v>9</v>
      </c>
      <c r="W59">
        <f t="shared" si="12"/>
        <v>1200</v>
      </c>
      <c r="X59">
        <f t="shared" si="5"/>
        <v>1080</v>
      </c>
      <c r="Y59">
        <f t="shared" si="6"/>
        <v>1320</v>
      </c>
      <c r="Z59">
        <f t="shared" si="13"/>
        <v>1</v>
      </c>
      <c r="AA59" s="126">
        <f t="shared" si="14"/>
        <v>5.2622601547426876E-9</v>
      </c>
      <c r="AB59" s="126">
        <f t="shared" si="15"/>
        <v>9.6516914506207091E-9</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5.7406474413556897E-9</v>
      </c>
      <c r="S60" s="126">
        <f t="shared" si="4"/>
        <v>1.0431209397305707E-8</v>
      </c>
      <c r="T60">
        <v>100</v>
      </c>
      <c r="U60">
        <v>15</v>
      </c>
      <c r="V60">
        <f t="shared" si="11"/>
        <v>10</v>
      </c>
      <c r="W60">
        <f t="shared" si="12"/>
        <v>1500</v>
      </c>
      <c r="X60">
        <f t="shared" si="5"/>
        <v>1350</v>
      </c>
      <c r="Y60">
        <f t="shared" si="6"/>
        <v>1650.0000000000002</v>
      </c>
      <c r="Z60">
        <f t="shared" si="13"/>
        <v>1</v>
      </c>
      <c r="AA60" s="126">
        <f t="shared" si="14"/>
        <v>5.7406474413556897E-9</v>
      </c>
      <c r="AB60" s="126">
        <f t="shared" si="15"/>
        <v>1.0431209397305707E-8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6.2190347279383946E-9</v>
      </c>
      <c r="S61" s="126">
        <f t="shared" si="4"/>
        <v>1.1210727343946056E-8</v>
      </c>
      <c r="T61">
        <v>100</v>
      </c>
      <c r="U61">
        <v>18</v>
      </c>
      <c r="V61">
        <f t="shared" si="11"/>
        <v>11</v>
      </c>
      <c r="W61">
        <f t="shared" si="12"/>
        <v>1800</v>
      </c>
      <c r="X61">
        <f t="shared" si="5"/>
        <v>1620</v>
      </c>
      <c r="Y61">
        <f t="shared" si="6"/>
        <v>1980.0000000000002</v>
      </c>
      <c r="Z61">
        <f t="shared" si="13"/>
        <v>1</v>
      </c>
      <c r="AA61" s="126">
        <f t="shared" si="14"/>
        <v>6.2190347279383946E-9</v>
      </c>
      <c r="AB61" s="126">
        <f t="shared" si="15"/>
        <v>1.1210727343946056E-8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0.99999954407408942</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0.99999954409020808</v>
      </c>
      <c r="K62">
        <v>10</v>
      </c>
      <c r="L62">
        <v>15</v>
      </c>
      <c r="M62">
        <f t="shared" si="9"/>
        <v>0</v>
      </c>
      <c r="N62">
        <f t="shared" si="0"/>
        <v>150</v>
      </c>
      <c r="O62">
        <f t="shared" si="1"/>
        <v>142.5</v>
      </c>
      <c r="P62">
        <f t="shared" si="2"/>
        <v>157.5</v>
      </c>
      <c r="Q62">
        <f t="shared" si="10"/>
        <v>0</v>
      </c>
      <c r="R62" s="126">
        <f t="shared" si="3"/>
        <v>7.1758093010129112E-9</v>
      </c>
      <c r="S62" s="126">
        <f t="shared" si="4"/>
        <v>1.2769763237092824E-8</v>
      </c>
      <c r="T62">
        <v>100</v>
      </c>
      <c r="U62">
        <v>22</v>
      </c>
      <c r="V62">
        <f t="shared" si="11"/>
        <v>12</v>
      </c>
      <c r="W62">
        <f t="shared" si="12"/>
        <v>2200</v>
      </c>
      <c r="X62">
        <f t="shared" si="5"/>
        <v>1980</v>
      </c>
      <c r="Y62">
        <f t="shared" si="6"/>
        <v>2420</v>
      </c>
      <c r="Z62">
        <f t="shared" si="13"/>
        <v>1</v>
      </c>
      <c r="AA62" s="126">
        <f t="shared" si="14"/>
        <v>7.1758093010129112E-9</v>
      </c>
      <c r="AB62" s="126">
        <f t="shared" si="15"/>
        <v>1.2769763237092824E-8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0.99999954409020808</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0.99999954409020808</v>
      </c>
      <c r="K63">
        <v>10</v>
      </c>
      <c r="L63">
        <v>16</v>
      </c>
      <c r="M63">
        <f t="shared" si="9"/>
        <v>0</v>
      </c>
      <c r="N63">
        <f t="shared" si="0"/>
        <v>160</v>
      </c>
      <c r="O63">
        <f t="shared" si="1"/>
        <v>152</v>
      </c>
      <c r="P63">
        <f t="shared" si="2"/>
        <v>168</v>
      </c>
      <c r="Q63">
        <f t="shared" si="10"/>
        <v>0</v>
      </c>
      <c r="R63" s="126">
        <f t="shared" si="3"/>
        <v>7.6541965875047222E-9</v>
      </c>
      <c r="S63" s="126">
        <f t="shared" si="4"/>
        <v>1.354928118359924E-8</v>
      </c>
      <c r="T63">
        <v>100</v>
      </c>
      <c r="U63">
        <v>27</v>
      </c>
      <c r="V63">
        <f t="shared" si="11"/>
        <v>13</v>
      </c>
      <c r="W63">
        <f t="shared" si="12"/>
        <v>2700</v>
      </c>
      <c r="X63">
        <f t="shared" si="5"/>
        <v>2430</v>
      </c>
      <c r="Y63">
        <f t="shared" si="6"/>
        <v>2970.0000000000005</v>
      </c>
      <c r="Z63">
        <f t="shared" si="13"/>
        <v>1</v>
      </c>
      <c r="AA63" s="126">
        <f t="shared" si="14"/>
        <v>7.6541965875047222E-9</v>
      </c>
      <c r="AB63" s="126">
        <f t="shared" si="15"/>
        <v>1.354928118359924E-8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0.99999954409020808</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0.99999954407408942</v>
      </c>
      <c r="K64">
        <v>10</v>
      </c>
      <c r="L64">
        <v>18</v>
      </c>
      <c r="M64">
        <f t="shared" si="9"/>
        <v>0</v>
      </c>
      <c r="N64">
        <f t="shared" si="0"/>
        <v>180</v>
      </c>
      <c r="O64">
        <f t="shared" si="1"/>
        <v>171</v>
      </c>
      <c r="P64">
        <f t="shared" si="2"/>
        <v>189</v>
      </c>
      <c r="Q64">
        <f t="shared" si="10"/>
        <v>0</v>
      </c>
      <c r="R64" s="126">
        <f t="shared" si="3"/>
        <v>8.6109711603974502E-9</v>
      </c>
      <c r="S64" s="126">
        <f t="shared" si="4"/>
        <v>1.5108317076478139E-8</v>
      </c>
      <c r="T64">
        <v>100</v>
      </c>
      <c r="U64">
        <v>33</v>
      </c>
      <c r="V64">
        <f t="shared" si="11"/>
        <v>14</v>
      </c>
      <c r="W64">
        <f t="shared" si="12"/>
        <v>3300</v>
      </c>
      <c r="X64">
        <f t="shared" si="5"/>
        <v>2970</v>
      </c>
      <c r="Y64">
        <f t="shared" si="6"/>
        <v>3630.0000000000005</v>
      </c>
      <c r="Z64">
        <f t="shared" si="13"/>
        <v>1</v>
      </c>
      <c r="AA64" s="126">
        <f t="shared" si="14"/>
        <v>8.6109711603974502E-9</v>
      </c>
      <c r="AB64" s="126">
        <f t="shared" si="15"/>
        <v>1.5108317076478139E-8</v>
      </c>
      <c r="AC64" s="126" t="str">
        <f t="shared" si="7"/>
        <v>Vlow exceeds VIL spec</v>
      </c>
      <c r="AD64" s="126">
        <f t="shared" si="8"/>
        <v>2.3312381461783523E-8</v>
      </c>
    </row>
    <row r="65" spans="1:31" x14ac:dyDescent="0.35">
      <c r="K65">
        <v>10</v>
      </c>
      <c r="L65">
        <v>20</v>
      </c>
      <c r="M65">
        <f t="shared" si="9"/>
        <v>0</v>
      </c>
      <c r="N65">
        <f t="shared" si="0"/>
        <v>200</v>
      </c>
      <c r="O65">
        <f t="shared" si="1"/>
        <v>190</v>
      </c>
      <c r="P65">
        <f t="shared" si="2"/>
        <v>210</v>
      </c>
      <c r="Q65">
        <f t="shared" si="10"/>
        <v>0</v>
      </c>
      <c r="R65" s="126">
        <f t="shared" si="3"/>
        <v>9.567745733168988E-9</v>
      </c>
      <c r="S65" s="126">
        <f t="shared" si="4"/>
        <v>1.6667352969178449E-8</v>
      </c>
      <c r="T65">
        <v>100</v>
      </c>
      <c r="U65">
        <v>39</v>
      </c>
      <c r="V65">
        <f t="shared" si="11"/>
        <v>15</v>
      </c>
      <c r="W65">
        <f t="shared" si="12"/>
        <v>3900</v>
      </c>
      <c r="X65">
        <f t="shared" si="5"/>
        <v>3510</v>
      </c>
      <c r="Y65">
        <f t="shared" si="6"/>
        <v>4290</v>
      </c>
      <c r="Z65">
        <f t="shared" si="13"/>
        <v>0</v>
      </c>
      <c r="AA65" s="126">
        <f t="shared" si="14"/>
        <v>9.567745733168988E-9</v>
      </c>
      <c r="AB65" s="126">
        <f t="shared" si="15"/>
        <v>1.6667352969178449E-8</v>
      </c>
      <c r="AC65" s="126" t="str">
        <f t="shared" si="7"/>
        <v>Vlow exceeds VIL spec</v>
      </c>
      <c r="AD65" s="126">
        <f t="shared" si="8"/>
        <v>1.5911722869812024E-8</v>
      </c>
    </row>
    <row r="66" spans="1:31" x14ac:dyDescent="0.35">
      <c r="I66" s="128"/>
      <c r="J66" s="128"/>
      <c r="K66">
        <v>10</v>
      </c>
      <c r="L66">
        <v>22</v>
      </c>
      <c r="M66">
        <f t="shared" si="9"/>
        <v>1</v>
      </c>
      <c r="N66">
        <f t="shared" si="0"/>
        <v>220</v>
      </c>
      <c r="O66">
        <f t="shared" si="1"/>
        <v>209</v>
      </c>
      <c r="P66">
        <f t="shared" si="2"/>
        <v>231</v>
      </c>
      <c r="Q66">
        <f t="shared" si="10"/>
        <v>1</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1.0524520305819334E-8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1.8226388861700188E-8</v>
      </c>
      <c r="T66">
        <v>100</v>
      </c>
      <c r="U66">
        <v>47</v>
      </c>
      <c r="V66">
        <f t="shared" si="11"/>
        <v>15</v>
      </c>
      <c r="W66">
        <f t="shared" si="12"/>
        <v>4700</v>
      </c>
      <c r="X66">
        <f t="shared" si="5"/>
        <v>4230</v>
      </c>
      <c r="Y66">
        <f t="shared" si="6"/>
        <v>5170</v>
      </c>
      <c r="Z66">
        <f t="shared" si="13"/>
        <v>0</v>
      </c>
      <c r="AA66" s="126">
        <f t="shared" si="14"/>
        <v>1.0524520305819334E-8</v>
      </c>
      <c r="AB66" s="126">
        <f t="shared" si="15"/>
        <v>1.8226388861700188E-8</v>
      </c>
      <c r="AC66" s="126">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2.4366515003129204E-8</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1.3495864833372218E-8</v>
      </c>
    </row>
    <row r="67" spans="1:31" x14ac:dyDescent="0.35">
      <c r="B67" s="171" t="s">
        <v>354</v>
      </c>
      <c r="C67" s="171"/>
      <c r="I67" s="128"/>
      <c r="K67">
        <v>10</v>
      </c>
      <c r="L67">
        <v>24</v>
      </c>
      <c r="M67">
        <f t="shared" si="9"/>
        <v>2</v>
      </c>
      <c r="N67">
        <f t="shared" si="0"/>
        <v>240</v>
      </c>
      <c r="O67">
        <f t="shared" si="1"/>
        <v>228</v>
      </c>
      <c r="P67">
        <f t="shared" si="2"/>
        <v>252</v>
      </c>
      <c r="Q67">
        <f t="shared" si="10"/>
        <v>1</v>
      </c>
      <c r="R67" s="126">
        <f t="shared" si="16"/>
        <v>1.1481294878348488E-8</v>
      </c>
      <c r="S67" s="126">
        <f t="shared" si="17"/>
        <v>1.9785424754043342E-8</v>
      </c>
      <c r="T67">
        <v>100</v>
      </c>
      <c r="U67">
        <v>56</v>
      </c>
      <c r="V67">
        <f t="shared" si="11"/>
        <v>15</v>
      </c>
      <c r="W67">
        <f t="shared" si="12"/>
        <v>5600</v>
      </c>
      <c r="X67">
        <f t="shared" si="5"/>
        <v>5040</v>
      </c>
      <c r="Y67">
        <f t="shared" si="6"/>
        <v>6160.0000000000009</v>
      </c>
      <c r="Z67">
        <f t="shared" si="13"/>
        <v>0</v>
      </c>
      <c r="AA67" s="126">
        <f t="shared" si="14"/>
        <v>1.1481294878348488E-8</v>
      </c>
      <c r="AB67" s="126">
        <f t="shared" si="15"/>
        <v>1.9785424754043342E-8</v>
      </c>
      <c r="AC67" s="126">
        <f t="shared" si="18"/>
        <v>1.8784687482620281E-8</v>
      </c>
      <c r="AD67" s="126">
        <f t="shared" si="19"/>
        <v>1.214646628227567E-8</v>
      </c>
    </row>
    <row r="68" spans="1:31" ht="28.4" customHeight="1" x14ac:dyDescent="0.35">
      <c r="B68" s="32" t="s">
        <v>355</v>
      </c>
      <c r="C68" s="32" t="s">
        <v>356</v>
      </c>
      <c r="D68" s="32" t="s">
        <v>357</v>
      </c>
      <c r="E68" s="32" t="str">
        <f>IF(Summary!P37="absolute","find min R2, so that max (Vz) = " &amp; TRUNC(R3/J2,3),"find min R2, so that max (Vz) = " &amp; R3)</f>
        <v>find min R2, so that max (Vz) = 0.3</v>
      </c>
      <c r="F68" s="32" t="s">
        <v>358</v>
      </c>
      <c r="G68" s="32" t="s">
        <v>359</v>
      </c>
      <c r="H68" s="32" t="s">
        <v>360</v>
      </c>
      <c r="I68" s="49"/>
      <c r="J68" s="49"/>
      <c r="K68">
        <v>10</v>
      </c>
      <c r="L68">
        <v>27</v>
      </c>
      <c r="M68">
        <f t="shared" si="9"/>
        <v>3</v>
      </c>
      <c r="N68">
        <f t="shared" si="0"/>
        <v>270</v>
      </c>
      <c r="O68">
        <f t="shared" si="1"/>
        <v>256.5</v>
      </c>
      <c r="P68">
        <f t="shared" si="2"/>
        <v>283.5</v>
      </c>
      <c r="Q68">
        <f t="shared" si="10"/>
        <v>1</v>
      </c>
      <c r="R68" s="126">
        <f t="shared" si="16"/>
        <v>1.2916456736914984E-8</v>
      </c>
      <c r="S68" s="126">
        <f t="shared" si="17"/>
        <v>2.2123978592223235E-8</v>
      </c>
      <c r="T68">
        <v>100</v>
      </c>
      <c r="U68">
        <v>68</v>
      </c>
      <c r="V68">
        <f t="shared" si="11"/>
        <v>15</v>
      </c>
      <c r="W68">
        <f t="shared" si="12"/>
        <v>6800</v>
      </c>
      <c r="X68">
        <f t="shared" si="5"/>
        <v>6120</v>
      </c>
      <c r="Y68">
        <f t="shared" si="6"/>
        <v>7480.0000000000009</v>
      </c>
      <c r="Z68">
        <f t="shared" si="13"/>
        <v>0</v>
      </c>
      <c r="AA68" s="126">
        <f t="shared" si="14"/>
        <v>1.2916456736914984E-8</v>
      </c>
      <c r="AB68" s="126">
        <f t="shared" si="15"/>
        <v>2.2123978592223235E-8</v>
      </c>
      <c r="AC68" s="126">
        <f t="shared" si="18"/>
        <v>1.5528520370293372E-8</v>
      </c>
      <c r="AD68" s="126">
        <f t="shared" si="19"/>
        <v>1.0918293130755981E-8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4</v>
      </c>
      <c r="N69">
        <f t="shared" si="0"/>
        <v>300</v>
      </c>
      <c r="O69">
        <f t="shared" si="1"/>
        <v>285</v>
      </c>
      <c r="P69">
        <f t="shared" si="2"/>
        <v>315</v>
      </c>
      <c r="Q69">
        <f t="shared" si="10"/>
        <v>1</v>
      </c>
      <c r="R69" s="126">
        <f t="shared" si="16"/>
        <v>1.43516185952088E-8</v>
      </c>
      <c r="S69" s="126">
        <f t="shared" si="17"/>
        <v>2.446253243000132E-8</v>
      </c>
      <c r="T69">
        <v>100</v>
      </c>
      <c r="U69">
        <v>82</v>
      </c>
      <c r="V69">
        <f t="shared" si="11"/>
        <v>15</v>
      </c>
      <c r="W69">
        <f t="shared" si="12"/>
        <v>8200</v>
      </c>
      <c r="X69">
        <f t="shared" si="5"/>
        <v>7380</v>
      </c>
      <c r="Y69">
        <f t="shared" si="6"/>
        <v>9020</v>
      </c>
      <c r="Z69">
        <f t="shared" si="13"/>
        <v>0</v>
      </c>
      <c r="AA69" s="126">
        <f t="shared" si="14"/>
        <v>1.43516185952088E-8</v>
      </c>
      <c r="AB69" s="126">
        <f t="shared" si="15"/>
        <v>2.446253243000132E-8</v>
      </c>
      <c r="AC69" s="126">
        <f t="shared" si="18"/>
        <v>1.3854773539097793E-8</v>
      </c>
      <c r="AD69" s="126">
        <f t="shared" si="19"/>
        <v>1.0145906966844443E-8</v>
      </c>
    </row>
    <row r="70" spans="1:31" x14ac:dyDescent="0.35">
      <c r="A70" t="s">
        <v>320</v>
      </c>
      <c r="B70" s="11">
        <f>F11*(1+H11)</f>
        <v>409.5</v>
      </c>
      <c r="C70" s="11">
        <f>F11*(1-H11)</f>
        <v>370.5</v>
      </c>
      <c r="D70" s="11">
        <f>F11*(1+H11)</f>
        <v>409.5</v>
      </c>
      <c r="E70" s="11"/>
      <c r="F70" s="11">
        <f>F11*(1-H11)</f>
        <v>370.5</v>
      </c>
      <c r="G70" s="11">
        <f>F11*(1-H11)</f>
        <v>370.5</v>
      </c>
      <c r="H70" s="11">
        <f>F11*(1+H11)</f>
        <v>409.5</v>
      </c>
      <c r="K70">
        <v>10</v>
      </c>
      <c r="L70">
        <v>33</v>
      </c>
      <c r="M70">
        <f t="shared" si="9"/>
        <v>5</v>
      </c>
      <c r="N70">
        <f t="shared" si="0"/>
        <v>330</v>
      </c>
      <c r="O70">
        <f t="shared" si="1"/>
        <v>313.5</v>
      </c>
      <c r="P70">
        <f t="shared" si="2"/>
        <v>346.5</v>
      </c>
      <c r="Q70">
        <f t="shared" si="10"/>
        <v>1</v>
      </c>
      <c r="R70" s="126">
        <f t="shared" si="16"/>
        <v>1.5786780453229936E-8</v>
      </c>
      <c r="S70" s="126">
        <f t="shared" si="17"/>
        <v>2.68010862673776E-8</v>
      </c>
      <c r="T70">
        <v>1000</v>
      </c>
      <c r="U70">
        <v>10</v>
      </c>
      <c r="V70">
        <f t="shared" si="11"/>
        <v>15</v>
      </c>
      <c r="W70">
        <f t="shared" si="12"/>
        <v>10000</v>
      </c>
      <c r="X70">
        <f t="shared" si="5"/>
        <v>9000</v>
      </c>
      <c r="Y70">
        <f t="shared" si="6"/>
        <v>11000</v>
      </c>
      <c r="Z70">
        <f t="shared" si="13"/>
        <v>0</v>
      </c>
      <c r="AA70" s="126">
        <f t="shared" si="14"/>
        <v>1.5786780453229936E-8</v>
      </c>
      <c r="AB70" s="126">
        <f t="shared" si="15"/>
        <v>2.68010862673776E-8</v>
      </c>
      <c r="AC70" s="126">
        <f t="shared" si="18"/>
        <v>1.2802988423694648E-8</v>
      </c>
      <c r="AD70" s="126">
        <f t="shared" si="19"/>
        <v>9.6113900366045382E-9</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6</v>
      </c>
      <c r="N71">
        <f t="shared" si="0"/>
        <v>360</v>
      </c>
      <c r="O71">
        <f t="shared" si="1"/>
        <v>342</v>
      </c>
      <c r="P71">
        <f t="shared" si="2"/>
        <v>378</v>
      </c>
      <c r="Q71">
        <f t="shared" si="10"/>
        <v>1</v>
      </c>
      <c r="R71" s="126">
        <f t="shared" si="16"/>
        <v>1.7221942310978391E-8</v>
      </c>
      <c r="S71" s="126">
        <f t="shared" si="17"/>
        <v>2.9139640104352076E-8</v>
      </c>
      <c r="T71">
        <v>1000</v>
      </c>
      <c r="U71">
        <v>12</v>
      </c>
      <c r="V71">
        <f t="shared" si="11"/>
        <v>15</v>
      </c>
      <c r="W71">
        <f t="shared" si="12"/>
        <v>12000</v>
      </c>
      <c r="X71">
        <f t="shared" si="5"/>
        <v>10800</v>
      </c>
      <c r="Y71">
        <f t="shared" si="6"/>
        <v>13200.000000000002</v>
      </c>
      <c r="Z71">
        <f t="shared" si="13"/>
        <v>0</v>
      </c>
      <c r="AA71" s="126">
        <f t="shared" si="14"/>
        <v>1.7221942310978391E-8</v>
      </c>
      <c r="AB71" s="126">
        <f t="shared" si="15"/>
        <v>2.9139640104352076E-8</v>
      </c>
      <c r="AC71" s="126">
        <f t="shared" si="18"/>
        <v>1.2073041724492476E-8</v>
      </c>
      <c r="AD71" s="126">
        <f t="shared" si="19"/>
        <v>9.2184394685424517E-9</v>
      </c>
    </row>
    <row r="72" spans="1:31" x14ac:dyDescent="0.35">
      <c r="A72" t="s">
        <v>324</v>
      </c>
      <c r="B72" s="1">
        <f>K21*MIN(K25,K24)</f>
        <v>0</v>
      </c>
      <c r="C72" s="1">
        <f>K21*MAX(K25,K24)</f>
        <v>14.506962153924308</v>
      </c>
      <c r="D72" s="1">
        <f>K21*MIN(K25,K24)</f>
        <v>0</v>
      </c>
      <c r="E72" s="1">
        <f>K21*MAX(K25,K24)</f>
        <v>14.506962153924308</v>
      </c>
      <c r="F72" s="125">
        <f>K21*MAX(K25,K24)</f>
        <v>14.506962153924308</v>
      </c>
      <c r="G72" s="125">
        <f>K22*MAX(K25,K24)</f>
        <v>8.6969621539243072</v>
      </c>
      <c r="H72" s="1">
        <f>K22*MIN(K25,K24)</f>
        <v>0</v>
      </c>
      <c r="K72">
        <v>10</v>
      </c>
      <c r="L72">
        <v>39</v>
      </c>
      <c r="M72">
        <f t="shared" si="9"/>
        <v>7</v>
      </c>
      <c r="N72">
        <f t="shared" si="0"/>
        <v>390</v>
      </c>
      <c r="O72">
        <f t="shared" si="1"/>
        <v>370.5</v>
      </c>
      <c r="P72">
        <f t="shared" si="2"/>
        <v>409.5</v>
      </c>
      <c r="Q72">
        <f t="shared" si="10"/>
        <v>1</v>
      </c>
      <c r="R72" s="126">
        <f t="shared" si="16"/>
        <v>1.8657104168454167E-8</v>
      </c>
      <c r="S72" s="126">
        <f t="shared" si="17"/>
        <v>3.1478193940924747E-8</v>
      </c>
      <c r="T72">
        <v>1000</v>
      </c>
      <c r="U72">
        <v>15</v>
      </c>
      <c r="V72">
        <f t="shared" si="11"/>
        <v>15</v>
      </c>
      <c r="W72">
        <f t="shared" si="12"/>
        <v>15000</v>
      </c>
      <c r="X72">
        <f t="shared" si="5"/>
        <v>13500</v>
      </c>
      <c r="Y72">
        <f t="shared" si="6"/>
        <v>16500</v>
      </c>
      <c r="Z72">
        <f t="shared" si="13"/>
        <v>0</v>
      </c>
      <c r="AA72" s="126">
        <f t="shared" si="14"/>
        <v>1.8657104168454167E-8</v>
      </c>
      <c r="AB72" s="126">
        <f t="shared" si="15"/>
        <v>3.1478193940924747E-8</v>
      </c>
      <c r="AC72" s="126">
        <f t="shared" si="18"/>
        <v>1.1534445833461516E-8</v>
      </c>
      <c r="AD72" s="126">
        <f t="shared" si="19"/>
        <v>8.9170766681327571E-9</v>
      </c>
    </row>
    <row r="73" spans="1:31" x14ac:dyDescent="0.35">
      <c r="A73" t="s">
        <v>327</v>
      </c>
      <c r="B73" s="1">
        <f>K21-B72</f>
        <v>14.506962153924308</v>
      </c>
      <c r="C73" s="1">
        <f>K21-C72</f>
        <v>0</v>
      </c>
      <c r="D73" s="1">
        <f>K21-D72</f>
        <v>14.506962153924308</v>
      </c>
      <c r="E73" s="1">
        <f>K21-E72</f>
        <v>0</v>
      </c>
      <c r="F73" s="1">
        <f>K21-F72</f>
        <v>0</v>
      </c>
      <c r="G73" s="1">
        <f>K22-G72</f>
        <v>0</v>
      </c>
      <c r="H73" s="1">
        <f>K22-H72</f>
        <v>8.6969621539243072</v>
      </c>
      <c r="K73">
        <v>10</v>
      </c>
      <c r="L73">
        <v>43</v>
      </c>
      <c r="M73">
        <f t="shared" si="9"/>
        <v>8</v>
      </c>
      <c r="N73">
        <f t="shared" si="0"/>
        <v>430</v>
      </c>
      <c r="O73">
        <f t="shared" si="1"/>
        <v>408.5</v>
      </c>
      <c r="P73">
        <f t="shared" si="2"/>
        <v>451.5</v>
      </c>
      <c r="Q73">
        <f t="shared" si="10"/>
        <v>1</v>
      </c>
      <c r="R73" s="126">
        <f t="shared" si="16"/>
        <v>2.0570653311331031E-8</v>
      </c>
      <c r="S73" s="126">
        <f t="shared" si="17"/>
        <v>3.4596265722396605E-8</v>
      </c>
      <c r="T73">
        <v>1000</v>
      </c>
      <c r="U73">
        <v>18</v>
      </c>
      <c r="V73">
        <f t="shared" si="11"/>
        <v>15</v>
      </c>
      <c r="W73">
        <f t="shared" si="12"/>
        <v>18000</v>
      </c>
      <c r="X73">
        <f t="shared" si="5"/>
        <v>16200</v>
      </c>
      <c r="Y73">
        <f t="shared" si="6"/>
        <v>19800</v>
      </c>
      <c r="Z73">
        <f t="shared" si="13"/>
        <v>0</v>
      </c>
      <c r="AA73" s="126">
        <f t="shared" si="14"/>
        <v>2.0570653311331031E-8</v>
      </c>
      <c r="AB73" s="126">
        <f t="shared" si="15"/>
        <v>3.4596265722396605E-8</v>
      </c>
      <c r="AC73" s="126">
        <f t="shared" si="18"/>
        <v>1.1002038523433599E-8</v>
      </c>
      <c r="AD73" s="126">
        <f t="shared" si="19"/>
        <v>8.6097112101063997E-9</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9</v>
      </c>
      <c r="N74">
        <f t="shared" si="0"/>
        <v>470</v>
      </c>
      <c r="O74">
        <f t="shared" si="1"/>
        <v>446.5</v>
      </c>
      <c r="P74">
        <f t="shared" si="2"/>
        <v>493.5</v>
      </c>
      <c r="Q74">
        <f t="shared" si="10"/>
        <v>1</v>
      </c>
      <c r="R74" s="126">
        <f t="shared" si="16"/>
        <v>2.2484202453723124E-8</v>
      </c>
      <c r="S74" s="126">
        <f t="shared" si="17"/>
        <v>3.7714337503154142E-8</v>
      </c>
      <c r="T74">
        <v>1000</v>
      </c>
      <c r="U74">
        <v>22</v>
      </c>
      <c r="V74">
        <f t="shared" si="11"/>
        <v>15</v>
      </c>
      <c r="W74">
        <f t="shared" si="12"/>
        <v>22000</v>
      </c>
      <c r="X74">
        <f t="shared" si="5"/>
        <v>19800</v>
      </c>
      <c r="Y74">
        <f t="shared" si="6"/>
        <v>24200.000000000004</v>
      </c>
      <c r="Z74">
        <f t="shared" si="13"/>
        <v>0</v>
      </c>
      <c r="AA74" s="126">
        <f t="shared" si="14"/>
        <v>2.2484202453723124E-8</v>
      </c>
      <c r="AB74" s="126">
        <f t="shared" si="15"/>
        <v>3.7714337503154142E-8</v>
      </c>
      <c r="AC74" s="126">
        <f t="shared" si="18"/>
        <v>1.0606269965435127E-8</v>
      </c>
      <c r="AD74" s="126">
        <f t="shared" si="19"/>
        <v>8.3751444408627738E-9</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10</v>
      </c>
      <c r="N75">
        <f t="shared" si="0"/>
        <v>510</v>
      </c>
      <c r="O75">
        <f t="shared" si="1"/>
        <v>484.5</v>
      </c>
      <c r="P75">
        <f t="shared" si="2"/>
        <v>535.5</v>
      </c>
      <c r="Q75">
        <f t="shared" si="10"/>
        <v>1</v>
      </c>
      <c r="R75" s="126">
        <f t="shared" si="16"/>
        <v>2.4397751595630459E-8</v>
      </c>
      <c r="S75" s="126">
        <f t="shared" si="17"/>
        <v>4.0832409283197359E-8</v>
      </c>
      <c r="T75">
        <v>1000</v>
      </c>
      <c r="U75">
        <v>27</v>
      </c>
      <c r="V75">
        <f t="shared" si="11"/>
        <v>15</v>
      </c>
      <c r="W75">
        <f t="shared" si="12"/>
        <v>27000</v>
      </c>
      <c r="X75">
        <f t="shared" si="5"/>
        <v>24300</v>
      </c>
      <c r="Y75">
        <f t="shared" si="6"/>
        <v>29700.000000000004</v>
      </c>
      <c r="Z75">
        <f t="shared" si="13"/>
        <v>0</v>
      </c>
      <c r="AA75" s="126">
        <f t="shared" si="14"/>
        <v>2.4397751595630459E-8</v>
      </c>
      <c r="AB75" s="126">
        <f t="shared" si="15"/>
        <v>4.0832409283197359E-8</v>
      </c>
      <c r="AC75" s="126">
        <f t="shared" si="18"/>
        <v>1.0300402340817047E-8</v>
      </c>
      <c r="AD75" s="126">
        <f t="shared" si="19"/>
        <v>8.1902967736893976E-9</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11</v>
      </c>
      <c r="N76">
        <f t="shared" si="0"/>
        <v>560</v>
      </c>
      <c r="O76">
        <f t="shared" si="1"/>
        <v>532</v>
      </c>
      <c r="P76">
        <f t="shared" si="2"/>
        <v>588</v>
      </c>
      <c r="Q76">
        <f t="shared" si="10"/>
        <v>1</v>
      </c>
      <c r="R76" s="126">
        <f t="shared" si="16"/>
        <v>2.6789688022332924E-8</v>
      </c>
      <c r="S76" s="126">
        <f t="shared" si="17"/>
        <v>4.4729999007246864E-8</v>
      </c>
      <c r="T76">
        <v>1000</v>
      </c>
      <c r="U76">
        <v>33</v>
      </c>
      <c r="V76">
        <f t="shared" si="11"/>
        <v>15</v>
      </c>
      <c r="W76">
        <f t="shared" si="12"/>
        <v>33000</v>
      </c>
      <c r="X76">
        <f t="shared" si="5"/>
        <v>29700</v>
      </c>
      <c r="Y76">
        <f t="shared" si="6"/>
        <v>36300</v>
      </c>
      <c r="Z76">
        <f t="shared" si="13"/>
        <v>0</v>
      </c>
      <c r="AA76" s="126">
        <f t="shared" si="14"/>
        <v>2.6789688022332924E-8</v>
      </c>
      <c r="AB76" s="126">
        <f t="shared" si="15"/>
        <v>4.4729999007246864E-8</v>
      </c>
      <c r="AC76" s="126">
        <f t="shared" si="18"/>
        <v>1.000363327394176E-8</v>
      </c>
      <c r="AD76" s="126">
        <f t="shared" si="19"/>
        <v>8.0079569574319928E-9</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12</v>
      </c>
      <c r="N77">
        <f t="shared" si="0"/>
        <v>620</v>
      </c>
      <c r="O77">
        <f t="shared" si="1"/>
        <v>589</v>
      </c>
      <c r="P77">
        <f t="shared" si="2"/>
        <v>651</v>
      </c>
      <c r="Q77">
        <f t="shared" si="10"/>
        <v>1</v>
      </c>
      <c r="R77" s="126">
        <f t="shared" si="16"/>
        <v>2.9660011733376047E-8</v>
      </c>
      <c r="S77" s="126">
        <f t="shared" si="17"/>
        <v>4.9407106674632984E-8</v>
      </c>
      <c r="T77">
        <v>1000</v>
      </c>
      <c r="U77">
        <v>39</v>
      </c>
      <c r="V77">
        <f t="shared" si="11"/>
        <v>15</v>
      </c>
      <c r="W77">
        <f t="shared" si="12"/>
        <v>39000</v>
      </c>
      <c r="X77">
        <f t="shared" si="5"/>
        <v>35100</v>
      </c>
      <c r="Y77">
        <f t="shared" si="6"/>
        <v>42900</v>
      </c>
      <c r="Z77">
        <f t="shared" si="13"/>
        <v>0</v>
      </c>
      <c r="AA77" s="126">
        <f t="shared" si="14"/>
        <v>2.9660011733376047E-8</v>
      </c>
      <c r="AB77" s="126">
        <f t="shared" si="15"/>
        <v>4.9407106674632984E-8</v>
      </c>
      <c r="AC77" s="126">
        <f t="shared" si="18"/>
        <v>9.732353706806407E-9</v>
      </c>
      <c r="AD77" s="126">
        <f t="shared" si="19"/>
        <v>7.838672361094003E-9</v>
      </c>
    </row>
    <row r="78" spans="1:31" x14ac:dyDescent="0.35">
      <c r="A78" t="s">
        <v>344</v>
      </c>
      <c r="B78">
        <v>1</v>
      </c>
      <c r="C78">
        <v>1</v>
      </c>
      <c r="D78">
        <v>1</v>
      </c>
      <c r="E78">
        <v>1</v>
      </c>
      <c r="F78">
        <v>1</v>
      </c>
      <c r="G78">
        <v>1</v>
      </c>
      <c r="H78">
        <v>1</v>
      </c>
      <c r="K78">
        <v>10</v>
      </c>
      <c r="L78">
        <v>68</v>
      </c>
      <c r="M78">
        <f t="shared" si="9"/>
        <v>13</v>
      </c>
      <c r="N78">
        <f t="shared" si="0"/>
        <v>680</v>
      </c>
      <c r="O78">
        <f t="shared" si="1"/>
        <v>646</v>
      </c>
      <c r="P78">
        <f t="shared" si="2"/>
        <v>714</v>
      </c>
      <c r="Q78">
        <f t="shared" si="10"/>
        <v>1</v>
      </c>
      <c r="R78" s="126">
        <f t="shared" si="16"/>
        <v>3.2530335443328447E-8</v>
      </c>
      <c r="S78" s="126">
        <f t="shared" si="17"/>
        <v>5.4084214340411879E-8</v>
      </c>
      <c r="T78">
        <v>1000</v>
      </c>
      <c r="U78">
        <v>47</v>
      </c>
      <c r="V78">
        <f t="shared" si="11"/>
        <v>15</v>
      </c>
      <c r="W78">
        <f t="shared" si="12"/>
        <v>47000</v>
      </c>
      <c r="X78">
        <f t="shared" si="5"/>
        <v>42300</v>
      </c>
      <c r="Y78">
        <f t="shared" si="6"/>
        <v>51700.000000000007</v>
      </c>
      <c r="Z78">
        <f t="shared" si="13"/>
        <v>0</v>
      </c>
      <c r="AA78" s="126">
        <f t="shared" si="14"/>
        <v>3.2530335443328447E-8</v>
      </c>
      <c r="AB78" s="126">
        <f t="shared" si="15"/>
        <v>5.4084214340411879E-8</v>
      </c>
      <c r="AC78" s="126">
        <f t="shared" si="18"/>
        <v>9.5235655596955985E-9</v>
      </c>
      <c r="AD78" s="126">
        <f t="shared" si="19"/>
        <v>7.7066628959779394E-9</v>
      </c>
    </row>
    <row r="79" spans="1:31" x14ac:dyDescent="0.35">
      <c r="A79" t="s">
        <v>345</v>
      </c>
      <c r="B79">
        <v>1</v>
      </c>
      <c r="C79">
        <v>1</v>
      </c>
      <c r="D79">
        <v>1</v>
      </c>
      <c r="E79">
        <v>1</v>
      </c>
      <c r="F79">
        <v>1</v>
      </c>
      <c r="G79">
        <v>1</v>
      </c>
      <c r="H79">
        <v>1</v>
      </c>
      <c r="K79">
        <v>10</v>
      </c>
      <c r="L79">
        <v>75</v>
      </c>
      <c r="M79">
        <f t="shared" si="9"/>
        <v>14</v>
      </c>
      <c r="N79">
        <f t="shared" si="0"/>
        <v>750</v>
      </c>
      <c r="O79">
        <f t="shared" si="1"/>
        <v>712.5</v>
      </c>
      <c r="P79">
        <f t="shared" si="2"/>
        <v>787.5</v>
      </c>
      <c r="Q79">
        <f t="shared" si="10"/>
        <v>1</v>
      </c>
      <c r="R79" s="126">
        <f t="shared" si="16"/>
        <v>3.5879046436894368E-8</v>
      </c>
      <c r="S79" s="126">
        <f t="shared" si="17"/>
        <v>5.95408399484559E-8</v>
      </c>
      <c r="T79">
        <v>1000</v>
      </c>
      <c r="U79">
        <v>56</v>
      </c>
      <c r="V79">
        <f t="shared" si="11"/>
        <v>15</v>
      </c>
      <c r="W79">
        <f t="shared" si="12"/>
        <v>56000</v>
      </c>
      <c r="X79">
        <f t="shared" si="5"/>
        <v>50400</v>
      </c>
      <c r="Y79">
        <f t="shared" si="6"/>
        <v>61600.000000000007</v>
      </c>
      <c r="Z79">
        <f t="shared" si="13"/>
        <v>0</v>
      </c>
      <c r="AA79" s="126">
        <f t="shared" si="14"/>
        <v>3.5879046436894368E-8</v>
      </c>
      <c r="AB79" s="126">
        <f t="shared" si="15"/>
        <v>5.95408399484559E-8</v>
      </c>
      <c r="AC79" s="126">
        <f t="shared" si="18"/>
        <v>9.3336643747190559E-9</v>
      </c>
      <c r="AD79" s="126">
        <f t="shared" si="19"/>
        <v>7.5852710069536046E-9</v>
      </c>
      <c r="AE79" s="128"/>
    </row>
    <row r="80" spans="1:31" x14ac:dyDescent="0.35">
      <c r="A80" t="s">
        <v>346</v>
      </c>
      <c r="B80">
        <v>1</v>
      </c>
      <c r="C80">
        <v>1</v>
      </c>
      <c r="D80">
        <v>1</v>
      </c>
      <c r="E80">
        <v>1</v>
      </c>
      <c r="F80">
        <v>1</v>
      </c>
      <c r="G80">
        <v>1</v>
      </c>
      <c r="H80">
        <v>1</v>
      </c>
      <c r="K80">
        <v>10</v>
      </c>
      <c r="L80">
        <v>82</v>
      </c>
      <c r="M80">
        <f t="shared" si="9"/>
        <v>15</v>
      </c>
      <c r="N80">
        <f t="shared" si="0"/>
        <v>820</v>
      </c>
      <c r="O80">
        <f t="shared" si="1"/>
        <v>779</v>
      </c>
      <c r="P80">
        <f t="shared" si="2"/>
        <v>861</v>
      </c>
      <c r="Q80">
        <f t="shared" si="10"/>
        <v>1</v>
      </c>
      <c r="R80" s="126">
        <f t="shared" si="16"/>
        <v>3.9227757428975685E-8</v>
      </c>
      <c r="S80" s="126">
        <f t="shared" si="17"/>
        <v>6.4997465554312313E-8</v>
      </c>
      <c r="T80">
        <v>1000</v>
      </c>
      <c r="U80">
        <v>68</v>
      </c>
      <c r="V80">
        <f t="shared" si="11"/>
        <v>15</v>
      </c>
      <c r="W80">
        <f>U80*T80</f>
        <v>68000</v>
      </c>
      <c r="X80">
        <f t="shared" si="5"/>
        <v>61200</v>
      </c>
      <c r="Y80">
        <f t="shared" si="6"/>
        <v>74800</v>
      </c>
      <c r="Z80">
        <f t="shared" si="13"/>
        <v>0</v>
      </c>
      <c r="AA80" s="126">
        <f t="shared" si="14"/>
        <v>3.9227757428975685E-8</v>
      </c>
      <c r="AB80" s="126">
        <f t="shared" si="15"/>
        <v>6.4997465554312313E-8</v>
      </c>
      <c r="AC80" s="126">
        <f t="shared" si="18"/>
        <v>9.1841293416268779E-9</v>
      </c>
      <c r="AD80" s="126">
        <f t="shared" si="19"/>
        <v>7.488777453287422E-9</v>
      </c>
      <c r="AE80" s="128"/>
    </row>
    <row r="81" spans="1:31" x14ac:dyDescent="0.35">
      <c r="K81">
        <v>10</v>
      </c>
      <c r="L81">
        <v>91</v>
      </c>
      <c r="M81">
        <f t="shared" si="9"/>
        <v>16</v>
      </c>
      <c r="N81">
        <f t="shared" si="0"/>
        <v>910</v>
      </c>
      <c r="O81">
        <f t="shared" si="1"/>
        <v>864.5</v>
      </c>
      <c r="P81">
        <f t="shared" si="2"/>
        <v>955.5</v>
      </c>
      <c r="Q81">
        <f t="shared" si="10"/>
        <v>1</v>
      </c>
      <c r="R81" s="126">
        <f t="shared" si="16"/>
        <v>4.3533242988041653E-8</v>
      </c>
      <c r="S81" s="126">
        <f t="shared" si="17"/>
        <v>7.2013127044341813E-8</v>
      </c>
      <c r="T81">
        <v>1000</v>
      </c>
      <c r="U81">
        <v>82</v>
      </c>
      <c r="V81">
        <f t="shared" si="11"/>
        <v>15</v>
      </c>
      <c r="W81">
        <f t="shared" ref="W81" si="20">U81*T81</f>
        <v>82000</v>
      </c>
      <c r="X81">
        <f t="shared" si="5"/>
        <v>73800</v>
      </c>
      <c r="Y81">
        <f t="shared" si="6"/>
        <v>90200.000000000015</v>
      </c>
      <c r="Z81">
        <f t="shared" si="13"/>
        <v>0</v>
      </c>
      <c r="AA81" s="126">
        <f t="shared" si="14"/>
        <v>4.3533242988041653E-8</v>
      </c>
      <c r="AB81" s="126">
        <f t="shared" si="15"/>
        <v>7.2013127044341813E-8</v>
      </c>
      <c r="AC81" s="126">
        <f t="shared" si="18"/>
        <v>9.033039009100894E-9</v>
      </c>
      <c r="AD81" s="126">
        <f t="shared" si="19"/>
        <v>7.3904522895286112E-9</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0.9999995440902083</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0.13966262360327575</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8.3892614326815731E-2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0.81161492742167307</v>
      </c>
      <c r="F82" s="13"/>
      <c r="K82">
        <v>100</v>
      </c>
      <c r="L82">
        <v>10</v>
      </c>
      <c r="M82">
        <f>IF(AND(Q81=1,Q82=0),Q82+M81+1, Q82+M81)</f>
        <v>17</v>
      </c>
      <c r="N82">
        <f t="shared" si="0"/>
        <v>1000</v>
      </c>
      <c r="O82">
        <f t="shared" si="1"/>
        <v>950</v>
      </c>
      <c r="P82">
        <f t="shared" si="2"/>
        <v>1050</v>
      </c>
      <c r="Q82">
        <f t="shared" si="10"/>
        <v>1</v>
      </c>
      <c r="R82" s="126">
        <f t="shared" si="16"/>
        <v>4.7838728544653489E-8</v>
      </c>
      <c r="S82" s="126">
        <f t="shared" si="17"/>
        <v>7.9028788530755091E-8</v>
      </c>
      <c r="V82">
        <f t="shared" si="11"/>
        <v>15</v>
      </c>
      <c r="W82">
        <v>9999999</v>
      </c>
      <c r="AA82" s="126">
        <f t="shared" si="14"/>
        <v>4.7838728544653489E-8</v>
      </c>
      <c r="AB82" s="126">
        <f t="shared" si="15"/>
        <v>7.9028788530755091E-8</v>
      </c>
      <c r="AC82" s="126">
        <f t="shared" si="18"/>
        <v>8.914492209635957E-9</v>
      </c>
      <c r="AD82" s="126">
        <f t="shared" si="19"/>
        <v>7.3127095026477306E-9</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0.9999995440902083</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0.17207990991013794</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8.3892614326815731E-2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18</v>
      </c>
      <c r="N83">
        <f t="shared" si="0"/>
        <v>1100</v>
      </c>
      <c r="O83">
        <f t="shared" si="1"/>
        <v>1045</v>
      </c>
      <c r="P83">
        <f t="shared" si="2"/>
        <v>1155</v>
      </c>
      <c r="Q83">
        <f t="shared" si="10"/>
        <v>1</v>
      </c>
      <c r="R83" s="126">
        <f t="shared" si="16"/>
        <v>5.2622601382455019E-8</v>
      </c>
      <c r="S83" s="126">
        <f t="shared" si="17"/>
        <v>8.6823967955861868E-8</v>
      </c>
      <c r="AA83" s="126">
        <f t="shared" si="14"/>
        <v>5.2622601382455019E-8</v>
      </c>
      <c r="AB83" s="126">
        <f t="shared" si="15"/>
        <v>8.6823967955861868E-8</v>
      </c>
      <c r="AC83" s="126">
        <f t="shared" si="18"/>
        <v>8.8095666108236583E-9</v>
      </c>
      <c r="AD83" s="126">
        <f t="shared" si="19"/>
        <v>7.2434517913211813E-9</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0.99999954407408964</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0.17207990991013794</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8.3892614337545232E-2</v>
      </c>
      <c r="E84" s="12">
        <f>IF(Summary!P37="absolute",(R3-N7)/(J2+J2*Summary!P17),R3-N7)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0.17207990995960251</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0.16118960384797706</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8.3892614333248086E-2</v>
      </c>
      <c r="K84">
        <v>100</v>
      </c>
      <c r="L84">
        <v>12</v>
      </c>
      <c r="M84">
        <f t="shared" si="21"/>
        <v>19</v>
      </c>
      <c r="N84">
        <f t="shared" si="0"/>
        <v>1200</v>
      </c>
      <c r="O84">
        <f t="shared" si="1"/>
        <v>1140</v>
      </c>
      <c r="P84">
        <f t="shared" si="2"/>
        <v>1260</v>
      </c>
      <c r="Q84">
        <f t="shared" si="10"/>
        <v>1</v>
      </c>
      <c r="R84" s="126">
        <f t="shared" si="16"/>
        <v>5.7406474217226764E-8</v>
      </c>
      <c r="S84" s="126">
        <f t="shared" si="17"/>
        <v>9.4619147376504132E-8</v>
      </c>
      <c r="AA84" s="126">
        <f t="shared" si="14"/>
        <v>5.7406474217226764E-8</v>
      </c>
      <c r="AB84" s="126">
        <f t="shared" si="15"/>
        <v>9.4619147376504132E-8</v>
      </c>
      <c r="AC84" s="126">
        <f t="shared" si="18"/>
        <v>8.7249654357260871E-9</v>
      </c>
      <c r="AD84" s="126">
        <f t="shared" si="19"/>
        <v>7.1872964520988321E-9</v>
      </c>
      <c r="AE84" s="128"/>
    </row>
    <row r="85" spans="1:31" x14ac:dyDescent="0.35">
      <c r="E85" s="73"/>
      <c r="K85">
        <v>100</v>
      </c>
      <c r="L85">
        <v>13</v>
      </c>
      <c r="M85">
        <f t="shared" si="21"/>
        <v>20</v>
      </c>
      <c r="N85">
        <f t="shared" si="0"/>
        <v>1300</v>
      </c>
      <c r="O85">
        <f t="shared" si="1"/>
        <v>1235</v>
      </c>
      <c r="P85">
        <f t="shared" si="2"/>
        <v>1365</v>
      </c>
      <c r="Q85">
        <f t="shared" si="10"/>
        <v>1</v>
      </c>
      <c r="R85" s="126">
        <f t="shared" si="16"/>
        <v>6.2190347048968726E-8</v>
      </c>
      <c r="S85" s="126">
        <f t="shared" si="17"/>
        <v>1.0241432679268188E-7</v>
      </c>
      <c r="AA85" s="126">
        <f t="shared" si="14"/>
        <v>6.2190347048968726E-8</v>
      </c>
      <c r="AB85" s="126">
        <f t="shared" si="15"/>
        <v>1.0241432679268188E-7</v>
      </c>
      <c r="AC85" s="126">
        <f t="shared" si="18"/>
        <v>8.6553245086581024E-9</v>
      </c>
      <c r="AD85" s="126">
        <f t="shared" si="19"/>
        <v>7.1408570046659198E-9</v>
      </c>
      <c r="AE85" s="128"/>
    </row>
    <row r="86" spans="1:31" x14ac:dyDescent="0.35">
      <c r="K86">
        <v>100</v>
      </c>
      <c r="L86">
        <v>15</v>
      </c>
      <c r="M86">
        <f t="shared" si="21"/>
        <v>21</v>
      </c>
      <c r="N86">
        <f t="shared" si="0"/>
        <v>1500</v>
      </c>
      <c r="O86">
        <f t="shared" si="1"/>
        <v>1425</v>
      </c>
      <c r="P86">
        <f t="shared" si="2"/>
        <v>1575</v>
      </c>
      <c r="Q86">
        <f t="shared" si="10"/>
        <v>1</v>
      </c>
      <c r="R86" s="126">
        <f t="shared" si="16"/>
        <v>7.1758092703363271E-8</v>
      </c>
      <c r="S86" s="126">
        <f t="shared" si="17"/>
        <v>1.1800468561164385E-7</v>
      </c>
      <c r="AA86" s="126">
        <f t="shared" si="14"/>
        <v>7.1758092703363271E-8</v>
      </c>
      <c r="AB86" s="126">
        <f t="shared" si="15"/>
        <v>1.1800468561164385E-7</v>
      </c>
      <c r="AC86" s="126">
        <f t="shared" si="18"/>
        <v>8.54747624903078E-9</v>
      </c>
      <c r="AD86" s="126">
        <f t="shared" si="19"/>
        <v>7.068548374707704E-9</v>
      </c>
      <c r="AE86" s="128"/>
    </row>
    <row r="87" spans="1:31" x14ac:dyDescent="0.35">
      <c r="B87" s="171" t="s">
        <v>362</v>
      </c>
      <c r="C87" s="171"/>
      <c r="K87">
        <v>100</v>
      </c>
      <c r="L87">
        <v>16</v>
      </c>
      <c r="M87">
        <f t="shared" si="21"/>
        <v>22</v>
      </c>
      <c r="N87">
        <f t="shared" si="0"/>
        <v>1600</v>
      </c>
      <c r="O87">
        <f t="shared" si="1"/>
        <v>1520</v>
      </c>
      <c r="P87">
        <f t="shared" si="2"/>
        <v>1680</v>
      </c>
      <c r="Q87">
        <f t="shared" si="10"/>
        <v>1</v>
      </c>
      <c r="R87" s="126">
        <f t="shared" si="16"/>
        <v>7.6541965526015868E-8</v>
      </c>
      <c r="S87" s="126">
        <f t="shared" si="17"/>
        <v>1.2579986501442806E-7</v>
      </c>
      <c r="AA87" s="126">
        <f t="shared" si="14"/>
        <v>7.6541965526015868E-8</v>
      </c>
      <c r="AB87" s="126">
        <f t="shared" si="15"/>
        <v>1.2579986501442806E-7</v>
      </c>
      <c r="AC87" s="126">
        <f t="shared" si="18"/>
        <v>8.5048831526806284E-9</v>
      </c>
      <c r="AD87" s="126">
        <f t="shared" si="19"/>
        <v>7.0398573545301693E-9</v>
      </c>
      <c r="AE87" s="128"/>
    </row>
    <row r="88" spans="1:31" ht="29" x14ac:dyDescent="0.35">
      <c r="B88" t="s">
        <v>355</v>
      </c>
      <c r="C88" t="s">
        <v>363</v>
      </c>
      <c r="D88" t="s">
        <v>364</v>
      </c>
      <c r="E88" s="32" t="str">
        <f>IF(Summary!P37="absolute","find min R2, so that max (Vx) = " &amp; TRUNC(R2/J3,3),"find min R2, so that max (Vx) = " &amp; R2)</f>
        <v>find min R2, so that max (Vx) = 0.3</v>
      </c>
      <c r="F88" s="32" t="s">
        <v>365</v>
      </c>
      <c r="G88" s="32" t="s">
        <v>366</v>
      </c>
      <c r="H88" s="32" t="s">
        <v>367</v>
      </c>
      <c r="K88">
        <v>100</v>
      </c>
      <c r="L88">
        <v>18</v>
      </c>
      <c r="M88">
        <f t="shared" si="21"/>
        <v>23</v>
      </c>
      <c r="N88">
        <f t="shared" si="0"/>
        <v>1800</v>
      </c>
      <c r="O88">
        <f t="shared" si="1"/>
        <v>1710</v>
      </c>
      <c r="P88">
        <f t="shared" si="2"/>
        <v>1890</v>
      </c>
      <c r="Q88">
        <f t="shared" si="10"/>
        <v>1</v>
      </c>
      <c r="R88" s="126">
        <f t="shared" si="16"/>
        <v>8.6109711162231683E-8</v>
      </c>
      <c r="S88" s="126">
        <f t="shared" si="17"/>
        <v>1.4139022380660294E-7</v>
      </c>
      <c r="AA88" s="126">
        <f t="shared" si="14"/>
        <v>8.6109711162231683E-8</v>
      </c>
      <c r="AB88" s="126">
        <f t="shared" si="15"/>
        <v>1.4139022380660294E-7</v>
      </c>
      <c r="AC88" s="126">
        <f t="shared" si="18"/>
        <v>8.4354147514325873E-9</v>
      </c>
      <c r="AD88" s="126">
        <f t="shared" si="19"/>
        <v>6.9928964562884225E-9</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24</v>
      </c>
      <c r="N89">
        <f t="shared" si="0"/>
        <v>2000</v>
      </c>
      <c r="O89">
        <f t="shared" si="1"/>
        <v>1900</v>
      </c>
      <c r="P89">
        <f t="shared" si="2"/>
        <v>2100</v>
      </c>
      <c r="Q89">
        <f t="shared" si="10"/>
        <v>1</v>
      </c>
      <c r="R89" s="126">
        <f t="shared" si="16"/>
        <v>9.5677456786328389E-8</v>
      </c>
      <c r="S89" s="126">
        <f t="shared" si="17"/>
        <v>1.5698058258091983E-7</v>
      </c>
      <c r="AA89" s="126">
        <f t="shared" si="14"/>
        <v>9.5677456786328389E-8</v>
      </c>
      <c r="AB89" s="126">
        <f t="shared" si="15"/>
        <v>1.5698058258091983E-7</v>
      </c>
      <c r="AC89" s="126">
        <f t="shared" si="18"/>
        <v>8.3811769781341117E-9</v>
      </c>
      <c r="AD89" s="126">
        <f t="shared" si="19"/>
        <v>6.9560851730963206E-9</v>
      </c>
      <c r="AE89" s="128"/>
    </row>
    <row r="90" spans="1:31" x14ac:dyDescent="0.35">
      <c r="A90" t="s">
        <v>320</v>
      </c>
      <c r="B90" s="11">
        <f>F11*(1+H11)</f>
        <v>409.5</v>
      </c>
      <c r="C90" s="11">
        <f>F11*(1-H11)</f>
        <v>370.5</v>
      </c>
      <c r="D90" s="11">
        <f>F11*(1+H11)</f>
        <v>409.5</v>
      </c>
      <c r="E90" s="11"/>
      <c r="F90" s="11">
        <f>F11*(1-H11)</f>
        <v>370.5</v>
      </c>
      <c r="G90">
        <f>F11*(1-H11)</f>
        <v>370.5</v>
      </c>
      <c r="H90">
        <f>F11*(1+H11)</f>
        <v>409.5</v>
      </c>
      <c r="K90">
        <v>100</v>
      </c>
      <c r="L90">
        <v>22</v>
      </c>
      <c r="M90">
        <f t="shared" si="21"/>
        <v>25</v>
      </c>
      <c r="N90">
        <f t="shared" si="0"/>
        <v>2200</v>
      </c>
      <c r="O90">
        <f t="shared" si="1"/>
        <v>2090</v>
      </c>
      <c r="P90">
        <f t="shared" si="2"/>
        <v>2310</v>
      </c>
      <c r="Q90">
        <f t="shared" si="10"/>
        <v>1</v>
      </c>
      <c r="R90" s="126">
        <f t="shared" si="16"/>
        <v>1.0524520239830591E-7</v>
      </c>
      <c r="S90" s="126">
        <f t="shared" si="17"/>
        <v>1.7257094133737858E-7</v>
      </c>
      <c r="AA90" s="126">
        <f t="shared" si="14"/>
        <v>1.0524520239830591E-7</v>
      </c>
      <c r="AB90" s="126">
        <f t="shared" si="15"/>
        <v>1.7257094133737858E-7</v>
      </c>
      <c r="AC90" s="126">
        <f t="shared" si="18"/>
        <v>8.3376643102297481E-9</v>
      </c>
      <c r="AD90" s="126">
        <f t="shared" si="19"/>
        <v>6.9264582824063622E-9</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26</v>
      </c>
      <c r="N91">
        <f t="shared" si="0"/>
        <v>2400</v>
      </c>
      <c r="O91">
        <f t="shared" si="1"/>
        <v>2280</v>
      </c>
      <c r="P91">
        <f t="shared" si="2"/>
        <v>2520</v>
      </c>
      <c r="Q91">
        <f t="shared" si="10"/>
        <v>1</v>
      </c>
      <c r="R91" s="126">
        <f t="shared" si="16"/>
        <v>1.1481294799816431E-7</v>
      </c>
      <c r="S91" s="126">
        <f t="shared" si="17"/>
        <v>1.8816130007597937E-7</v>
      </c>
      <c r="AA91" s="126">
        <f t="shared" si="14"/>
        <v>1.1481294799816431E-7</v>
      </c>
      <c r="AB91" s="126">
        <f t="shared" si="15"/>
        <v>1.8816130007597937E-7</v>
      </c>
      <c r="AC91" s="126">
        <f t="shared" si="18"/>
        <v>8.3019866307822125E-9</v>
      </c>
      <c r="AD91" s="126">
        <f t="shared" si="19"/>
        <v>6.9021019909204584E-9</v>
      </c>
      <c r="AE91" s="128"/>
    </row>
    <row r="92" spans="1:31" x14ac:dyDescent="0.35">
      <c r="A92" t="s">
        <v>324</v>
      </c>
      <c r="B92" s="1">
        <f>K21-B93</f>
        <v>14.506962153924308</v>
      </c>
      <c r="C92" s="1">
        <f>K21-C93</f>
        <v>0</v>
      </c>
      <c r="D92" s="1">
        <f>K21-D93</f>
        <v>14.506962153924308</v>
      </c>
      <c r="E92" s="1">
        <f>K21-E93</f>
        <v>0</v>
      </c>
      <c r="F92" s="1">
        <f>K21-F93</f>
        <v>0</v>
      </c>
      <c r="G92" s="1">
        <f>K22-G93</f>
        <v>0</v>
      </c>
      <c r="H92" s="1">
        <f>K22-H93</f>
        <v>8.6969621539243072</v>
      </c>
      <c r="K92">
        <v>100</v>
      </c>
      <c r="L92">
        <v>27</v>
      </c>
      <c r="M92">
        <f t="shared" si="21"/>
        <v>27</v>
      </c>
      <c r="N92">
        <f t="shared" si="0"/>
        <v>2700</v>
      </c>
      <c r="O92">
        <f t="shared" si="1"/>
        <v>2565</v>
      </c>
      <c r="P92">
        <f t="shared" si="2"/>
        <v>2835</v>
      </c>
      <c r="Q92">
        <f t="shared" si="10"/>
        <v>1</v>
      </c>
      <c r="R92" s="126">
        <f t="shared" si="16"/>
        <v>1.2916456637522855E-7</v>
      </c>
      <c r="S92" s="126">
        <f t="shared" si="17"/>
        <v>2.1154683815039663E-7</v>
      </c>
      <c r="AA92" s="126">
        <f t="shared" si="14"/>
        <v>1.2916456637522855E-7</v>
      </c>
      <c r="AB92" s="126">
        <f t="shared" si="15"/>
        <v>2.1154683815039663E-7</v>
      </c>
      <c r="AC92" s="126">
        <f t="shared" si="18"/>
        <v>8.2590880246089488E-9</v>
      </c>
      <c r="AD92" s="126">
        <f t="shared" si="19"/>
        <v>6.8727383476974698E-9</v>
      </c>
      <c r="AE92" s="128"/>
    </row>
    <row r="93" spans="1:31" x14ac:dyDescent="0.35">
      <c r="A93" t="s">
        <v>327</v>
      </c>
      <c r="B93" s="1">
        <f>K21*(1-MAX(K25,K24))</f>
        <v>0</v>
      </c>
      <c r="C93" s="1">
        <f>K21*(1-MIN(K25,K24))</f>
        <v>14.506962153924308</v>
      </c>
      <c r="D93" s="1">
        <f>K21*(1-MAX(K25,K24))</f>
        <v>0</v>
      </c>
      <c r="E93" s="1">
        <f>K21*(1-MIN(K25,K24))</f>
        <v>14.506962153924308</v>
      </c>
      <c r="F93" s="125">
        <f>K21*(1-MIN(K25,K24))</f>
        <v>14.506962153924308</v>
      </c>
      <c r="G93" s="125">
        <f>K22*(1-MIN(K25,K24))</f>
        <v>8.6969621539243072</v>
      </c>
      <c r="H93" s="1">
        <f>K22*(1-MAX(K25,K24))</f>
        <v>0</v>
      </c>
      <c r="K93">
        <v>100</v>
      </c>
      <c r="L93">
        <v>30</v>
      </c>
      <c r="M93">
        <f t="shared" si="21"/>
        <v>28</v>
      </c>
      <c r="N93">
        <f t="shared" si="0"/>
        <v>3000</v>
      </c>
      <c r="O93">
        <f t="shared" si="1"/>
        <v>2850</v>
      </c>
      <c r="P93">
        <f t="shared" si="2"/>
        <v>3150</v>
      </c>
      <c r="Q93">
        <f t="shared" si="10"/>
        <v>1</v>
      </c>
      <c r="R93" s="126">
        <f t="shared" si="16"/>
        <v>1.4351618472502466E-7</v>
      </c>
      <c r="S93" s="126">
        <f t="shared" si="17"/>
        <v>2.3493237618463335E-7</v>
      </c>
      <c r="AA93" s="126">
        <f t="shared" si="14"/>
        <v>1.4351618472502466E-7</v>
      </c>
      <c r="AB93" s="126">
        <f t="shared" si="15"/>
        <v>2.3493237618463335E-7</v>
      </c>
      <c r="AC93" s="126">
        <f t="shared" si="18"/>
        <v>8.2253207030965677E-9</v>
      </c>
      <c r="AD93" s="126">
        <f t="shared" si="19"/>
        <v>6.8495642100371131E-9</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29</v>
      </c>
      <c r="N94">
        <f t="shared" si="0"/>
        <v>3300</v>
      </c>
      <c r="O94">
        <f t="shared" si="1"/>
        <v>3135</v>
      </c>
      <c r="P94">
        <f t="shared" si="2"/>
        <v>3465</v>
      </c>
      <c r="Q94">
        <f t="shared" si="10"/>
        <v>1</v>
      </c>
      <c r="R94" s="126">
        <f t="shared" si="16"/>
        <v>1.5786780304755272E-7</v>
      </c>
      <c r="S94" s="126">
        <f t="shared" si="17"/>
        <v>2.5831791417868944E-7</v>
      </c>
      <c r="AA94" s="126">
        <f t="shared" si="14"/>
        <v>1.5786780304755272E-7</v>
      </c>
      <c r="AB94" s="126">
        <f t="shared" si="15"/>
        <v>2.5831791417868944E-7</v>
      </c>
      <c r="AC94" s="126">
        <f t="shared" si="18"/>
        <v>8.1980522963354229E-9</v>
      </c>
      <c r="AD94" s="126">
        <f t="shared" si="19"/>
        <v>6.8308105019349641E-9</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30</v>
      </c>
      <c r="N95">
        <f t="shared" si="0"/>
        <v>3600</v>
      </c>
      <c r="O95">
        <f t="shared" si="1"/>
        <v>3420</v>
      </c>
      <c r="P95">
        <f t="shared" si="2"/>
        <v>3780</v>
      </c>
      <c r="Q95">
        <f t="shared" si="10"/>
        <v>1</v>
      </c>
      <c r="R95" s="126">
        <f t="shared" si="16"/>
        <v>1.7221942134281266E-7</v>
      </c>
      <c r="S95" s="126">
        <f t="shared" si="17"/>
        <v>2.8170345213256485E-7</v>
      </c>
      <c r="AA95" s="126">
        <f t="shared" si="14"/>
        <v>1.7221942134281266E-7</v>
      </c>
      <c r="AB95" s="126">
        <f t="shared" si="15"/>
        <v>2.8170345213256485E-7</v>
      </c>
      <c r="AC95" s="126">
        <f t="shared" si="18"/>
        <v>8.1755728339207887E-9</v>
      </c>
      <c r="AD95" s="126">
        <f t="shared" si="19"/>
        <v>6.8153233239482335E-9</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1"/>
        <v>31</v>
      </c>
      <c r="N96">
        <f t="shared" si="0"/>
        <v>3900</v>
      </c>
      <c r="O96">
        <f t="shared" si="1"/>
        <v>3705</v>
      </c>
      <c r="P96">
        <f t="shared" si="2"/>
        <v>4095</v>
      </c>
      <c r="Q96">
        <f t="shared" si="10"/>
        <v>0</v>
      </c>
      <c r="R96" s="126">
        <f t="shared" si="16"/>
        <v>1.8657103961080458E-7</v>
      </c>
      <c r="S96" s="126">
        <f t="shared" si="17"/>
        <v>3.0508899004625973E-7</v>
      </c>
      <c r="AA96" s="126">
        <f t="shared" si="14"/>
        <v>1.8657103961080458E-7</v>
      </c>
      <c r="AB96" s="126">
        <f t="shared" si="15"/>
        <v>3.0508899004625973E-7</v>
      </c>
      <c r="AC96" s="126">
        <f t="shared" si="18"/>
        <v>8.1567234896788847E-9</v>
      </c>
      <c r="AD96" s="126">
        <f t="shared" si="19"/>
        <v>6.8023180523063474E-9</v>
      </c>
      <c r="AE96" s="128"/>
    </row>
    <row r="97" spans="1:31" x14ac:dyDescent="0.35">
      <c r="K97">
        <v>100</v>
      </c>
      <c r="L97">
        <v>43</v>
      </c>
      <c r="M97">
        <f t="shared" si="21"/>
        <v>31</v>
      </c>
      <c r="N97">
        <f t="shared" si="0"/>
        <v>4300</v>
      </c>
      <c r="O97">
        <f t="shared" si="1"/>
        <v>4085</v>
      </c>
      <c r="P97">
        <f t="shared" si="2"/>
        <v>4515</v>
      </c>
      <c r="Q97">
        <f t="shared" si="10"/>
        <v>0</v>
      </c>
      <c r="R97" s="126">
        <f t="shared" si="16"/>
        <v>2.0570653059237677E-7</v>
      </c>
      <c r="S97" s="126">
        <f t="shared" si="17"/>
        <v>3.3626970720201638E-7</v>
      </c>
      <c r="AA97" s="126">
        <f t="shared" si="14"/>
        <v>2.0570653059237677E-7</v>
      </c>
      <c r="AB97" s="126">
        <f t="shared" si="15"/>
        <v>3.3626970720201638E-7</v>
      </c>
      <c r="AC97" s="126">
        <f t="shared" si="18"/>
        <v>8.1358666900017634E-9</v>
      </c>
      <c r="AD97" s="126">
        <f t="shared" si="19"/>
        <v>6.7879072427620128E-9</v>
      </c>
      <c r="AE97" s="128"/>
    </row>
    <row r="98" spans="1:31" x14ac:dyDescent="0.35">
      <c r="A98" t="s">
        <v>344</v>
      </c>
      <c r="B98">
        <v>1</v>
      </c>
      <c r="C98">
        <v>1</v>
      </c>
      <c r="D98">
        <v>1</v>
      </c>
      <c r="E98">
        <v>1</v>
      </c>
      <c r="F98">
        <v>1</v>
      </c>
      <c r="G98">
        <v>1</v>
      </c>
      <c r="H98">
        <v>1</v>
      </c>
      <c r="K98">
        <v>100</v>
      </c>
      <c r="L98">
        <v>47</v>
      </c>
      <c r="M98">
        <f t="shared" si="21"/>
        <v>31</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2.2484202152547237E-7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3.6745042428634089E-7</v>
      </c>
      <c r="AA98" s="126">
        <f t="shared" si="14"/>
        <v>2.2484202152547237E-7</v>
      </c>
      <c r="AB98" s="126">
        <f t="shared" si="15"/>
        <v>3.6745042428634089E-7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8.1187064298983527E-9</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6.7760342285877449E-9</v>
      </c>
      <c r="AE98" s="128"/>
    </row>
    <row r="99" spans="1:31" x14ac:dyDescent="0.35">
      <c r="A99" t="s">
        <v>345</v>
      </c>
      <c r="B99">
        <v>1</v>
      </c>
      <c r="C99">
        <v>1</v>
      </c>
      <c r="D99">
        <v>1</v>
      </c>
      <c r="E99">
        <v>1</v>
      </c>
      <c r="F99">
        <v>1</v>
      </c>
      <c r="G99">
        <v>1</v>
      </c>
      <c r="H99">
        <v>1</v>
      </c>
      <c r="K99">
        <v>100</v>
      </c>
      <c r="L99">
        <v>51</v>
      </c>
      <c r="M99">
        <f t="shared" si="21"/>
        <v>31</v>
      </c>
      <c r="N99">
        <f t="shared" si="23"/>
        <v>5100</v>
      </c>
      <c r="O99">
        <f t="shared" si="24"/>
        <v>4845</v>
      </c>
      <c r="P99">
        <f t="shared" si="25"/>
        <v>5355</v>
      </c>
      <c r="Q99">
        <f t="shared" ref="Q99:Q129" si="30">IF($Q$2="N/A",IF(AND((O99&gt;=MAX($H$7:$I$7)),(P99&lt;=MIN($F$7:$G$7)),(P99&lt;=MIN($B$7:$C$7)),(O99&gt;=MAX($D$7:$E$7))),1,0),IF(AND((O99&gt;=MAX($I$7)),(P99&lt;=MIN($G$7)),(P99&lt;=MIN($C$7)),(O99&gt;=MAX($E$7))),1,0))</f>
        <v>0</v>
      </c>
      <c r="R99" s="126">
        <f t="shared" si="26"/>
        <v>2.439775124100915E-7</v>
      </c>
      <c r="S99" s="126">
        <f t="shared" si="27"/>
        <v>3.9863114129923326E-7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2.439775124100915E-7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3.9863114129923326E-7</v>
      </c>
      <c r="AC99" s="126">
        <f t="shared" si="28"/>
        <v>8.104340419885624E-9</v>
      </c>
      <c r="AD99" s="126">
        <f t="shared" si="29"/>
        <v>6.7660831087188079E-9</v>
      </c>
      <c r="AE99" s="128"/>
    </row>
    <row r="100" spans="1:31" x14ac:dyDescent="0.35">
      <c r="A100" t="s">
        <v>346</v>
      </c>
      <c r="B100">
        <v>1</v>
      </c>
      <c r="C100">
        <v>1</v>
      </c>
      <c r="D100">
        <v>1</v>
      </c>
      <c r="E100">
        <v>1</v>
      </c>
      <c r="F100">
        <v>1</v>
      </c>
      <c r="G100">
        <v>1</v>
      </c>
      <c r="H100">
        <v>1</v>
      </c>
      <c r="K100">
        <v>100</v>
      </c>
      <c r="L100">
        <v>56</v>
      </c>
      <c r="M100">
        <f t="shared" si="21"/>
        <v>31</v>
      </c>
      <c r="N100">
        <f t="shared" si="23"/>
        <v>5600</v>
      </c>
      <c r="O100">
        <f t="shared" si="24"/>
        <v>5320</v>
      </c>
      <c r="P100">
        <f t="shared" si="25"/>
        <v>5880</v>
      </c>
      <c r="Q100">
        <f t="shared" si="30"/>
        <v>0</v>
      </c>
      <c r="R100" s="126">
        <f t="shared" si="26"/>
        <v>2.6789687594769503E-7</v>
      </c>
      <c r="S100" s="126">
        <f t="shared" si="27"/>
        <v>4.3760703746489717E-7</v>
      </c>
      <c r="AA100" s="126">
        <f t="shared" si="31"/>
        <v>2.6789687594769503E-7</v>
      </c>
      <c r="AB100" s="126">
        <f t="shared" si="32"/>
        <v>4.3760703746489717E-7</v>
      </c>
      <c r="AC100" s="126">
        <f t="shared" si="28"/>
        <v>8.0893690191348207E-9</v>
      </c>
      <c r="AD100" s="126">
        <f t="shared" si="29"/>
        <v>6.7557014733141304E-9</v>
      </c>
      <c r="AE100" s="128"/>
    </row>
    <row r="101" spans="1:31" x14ac:dyDescent="0.35">
      <c r="K101">
        <v>100</v>
      </c>
      <c r="L101">
        <v>62</v>
      </c>
      <c r="M101">
        <f t="shared" si="21"/>
        <v>31</v>
      </c>
      <c r="N101">
        <f t="shared" si="23"/>
        <v>6200</v>
      </c>
      <c r="O101">
        <f t="shared" si="24"/>
        <v>5890</v>
      </c>
      <c r="P101">
        <f t="shared" si="25"/>
        <v>6510</v>
      </c>
      <c r="Q101">
        <f t="shared" si="30"/>
        <v>0</v>
      </c>
      <c r="R101" s="126">
        <f t="shared" si="26"/>
        <v>2.9660011209283648E-7</v>
      </c>
      <c r="S101" s="126">
        <f t="shared" si="27"/>
        <v>4.8437811271636476E-7</v>
      </c>
      <c r="AA101" s="126">
        <f t="shared" si="31"/>
        <v>2.9660011209283648E-7</v>
      </c>
      <c r="AB101" s="126">
        <f t="shared" si="32"/>
        <v>4.8437811271636476E-7</v>
      </c>
      <c r="AC101" s="126">
        <f t="shared" si="28"/>
        <v>8.0746906802261699E-9</v>
      </c>
      <c r="AD101" s="126">
        <f t="shared" si="29"/>
        <v>6.745511895296577E-9</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0.99999954407408942</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0.14828948632981465</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5.7537397872300784E-2</v>
      </c>
      <c r="E102" s="12">
        <f>IF(Summary!P50="absolute",(R2-N7)/(J3+J3*Summary!P18),R2-N7)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0.1482894863716932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0.13675996029455931</v>
      </c>
      <c r="H102" s="12">
        <f t="shared" si="33"/>
        <v>5.7537397867694282E-2</v>
      </c>
      <c r="K102">
        <v>100</v>
      </c>
      <c r="L102">
        <v>68</v>
      </c>
      <c r="M102">
        <f t="shared" si="21"/>
        <v>31</v>
      </c>
      <c r="N102">
        <f t="shared" si="23"/>
        <v>6800</v>
      </c>
      <c r="O102">
        <f t="shared" si="24"/>
        <v>6460</v>
      </c>
      <c r="P102">
        <f t="shared" si="25"/>
        <v>7140</v>
      </c>
      <c r="Q102">
        <f t="shared" si="30"/>
        <v>0</v>
      </c>
      <c r="R102" s="126">
        <f t="shared" si="26"/>
        <v>3.2530334812890555E-7</v>
      </c>
      <c r="S102" s="126">
        <f t="shared" si="27"/>
        <v>5.3114918780711017E-7</v>
      </c>
      <c r="AA102" s="126">
        <f t="shared" si="31"/>
        <v>3.2530334812890555E-7</v>
      </c>
      <c r="AB102" s="126">
        <f t="shared" si="32"/>
        <v>5.3114918780711017E-7</v>
      </c>
      <c r="AC102" s="126">
        <f t="shared" si="28"/>
        <v>8.0626767094280428E-9</v>
      </c>
      <c r="AD102" s="126">
        <f t="shared" si="29"/>
        <v>6.7371636090074288E-9</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0.9999995440902083</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0.14828948632981465</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5.7537397860798881E-2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0.1482894863716932</v>
      </c>
      <c r="K103">
        <v>100</v>
      </c>
      <c r="L103">
        <v>75</v>
      </c>
      <c r="M103">
        <f t="shared" si="21"/>
        <v>31</v>
      </c>
      <c r="N103">
        <f t="shared" si="23"/>
        <v>7500</v>
      </c>
      <c r="O103">
        <f t="shared" si="24"/>
        <v>7125</v>
      </c>
      <c r="P103">
        <f t="shared" si="25"/>
        <v>7875</v>
      </c>
      <c r="Q103">
        <f t="shared" si="30"/>
        <v>0</v>
      </c>
      <c r="R103" s="126">
        <f t="shared" si="26"/>
        <v>3.5879045669979767E-7</v>
      </c>
      <c r="S103" s="126">
        <f t="shared" si="27"/>
        <v>5.8571544187651114E-7</v>
      </c>
      <c r="AA103" s="126">
        <f t="shared" si="31"/>
        <v>3.5879045669979767E-7</v>
      </c>
      <c r="AB103" s="126">
        <f t="shared" si="32"/>
        <v>5.8571544187651114E-7</v>
      </c>
      <c r="AC103" s="126">
        <f t="shared" si="28"/>
        <v>8.0511529384331319E-9</v>
      </c>
      <c r="AD103" s="126">
        <f t="shared" si="29"/>
        <v>6.7291488889113955E-9</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0.9999995440902083</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0.11494068344802971</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5.7537397860798881E-2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0.77511013276926366</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0.11494068349154803</v>
      </c>
      <c r="K104">
        <v>100</v>
      </c>
      <c r="L104">
        <v>82</v>
      </c>
      <c r="M104">
        <f t="shared" si="21"/>
        <v>31</v>
      </c>
      <c r="N104">
        <f t="shared" si="23"/>
        <v>8200</v>
      </c>
      <c r="O104">
        <f t="shared" si="24"/>
        <v>7790</v>
      </c>
      <c r="P104">
        <f t="shared" si="25"/>
        <v>8610</v>
      </c>
      <c r="Q104">
        <f t="shared" si="30"/>
        <v>0</v>
      </c>
      <c r="R104" s="126">
        <f t="shared" si="26"/>
        <v>3.9227756512223011E-7</v>
      </c>
      <c r="S104" s="126">
        <f t="shared" si="27"/>
        <v>6.4028169572715091E-7</v>
      </c>
      <c r="AA104" s="126">
        <f t="shared" si="31"/>
        <v>3.9227756512223011E-7</v>
      </c>
      <c r="AB104" s="126">
        <f t="shared" si="32"/>
        <v>6.4028169572715091E-7</v>
      </c>
      <c r="AC104" s="126">
        <f t="shared" si="28"/>
        <v>8.0416433673108138E-9</v>
      </c>
      <c r="AD104" s="126">
        <f t="shared" si="29"/>
        <v>6.7225297900348525E-9</v>
      </c>
      <c r="AE104" s="128"/>
    </row>
    <row r="105" spans="1:31" x14ac:dyDescent="0.35">
      <c r="K105">
        <v>100</v>
      </c>
      <c r="L105">
        <v>91</v>
      </c>
      <c r="M105">
        <f t="shared" si="21"/>
        <v>31</v>
      </c>
      <c r="N105">
        <f t="shared" si="23"/>
        <v>9100</v>
      </c>
      <c r="O105">
        <f t="shared" si="24"/>
        <v>8645</v>
      </c>
      <c r="P105">
        <f t="shared" si="25"/>
        <v>9555</v>
      </c>
      <c r="Q105">
        <f t="shared" si="30"/>
        <v>0</v>
      </c>
      <c r="R105" s="126">
        <f t="shared" si="26"/>
        <v>4.3533241859007031E-7</v>
      </c>
      <c r="S105" s="126">
        <f t="shared" si="27"/>
        <v>7.1043830749938601E-7</v>
      </c>
      <c r="AA105" s="126">
        <f t="shared" si="31"/>
        <v>4.3533241859007031E-7</v>
      </c>
      <c r="AB105" s="126">
        <f t="shared" si="32"/>
        <v>7.1043830749938601E-7</v>
      </c>
      <c r="AC105" s="126">
        <f t="shared" si="28"/>
        <v>8.0316125347883174E-9</v>
      </c>
      <c r="AD105" s="126">
        <f t="shared" si="29"/>
        <v>6.715542698292304E-9</v>
      </c>
      <c r="AE105" s="128"/>
    </row>
    <row r="106" spans="1:31" x14ac:dyDescent="0.35">
      <c r="K106">
        <v>1000</v>
      </c>
      <c r="L106">
        <v>10</v>
      </c>
      <c r="M106">
        <f t="shared" si="21"/>
        <v>31</v>
      </c>
      <c r="N106">
        <f t="shared" si="23"/>
        <v>10000</v>
      </c>
      <c r="O106">
        <f t="shared" si="24"/>
        <v>9500</v>
      </c>
      <c r="P106">
        <f t="shared" si="25"/>
        <v>10500</v>
      </c>
      <c r="Q106">
        <f t="shared" si="30"/>
        <v>0</v>
      </c>
      <c r="R106" s="126">
        <f t="shared" si="26"/>
        <v>4.7838727181249776E-7</v>
      </c>
      <c r="S106" s="126">
        <f t="shared" si="27"/>
        <v>7.8059491890999542E-7</v>
      </c>
      <c r="AA106" s="126">
        <f t="shared" si="31"/>
        <v>4.7838727181249776E-7</v>
      </c>
      <c r="AB106" s="126">
        <f t="shared" si="32"/>
        <v>7.8059491890999542E-7</v>
      </c>
      <c r="AC106" s="126">
        <f t="shared" si="28"/>
        <v>8.0234224545020661E-9</v>
      </c>
      <c r="AD106" s="126">
        <f t="shared" si="29"/>
        <v>6.7098338443918256E-9</v>
      </c>
      <c r="AE106" s="128"/>
    </row>
    <row r="107" spans="1:31" x14ac:dyDescent="0.35">
      <c r="K107">
        <v>1000</v>
      </c>
      <c r="L107">
        <v>11</v>
      </c>
      <c r="M107">
        <f t="shared" si="21"/>
        <v>31</v>
      </c>
      <c r="N107">
        <f t="shared" si="23"/>
        <v>11000</v>
      </c>
      <c r="O107">
        <f t="shared" si="24"/>
        <v>10450</v>
      </c>
      <c r="P107">
        <f t="shared" si="25"/>
        <v>11550</v>
      </c>
      <c r="Q107">
        <f t="shared" si="30"/>
        <v>0</v>
      </c>
      <c r="R107" s="126">
        <f t="shared" si="26"/>
        <v>5.2622599732736532E-7</v>
      </c>
      <c r="S107" s="126">
        <f t="shared" si="27"/>
        <v>8.5854670894209963E-7</v>
      </c>
      <c r="AA107" s="126">
        <f t="shared" si="31"/>
        <v>5.2622599732736532E-7</v>
      </c>
      <c r="AB107" s="126">
        <f t="shared" si="32"/>
        <v>8.5854670894209963E-7</v>
      </c>
      <c r="AC107" s="126">
        <f t="shared" si="28"/>
        <v>8.0159220762560622E-9</v>
      </c>
      <c r="AD107" s="126">
        <f t="shared" si="29"/>
        <v>6.704602604838398E-9</v>
      </c>
      <c r="AE107" s="128"/>
    </row>
    <row r="108" spans="1:31" x14ac:dyDescent="0.35">
      <c r="K108">
        <v>1000</v>
      </c>
      <c r="L108">
        <v>12</v>
      </c>
      <c r="M108">
        <f t="shared" si="21"/>
        <v>31</v>
      </c>
      <c r="N108">
        <f t="shared" si="23"/>
        <v>12000</v>
      </c>
      <c r="O108">
        <f t="shared" si="24"/>
        <v>11400</v>
      </c>
      <c r="P108">
        <f t="shared" si="25"/>
        <v>12600</v>
      </c>
      <c r="Q108">
        <f t="shared" si="30"/>
        <v>0</v>
      </c>
      <c r="R108" s="126">
        <f t="shared" si="26"/>
        <v>5.7406472253925428E-7</v>
      </c>
      <c r="S108" s="126">
        <f t="shared" si="27"/>
        <v>9.3649849852775288E-7</v>
      </c>
      <c r="AA108" s="126">
        <f t="shared" si="31"/>
        <v>5.7406472253925428E-7</v>
      </c>
      <c r="AB108" s="126">
        <f t="shared" si="32"/>
        <v>9.3649849852775288E-7</v>
      </c>
      <c r="AC108" s="126">
        <f t="shared" si="28"/>
        <v>8.0096920961485955E-9</v>
      </c>
      <c r="AD108" s="126">
        <f t="shared" si="29"/>
        <v>6.7002551294885222E-9</v>
      </c>
      <c r="AE108" s="128"/>
    </row>
    <row r="109" spans="1:31" x14ac:dyDescent="0.35">
      <c r="K109">
        <v>1000</v>
      </c>
      <c r="L109">
        <v>13</v>
      </c>
      <c r="M109">
        <f t="shared" si="21"/>
        <v>31</v>
      </c>
      <c r="N109">
        <f t="shared" si="23"/>
        <v>13000</v>
      </c>
      <c r="O109">
        <f t="shared" si="24"/>
        <v>12350</v>
      </c>
      <c r="P109">
        <f t="shared" si="25"/>
        <v>13650</v>
      </c>
      <c r="Q109">
        <f t="shared" si="30"/>
        <v>0</v>
      </c>
      <c r="R109" s="126">
        <f t="shared" si="26"/>
        <v>6.2190344744816454E-7</v>
      </c>
      <c r="S109" s="126">
        <f t="shared" si="27"/>
        <v>1.014450287666955E-6</v>
      </c>
      <c r="AA109" s="126">
        <f t="shared" si="31"/>
        <v>6.2190344744816454E-7</v>
      </c>
      <c r="AB109" s="126">
        <f t="shared" si="32"/>
        <v>1.014450287666955E-6</v>
      </c>
      <c r="AC109" s="126">
        <f t="shared" si="28"/>
        <v>8.0044349746976979E-9</v>
      </c>
      <c r="AD109" s="126">
        <f t="shared" si="29"/>
        <v>6.6965849207857654E-9</v>
      </c>
      <c r="AE109" s="128"/>
    </row>
    <row r="110" spans="1:31" x14ac:dyDescent="0.35">
      <c r="K110">
        <v>1000</v>
      </c>
      <c r="L110">
        <v>15</v>
      </c>
      <c r="M110">
        <f t="shared" si="21"/>
        <v>31</v>
      </c>
      <c r="N110">
        <f t="shared" si="23"/>
        <v>15000</v>
      </c>
      <c r="O110">
        <f t="shared" si="24"/>
        <v>14250</v>
      </c>
      <c r="P110">
        <f t="shared" si="25"/>
        <v>15750</v>
      </c>
      <c r="Q110">
        <f t="shared" si="30"/>
        <v>0</v>
      </c>
      <c r="R110" s="126">
        <f t="shared" si="26"/>
        <v>7.1758089635704955E-7</v>
      </c>
      <c r="S110" s="126">
        <f t="shared" si="27"/>
        <v>1.1703538646060053E-6</v>
      </c>
      <c r="AA110" s="126">
        <f t="shared" si="31"/>
        <v>7.1758089635704955E-7</v>
      </c>
      <c r="AB110" s="126">
        <f t="shared" si="32"/>
        <v>1.1703538646060053E-6</v>
      </c>
      <c r="AC110" s="126">
        <f t="shared" si="28"/>
        <v>7.9960509591585766E-9</v>
      </c>
      <c r="AD110" s="126">
        <f t="shared" si="29"/>
        <v>6.6907286113139056E-9</v>
      </c>
      <c r="AE110" s="128"/>
    </row>
    <row r="111" spans="1:31" x14ac:dyDescent="0.35">
      <c r="K111">
        <v>1000</v>
      </c>
      <c r="L111">
        <v>16</v>
      </c>
      <c r="M111">
        <f t="shared" si="21"/>
        <v>31</v>
      </c>
      <c r="N111">
        <f t="shared" si="23"/>
        <v>16000</v>
      </c>
      <c r="O111">
        <f t="shared" si="24"/>
        <v>15200</v>
      </c>
      <c r="P111">
        <f t="shared" si="25"/>
        <v>16800</v>
      </c>
      <c r="Q111">
        <f t="shared" si="30"/>
        <v>0</v>
      </c>
      <c r="R111" s="126">
        <f t="shared" si="26"/>
        <v>7.654196203570241E-7</v>
      </c>
      <c r="S111" s="126">
        <f t="shared" si="27"/>
        <v>1.2483056524058539E-6</v>
      </c>
      <c r="AA111" s="126">
        <f t="shared" si="31"/>
        <v>7.654196203570241E-7</v>
      </c>
      <c r="AB111" s="126">
        <f t="shared" si="32"/>
        <v>1.2483056524058539E-6</v>
      </c>
      <c r="AC111" s="126">
        <f t="shared" si="28"/>
        <v>7.9926545548808064E-9</v>
      </c>
      <c r="AD111" s="126">
        <f t="shared" si="29"/>
        <v>6.6883551077980971E-9</v>
      </c>
      <c r="AE111" s="128"/>
    </row>
    <row r="112" spans="1:31" x14ac:dyDescent="0.35">
      <c r="K112">
        <v>1000</v>
      </c>
      <c r="L112">
        <v>18</v>
      </c>
      <c r="M112">
        <f t="shared" si="21"/>
        <v>31</v>
      </c>
      <c r="N112">
        <f t="shared" si="23"/>
        <v>18000</v>
      </c>
      <c r="O112">
        <f t="shared" si="24"/>
        <v>17100</v>
      </c>
      <c r="P112">
        <f t="shared" si="25"/>
        <v>18900</v>
      </c>
      <c r="Q112">
        <f t="shared" si="30"/>
        <v>0</v>
      </c>
      <c r="R112" s="126">
        <f t="shared" si="26"/>
        <v>8.6109706744803771E-7</v>
      </c>
      <c r="S112" s="126">
        <f t="shared" si="27"/>
        <v>1.4042092266661976E-6</v>
      </c>
      <c r="AA112" s="126">
        <f t="shared" si="31"/>
        <v>8.6109706744803771E-7</v>
      </c>
      <c r="AB112" s="126">
        <f t="shared" si="32"/>
        <v>1.4042092266661976E-6</v>
      </c>
      <c r="AC112" s="126">
        <f t="shared" si="28"/>
        <v>7.9870061790621538E-9</v>
      </c>
      <c r="AD112" s="126">
        <f t="shared" si="29"/>
        <v>6.6844064723025729E-9</v>
      </c>
      <c r="AE112" s="128"/>
    </row>
    <row r="113" spans="11:31" x14ac:dyDescent="0.35">
      <c r="K113">
        <v>1000</v>
      </c>
      <c r="L113">
        <v>20</v>
      </c>
      <c r="M113">
        <f t="shared" si="21"/>
        <v>31</v>
      </c>
      <c r="N113">
        <f t="shared" si="23"/>
        <v>20000</v>
      </c>
      <c r="O113">
        <f t="shared" si="24"/>
        <v>19000</v>
      </c>
      <c r="P113">
        <f t="shared" si="25"/>
        <v>21000</v>
      </c>
      <c r="Q113">
        <f t="shared" si="30"/>
        <v>0</v>
      </c>
      <c r="R113" s="126">
        <f t="shared" si="26"/>
        <v>9.5677451332713712E-7</v>
      </c>
      <c r="S113" s="126">
        <f t="shared" si="27"/>
        <v>1.5601127991407367E-6</v>
      </c>
      <c r="AA113" s="126">
        <f t="shared" si="31"/>
        <v>9.5677451332713712E-7</v>
      </c>
      <c r="AB113" s="126">
        <f t="shared" si="32"/>
        <v>1.5601127991407367E-6</v>
      </c>
      <c r="AC113" s="126">
        <f t="shared" si="28"/>
        <v>7.9824985252319154E-9</v>
      </c>
      <c r="AD113" s="126">
        <f t="shared" si="29"/>
        <v>6.6812540367872136E-9</v>
      </c>
      <c r="AE113" s="128"/>
    </row>
    <row r="114" spans="11:31" x14ac:dyDescent="0.35">
      <c r="K114">
        <v>1000</v>
      </c>
      <c r="L114">
        <v>22</v>
      </c>
      <c r="M114">
        <f t="shared" si="21"/>
        <v>31</v>
      </c>
      <c r="N114">
        <f t="shared" si="23"/>
        <v>22000</v>
      </c>
      <c r="O114">
        <f t="shared" si="24"/>
        <v>20900</v>
      </c>
      <c r="P114">
        <f t="shared" si="25"/>
        <v>23100</v>
      </c>
      <c r="Q114">
        <f t="shared" si="30"/>
        <v>0</v>
      </c>
      <c r="R114" s="126">
        <f t="shared" si="26"/>
        <v>1.052451957994322E-6</v>
      </c>
      <c r="S114" s="126">
        <f t="shared" si="27"/>
        <v>1.7160163698294716E-6</v>
      </c>
      <c r="AA114" s="126">
        <f t="shared" si="31"/>
        <v>1.052451957994322E-6</v>
      </c>
      <c r="AB114" s="126">
        <f t="shared" si="32"/>
        <v>1.7160163698294716E-6</v>
      </c>
      <c r="AC114" s="126">
        <f t="shared" si="28"/>
        <v>7.9788177341234118E-9</v>
      </c>
      <c r="AD114" s="126">
        <f t="shared" si="29"/>
        <v>6.6786790439138996E-9</v>
      </c>
      <c r="AE114" s="128"/>
    </row>
    <row r="115" spans="11:31" x14ac:dyDescent="0.35">
      <c r="K115">
        <v>1000</v>
      </c>
      <c r="L115">
        <v>24</v>
      </c>
      <c r="M115">
        <f t="shared" si="21"/>
        <v>31</v>
      </c>
      <c r="N115">
        <f t="shared" si="23"/>
        <v>24000</v>
      </c>
      <c r="O115">
        <f t="shared" si="24"/>
        <v>22800</v>
      </c>
      <c r="P115">
        <f t="shared" si="25"/>
        <v>25200</v>
      </c>
      <c r="Q115">
        <f t="shared" si="30"/>
        <v>0</v>
      </c>
      <c r="R115" s="126">
        <f t="shared" si="26"/>
        <v>1.1481294014495929E-6</v>
      </c>
      <c r="S115" s="126">
        <f t="shared" si="27"/>
        <v>1.8719199387324022E-6</v>
      </c>
      <c r="AA115" s="126">
        <f t="shared" si="31"/>
        <v>1.1481294014495929E-6</v>
      </c>
      <c r="AB115" s="126">
        <f t="shared" si="32"/>
        <v>1.8719199387324022E-6</v>
      </c>
      <c r="AC115" s="126">
        <f t="shared" si="28"/>
        <v>7.9757554115609769E-9</v>
      </c>
      <c r="AD115" s="126">
        <f t="shared" si="29"/>
        <v>6.6765361499631303E-9</v>
      </c>
      <c r="AE115" s="128"/>
    </row>
    <row r="116" spans="11:31" x14ac:dyDescent="0.35">
      <c r="K116">
        <v>1000</v>
      </c>
      <c r="L116">
        <v>27</v>
      </c>
      <c r="M116">
        <f t="shared" si="21"/>
        <v>31</v>
      </c>
      <c r="N116">
        <f t="shared" si="23"/>
        <v>27000</v>
      </c>
      <c r="O116">
        <f t="shared" si="24"/>
        <v>25650</v>
      </c>
      <c r="P116">
        <f t="shared" si="25"/>
        <v>28350</v>
      </c>
      <c r="Q116">
        <f t="shared" si="30"/>
        <v>0</v>
      </c>
      <c r="R116" s="126">
        <f t="shared" si="26"/>
        <v>1.2916455643601598E-6</v>
      </c>
      <c r="S116" s="126">
        <f t="shared" si="27"/>
        <v>2.1057752887384145E-6</v>
      </c>
      <c r="AA116" s="126">
        <f t="shared" si="31"/>
        <v>1.2916455643601598E-6</v>
      </c>
      <c r="AB116" s="126">
        <f t="shared" si="32"/>
        <v>2.1057752887384145E-6</v>
      </c>
      <c r="AC116" s="126">
        <f t="shared" si="28"/>
        <v>7.9720187406381422E-9</v>
      </c>
      <c r="AD116" s="126">
        <f t="shared" si="29"/>
        <v>6.6739206743717777E-9</v>
      </c>
      <c r="AE116" s="128"/>
    </row>
    <row r="117" spans="11:31" x14ac:dyDescent="0.35">
      <c r="K117">
        <v>1000</v>
      </c>
      <c r="L117">
        <v>30</v>
      </c>
      <c r="M117">
        <f t="shared" si="21"/>
        <v>31</v>
      </c>
      <c r="N117">
        <f t="shared" si="23"/>
        <v>30000</v>
      </c>
      <c r="O117">
        <f t="shared" si="24"/>
        <v>28500</v>
      </c>
      <c r="P117">
        <f t="shared" si="25"/>
        <v>31500</v>
      </c>
      <c r="Q117">
        <f t="shared" si="30"/>
        <v>0</v>
      </c>
      <c r="R117" s="126">
        <f t="shared" si="26"/>
        <v>1.4351617245439204E-6</v>
      </c>
      <c r="S117" s="126">
        <f t="shared" si="27"/>
        <v>2.3396306347263676E-6</v>
      </c>
      <c r="AA117" s="126">
        <f t="shared" si="31"/>
        <v>1.4351617245439204E-6</v>
      </c>
      <c r="AB117" s="126">
        <f t="shared" si="32"/>
        <v>2.3396306347263676E-6</v>
      </c>
      <c r="AC117" s="126">
        <f t="shared" si="28"/>
        <v>7.9690342819573109E-9</v>
      </c>
      <c r="AD117" s="126">
        <f t="shared" si="29"/>
        <v>6.6718311552350963E-9</v>
      </c>
      <c r="AE117" s="128"/>
    </row>
    <row r="118" spans="11:31" x14ac:dyDescent="0.35">
      <c r="K118">
        <v>1000</v>
      </c>
      <c r="L118">
        <v>33</v>
      </c>
      <c r="M118">
        <f t="shared" si="21"/>
        <v>31</v>
      </c>
      <c r="N118">
        <f t="shared" si="23"/>
        <v>33000</v>
      </c>
      <c r="O118">
        <f t="shared" si="24"/>
        <v>31350</v>
      </c>
      <c r="P118">
        <f t="shared" si="25"/>
        <v>34650</v>
      </c>
      <c r="Q118">
        <f t="shared" si="30"/>
        <v>0</v>
      </c>
      <c r="R118" s="126">
        <f t="shared" si="26"/>
        <v>1.5786778820008738E-6</v>
      </c>
      <c r="S118" s="126">
        <f t="shared" si="27"/>
        <v>2.5734859766962598E-6</v>
      </c>
      <c r="AA118" s="126">
        <f t="shared" si="31"/>
        <v>1.5786778820008738E-6</v>
      </c>
      <c r="AB118" s="126">
        <f t="shared" si="32"/>
        <v>2.5734859766962598E-6</v>
      </c>
      <c r="AC118" s="126">
        <f t="shared" si="28"/>
        <v>7.966595673078002E-9</v>
      </c>
      <c r="AD118" s="126">
        <f t="shared" si="29"/>
        <v>6.6701234383958662E-9</v>
      </c>
      <c r="AE118" s="128"/>
    </row>
    <row r="119" spans="11:31" x14ac:dyDescent="0.35">
      <c r="K119">
        <v>1000</v>
      </c>
      <c r="L119">
        <v>36</v>
      </c>
      <c r="M119">
        <f t="shared" si="21"/>
        <v>31</v>
      </c>
      <c r="N119">
        <f t="shared" si="23"/>
        <v>36000</v>
      </c>
      <c r="O119">
        <f t="shared" si="24"/>
        <v>34200</v>
      </c>
      <c r="P119">
        <f t="shared" si="25"/>
        <v>37800</v>
      </c>
      <c r="Q119">
        <f t="shared" si="30"/>
        <v>0</v>
      </c>
      <c r="R119" s="126">
        <f t="shared" si="26"/>
        <v>1.7221940367310205E-6</v>
      </c>
      <c r="S119" s="126">
        <f t="shared" si="27"/>
        <v>2.8073413146480932E-6</v>
      </c>
      <c r="AA119" s="126">
        <f t="shared" si="31"/>
        <v>1.7221940367310205E-6</v>
      </c>
      <c r="AB119" s="126">
        <f t="shared" si="32"/>
        <v>2.8073413146480932E-6</v>
      </c>
      <c r="AC119" s="126">
        <f t="shared" si="28"/>
        <v>7.9645657110617269E-9</v>
      </c>
      <c r="AD119" s="126">
        <f t="shared" si="29"/>
        <v>6.6687016390624745E-9</v>
      </c>
      <c r="AE119" s="128"/>
    </row>
    <row r="120" spans="11:31" x14ac:dyDescent="0.35">
      <c r="K120">
        <v>1000</v>
      </c>
      <c r="L120">
        <v>39</v>
      </c>
      <c r="M120">
        <f t="shared" si="21"/>
        <v>31</v>
      </c>
      <c r="N120">
        <f t="shared" si="23"/>
        <v>39000</v>
      </c>
      <c r="O120">
        <f t="shared" si="24"/>
        <v>37050</v>
      </c>
      <c r="P120">
        <f t="shared" si="25"/>
        <v>40950</v>
      </c>
      <c r="Q120">
        <f t="shared" si="30"/>
        <v>0</v>
      </c>
      <c r="R120" s="126">
        <f t="shared" si="26"/>
        <v>1.8657101887343607E-6</v>
      </c>
      <c r="S120" s="126">
        <f t="shared" si="27"/>
        <v>3.0411966485818675E-6</v>
      </c>
      <c r="AA120" s="126">
        <f t="shared" si="31"/>
        <v>1.8657101887343607E-6</v>
      </c>
      <c r="AB120" s="126">
        <f t="shared" si="32"/>
        <v>3.0411966485818675E-6</v>
      </c>
      <c r="AC120" s="126">
        <f t="shared" si="28"/>
        <v>7.9628496201946766E-9</v>
      </c>
      <c r="AD120" s="126">
        <f t="shared" si="29"/>
        <v>6.6674994990879505E-9</v>
      </c>
      <c r="AE120" s="128"/>
    </row>
    <row r="121" spans="11:31" x14ac:dyDescent="0.35">
      <c r="K121">
        <v>1000</v>
      </c>
      <c r="L121">
        <v>43</v>
      </c>
      <c r="M121">
        <f t="shared" si="21"/>
        <v>31</v>
      </c>
      <c r="N121">
        <f t="shared" si="23"/>
        <v>43000</v>
      </c>
      <c r="O121">
        <f t="shared" si="24"/>
        <v>40850</v>
      </c>
      <c r="P121">
        <f t="shared" si="25"/>
        <v>45150</v>
      </c>
      <c r="Q121">
        <f t="shared" si="30"/>
        <v>0</v>
      </c>
      <c r="R121" s="126">
        <f t="shared" si="26"/>
        <v>2.0570650538304488E-6</v>
      </c>
      <c r="S121" s="126">
        <f t="shared" si="27"/>
        <v>3.3530037542432511E-6</v>
      </c>
      <c r="AA121" s="126">
        <f t="shared" si="31"/>
        <v>2.0570650538304488E-6</v>
      </c>
      <c r="AB121" s="126">
        <f t="shared" si="32"/>
        <v>3.3530037542432511E-6</v>
      </c>
      <c r="AC121" s="126">
        <f t="shared" si="28"/>
        <v>7.960935681661957E-9</v>
      </c>
      <c r="AD121" s="126">
        <f t="shared" si="29"/>
        <v>6.6661585719320785E-9</v>
      </c>
      <c r="AE121" s="128"/>
    </row>
    <row r="122" spans="11:31" x14ac:dyDescent="0.35">
      <c r="K122">
        <v>1000</v>
      </c>
      <c r="L122">
        <v>47</v>
      </c>
      <c r="M122">
        <f t="shared" si="21"/>
        <v>31</v>
      </c>
      <c r="N122">
        <f t="shared" si="23"/>
        <v>47000</v>
      </c>
      <c r="O122">
        <f t="shared" si="24"/>
        <v>44650</v>
      </c>
      <c r="P122">
        <f t="shared" si="25"/>
        <v>49350</v>
      </c>
      <c r="Q122">
        <f t="shared" si="30"/>
        <v>0</v>
      </c>
      <c r="R122" s="126">
        <f t="shared" si="26"/>
        <v>2.2484199140788808E-6</v>
      </c>
      <c r="S122" s="126">
        <f t="shared" si="27"/>
        <v>3.6648108527614191E-6</v>
      </c>
      <c r="AA122" s="126">
        <f t="shared" si="31"/>
        <v>2.2484199140788808E-6</v>
      </c>
      <c r="AB122" s="126">
        <f t="shared" si="32"/>
        <v>3.6648108527614191E-6</v>
      </c>
      <c r="AC122" s="126">
        <f t="shared" si="28"/>
        <v>7.9593488786089413E-9</v>
      </c>
      <c r="AD122" s="126">
        <f t="shared" si="29"/>
        <v>6.6650466853050542E-9</v>
      </c>
      <c r="AE122" s="128"/>
    </row>
    <row r="123" spans="11:31" x14ac:dyDescent="0.35">
      <c r="K123">
        <v>1000</v>
      </c>
      <c r="L123">
        <v>51</v>
      </c>
      <c r="M123">
        <f t="shared" si="21"/>
        <v>31</v>
      </c>
      <c r="N123">
        <f t="shared" si="23"/>
        <v>51000</v>
      </c>
      <c r="O123">
        <f t="shared" si="24"/>
        <v>48450</v>
      </c>
      <c r="P123">
        <f t="shared" si="25"/>
        <v>53550</v>
      </c>
      <c r="Q123">
        <f t="shared" si="30"/>
        <v>0</v>
      </c>
      <c r="R123" s="126">
        <f t="shared" si="26"/>
        <v>2.4397747694796576E-6</v>
      </c>
      <c r="S123" s="126">
        <f t="shared" si="27"/>
        <v>3.9766179441363715E-6</v>
      </c>
      <c r="AA123" s="126">
        <f t="shared" si="31"/>
        <v>2.4397747694796576E-6</v>
      </c>
      <c r="AB123" s="126">
        <f t="shared" si="32"/>
        <v>3.9766179441363715E-6</v>
      </c>
      <c r="AC123" s="126">
        <f t="shared" si="28"/>
        <v>7.9580119426986625E-9</v>
      </c>
      <c r="AD123" s="126">
        <f t="shared" si="29"/>
        <v>6.6641097740398261E-9</v>
      </c>
      <c r="AE123" s="128"/>
    </row>
    <row r="124" spans="11:31" x14ac:dyDescent="0.35">
      <c r="K124">
        <v>1000</v>
      </c>
      <c r="L124">
        <v>56</v>
      </c>
      <c r="M124">
        <f t="shared" si="21"/>
        <v>31</v>
      </c>
      <c r="N124">
        <f t="shared" si="23"/>
        <v>56000</v>
      </c>
      <c r="O124">
        <f t="shared" si="24"/>
        <v>53200</v>
      </c>
      <c r="P124">
        <f t="shared" si="25"/>
        <v>58800</v>
      </c>
      <c r="Q124">
        <f t="shared" si="30"/>
        <v>0</v>
      </c>
      <c r="R124" s="126">
        <f t="shared" si="26"/>
        <v>2.6789683319136128E-6</v>
      </c>
      <c r="S124" s="126">
        <f t="shared" si="27"/>
        <v>4.3663767983099126E-6</v>
      </c>
      <c r="AA124" s="126">
        <f t="shared" si="31"/>
        <v>2.6789683319136128E-6</v>
      </c>
      <c r="AB124" s="126">
        <f t="shared" si="32"/>
        <v>4.3663767983099126E-6</v>
      </c>
      <c r="AC124" s="126">
        <f t="shared" si="28"/>
        <v>7.9566102940696953E-9</v>
      </c>
      <c r="AD124" s="126">
        <f t="shared" si="29"/>
        <v>6.6631274058951747E-9</v>
      </c>
      <c r="AE124" s="128"/>
    </row>
    <row r="125" spans="11:31" x14ac:dyDescent="0.35">
      <c r="K125">
        <v>1000</v>
      </c>
      <c r="L125">
        <v>62</v>
      </c>
      <c r="M125">
        <f t="shared" si="21"/>
        <v>31</v>
      </c>
      <c r="N125">
        <f t="shared" si="23"/>
        <v>62000</v>
      </c>
      <c r="O125">
        <f t="shared" si="24"/>
        <v>58900</v>
      </c>
      <c r="P125">
        <f t="shared" si="25"/>
        <v>65100</v>
      </c>
      <c r="Q125">
        <f t="shared" si="30"/>
        <v>0</v>
      </c>
      <c r="R125" s="126">
        <f t="shared" si="26"/>
        <v>2.9660005968360695E-6</v>
      </c>
      <c r="S125" s="126">
        <f t="shared" si="27"/>
        <v>4.8340874085852812E-6</v>
      </c>
      <c r="AA125" s="126">
        <f t="shared" si="31"/>
        <v>2.9660005968360695E-6</v>
      </c>
      <c r="AB125" s="126">
        <f t="shared" si="32"/>
        <v>4.8340874085852812E-6</v>
      </c>
      <c r="AC125" s="126">
        <f t="shared" si="28"/>
        <v>7.9552276750373606E-9</v>
      </c>
      <c r="AD125" s="126">
        <f t="shared" si="29"/>
        <v>6.6621582676879971E-9</v>
      </c>
      <c r="AE125" s="128"/>
    </row>
    <row r="126" spans="11:31" x14ac:dyDescent="0.35">
      <c r="K126">
        <v>1000</v>
      </c>
      <c r="L126">
        <v>68</v>
      </c>
      <c r="M126">
        <f t="shared" si="21"/>
        <v>31</v>
      </c>
      <c r="N126">
        <f t="shared" si="23"/>
        <v>68000</v>
      </c>
      <c r="O126">
        <f t="shared" si="24"/>
        <v>64600</v>
      </c>
      <c r="P126">
        <f t="shared" si="25"/>
        <v>71400</v>
      </c>
      <c r="Q126">
        <f t="shared" si="30"/>
        <v>0</v>
      </c>
      <c r="R126" s="126">
        <f t="shared" si="26"/>
        <v>3.2530328508513028E-6</v>
      </c>
      <c r="S126" s="126">
        <f t="shared" si="27"/>
        <v>5.3017980027884157E-6</v>
      </c>
      <c r="AA126" s="126">
        <f t="shared" si="31"/>
        <v>3.2530328508513028E-6</v>
      </c>
      <c r="AB126" s="126">
        <f t="shared" si="32"/>
        <v>5.3017980027884157E-6</v>
      </c>
      <c r="AC126" s="126">
        <f t="shared" si="28"/>
        <v>7.9540897512752868E-9</v>
      </c>
      <c r="AD126" s="126">
        <f t="shared" si="29"/>
        <v>6.661360567118358E-9</v>
      </c>
      <c r="AE126" s="128"/>
    </row>
    <row r="127" spans="11:31" x14ac:dyDescent="0.35">
      <c r="K127">
        <v>1000</v>
      </c>
      <c r="L127">
        <v>75</v>
      </c>
      <c r="M127">
        <f t="shared" si="21"/>
        <v>31</v>
      </c>
      <c r="N127">
        <f t="shared" si="23"/>
        <v>75000</v>
      </c>
      <c r="O127">
        <f t="shared" si="24"/>
        <v>71250</v>
      </c>
      <c r="P127">
        <f t="shared" si="25"/>
        <v>78750</v>
      </c>
      <c r="Q127">
        <f t="shared" si="30"/>
        <v>0</v>
      </c>
      <c r="R127" s="126">
        <f t="shared" si="26"/>
        <v>3.5879038000835575E-6</v>
      </c>
      <c r="S127" s="126">
        <f t="shared" si="27"/>
        <v>5.847460342378555E-6</v>
      </c>
      <c r="AA127" s="126">
        <f t="shared" si="31"/>
        <v>3.5879038000835575E-6</v>
      </c>
      <c r="AB127" s="126">
        <f t="shared" si="32"/>
        <v>5.847460342378555E-6</v>
      </c>
      <c r="AC127" s="126">
        <f t="shared" si="28"/>
        <v>7.9529928887966008E-9</v>
      </c>
      <c r="AD127" s="126">
        <f t="shared" si="29"/>
        <v>6.6605915826680116E-9</v>
      </c>
      <c r="AE127" s="128"/>
    </row>
    <row r="128" spans="11:31" x14ac:dyDescent="0.35">
      <c r="K128">
        <v>1000</v>
      </c>
      <c r="L128">
        <v>82</v>
      </c>
      <c r="M128">
        <f t="shared" si="21"/>
        <v>31</v>
      </c>
      <c r="N128">
        <f t="shared" si="23"/>
        <v>82000</v>
      </c>
      <c r="O128">
        <f t="shared" si="24"/>
        <v>77900</v>
      </c>
      <c r="P128">
        <f t="shared" si="25"/>
        <v>86100</v>
      </c>
      <c r="Q128">
        <f t="shared" si="30"/>
        <v>0</v>
      </c>
      <c r="R128" s="126">
        <f t="shared" si="26"/>
        <v>3.9227747344698703E-6</v>
      </c>
      <c r="S128" s="126">
        <f t="shared" si="27"/>
        <v>6.3931226600926013E-6</v>
      </c>
      <c r="AA128" s="126">
        <f t="shared" si="31"/>
        <v>3.9227747344698703E-6</v>
      </c>
      <c r="AB128" s="126">
        <f t="shared" si="32"/>
        <v>6.3931226600926013E-6</v>
      </c>
      <c r="AC128" s="126">
        <f t="shared" si="28"/>
        <v>7.9520837434893756E-9</v>
      </c>
      <c r="AD128" s="126">
        <f t="shared" si="29"/>
        <v>6.6599541513652525E-9</v>
      </c>
      <c r="AE128" s="128"/>
    </row>
    <row r="129" spans="11:31" x14ac:dyDescent="0.35">
      <c r="K129">
        <v>1000</v>
      </c>
      <c r="L129">
        <v>91</v>
      </c>
      <c r="M129">
        <f t="shared" si="21"/>
        <v>31</v>
      </c>
      <c r="N129">
        <f t="shared" si="23"/>
        <v>91000</v>
      </c>
      <c r="O129">
        <f t="shared" si="24"/>
        <v>86450</v>
      </c>
      <c r="P129">
        <f t="shared" si="25"/>
        <v>95550</v>
      </c>
      <c r="Q129">
        <f t="shared" si="30"/>
        <v>0</v>
      </c>
      <c r="R129" s="126">
        <f t="shared" si="26"/>
        <v>4.3533230568664005E-6</v>
      </c>
      <c r="S129" s="126">
        <f t="shared" si="27"/>
        <v>7.0946884650090531E-6</v>
      </c>
      <c r="AA129" s="126">
        <f t="shared" si="31"/>
        <v>4.3533230568664005E-6</v>
      </c>
      <c r="AB129" s="126">
        <f t="shared" si="32"/>
        <v>7.0946884650090531E-6</v>
      </c>
      <c r="AC129" s="126">
        <f t="shared" si="28"/>
        <v>7.9511208064902195E-9</v>
      </c>
      <c r="AD129" s="126">
        <f t="shared" si="29"/>
        <v>6.6592789545739984E-9</v>
      </c>
      <c r="AE129" s="128"/>
    </row>
    <row r="130" spans="11:31" x14ac:dyDescent="0.35">
      <c r="M130">
        <f t="shared" si="21"/>
        <v>31</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523" priority="36" stopIfTrue="1">
      <formula>AND($B$11="need resistor",$C$11&gt;0)</formula>
    </cfRule>
    <cfRule type="containsText" dxfId="522" priority="40" operator="containsText" text="need resistor">
      <formula>NOT(ISERROR(SEARCH("need resistor",B11)))</formula>
    </cfRule>
  </conditionalFormatting>
  <conditionalFormatting sqref="B11:B12">
    <cfRule type="containsText" dxfId="521" priority="38" operator="containsText" text="no need">
      <formula>NOT(ISERROR(SEARCH("no need",B11)))</formula>
    </cfRule>
  </conditionalFormatting>
  <conditionalFormatting sqref="B12">
    <cfRule type="expression" dxfId="520" priority="35" stopIfTrue="1">
      <formula>AND($B$12="need resistor",$C$12&gt;0)</formula>
    </cfRule>
    <cfRule type="containsText" dxfId="519" priority="37" operator="containsText" text="need resistor">
      <formula>NOT(ISERROR(SEARCH("need resistor",B12)))</formula>
    </cfRule>
  </conditionalFormatting>
  <conditionalFormatting sqref="B42">
    <cfRule type="expression" dxfId="518" priority="63">
      <formula>AND($B$42&gt;$S$2,$B$2=1)</formula>
    </cfRule>
    <cfRule type="expression" dxfId="517" priority="62">
      <formula>AND($B$42&lt;$R$2,$B$2=0)</formula>
    </cfRule>
    <cfRule type="expression" dxfId="516" priority="61" stopIfTrue="1">
      <formula>AND($B$42&lt;=$S$2,$B$2=1)</formula>
    </cfRule>
    <cfRule type="expression" dxfId="515" priority="60" stopIfTrue="1">
      <formula>AND($B$42&gt;=$R$2,$B$2=0)</formula>
    </cfRule>
  </conditionalFormatting>
  <conditionalFormatting sqref="B62">
    <cfRule type="expression" dxfId="514" priority="71">
      <formula>AND($B$62&gt;$S$2,$B$2=1)</formula>
    </cfRule>
    <cfRule type="expression" dxfId="513" priority="70">
      <formula>AND($B$62&lt;$R$2,$B$2=0)</formula>
    </cfRule>
    <cfRule type="expression" dxfId="512" priority="69" stopIfTrue="1">
      <formula>AND($B$62&lt;=$S$2,$B$2=1)</formula>
    </cfRule>
    <cfRule type="expression" dxfId="511" priority="68" stopIfTrue="1">
      <formula>AND($B$62&gt;=$R$2,$B$2=0)</formula>
    </cfRule>
  </conditionalFormatting>
  <conditionalFormatting sqref="B84">
    <cfRule type="cellIs" dxfId="510" priority="49" operator="greaterThan">
      <formula>$S$3</formula>
    </cfRule>
    <cfRule type="cellIs" dxfId="509" priority="48" operator="lessThanOrEqual">
      <formula>$S$3</formula>
    </cfRule>
  </conditionalFormatting>
  <conditionalFormatting sqref="B102">
    <cfRule type="cellIs" dxfId="508" priority="53" operator="greaterThan">
      <formula>$S$2</formula>
    </cfRule>
    <cfRule type="cellIs" dxfId="507" priority="52" operator="lessThanOrEqual">
      <formula>$S$2</formula>
    </cfRule>
  </conditionalFormatting>
  <conditionalFormatting sqref="B18:C18">
    <cfRule type="expression" dxfId="506" priority="56" stopIfTrue="1">
      <formula>OR(AND($B$2=0,$C$18&gt;=$R$2),AND($B$2=1,$C$18&lt;=$S$2))</formula>
    </cfRule>
    <cfRule type="expression" dxfId="505" priority="57">
      <formula>OR(AND($B$2=0,$C$18&lt;$R$2),AND($B$2=1,$C$18&gt;$S$2))</formula>
    </cfRule>
  </conditionalFormatting>
  <conditionalFormatting sqref="B19:C19">
    <cfRule type="expression" dxfId="504" priority="59">
      <formula>OR(AND($B$3=0,$C$19&lt;$R$3),AND($B$3=1,$C$19&gt;$S$3))</formula>
    </cfRule>
    <cfRule type="expression" dxfId="503" priority="58" stopIfTrue="1">
      <formula>OR(AND($B$3=0,$C$19&gt;=$R$3),AND($B$3=1,$C$19&lt;=$S$3))</formula>
    </cfRule>
  </conditionalFormatting>
  <conditionalFormatting sqref="C14">
    <cfRule type="cellIs" dxfId="502" priority="30" operator="equal">
      <formula>"no solution"</formula>
    </cfRule>
  </conditionalFormatting>
  <conditionalFormatting sqref="C44">
    <cfRule type="expression" dxfId="501" priority="67">
      <formula>AND($B$44&gt;$S$3,$B$3=1)</formula>
    </cfRule>
    <cfRule type="expression" dxfId="500" priority="66">
      <formula>AND($B$44&lt;$R$3,$B$3=0)</formula>
    </cfRule>
    <cfRule type="expression" dxfId="499" priority="65" stopIfTrue="1">
      <formula>AND($C$44&lt;=$S$3,$B$3=1)</formula>
    </cfRule>
    <cfRule type="expression" dxfId="498" priority="64" stopIfTrue="1">
      <formula>AND($C$44&gt;=$R$3,$B$3=0)</formula>
    </cfRule>
  </conditionalFormatting>
  <conditionalFormatting sqref="C64">
    <cfRule type="expression" dxfId="497" priority="72" stopIfTrue="1">
      <formula>AND($C$64&gt;=$R$3,$B$3=0)</formula>
    </cfRule>
    <cfRule type="expression" dxfId="496" priority="73" stopIfTrue="1">
      <formula>AND($C$64&lt;=$S$3,$B$3=1)</formula>
    </cfRule>
    <cfRule type="expression" dxfId="495" priority="74">
      <formula>AND($B$64&lt;$R$3,$B$3=0)</formula>
    </cfRule>
    <cfRule type="expression" dxfId="494" priority="75">
      <formula>AND($B$64&gt;$S$3,$B$3=1)</formula>
    </cfRule>
  </conditionalFormatting>
  <conditionalFormatting sqref="C102:D102">
    <cfRule type="cellIs" dxfId="493" priority="32" operator="lessThan">
      <formula>$R$2</formula>
    </cfRule>
    <cfRule type="cellIs" dxfId="492" priority="31" operator="greaterThanOrEqual">
      <formula>$R$2</formula>
    </cfRule>
  </conditionalFormatting>
  <conditionalFormatting sqref="C84:H84">
    <cfRule type="cellIs" dxfId="491" priority="17" operator="lessThan">
      <formula>$R$3</formula>
    </cfRule>
    <cfRule type="cellIs" dxfId="490" priority="16" operator="greaterThanOrEqual">
      <formula>$R$3</formula>
    </cfRule>
  </conditionalFormatting>
  <conditionalFormatting sqref="D11">
    <cfRule type="containsText" dxfId="489" priority="43" stopIfTrue="1" operator="containsText" text="please remove resistor">
      <formula>NOT(ISERROR(SEARCH("please remove resistor",D11)))</formula>
    </cfRule>
    <cfRule type="cellIs" dxfId="488" priority="45" operator="greaterThan">
      <formula>$S$2</formula>
    </cfRule>
    <cfRule type="cellIs" dxfId="487" priority="44" operator="lessThan">
      <formula>$S$2</formula>
    </cfRule>
  </conditionalFormatting>
  <conditionalFormatting sqref="D11:D12">
    <cfRule type="cellIs" priority="28" stopIfTrue="1" operator="equal">
      <formula>""</formula>
    </cfRule>
  </conditionalFormatting>
  <conditionalFormatting sqref="D12 E18:E19">
    <cfRule type="cellIs" dxfId="486" priority="42" operator="lessThan">
      <formula>$R$2-$N$7</formula>
    </cfRule>
    <cfRule type="cellIs" dxfId="485" priority="41" operator="greaterThanOrEqual">
      <formula>$R$2-$N$7</formula>
    </cfRule>
  </conditionalFormatting>
  <conditionalFormatting sqref="D18:D19">
    <cfRule type="cellIs" dxfId="484" priority="46" operator="lessThanOrEqual">
      <formula>$S$2+$N$7</formula>
    </cfRule>
    <cfRule type="cellIs" dxfId="483" priority="47" operator="greaterThan">
      <formula>$S$2+$N$7</formula>
    </cfRule>
  </conditionalFormatting>
  <conditionalFormatting sqref="E102">
    <cfRule type="cellIs" dxfId="482" priority="15" operator="lessThan">
      <formula>$R$3</formula>
    </cfRule>
    <cfRule type="cellIs" dxfId="481" priority="14" operator="greaterThanOrEqual">
      <formula>$R$3</formula>
    </cfRule>
  </conditionalFormatting>
  <conditionalFormatting sqref="F21">
    <cfRule type="containsText" dxfId="480" priority="13" operator="containsText" text="failed">
      <formula>NOT(ISERROR(SEARCH("failed",F21)))</formula>
    </cfRule>
  </conditionalFormatting>
  <conditionalFormatting sqref="F22">
    <cfRule type="containsText" dxfId="479" priority="12" operator="containsText" text="fail">
      <formula>NOT(ISERROR(SEARCH("fail",F22)))</formula>
    </cfRule>
  </conditionalFormatting>
  <conditionalFormatting sqref="F23">
    <cfRule type="containsText" dxfId="478" priority="11" operator="containsText" text="failed">
      <formula>NOT(ISERROR(SEARCH("failed",F23)))</formula>
    </cfRule>
  </conditionalFormatting>
  <conditionalFormatting sqref="F102:H102">
    <cfRule type="cellIs" dxfId="477" priority="25" operator="lessThan">
      <formula>$R$2</formula>
    </cfRule>
    <cfRule type="cellIs" dxfId="476" priority="24" operator="greaterThanOrEqual">
      <formula>$R$2</formula>
    </cfRule>
  </conditionalFormatting>
  <conditionalFormatting sqref="G18">
    <cfRule type="cellIs" dxfId="475" priority="6" operator="lessThan">
      <formula>$V$2</formula>
    </cfRule>
    <cfRule type="cellIs" dxfId="474" priority="5" operator="greaterThan">
      <formula>$V$2</formula>
    </cfRule>
  </conditionalFormatting>
  <conditionalFormatting sqref="G19">
    <cfRule type="cellIs" dxfId="473" priority="7" operator="greaterThan">
      <formula>$V$3</formula>
    </cfRule>
    <cfRule type="cellIs" dxfId="472" priority="8" operator="lessThan">
      <formula>$V$3</formula>
    </cfRule>
  </conditionalFormatting>
  <conditionalFormatting sqref="I18:I19">
    <cfRule type="cellIs" dxfId="471" priority="2" operator="lessThan">
      <formula>$W$2</formula>
    </cfRule>
    <cfRule type="cellIs" dxfId="470" priority="1" operator="greaterThan">
      <formula>$W$2</formula>
    </cfRule>
  </conditionalFormatting>
  <conditionalFormatting sqref="I22:I23">
    <cfRule type="cellIs" dxfId="469" priority="3" operator="greaterThan">
      <formula>$W$2</formula>
    </cfRule>
    <cfRule type="cellIs" dxfId="468" priority="4" operator="lessThan">
      <formula>$W$2</formula>
    </cfRule>
  </conditionalFormatting>
  <conditionalFormatting sqref="K12">
    <cfRule type="expression" dxfId="467" priority="76">
      <formula>SEARCH("reduce",$F$23)</formula>
    </cfRule>
    <cfRule type="expression" dxfId="466" priority="77">
      <formula>SEARCH("reduce",$F$21)</formula>
    </cfRule>
  </conditionalFormatting>
  <conditionalFormatting sqref="N2">
    <cfRule type="expression" dxfId="465" priority="78">
      <formula>SEARCH("strength",$F$21)</formula>
    </cfRule>
    <cfRule type="expression" dxfId="464" priority="79">
      <formula>SEARCH("strength",$F$23)</formula>
    </cfRule>
  </conditionalFormatting>
  <hyperlinks>
    <hyperlink ref="N25" location="Summary!A1" display="Link to summary" xr:uid="{F138A672-4952-4F22-AA8F-B620AA942C8E}"/>
  </hyperlinks>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6532C-DCC5-4114-B70E-5B592AC75894}">
  <dimension ref="A1:AK130"/>
  <sheetViews>
    <sheetView topLeftCell="E22"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Summary!Q16</f>
        <v>1.8</v>
      </c>
      <c r="K2" s="10">
        <v>1000000000000</v>
      </c>
      <c r="L2" s="15">
        <v>0.1</v>
      </c>
      <c r="M2" s="15">
        <v>0.1</v>
      </c>
      <c r="N2" s="17">
        <f>Summary!Q26</f>
        <v>50</v>
      </c>
      <c r="O2" s="15">
        <f>Summary!Q88</f>
        <v>0.25</v>
      </c>
      <c r="P2" s="15">
        <f>Summary!Q89</f>
        <v>0.25</v>
      </c>
      <c r="Q2" s="5" t="str">
        <f>Summary!Q27</f>
        <v>disable</v>
      </c>
      <c r="R2" s="5">
        <f>Summary!Q51</f>
        <v>0.3</v>
      </c>
      <c r="S2" s="5">
        <f>Summary!Q52</f>
        <v>0.7</v>
      </c>
      <c r="T2" s="5">
        <f>Summary!Q53</f>
        <v>0.3</v>
      </c>
      <c r="U2" s="5">
        <f>Summary!Q54</f>
        <v>0.7</v>
      </c>
      <c r="V2" s="130">
        <f>Summary!Q55</f>
        <v>4.0000000000000001E-8</v>
      </c>
      <c r="W2" s="130">
        <f>Summary!Q56</f>
        <v>4.0000000000000001E-8</v>
      </c>
      <c r="X2" s="131">
        <f>V2</f>
        <v>4.0000000000000001E-8</v>
      </c>
      <c r="Y2" s="132">
        <f>IF(Summary!Q57="","",Summary!Q57)</f>
        <v>1E-8</v>
      </c>
      <c r="Z2" s="132">
        <f>IF(Summary!Q58="","",Summary!Q58)</f>
        <v>1E-8</v>
      </c>
      <c r="AA2" s="4">
        <f>Summary!Q59</f>
        <v>1E-10</v>
      </c>
      <c r="AB2" s="41">
        <f>Summary!Q81</f>
        <v>4.9999999999999997E-12</v>
      </c>
      <c r="AC2" s="41">
        <f>Summary!Q83</f>
        <v>8.1900000000000013E-12</v>
      </c>
      <c r="AD2" s="3">
        <f>Summary!Q84</f>
        <v>0.69</v>
      </c>
      <c r="AE2" s="41">
        <f>Summary!Q86</f>
        <v>4.9999999999999997E-12</v>
      </c>
      <c r="AF2" s="5">
        <f>Summary!Q87</f>
        <v>2.93</v>
      </c>
      <c r="AG2" s="127" t="str">
        <f>Summary!Q50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Summary!Q16</f>
        <v>1.8</v>
      </c>
      <c r="K3" s="10">
        <v>1000000000000</v>
      </c>
      <c r="L3" s="15">
        <v>0.1</v>
      </c>
      <c r="M3" s="15">
        <v>0.1</v>
      </c>
      <c r="N3">
        <f>Summary!Q97</f>
        <v>50</v>
      </c>
      <c r="O3" s="15">
        <f>Summary!Q98</f>
        <v>0.5</v>
      </c>
      <c r="P3" s="15">
        <f>Summary!Q99</f>
        <v>0</v>
      </c>
      <c r="Q3"/>
      <c r="R3" s="5">
        <f>Summary!Q38</f>
        <v>0.3</v>
      </c>
      <c r="S3" s="5">
        <f>Summary!Q39</f>
        <v>0.7</v>
      </c>
      <c r="T3" s="5">
        <f>Summary!Q42</f>
        <v>0.3</v>
      </c>
      <c r="U3" s="5">
        <f>Summary!Q43</f>
        <v>0.7</v>
      </c>
      <c r="V3" s="130">
        <f>Summary!Q44</f>
        <v>4.0000000000000001E-8</v>
      </c>
      <c r="W3" s="130">
        <f>Summary!Q45</f>
        <v>4.0000000000000001E-8</v>
      </c>
      <c r="X3" s="131">
        <f>V3</f>
        <v>4.0000000000000001E-8</v>
      </c>
      <c r="Y3" s="132">
        <f>IF(Summary!Q46="","",Summary!Q46)</f>
        <v>1E-8</v>
      </c>
      <c r="Z3" s="132">
        <f>IF(Summary!Q47="","",Summary!Q47)</f>
        <v>1E-8</v>
      </c>
      <c r="AA3" s="4">
        <f>Summary!Q59</f>
        <v>1E-10</v>
      </c>
      <c r="AB3" s="41">
        <f>Summary!Q96</f>
        <v>9.9999999999999994E-12</v>
      </c>
      <c r="AG3" s="127" t="str">
        <f>Summary!Q37</f>
        <v>relative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U5" s="138">
        <f>(LN(1-T2)-LN(1-(U2+N7)))</f>
        <v>0.91629073187415488</v>
      </c>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U6" s="138"/>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427329345.73772496</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427329345.73772496</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165.87503585207278</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198.01788887753889</v>
      </c>
      <c r="F7" s="123">
        <f>_xlfn.IFNA(_xlfn.XLOOKUP($X$2,AB34:AB129,P34:P129,,-1), "Out of support PU range")</f>
        <v>493.5</v>
      </c>
      <c r="G7" s="124">
        <f>_xlfn.IFNA(_xlfn.XLOOKUP($X$3,S34:S129,P34:P129,,-1), "Out of support PU range")</f>
        <v>493.5</v>
      </c>
      <c r="H7" s="124">
        <f>_xlfn.IFNA(MAX(_xlfn.XLOOKUP(MAX($Y$2:$AA$2),AA34:AA129,O34:O129,,1), _xlfn.XLOOKUP($W$2,AD34:AD129,O34:O129,,-1)), "Fail AC VIL")</f>
        <v>209</v>
      </c>
      <c r="I7" s="129">
        <f>_xlfn.IFNA(MAX(_xlfn.XLOOKUP(MAX($Y$3:$AA$3),R34:R129,O34:O129,,1), _xlfn.XLOOKUP($W$3,AC34:AC129,O34:O129,,-1)), "Fail AC VIL")</f>
        <v>209</v>
      </c>
      <c r="J7" s="21">
        <v>20000</v>
      </c>
      <c r="K7" s="2">
        <f>MIN(
MIN(FLOOR(B7,10^(LEN(ROUND(B7,0))-1))/10,
FLOOR(C7,10^(LEN(ROUND(C7,0))-1))/10,
IF(F7*10&gt;=J7,FLOOR(F7,10^(LEN(ROUND(F7,0))-1))/10,FLOOR(F7,10^(LEN(ROUND(F7,0))-1))),
FLOOR(G7,10^(LEN(ROUND(G7,0))-1))/10),
MAX(I7,J7)
)</f>
        <v>40</v>
      </c>
      <c r="L7" s="1"/>
      <c r="N7" s="71">
        <f>Summary!Q62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158.7857141952824</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158.7857141952824</v>
      </c>
      <c r="E8">
        <f>X2/(1.204*K18)</f>
        <v>410.04354416329568</v>
      </c>
      <c r="F8">
        <f>X3/(1.204*K18)</f>
        <v>410.04354416329568</v>
      </c>
      <c r="H8">
        <f>AA2/(1.204*K18)</f>
        <v>1.0251088604082392</v>
      </c>
      <c r="I8" s="2">
        <f>AA3/(1.204*K18)</f>
        <v>1.0251088604082392</v>
      </c>
      <c r="J8" s="8">
        <v>20000</v>
      </c>
      <c r="K8">
        <f>MIN(MIN(FLOOR(B8,10^(LEN(ROUND(B8,0))-1))/10,FLOOR(C8,10^(LEN(ROUND(C8,0))-1))/10,FLOOR(E8,10^(LEN(ROUND(E8,0))-1))/10,FLOOR(F8,10^(LEN(ROUND(F8,0))-1))/10),MAX(I8,J8))</f>
        <v>10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Summary!Q24</f>
        <v>390</v>
      </c>
      <c r="D11" s="1">
        <f>IF(AND(B11="no need", C11=""), "",IF(AND(B11="no need", C11&gt;0), "please remove resistor",   IF(AND(B11="need resistor", ISBLANK(C11)), "please enter resistor",  (1/(1/F2+1/F3))/(1/(1/(1/(1/C2+1/C3))+1/C11)+(1/(1/F2+1/F3))) ) ))</f>
        <v>0.99999999922000005</v>
      </c>
      <c r="F11" s="7">
        <f>IF(B11="no need", 1000000000, C11)</f>
        <v>390</v>
      </c>
      <c r="G11" s="7" t="s">
        <v>281</v>
      </c>
      <c r="H11" s="62">
        <f>Summary!Q25</f>
        <v>0.05</v>
      </c>
      <c r="K11" s="6" t="s">
        <v>282</v>
      </c>
      <c r="N11" s="19" t="s">
        <v>283</v>
      </c>
      <c r="P11" s="19" t="s">
        <v>284</v>
      </c>
      <c r="R11" s="127" t="s">
        <v>285</v>
      </c>
      <c r="S11" s="127">
        <f>($J$2+$J$2*Summary!$Q$17)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Summary!Q10</f>
        <v>10</v>
      </c>
      <c r="L12" t="s">
        <v>287</v>
      </c>
      <c r="N12" s="4">
        <f>SUM(AB2:AC3,AE2:AE3)</f>
        <v>2.8189999999999998E-11</v>
      </c>
      <c r="O12" t="s">
        <v>288</v>
      </c>
      <c r="P12" s="61">
        <f>Summary!Q84+Summary!Q87</f>
        <v>3.62</v>
      </c>
      <c r="Q12" t="s">
        <v>289</v>
      </c>
      <c r="R12" s="127" t="s">
        <v>290</v>
      </c>
      <c r="S12" s="127">
        <f>($J$2-$J$2*Summary!$Q$17)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($J$3+$J$3*Summary!$Q$18)</f>
        <v>1.8900000000000001</v>
      </c>
    </row>
    <row r="14" spans="1:37" x14ac:dyDescent="0.35">
      <c r="K14" s="6" t="s">
        <v>293</v>
      </c>
      <c r="N14" s="6" t="s">
        <v>294</v>
      </c>
      <c r="R14" s="127" t="s">
        <v>295</v>
      </c>
      <c r="S14" s="127">
        <f>($J$3-$J$3*Summary!$Q$18)</f>
        <v>1.71</v>
      </c>
    </row>
    <row r="15" spans="1:37" x14ac:dyDescent="0.35">
      <c r="B15" s="2"/>
      <c r="C15" s="2"/>
      <c r="K15" s="3">
        <f>Summary!Q8</f>
        <v>19.988</v>
      </c>
      <c r="L15" t="s">
        <v>296</v>
      </c>
      <c r="N15" s="41">
        <f>Summary!Q9</f>
        <v>2.0800000000000001E-10</v>
      </c>
      <c r="O15" t="s">
        <v>297</v>
      </c>
    </row>
    <row r="16" spans="1:37" x14ac:dyDescent="0.35">
      <c r="A16" t="s">
        <v>298</v>
      </c>
      <c r="F16" t="s">
        <v>299</v>
      </c>
      <c r="H16" t="s">
        <v>300</v>
      </c>
      <c r="AI16" t="e">
        <f>$J$2/(2*VLOOKUP($Q$2,$AI$2:$AK$11,3,FALSE)/1000)</f>
        <v>#DIV/0!</v>
      </c>
      <c r="AJ16" t="e">
        <f>$J$2/(2*VLOOKUP($Q$2,$AI$2:$AK$11,2,FALSE)/1000)</f>
        <v>#DIV/0!</v>
      </c>
    </row>
    <row r="17" spans="1:36" x14ac:dyDescent="0.35">
      <c r="B17" t="s">
        <v>301</v>
      </c>
      <c r="C17" t="s">
        <v>302</v>
      </c>
      <c r="D17" t="s">
        <v>303</v>
      </c>
      <c r="E17" t="s">
        <v>304</v>
      </c>
      <c r="F17" t="s">
        <v>305</v>
      </c>
      <c r="G17" t="s">
        <v>274</v>
      </c>
      <c r="H17" t="s">
        <v>305</v>
      </c>
      <c r="I17" t="s">
        <v>274</v>
      </c>
      <c r="K17" s="6" t="s">
        <v>306</v>
      </c>
      <c r="L17" s="3"/>
      <c r="M17" s="3"/>
      <c r="N17" s="3"/>
      <c r="AI17">
        <f>VLOOKUP($Q$2,$AI$2:$AK$11,3,FALSE)</f>
        <v>0</v>
      </c>
      <c r="AJ17">
        <f>VLOOKUP($Q$2,$AI$2:$AK$11,2,FALSE)</f>
        <v>0</v>
      </c>
    </row>
    <row r="18" spans="1:36" x14ac:dyDescent="0.35">
      <c r="A18" t="s">
        <v>137</v>
      </c>
      <c r="B18">
        <f>B62</f>
        <v>0.99999954407408942</v>
      </c>
      <c r="C18">
        <f>B42</f>
        <v>0.99999966249510797</v>
      </c>
      <c r="D18">
        <f>B102</f>
        <v>0.99999954407408942</v>
      </c>
      <c r="E18">
        <f>C102</f>
        <v>0.14828948632981465</v>
      </c>
      <c r="F18" s="126">
        <f>_xlfn.LET(
_xlpm.Rbus, (1/(1/((1/(1/($G$91+$G$93)+1/$G$90))+$G$92)+1/($G$89))),
_xlpm.VCC, IF($AG$2="absolute",$S$13,1),
_xlpm.Vspec_abs, $U$2-$N$7,
(LN(1-$T$2/_xlpm.VCC)-LN(1-_xlpm.Vspec_abs/_xlpm.VCC))*$K$19*_xlpm.Rbus
)</f>
        <v>1.8657104168454167E-8</v>
      </c>
      <c r="G18" s="128">
        <f>_xlfn.LET(
_xlpm.Rbus, (1/(1/((1/(1/($D$91+$D$93)+1/$D$90))+$D$92)+1/($D$89))),
_xlpm.VCC, IF($AG$2="absolute",$S$14,1),
_xlpm.Vspec_abs, $U$2+$N$7,
(LN(1-$T$2/_xlpm.VCC)-LN(1-_xlpm.Vspec_abs/_xlpm.VCC))*$K$18*_xlpm.Rbus
)</f>
        <v>3.1478193940924747E-8</v>
      </c>
      <c r="H18" s="126">
        <f>_xlfn.LET(
_xlpm.Rbus, (1/(1/((1/(1/($H$96+$H$93)+1/$H$95))+$H$92)+1/($H$94))),
_xlpm.VCC, IF($AG$2="absolute",$S$14,1),
_xlpm.Vspec_abs, $T$2+$N$7,
_xlpm.Vspec_rel, _xlpm.Vspec_abs/_xlpm.VCC,
IFERROR((LN($U$2)-LN(_xlpm.Vspec_rel))*$K$19*_xlpm.Rbus, "Vlow exceeds VIL spec")
)</f>
        <v>1.6968629442640647E-9</v>
      </c>
      <c r="I18" s="128">
        <f>_xlfn.LET(
_xlpm.Rbus, (1/(1/((1/(1/($F$96+$F$93)+1/$F$95))+$F$92)+1/($F$94))),
_xlpm.VCC, IF($AG$2="absolute",$S$13,1),
_xlpm.Vspec_abs, $T$2-$N$7,
_xlpm.Vspec_rel, _xlpm.Vspec_abs/_xlpm.VCC,
IFERROR((LN($U$2)-LN(_xlpm.Vspec_rel))*$K$18*_xlpm.Rbus,"Vlow exceeds VIL spec")
)</f>
        <v>4.7889839777171611E-9</v>
      </c>
      <c r="J18" s="139" t="s">
        <v>307</v>
      </c>
      <c r="K18" s="4">
        <f>Summary!Q102</f>
        <v>8.1022105664211338E-11</v>
      </c>
      <c r="L18" s="22" t="s">
        <v>288</v>
      </c>
      <c r="M18" s="10">
        <f>K18*1000000000000</f>
        <v>81.022105664211338</v>
      </c>
      <c r="N18" t="s">
        <v>308</v>
      </c>
      <c r="O18" s="49">
        <f>N12+K12/39.37*N15</f>
        <v>8.1022105664211338E-11</v>
      </c>
    </row>
    <row r="19" spans="1:36" x14ac:dyDescent="0.35">
      <c r="A19" t="s">
        <v>309</v>
      </c>
      <c r="B19">
        <f>C64</f>
        <v>0.99999954407408942</v>
      </c>
      <c r="C19">
        <f>C44</f>
        <v>0.99999966249510797</v>
      </c>
      <c r="D19">
        <f>B84</f>
        <v>0.99999954407408964</v>
      </c>
      <c r="E19">
        <f>C84</f>
        <v>0.17207990991013794</v>
      </c>
      <c r="F19" s="126">
        <f>_xlfn.LET(
_xlpm.Rbus,(1/(1/((1/(1/($G$77+$G$72)+1/$G$70))+$G$73)+1/($G$71))),
_xlpm.VCC,IF($AG$3="absolute",$S$11,1),
_xlpm.Vspec_abs,$U$3-$N$7,
(LN(1-($T$3/_xlpm.VCC))-LN(1-_xlpm.Vspec_abs/_xlpm.VCC))*$K$19*_xlpm.Rbus
)</f>
        <v>1.8657104168454167E-8</v>
      </c>
      <c r="G19" s="128">
        <f>_xlfn.LET(
_xlpm.Rbus, (1/(1/((1/(1/($D$77+$D$72)+1/$D$70))+$D$73)+1/($D$71))),
_xlpm.VCC, IF($AG$3="absolute",$S$12,1),
_xlpm.Vspec_abs, $U$3+$N$7,
(LN(1-$T$3/_xlpm.VCC)-LN(1-_xlpm.Vspec_abs/_xlpm.VCC))*$K$18*_xlpm.Rbus
)</f>
        <v>3.1478193940924747E-8</v>
      </c>
      <c r="H19" s="126">
        <f>_xlfn.LET(
_xlpm.Rbus, (1/(1/((1/(1/($H$74+$H$72)+1/$H$75))+$H$73)+1/($H$76))),
_xlpm.VCC, IF($AG$3="absolute",$S$12,1),
_xlpm.Vspec_abs, $T$3+$N$7,
_xlpm.Vspec_rel, _xlpm.Vspec_abs/_xlpm.VCC,
IFERROR((LN($U$3)-LN(_xlpm.Vspec_rel))*$K$19*_xlpm.Rbus, "Vlow exceeds VIL spec")
)</f>
        <v>2.3263198569803835E-9</v>
      </c>
      <c r="I19" s="128">
        <f>_xlfn.LET(
_xlpm.Rbus, (1/(1/((1/(1/($F$74+$F$72)+1/$F$75))+$F$73)+1/($F$76))),
_xlpm.VCC, IF($AG$3="absolute",$S$11,1),
_xlpm.Vspec_abs, $T$3-$N$7,
_xlpm.Vspec_rel, _xlpm.Vspec_abs/_xlpm.VCC,
IFERROR((LN($U$3)-LN(_xlpm.Vspec_rel))*$K$18*_xlpm.Rbus,"Vlow exceeds VIL spec")
)</f>
        <v>5.716981414329966E-9</v>
      </c>
      <c r="J19" s="139" t="s">
        <v>310</v>
      </c>
      <c r="K19" s="4">
        <f>Summary!Q101</f>
        <v>6.4332105664211329E-11</v>
      </c>
      <c r="L19" t="s">
        <v>288</v>
      </c>
    </row>
    <row r="20" spans="1:36" x14ac:dyDescent="0.35">
      <c r="J20" s="139"/>
      <c r="K20" s="6" t="s">
        <v>311</v>
      </c>
    </row>
    <row r="21" spans="1:36" x14ac:dyDescent="0.35">
      <c r="E21" s="120" t="s">
        <v>137</v>
      </c>
      <c r="F21" t="str">
        <f>IF(OR(AND(E18&gt;(R2-N7), Summary!Q50="relative"), AND(E18&gt;(R2-N7)/(J3+J3*Summary!Q18), Summary!Q50="absolute")),IF(U29="no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IF(OR(Summary!Q24&gt;Summary!Q22,Summary!Q24&lt;Summary!Q21), "- ensure board PU is within recommended range" &amp; CHAR(10),) &amp; "- reduce MB trace length",""))</f>
        <v/>
      </c>
      <c r="J21" s="139" t="s">
        <v>307</v>
      </c>
      <c r="K21" s="5">
        <f>Summary!Q104</f>
        <v>14.506962153924308</v>
      </c>
      <c r="L21" t="s">
        <v>289</v>
      </c>
    </row>
    <row r="22" spans="1:3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s="5">
        <f>Summary!Q103</f>
        <v>8.6969621539243072</v>
      </c>
      <c r="L22" t="s">
        <v>289</v>
      </c>
    </row>
    <row r="23" spans="1:36" x14ac:dyDescent="0.35">
      <c r="B23" s="171" t="s">
        <v>313</v>
      </c>
      <c r="C23" s="171"/>
      <c r="D23" t="s">
        <v>314</v>
      </c>
      <c r="E23" s="175"/>
      <c r="F23" t="str">
        <f>IF(F22="",IF(OR(AND(E19&lt;=(R3-N7), Summary!Q37="relative"),AND(E19&lt;=(R3-N7)/(J2+J2*Summary!Q17), Summary!Q37="absolute")),IF(OR(G19&gt;V3,I19&gt;W3), IF(N2=MIN(AH2:AH5), "failed max rise/fall time spec, recommendations:" &amp; CHAR(10) &amp; "-reduce MB trace length" &amp; CHAR(10) &amp; "-increase trace width (reduce MB trace resistance per length)", "failed max rise/fall time spec, recommendations:" &amp; CHAR(10) &amp; IF(OR(Summary!Q24&gt;Summary!Q22,Summary!Q24&lt;Summary!Q21),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36" x14ac:dyDescent="0.35">
      <c r="B24" t="s">
        <v>316</v>
      </c>
      <c r="C24" t="s">
        <v>317</v>
      </c>
      <c r="K24" s="18">
        <f>Summary!Q13</f>
        <v>0</v>
      </c>
      <c r="L24" t="s">
        <v>305</v>
      </c>
    </row>
    <row r="25" spans="1:36" x14ac:dyDescent="0.35">
      <c r="A25" t="s">
        <v>318</v>
      </c>
      <c r="B25" s="11">
        <f>C2*(1-D2)</f>
        <v>900000000000</v>
      </c>
      <c r="C25" s="11">
        <f>C2*(1-D2)</f>
        <v>900000000000</v>
      </c>
      <c r="K25" s="18">
        <f>Summary!Q14</f>
        <v>1</v>
      </c>
      <c r="L25" t="s">
        <v>274</v>
      </c>
      <c r="N25" s="72" t="s">
        <v>319</v>
      </c>
    </row>
    <row r="26" spans="1:36" x14ac:dyDescent="0.35">
      <c r="A26" t="s">
        <v>320</v>
      </c>
      <c r="B26" s="11">
        <f>F11*(1-H11)</f>
        <v>370.5</v>
      </c>
      <c r="C26" s="11">
        <f>F11*(1-H11)</f>
        <v>370.5</v>
      </c>
      <c r="Q26" t="s">
        <v>321</v>
      </c>
    </row>
    <row r="27" spans="1:36" x14ac:dyDescent="0.35">
      <c r="A27" t="s">
        <v>322</v>
      </c>
      <c r="B27" s="11">
        <f>C3*(1-D3)</f>
        <v>900000000000</v>
      </c>
      <c r="C27" s="11">
        <f>C3*(1-D3)</f>
        <v>900000000000</v>
      </c>
      <c r="Q27" t="s">
        <v>323</v>
      </c>
    </row>
    <row r="28" spans="1:36" x14ac:dyDescent="0.35">
      <c r="A28" t="s">
        <v>324</v>
      </c>
      <c r="B28" s="1">
        <f>K21</f>
        <v>14.506962153924308</v>
      </c>
      <c r="C28">
        <v>0</v>
      </c>
      <c r="Q28" t="s">
        <v>325</v>
      </c>
      <c r="V28" t="s">
        <v>305</v>
      </c>
      <c r="W28" t="s">
        <v>274</v>
      </c>
      <c r="X28" t="s">
        <v>326</v>
      </c>
    </row>
    <row r="29" spans="1:36" x14ac:dyDescent="0.35">
      <c r="A29" t="s">
        <v>327</v>
      </c>
      <c r="B29">
        <v>0</v>
      </c>
      <c r="C29" s="1">
        <f>K21</f>
        <v>14.506962153924308</v>
      </c>
      <c r="F29" s="11"/>
      <c r="T29" t="s">
        <v>328</v>
      </c>
      <c r="U29">
        <f>IF(IF(ISBLANK(Summary!Q25),IF(U30=W82,L30,U30),IF(Summary!Q25=5%,L30,U30))=N130,"no solution",IF(ISBLANK(Summary!Q25),IF(U30=W82,L30,U30),IF(Summary!Q25=5%,L30,U30)))</f>
        <v>330</v>
      </c>
      <c r="V29">
        <f>IFERROR(IF(X29=5%,VLOOKUP(1,M34:N129,2,FALSE),VLOOKUP(1,V34:W81,2,FALSE)),"no solution")</f>
        <v>220</v>
      </c>
      <c r="W29">
        <f>IF(U29="no solution","no solution",IF(X29=5%,VLOOKUP(MAX(M34:M129)-1,M34:N129,2,FALSE),VLOOKUP(MAX(V34:V81)-1,V34:W81,2,FALSE)))</f>
        <v>470</v>
      </c>
      <c r="X29" s="64">
        <f>Summary!Q25</f>
        <v>0.05</v>
      </c>
    </row>
    <row r="30" spans="1:36" x14ac:dyDescent="0.35">
      <c r="A30" t="s">
        <v>329</v>
      </c>
      <c r="B30" s="11">
        <f>F2*(1+H2)</f>
        <v>1100000000000</v>
      </c>
      <c r="C30" s="11">
        <f>F2*(1+H2)</f>
        <v>1100000000000</v>
      </c>
      <c r="K30" t="s">
        <v>330</v>
      </c>
      <c r="L30">
        <f>VLOOKUP(Q31,M34:Q154,2)</f>
        <v>330</v>
      </c>
      <c r="T30" t="s">
        <v>331</v>
      </c>
      <c r="U30">
        <f>VLOOKUP(Z31,V34:W82,2)</f>
        <v>330</v>
      </c>
    </row>
    <row r="31" spans="1:36" x14ac:dyDescent="0.35">
      <c r="A31" t="s">
        <v>332</v>
      </c>
      <c r="B31" s="11">
        <f>F12*(1+H12)</f>
        <v>1100000000</v>
      </c>
      <c r="C31" s="11">
        <f>F12*(1+H12)</f>
        <v>1100000000</v>
      </c>
      <c r="Q31" cm="1">
        <f t="array" ref="Q31">MAX(M34:M129+1)/2</f>
        <v>5.5</v>
      </c>
      <c r="Z31" cm="1">
        <f t="array" ref="Z31">MAX(V34:V81+1)/2</f>
        <v>2.5</v>
      </c>
    </row>
    <row r="32" spans="1:3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4.783872869462792E-10</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1.8565119813152651E-9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4.783872869462792E-10</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1.8565119813152651E-9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5.2622601563924061E-10</v>
      </c>
      <c r="S35" s="126">
        <f t="shared" si="4"/>
        <v>1.9344637760304184E-9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5.2622601563924061E-10</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1.9344637760304184E-9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5.7406474433189906E-10</v>
      </c>
      <c r="S36" s="126">
        <f t="shared" si="4"/>
        <v>2.0124155707451262E-9</v>
      </c>
      <c r="T36">
        <v>1</v>
      </c>
      <c r="U36">
        <v>15</v>
      </c>
      <c r="V36">
        <f t="shared" si="11"/>
        <v>0</v>
      </c>
      <c r="W36">
        <f t="shared" si="12"/>
        <v>15</v>
      </c>
      <c r="X36">
        <f t="shared" si="5"/>
        <v>13.5</v>
      </c>
      <c r="Y36">
        <f t="shared" si="6"/>
        <v>16.5</v>
      </c>
      <c r="Z36">
        <f t="shared" si="13"/>
        <v>0</v>
      </c>
      <c r="AA36" s="126">
        <f t="shared" si="14"/>
        <v>5.7406474433189906E-10</v>
      </c>
      <c r="AB36" s="126">
        <f t="shared" si="15"/>
        <v>2.0124155707451262E-9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6.2190347302425477E-10</v>
      </c>
      <c r="S37" s="126">
        <f t="shared" si="4"/>
        <v>2.0903673654593866E-9</v>
      </c>
      <c r="T37">
        <v>1</v>
      </c>
      <c r="U37">
        <v>18</v>
      </c>
      <c r="V37">
        <f t="shared" si="11"/>
        <v>0</v>
      </c>
      <c r="W37">
        <f t="shared" si="12"/>
        <v>18</v>
      </c>
      <c r="X37">
        <f t="shared" si="5"/>
        <v>16.2</v>
      </c>
      <c r="Y37">
        <f t="shared" si="6"/>
        <v>19.8</v>
      </c>
      <c r="Z37">
        <f t="shared" si="13"/>
        <v>0</v>
      </c>
      <c r="AA37" s="126">
        <f t="shared" si="14"/>
        <v>6.2190347302425477E-10</v>
      </c>
      <c r="AB37" s="126">
        <f t="shared" si="15"/>
        <v>2.0903673654593866E-9</v>
      </c>
      <c r="AC37" s="126" t="str">
        <f t="shared" si="7"/>
        <v>Vlow exceeds VIL spec</v>
      </c>
      <c r="AD37" s="126" t="str">
        <f t="shared" si="8"/>
        <v>Vlow exceeds VIL spec</v>
      </c>
    </row>
    <row r="38" spans="1:30" x14ac:dyDescent="0.35">
      <c r="A38" t="s">
        <v>347</v>
      </c>
      <c r="B38" s="125">
        <f>IF(Summary!Q50="absolute",(S2+N7)/(J3-J3*Summary!Q18),S2+N7)</f>
        <v>0.72</v>
      </c>
      <c r="K38">
        <v>1</v>
      </c>
      <c r="L38">
        <v>15</v>
      </c>
      <c r="M38">
        <f t="shared" si="9"/>
        <v>0</v>
      </c>
      <c r="N38">
        <f t="shared" si="0"/>
        <v>15</v>
      </c>
      <c r="O38">
        <f t="shared" si="1"/>
        <v>14.25</v>
      </c>
      <c r="P38">
        <f t="shared" si="2"/>
        <v>15.75</v>
      </c>
      <c r="Q38">
        <f t="shared" si="10"/>
        <v>0</v>
      </c>
      <c r="R38" s="126">
        <f t="shared" si="3"/>
        <v>7.1758093040805701E-10</v>
      </c>
      <c r="S38" s="126">
        <f t="shared" si="4"/>
        <v>2.2462709548865697E-9</v>
      </c>
      <c r="T38">
        <v>1</v>
      </c>
      <c r="U38">
        <v>22</v>
      </c>
      <c r="V38">
        <f t="shared" si="11"/>
        <v>0</v>
      </c>
      <c r="W38">
        <f t="shared" si="12"/>
        <v>22</v>
      </c>
      <c r="X38">
        <f t="shared" si="5"/>
        <v>19.8</v>
      </c>
      <c r="Y38">
        <f t="shared" si="6"/>
        <v>24.200000000000003</v>
      </c>
      <c r="Z38">
        <f t="shared" si="13"/>
        <v>0</v>
      </c>
      <c r="AA38" s="126">
        <f t="shared" si="14"/>
        <v>7.1758093040805701E-10</v>
      </c>
      <c r="AB38" s="126">
        <f t="shared" si="15"/>
        <v>2.2462709548865697E-9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7.6541965909950354E-10</v>
      </c>
      <c r="S39" s="126">
        <f t="shared" si="4"/>
        <v>2.3242227495994904E-9</v>
      </c>
      <c r="T39">
        <v>1</v>
      </c>
      <c r="U39">
        <v>27</v>
      </c>
      <c r="V39">
        <f t="shared" si="11"/>
        <v>0</v>
      </c>
      <c r="W39">
        <f t="shared" si="12"/>
        <v>27</v>
      </c>
      <c r="X39">
        <f t="shared" si="5"/>
        <v>24.3</v>
      </c>
      <c r="Y39">
        <f t="shared" si="6"/>
        <v>29.700000000000003</v>
      </c>
      <c r="Z39">
        <f t="shared" si="13"/>
        <v>0</v>
      </c>
      <c r="AA39" s="126">
        <f t="shared" si="14"/>
        <v>7.6541965909950354E-10</v>
      </c>
      <c r="AB39" s="126">
        <f t="shared" si="15"/>
        <v>2.3242227495994904E-9</v>
      </c>
      <c r="AC39" s="126" t="str">
        <f t="shared" si="7"/>
        <v>Vlow exceeds VIL spec</v>
      </c>
      <c r="AD39" s="126" t="str">
        <f t="shared" si="8"/>
        <v>Vlow exceeds VIL spec</v>
      </c>
    </row>
    <row r="40" spans="1:30" x14ac:dyDescent="0.35">
      <c r="A40" t="s">
        <v>349</v>
      </c>
      <c r="C40" s="125">
        <f>IF(Summary!Q37="absolute",(S3+N7)/(J2-J2*Summary!Q17),S3+N7)</f>
        <v>0.72</v>
      </c>
      <c r="K40">
        <v>1</v>
      </c>
      <c r="L40">
        <v>18</v>
      </c>
      <c r="M40">
        <f t="shared" si="9"/>
        <v>0</v>
      </c>
      <c r="N40">
        <f t="shared" si="0"/>
        <v>18</v>
      </c>
      <c r="O40">
        <f t="shared" si="1"/>
        <v>17.099999999999998</v>
      </c>
      <c r="P40">
        <f t="shared" si="2"/>
        <v>18.900000000000002</v>
      </c>
      <c r="Q40">
        <f t="shared" si="10"/>
        <v>0</v>
      </c>
      <c r="R40" s="126">
        <f t="shared" si="3"/>
        <v>8.6109711648148774E-10</v>
      </c>
      <c r="S40" s="126">
        <f t="shared" si="4"/>
        <v>2.4801263390239943E-9</v>
      </c>
      <c r="T40">
        <v>1</v>
      </c>
      <c r="U40">
        <v>33</v>
      </c>
      <c r="V40">
        <f t="shared" si="11"/>
        <v>0</v>
      </c>
      <c r="W40">
        <f t="shared" si="12"/>
        <v>33</v>
      </c>
      <c r="X40">
        <f t="shared" si="5"/>
        <v>29.7</v>
      </c>
      <c r="Y40">
        <f t="shared" si="6"/>
        <v>36.300000000000004</v>
      </c>
      <c r="Z40">
        <f t="shared" si="13"/>
        <v>0</v>
      </c>
      <c r="AA40" s="126">
        <f t="shared" si="14"/>
        <v>8.6109711648148774E-10</v>
      </c>
      <c r="AB40" s="126">
        <f t="shared" si="15"/>
        <v>2.4801263390239943E-9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9.5677457386226022E-10</v>
      </c>
      <c r="S41" s="126">
        <f t="shared" si="4"/>
        <v>2.6360299284467119E-9</v>
      </c>
      <c r="T41">
        <v>1</v>
      </c>
      <c r="U41">
        <v>39</v>
      </c>
      <c r="V41">
        <f t="shared" si="11"/>
        <v>0</v>
      </c>
      <c r="W41">
        <f t="shared" si="12"/>
        <v>39</v>
      </c>
      <c r="X41">
        <f t="shared" si="5"/>
        <v>35.1</v>
      </c>
      <c r="Y41">
        <f t="shared" si="6"/>
        <v>42.900000000000006</v>
      </c>
      <c r="Z41">
        <f t="shared" si="13"/>
        <v>0</v>
      </c>
      <c r="AA41" s="126">
        <f t="shared" si="14"/>
        <v>9.5677457386226022E-10</v>
      </c>
      <c r="AB41" s="126">
        <f t="shared" si="15"/>
        <v>2.6360299284467119E-9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0.99999966249510797</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0.99999966250829608</v>
      </c>
      <c r="K42">
        <v>1</v>
      </c>
      <c r="L42">
        <v>22</v>
      </c>
      <c r="M42">
        <f t="shared" si="9"/>
        <v>0</v>
      </c>
      <c r="N42">
        <f t="shared" si="0"/>
        <v>22</v>
      </c>
      <c r="O42">
        <f t="shared" si="1"/>
        <v>20.9</v>
      </c>
      <c r="P42">
        <f t="shared" si="2"/>
        <v>23.1</v>
      </c>
      <c r="Q42">
        <f t="shared" si="10"/>
        <v>0</v>
      </c>
      <c r="R42" s="126">
        <f t="shared" si="3"/>
        <v>1.0524520312418208E-9</v>
      </c>
      <c r="S42" s="126">
        <f t="shared" si="4"/>
        <v>2.791933517867644E-9</v>
      </c>
      <c r="T42">
        <v>1</v>
      </c>
      <c r="U42">
        <v>47</v>
      </c>
      <c r="V42">
        <f t="shared" si="11"/>
        <v>0</v>
      </c>
      <c r="W42">
        <f t="shared" si="12"/>
        <v>47</v>
      </c>
      <c r="X42">
        <f t="shared" si="5"/>
        <v>42.300000000000004</v>
      </c>
      <c r="Y42">
        <f t="shared" si="6"/>
        <v>51.7</v>
      </c>
      <c r="Z42">
        <f t="shared" si="13"/>
        <v>0</v>
      </c>
      <c r="AA42" s="126">
        <f t="shared" si="14"/>
        <v>1.0524520312418208E-9</v>
      </c>
      <c r="AB42" s="126">
        <f t="shared" si="15"/>
        <v>2.791933517867644E-9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0.99999966250829608</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0.99999966250829608</v>
      </c>
      <c r="K43">
        <v>1</v>
      </c>
      <c r="L43">
        <v>24</v>
      </c>
      <c r="M43">
        <f t="shared" si="9"/>
        <v>0</v>
      </c>
      <c r="N43">
        <f t="shared" si="0"/>
        <v>24</v>
      </c>
      <c r="O43">
        <f t="shared" si="1"/>
        <v>22.799999999999997</v>
      </c>
      <c r="P43">
        <f t="shared" si="2"/>
        <v>25.200000000000003</v>
      </c>
      <c r="Q43">
        <f t="shared" si="10"/>
        <v>0</v>
      </c>
      <c r="R43" s="126">
        <f t="shared" si="3"/>
        <v>1.1481294886201691E-9</v>
      </c>
      <c r="S43" s="126">
        <f t="shared" si="4"/>
        <v>2.9478371072867907E-9</v>
      </c>
      <c r="T43">
        <v>1</v>
      </c>
      <c r="U43">
        <v>56</v>
      </c>
      <c r="V43">
        <f t="shared" si="11"/>
        <v>0</v>
      </c>
      <c r="W43">
        <f t="shared" si="12"/>
        <v>56</v>
      </c>
      <c r="X43">
        <f t="shared" si="5"/>
        <v>50.4</v>
      </c>
      <c r="Y43">
        <f t="shared" si="6"/>
        <v>61.600000000000009</v>
      </c>
      <c r="Z43">
        <f t="shared" si="13"/>
        <v>0</v>
      </c>
      <c r="AA43" s="126">
        <f t="shared" si="14"/>
        <v>1.1481294886201691E-9</v>
      </c>
      <c r="AB43" s="126">
        <f t="shared" si="15"/>
        <v>2.9478371072867907E-9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0.99999966250829608</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0.99999966249510797</v>
      </c>
      <c r="K44">
        <v>1</v>
      </c>
      <c r="L44">
        <v>27</v>
      </c>
      <c r="M44">
        <f t="shared" si="9"/>
        <v>0</v>
      </c>
      <c r="N44">
        <f t="shared" si="0"/>
        <v>27</v>
      </c>
      <c r="O44">
        <f t="shared" si="1"/>
        <v>25.65</v>
      </c>
      <c r="P44">
        <f t="shared" si="2"/>
        <v>28.35</v>
      </c>
      <c r="Q44">
        <f t="shared" si="10"/>
        <v>0</v>
      </c>
      <c r="R44" s="126">
        <f t="shared" si="3"/>
        <v>1.2916456746854197E-9</v>
      </c>
      <c r="S44" s="126">
        <f t="shared" si="4"/>
        <v>3.1816924914121612E-9</v>
      </c>
      <c r="T44">
        <v>1</v>
      </c>
      <c r="U44">
        <v>68</v>
      </c>
      <c r="V44">
        <f t="shared" si="11"/>
        <v>0</v>
      </c>
      <c r="W44">
        <f t="shared" si="12"/>
        <v>68</v>
      </c>
      <c r="X44">
        <f t="shared" si="5"/>
        <v>61.2</v>
      </c>
      <c r="Y44">
        <f t="shared" si="6"/>
        <v>74.800000000000011</v>
      </c>
      <c r="Z44">
        <f t="shared" si="13"/>
        <v>0</v>
      </c>
      <c r="AA44" s="126">
        <f t="shared" si="14"/>
        <v>1.2916456746854197E-9</v>
      </c>
      <c r="AB44" s="126">
        <f t="shared" si="15"/>
        <v>3.1816924914121612E-9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1.4351618607479438E-9</v>
      </c>
      <c r="S45" s="126">
        <f t="shared" si="4"/>
        <v>3.4155478755335145E-9</v>
      </c>
      <c r="T45">
        <v>1</v>
      </c>
      <c r="U45">
        <v>82</v>
      </c>
      <c r="V45">
        <f t="shared" si="11"/>
        <v>0</v>
      </c>
      <c r="W45">
        <f t="shared" si="12"/>
        <v>82</v>
      </c>
      <c r="X45">
        <f t="shared" si="5"/>
        <v>73.8</v>
      </c>
      <c r="Y45">
        <f t="shared" si="6"/>
        <v>90.2</v>
      </c>
      <c r="Z45">
        <f t="shared" si="13"/>
        <v>0</v>
      </c>
      <c r="AA45" s="126">
        <f t="shared" si="14"/>
        <v>1.4351618607479438E-9</v>
      </c>
      <c r="AB45" s="126">
        <f t="shared" si="15"/>
        <v>3.4155478755335145E-9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1.5786780468077402E-9</v>
      </c>
      <c r="S46" s="126">
        <f t="shared" si="4"/>
        <v>3.649403259650849E-9</v>
      </c>
      <c r="T46">
        <v>10</v>
      </c>
      <c r="U46">
        <v>10</v>
      </c>
      <c r="V46">
        <f t="shared" si="11"/>
        <v>0</v>
      </c>
      <c r="W46">
        <f t="shared" si="12"/>
        <v>100</v>
      </c>
      <c r="X46">
        <f t="shared" si="5"/>
        <v>90</v>
      </c>
      <c r="Y46">
        <f t="shared" si="6"/>
        <v>110.00000000000001</v>
      </c>
      <c r="Z46">
        <f t="shared" si="13"/>
        <v>0</v>
      </c>
      <c r="AA46" s="126">
        <f t="shared" si="14"/>
        <v>1.5786780468077402E-9</v>
      </c>
      <c r="AB46" s="126">
        <f t="shared" si="15"/>
        <v>3.649403259650849E-9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1.7221942328648102E-9</v>
      </c>
      <c r="S47" s="126">
        <f t="shared" si="4"/>
        <v>3.8832586437641663E-9</v>
      </c>
      <c r="T47">
        <v>10</v>
      </c>
      <c r="U47">
        <v>12</v>
      </c>
      <c r="V47">
        <f t="shared" si="11"/>
        <v>0</v>
      </c>
      <c r="W47">
        <f>U47*T47</f>
        <v>120</v>
      </c>
      <c r="X47">
        <f t="shared" si="5"/>
        <v>108</v>
      </c>
      <c r="Y47">
        <f t="shared" si="6"/>
        <v>132</v>
      </c>
      <c r="Z47">
        <f t="shared" si="13"/>
        <v>0</v>
      </c>
      <c r="AA47" s="126">
        <f t="shared" si="14"/>
        <v>1.7221942328648102E-9</v>
      </c>
      <c r="AB47" s="126">
        <f t="shared" si="15"/>
        <v>3.8832586437641663E-9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1.8657104189191537E-9</v>
      </c>
      <c r="S48" s="126">
        <f t="shared" si="4"/>
        <v>4.1171140278734651E-9</v>
      </c>
      <c r="T48">
        <v>10</v>
      </c>
      <c r="U48">
        <v>15</v>
      </c>
      <c r="V48">
        <f t="shared" si="11"/>
        <v>0</v>
      </c>
      <c r="W48">
        <f t="shared" si="12"/>
        <v>150</v>
      </c>
      <c r="X48">
        <f t="shared" si="5"/>
        <v>135</v>
      </c>
      <c r="Y48">
        <f t="shared" si="6"/>
        <v>165</v>
      </c>
      <c r="Z48">
        <f t="shared" si="13"/>
        <v>0</v>
      </c>
      <c r="AA48" s="126">
        <f t="shared" si="14"/>
        <v>1.8657104189191537E-9</v>
      </c>
      <c r="AB48" s="126">
        <f t="shared" si="15"/>
        <v>4.1171140278734651E-9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2.0570653336540367E-9</v>
      </c>
      <c r="S49" s="126">
        <f t="shared" si="4"/>
        <v>4.4289212066796125E-9</v>
      </c>
      <c r="T49">
        <v>10</v>
      </c>
      <c r="U49">
        <v>18</v>
      </c>
      <c r="V49">
        <f t="shared" si="11"/>
        <v>0</v>
      </c>
      <c r="W49">
        <f t="shared" si="12"/>
        <v>180</v>
      </c>
      <c r="X49">
        <f t="shared" si="5"/>
        <v>162</v>
      </c>
      <c r="Y49">
        <f t="shared" si="6"/>
        <v>198.00000000000003</v>
      </c>
      <c r="Z49">
        <f t="shared" si="13"/>
        <v>0</v>
      </c>
      <c r="AA49" s="126">
        <f t="shared" si="14"/>
        <v>2.0570653336540367E-9</v>
      </c>
      <c r="AB49" s="126">
        <f t="shared" si="15"/>
        <v>4.4289212066796125E-9</v>
      </c>
      <c r="AC49" s="126" t="str">
        <f t="shared" si="7"/>
        <v>Vlow exceeds VIL spec</v>
      </c>
      <c r="AD49" s="126" t="str">
        <f t="shared" si="8"/>
        <v>Vlow exceeds VIL spec</v>
      </c>
    </row>
    <row r="50" spans="1:30" x14ac:dyDescent="0.35">
      <c r="A50" t="s">
        <v>320</v>
      </c>
      <c r="B50" s="11">
        <f>F11*(1+H11)</f>
        <v>409.5</v>
      </c>
      <c r="C50" s="11">
        <f>F11*(1+H11)</f>
        <v>409.5</v>
      </c>
      <c r="K50">
        <v>1</v>
      </c>
      <c r="L50">
        <v>47</v>
      </c>
      <c r="M50">
        <f t="shared" si="9"/>
        <v>0</v>
      </c>
      <c r="N50">
        <f t="shared" si="0"/>
        <v>47</v>
      </c>
      <c r="O50">
        <f t="shared" si="1"/>
        <v>44.65</v>
      </c>
      <c r="P50">
        <f t="shared" si="2"/>
        <v>49.35</v>
      </c>
      <c r="Q50">
        <f t="shared" si="10"/>
        <v>0</v>
      </c>
      <c r="R50" s="126">
        <f t="shared" si="3"/>
        <v>2.2484202483840717E-9</v>
      </c>
      <c r="S50" s="126">
        <f t="shared" si="4"/>
        <v>4.7407283854786172E-9</v>
      </c>
      <c r="T50">
        <v>10</v>
      </c>
      <c r="U50">
        <v>22</v>
      </c>
      <c r="V50">
        <f t="shared" si="11"/>
        <v>0</v>
      </c>
      <c r="W50">
        <f t="shared" si="12"/>
        <v>220</v>
      </c>
      <c r="X50">
        <f t="shared" si="5"/>
        <v>198</v>
      </c>
      <c r="Y50">
        <f t="shared" si="6"/>
        <v>242.00000000000003</v>
      </c>
      <c r="Z50">
        <f t="shared" si="13"/>
        <v>0</v>
      </c>
      <c r="AA50" s="126">
        <f t="shared" si="14"/>
        <v>2.2484202483840717E-9</v>
      </c>
      <c r="AB50" s="126">
        <f t="shared" si="15"/>
        <v>4.7407283854786172E-9</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2.4397751631092586E-9</v>
      </c>
      <c r="S51" s="126">
        <f t="shared" si="4"/>
        <v>5.0525355642704809E-9</v>
      </c>
      <c r="T51">
        <v>10</v>
      </c>
      <c r="U51">
        <v>27</v>
      </c>
      <c r="V51">
        <f t="shared" si="11"/>
        <v>1</v>
      </c>
      <c r="W51">
        <f t="shared" si="12"/>
        <v>270</v>
      </c>
      <c r="X51">
        <f t="shared" si="5"/>
        <v>243</v>
      </c>
      <c r="Y51">
        <f t="shared" si="6"/>
        <v>297</v>
      </c>
      <c r="Z51">
        <f t="shared" si="13"/>
        <v>1</v>
      </c>
      <c r="AA51" s="126">
        <f t="shared" si="14"/>
        <v>2.4397751631092586E-9</v>
      </c>
      <c r="AB51" s="126">
        <f t="shared" si="15"/>
        <v>5.0525355642704809E-9</v>
      </c>
      <c r="AC51" s="126" t="str">
        <f t="shared" si="7"/>
        <v>Vlow exceeds VIL spec</v>
      </c>
      <c r="AD51" s="126" t="str">
        <f t="shared" si="8"/>
        <v>Vlow exceeds VIL spec</v>
      </c>
    </row>
    <row r="52" spans="1:30" x14ac:dyDescent="0.35">
      <c r="A52" t="s">
        <v>324</v>
      </c>
      <c r="B52" s="1">
        <f>K21</f>
        <v>14.506962153924308</v>
      </c>
      <c r="C52">
        <v>0</v>
      </c>
      <c r="K52">
        <v>1</v>
      </c>
      <c r="L52">
        <v>56</v>
      </c>
      <c r="M52">
        <f t="shared" si="9"/>
        <v>0</v>
      </c>
      <c r="N52">
        <f t="shared" si="0"/>
        <v>56</v>
      </c>
      <c r="O52">
        <f t="shared" si="1"/>
        <v>53.199999999999996</v>
      </c>
      <c r="P52">
        <f t="shared" si="2"/>
        <v>58.800000000000004</v>
      </c>
      <c r="Q52">
        <f t="shared" si="10"/>
        <v>0</v>
      </c>
      <c r="R52" s="126">
        <f t="shared" si="3"/>
        <v>2.6789688065089258E-9</v>
      </c>
      <c r="S52" s="126">
        <f t="shared" si="4"/>
        <v>5.4422945377502613E-9</v>
      </c>
      <c r="T52">
        <v>10</v>
      </c>
      <c r="U52">
        <v>33</v>
      </c>
      <c r="V52">
        <f t="shared" si="11"/>
        <v>2</v>
      </c>
      <c r="W52">
        <f t="shared" si="12"/>
        <v>330</v>
      </c>
      <c r="X52">
        <f t="shared" si="5"/>
        <v>297</v>
      </c>
      <c r="Y52">
        <f t="shared" si="6"/>
        <v>363.00000000000006</v>
      </c>
      <c r="Z52">
        <f t="shared" si="13"/>
        <v>1</v>
      </c>
      <c r="AA52" s="126">
        <f t="shared" si="14"/>
        <v>2.6789688065089258E-9</v>
      </c>
      <c r="AB52" s="126">
        <f t="shared" si="15"/>
        <v>5.4422945377502613E-9</v>
      </c>
      <c r="AC52" s="126" t="str">
        <f t="shared" si="7"/>
        <v>Vlow exceeds VIL spec</v>
      </c>
      <c r="AD52" s="126" t="str">
        <f t="shared" si="8"/>
        <v>Vlow exceeds VIL spec</v>
      </c>
    </row>
    <row r="53" spans="1:30" x14ac:dyDescent="0.35">
      <c r="A53" t="s">
        <v>327</v>
      </c>
      <c r="B53">
        <v>0</v>
      </c>
      <c r="C53" s="1">
        <f>K21</f>
        <v>14.506962153924308</v>
      </c>
      <c r="K53">
        <v>1</v>
      </c>
      <c r="L53">
        <v>62</v>
      </c>
      <c r="M53">
        <f t="shared" si="9"/>
        <v>0</v>
      </c>
      <c r="N53">
        <f t="shared" si="0"/>
        <v>62</v>
      </c>
      <c r="O53">
        <f t="shared" si="1"/>
        <v>58.9</v>
      </c>
      <c r="P53">
        <f t="shared" si="2"/>
        <v>65.100000000000009</v>
      </c>
      <c r="Q53">
        <f t="shared" si="10"/>
        <v>0</v>
      </c>
      <c r="R53" s="126">
        <f t="shared" si="3"/>
        <v>2.9660011785785288E-9</v>
      </c>
      <c r="S53" s="126">
        <f t="shared" si="4"/>
        <v>5.9100053059112673E-9</v>
      </c>
      <c r="T53">
        <v>10</v>
      </c>
      <c r="U53">
        <v>39</v>
      </c>
      <c r="V53">
        <f t="shared" si="11"/>
        <v>3</v>
      </c>
      <c r="W53">
        <f t="shared" si="12"/>
        <v>390</v>
      </c>
      <c r="X53">
        <f t="shared" si="5"/>
        <v>351</v>
      </c>
      <c r="Y53">
        <f t="shared" si="6"/>
        <v>429.00000000000006</v>
      </c>
      <c r="Z53">
        <f t="shared" si="13"/>
        <v>1</v>
      </c>
      <c r="AA53" s="126">
        <f t="shared" si="14"/>
        <v>2.9660011785785288E-9</v>
      </c>
      <c r="AB53" s="126">
        <f t="shared" si="15"/>
        <v>5.9100053059112673E-9</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3.2530335506372233E-9</v>
      </c>
      <c r="S54" s="126">
        <f t="shared" si="4"/>
        <v>6.3777160740561995E-9</v>
      </c>
      <c r="T54">
        <v>10</v>
      </c>
      <c r="U54">
        <v>47</v>
      </c>
      <c r="V54">
        <f t="shared" si="11"/>
        <v>4</v>
      </c>
      <c r="W54">
        <f t="shared" si="12"/>
        <v>470</v>
      </c>
      <c r="X54">
        <f t="shared" si="5"/>
        <v>423</v>
      </c>
      <c r="Y54">
        <f t="shared" si="6"/>
        <v>517</v>
      </c>
      <c r="Z54">
        <f t="shared" si="13"/>
        <v>0</v>
      </c>
      <c r="AA54" s="126">
        <f t="shared" si="14"/>
        <v>3.2530335506372233E-9</v>
      </c>
      <c r="AB54" s="126">
        <f t="shared" si="15"/>
        <v>6.3777160740561995E-9</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3.5879046513585819E-9</v>
      </c>
      <c r="S55" s="126">
        <f t="shared" si="4"/>
        <v>6.9233786368716421E-9</v>
      </c>
      <c r="T55">
        <v>10</v>
      </c>
      <c r="U55">
        <v>56</v>
      </c>
      <c r="V55">
        <f t="shared" si="11"/>
        <v>4</v>
      </c>
      <c r="W55">
        <f t="shared" si="12"/>
        <v>560</v>
      </c>
      <c r="X55">
        <f t="shared" si="5"/>
        <v>504</v>
      </c>
      <c r="Y55">
        <f t="shared" si="6"/>
        <v>616</v>
      </c>
      <c r="Z55">
        <f t="shared" si="13"/>
        <v>0</v>
      </c>
      <c r="AA55" s="126">
        <f t="shared" si="14"/>
        <v>3.5879046513585819E-9</v>
      </c>
      <c r="AB55" s="126">
        <f t="shared" si="15"/>
        <v>6.9233786368716421E-9</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3.9227757520650955E-9</v>
      </c>
      <c r="S56" s="126">
        <f t="shared" si="4"/>
        <v>7.4690411996652074E-9</v>
      </c>
      <c r="T56">
        <v>10</v>
      </c>
      <c r="U56">
        <v>68</v>
      </c>
      <c r="V56">
        <f t="shared" si="11"/>
        <v>4</v>
      </c>
      <c r="W56">
        <f t="shared" si="12"/>
        <v>680</v>
      </c>
      <c r="X56">
        <f t="shared" si="5"/>
        <v>612</v>
      </c>
      <c r="Y56">
        <f t="shared" si="6"/>
        <v>748.00000000000011</v>
      </c>
      <c r="Z56">
        <f t="shared" si="13"/>
        <v>0</v>
      </c>
      <c r="AA56" s="126">
        <f t="shared" si="14"/>
        <v>3.9227757520650955E-9</v>
      </c>
      <c r="AB56" s="126">
        <f t="shared" si="15"/>
        <v>7.4690411996652074E-9</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4.353324310094512E-9</v>
      </c>
      <c r="S57" s="126">
        <f t="shared" si="4"/>
        <v>8.17060735179622E-9</v>
      </c>
      <c r="T57">
        <v>10</v>
      </c>
      <c r="U57">
        <v>82</v>
      </c>
      <c r="V57">
        <f t="shared" si="11"/>
        <v>4</v>
      </c>
      <c r="W57">
        <f t="shared" si="12"/>
        <v>820</v>
      </c>
      <c r="X57">
        <f t="shared" si="5"/>
        <v>738</v>
      </c>
      <c r="Y57">
        <f t="shared" si="6"/>
        <v>902.00000000000011</v>
      </c>
      <c r="Z57">
        <f t="shared" si="13"/>
        <v>0</v>
      </c>
      <c r="AA57" s="126">
        <f t="shared" si="14"/>
        <v>4.353324310094512E-9</v>
      </c>
      <c r="AB57" s="126">
        <f t="shared" si="15"/>
        <v>8.17060735179622E-9</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4.7838728680993876E-9</v>
      </c>
      <c r="S58" s="126">
        <f t="shared" si="4"/>
        <v>8.8721735038910666E-9</v>
      </c>
      <c r="T58">
        <v>100</v>
      </c>
      <c r="U58">
        <v>10</v>
      </c>
      <c r="V58">
        <f t="shared" si="11"/>
        <v>4</v>
      </c>
      <c r="W58">
        <f t="shared" si="12"/>
        <v>1000</v>
      </c>
      <c r="X58">
        <f t="shared" si="5"/>
        <v>900</v>
      </c>
      <c r="Y58">
        <f t="shared" si="6"/>
        <v>1100</v>
      </c>
      <c r="Z58">
        <f t="shared" si="13"/>
        <v>0</v>
      </c>
      <c r="AA58" s="126">
        <f t="shared" si="14"/>
        <v>4.7838728680993876E-9</v>
      </c>
      <c r="AB58" s="126">
        <f t="shared" si="15"/>
        <v>8.8721735038910666E-9</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5.2622601547426876E-9</v>
      </c>
      <c r="S59" s="126">
        <f t="shared" si="4"/>
        <v>9.6516914506207091E-9</v>
      </c>
      <c r="T59">
        <v>100</v>
      </c>
      <c r="U59">
        <v>12</v>
      </c>
      <c r="V59">
        <f t="shared" si="11"/>
        <v>4</v>
      </c>
      <c r="W59">
        <f t="shared" si="12"/>
        <v>1200</v>
      </c>
      <c r="X59">
        <f t="shared" si="5"/>
        <v>1080</v>
      </c>
      <c r="Y59">
        <f t="shared" si="6"/>
        <v>1320</v>
      </c>
      <c r="Z59">
        <f t="shared" si="13"/>
        <v>0</v>
      </c>
      <c r="AA59" s="126">
        <f t="shared" si="14"/>
        <v>5.2622601547426876E-9</v>
      </c>
      <c r="AB59" s="126">
        <f t="shared" si="15"/>
        <v>9.6516914506207091E-9</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5.7406474413556897E-9</v>
      </c>
      <c r="S60" s="126">
        <f t="shared" si="4"/>
        <v>1.0431209397305707E-8</v>
      </c>
      <c r="T60">
        <v>100</v>
      </c>
      <c r="U60">
        <v>15</v>
      </c>
      <c r="V60">
        <f t="shared" si="11"/>
        <v>4</v>
      </c>
      <c r="W60">
        <f t="shared" si="12"/>
        <v>1500</v>
      </c>
      <c r="X60">
        <f t="shared" si="5"/>
        <v>1350</v>
      </c>
      <c r="Y60">
        <f t="shared" si="6"/>
        <v>1650.0000000000002</v>
      </c>
      <c r="Z60">
        <f t="shared" si="13"/>
        <v>0</v>
      </c>
      <c r="AA60" s="126">
        <f t="shared" si="14"/>
        <v>5.7406474413556897E-9</v>
      </c>
      <c r="AB60" s="126">
        <f t="shared" si="15"/>
        <v>1.0431209397305707E-8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6.2190347279383946E-9</v>
      </c>
      <c r="S61" s="126">
        <f t="shared" si="4"/>
        <v>1.1210727343946056E-8</v>
      </c>
      <c r="T61">
        <v>100</v>
      </c>
      <c r="U61">
        <v>18</v>
      </c>
      <c r="V61">
        <f t="shared" si="11"/>
        <v>4</v>
      </c>
      <c r="W61">
        <f t="shared" si="12"/>
        <v>1800</v>
      </c>
      <c r="X61">
        <f t="shared" si="5"/>
        <v>1620</v>
      </c>
      <c r="Y61">
        <f t="shared" si="6"/>
        <v>1980.0000000000002</v>
      </c>
      <c r="Z61">
        <f t="shared" si="13"/>
        <v>0</v>
      </c>
      <c r="AA61" s="126">
        <f t="shared" si="14"/>
        <v>6.2190347279383946E-9</v>
      </c>
      <c r="AB61" s="126">
        <f t="shared" si="15"/>
        <v>1.1210727343946056E-8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0.99999954407408942</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0.99999954409020808</v>
      </c>
      <c r="K62">
        <v>10</v>
      </c>
      <c r="L62">
        <v>15</v>
      </c>
      <c r="M62">
        <f t="shared" si="9"/>
        <v>0</v>
      </c>
      <c r="N62">
        <f t="shared" si="0"/>
        <v>150</v>
      </c>
      <c r="O62">
        <f t="shared" si="1"/>
        <v>142.5</v>
      </c>
      <c r="P62">
        <f t="shared" si="2"/>
        <v>157.5</v>
      </c>
      <c r="Q62">
        <f t="shared" si="10"/>
        <v>0</v>
      </c>
      <c r="R62" s="126">
        <f t="shared" si="3"/>
        <v>7.1758093010129112E-9</v>
      </c>
      <c r="S62" s="126">
        <f t="shared" si="4"/>
        <v>1.2769763237092824E-8</v>
      </c>
      <c r="T62">
        <v>100</v>
      </c>
      <c r="U62">
        <v>22</v>
      </c>
      <c r="V62">
        <f t="shared" si="11"/>
        <v>4</v>
      </c>
      <c r="W62">
        <f t="shared" si="12"/>
        <v>2200</v>
      </c>
      <c r="X62">
        <f t="shared" si="5"/>
        <v>1980</v>
      </c>
      <c r="Y62">
        <f t="shared" si="6"/>
        <v>2420</v>
      </c>
      <c r="Z62">
        <f t="shared" si="13"/>
        <v>0</v>
      </c>
      <c r="AA62" s="126">
        <f t="shared" si="14"/>
        <v>7.1758093010129112E-9</v>
      </c>
      <c r="AB62" s="126">
        <f t="shared" si="15"/>
        <v>1.2769763237092824E-8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0.99999954409020808</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0.99999954409020808</v>
      </c>
      <c r="K63">
        <v>10</v>
      </c>
      <c r="L63">
        <v>16</v>
      </c>
      <c r="M63">
        <f t="shared" si="9"/>
        <v>0</v>
      </c>
      <c r="N63">
        <f t="shared" si="0"/>
        <v>160</v>
      </c>
      <c r="O63">
        <f t="shared" si="1"/>
        <v>152</v>
      </c>
      <c r="P63">
        <f t="shared" si="2"/>
        <v>168</v>
      </c>
      <c r="Q63">
        <f t="shared" si="10"/>
        <v>0</v>
      </c>
      <c r="R63" s="126">
        <f t="shared" si="3"/>
        <v>7.6541965875047222E-9</v>
      </c>
      <c r="S63" s="126">
        <f t="shared" si="4"/>
        <v>1.354928118359924E-8</v>
      </c>
      <c r="T63">
        <v>100</v>
      </c>
      <c r="U63">
        <v>27</v>
      </c>
      <c r="V63">
        <f t="shared" si="11"/>
        <v>4</v>
      </c>
      <c r="W63">
        <f t="shared" si="12"/>
        <v>2700</v>
      </c>
      <c r="X63">
        <f t="shared" si="5"/>
        <v>2430</v>
      </c>
      <c r="Y63">
        <f t="shared" si="6"/>
        <v>2970.0000000000005</v>
      </c>
      <c r="Z63">
        <f t="shared" si="13"/>
        <v>0</v>
      </c>
      <c r="AA63" s="126">
        <f t="shared" si="14"/>
        <v>7.6541965875047222E-9</v>
      </c>
      <c r="AB63" s="126">
        <f t="shared" si="15"/>
        <v>1.354928118359924E-8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0.99999954409020808</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0.99999954407408942</v>
      </c>
      <c r="K64">
        <v>10</v>
      </c>
      <c r="L64">
        <v>18</v>
      </c>
      <c r="M64">
        <f t="shared" si="9"/>
        <v>0</v>
      </c>
      <c r="N64">
        <f t="shared" si="0"/>
        <v>180</v>
      </c>
      <c r="O64">
        <f t="shared" si="1"/>
        <v>171</v>
      </c>
      <c r="P64">
        <f t="shared" si="2"/>
        <v>189</v>
      </c>
      <c r="Q64">
        <f t="shared" si="10"/>
        <v>0</v>
      </c>
      <c r="R64" s="126">
        <f t="shared" si="3"/>
        <v>8.6109711603974502E-9</v>
      </c>
      <c r="S64" s="126">
        <f t="shared" si="4"/>
        <v>1.5108317076478139E-8</v>
      </c>
      <c r="T64">
        <v>100</v>
      </c>
      <c r="U64">
        <v>33</v>
      </c>
      <c r="V64">
        <f t="shared" si="11"/>
        <v>4</v>
      </c>
      <c r="W64">
        <f t="shared" si="12"/>
        <v>3300</v>
      </c>
      <c r="X64">
        <f t="shared" si="5"/>
        <v>2970</v>
      </c>
      <c r="Y64">
        <f t="shared" si="6"/>
        <v>3630.0000000000005</v>
      </c>
      <c r="Z64">
        <f t="shared" si="13"/>
        <v>0</v>
      </c>
      <c r="AA64" s="126">
        <f t="shared" si="14"/>
        <v>8.6109711603974502E-9</v>
      </c>
      <c r="AB64" s="126">
        <f t="shared" si="15"/>
        <v>1.5108317076478139E-8</v>
      </c>
      <c r="AC64" s="126" t="str">
        <f t="shared" si="7"/>
        <v>Vlow exceeds VIL spec</v>
      </c>
      <c r="AD64" s="126">
        <f t="shared" si="8"/>
        <v>2.3312381461783523E-8</v>
      </c>
    </row>
    <row r="65" spans="1:31" x14ac:dyDescent="0.35">
      <c r="K65">
        <v>10</v>
      </c>
      <c r="L65">
        <v>20</v>
      </c>
      <c r="M65">
        <f t="shared" si="9"/>
        <v>0</v>
      </c>
      <c r="N65">
        <f t="shared" si="0"/>
        <v>200</v>
      </c>
      <c r="O65">
        <f t="shared" si="1"/>
        <v>190</v>
      </c>
      <c r="P65">
        <f t="shared" si="2"/>
        <v>210</v>
      </c>
      <c r="Q65">
        <f t="shared" si="10"/>
        <v>0</v>
      </c>
      <c r="R65" s="126">
        <f t="shared" si="3"/>
        <v>9.567745733168988E-9</v>
      </c>
      <c r="S65" s="126">
        <f t="shared" si="4"/>
        <v>1.6667352969178449E-8</v>
      </c>
      <c r="T65">
        <v>100</v>
      </c>
      <c r="U65">
        <v>39</v>
      </c>
      <c r="V65">
        <f t="shared" si="11"/>
        <v>4</v>
      </c>
      <c r="W65">
        <f t="shared" si="12"/>
        <v>3900</v>
      </c>
      <c r="X65">
        <f t="shared" si="5"/>
        <v>3510</v>
      </c>
      <c r="Y65">
        <f t="shared" si="6"/>
        <v>4290</v>
      </c>
      <c r="Z65">
        <f t="shared" si="13"/>
        <v>0</v>
      </c>
      <c r="AA65" s="126">
        <f t="shared" si="14"/>
        <v>9.567745733168988E-9</v>
      </c>
      <c r="AB65" s="126">
        <f t="shared" si="15"/>
        <v>1.6667352969178449E-8</v>
      </c>
      <c r="AC65" s="126" t="str">
        <f t="shared" si="7"/>
        <v>Vlow exceeds VIL spec</v>
      </c>
      <c r="AD65" s="126">
        <f t="shared" si="8"/>
        <v>1.5911722869812024E-8</v>
      </c>
    </row>
    <row r="66" spans="1:31" x14ac:dyDescent="0.35">
      <c r="I66" s="128"/>
      <c r="J66" s="128"/>
      <c r="K66">
        <v>10</v>
      </c>
      <c r="L66">
        <v>22</v>
      </c>
      <c r="M66">
        <f t="shared" si="9"/>
        <v>1</v>
      </c>
      <c r="N66">
        <f t="shared" si="0"/>
        <v>220</v>
      </c>
      <c r="O66">
        <f t="shared" si="1"/>
        <v>209</v>
      </c>
      <c r="P66">
        <f t="shared" si="2"/>
        <v>231</v>
      </c>
      <c r="Q66">
        <f t="shared" si="10"/>
        <v>1</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1.0524520305819334E-8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1.8226388861700188E-8</v>
      </c>
      <c r="T66">
        <v>100</v>
      </c>
      <c r="U66">
        <v>47</v>
      </c>
      <c r="V66">
        <f t="shared" si="11"/>
        <v>4</v>
      </c>
      <c r="W66">
        <f t="shared" si="12"/>
        <v>4700</v>
      </c>
      <c r="X66">
        <f t="shared" si="5"/>
        <v>4230</v>
      </c>
      <c r="Y66">
        <f t="shared" si="6"/>
        <v>5170</v>
      </c>
      <c r="Z66">
        <f t="shared" si="13"/>
        <v>0</v>
      </c>
      <c r="AA66" s="126">
        <f t="shared" si="14"/>
        <v>1.0524520305819334E-8</v>
      </c>
      <c r="AB66" s="126">
        <f t="shared" si="15"/>
        <v>1.8226388861700188E-8</v>
      </c>
      <c r="AC66" s="126">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2.4366515003129204E-8</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1.3495864833372218E-8</v>
      </c>
    </row>
    <row r="67" spans="1:31" x14ac:dyDescent="0.35">
      <c r="B67" s="171" t="s">
        <v>354</v>
      </c>
      <c r="C67" s="171"/>
      <c r="I67" s="128"/>
      <c r="K67">
        <v>10</v>
      </c>
      <c r="L67">
        <v>24</v>
      </c>
      <c r="M67">
        <f t="shared" si="9"/>
        <v>2</v>
      </c>
      <c r="N67">
        <f t="shared" si="0"/>
        <v>240</v>
      </c>
      <c r="O67">
        <f t="shared" si="1"/>
        <v>228</v>
      </c>
      <c r="P67">
        <f t="shared" si="2"/>
        <v>252</v>
      </c>
      <c r="Q67">
        <f t="shared" si="10"/>
        <v>1</v>
      </c>
      <c r="R67" s="126">
        <f t="shared" si="16"/>
        <v>1.1481294878348488E-8</v>
      </c>
      <c r="S67" s="126">
        <f t="shared" si="17"/>
        <v>1.9785424754043342E-8</v>
      </c>
      <c r="T67">
        <v>100</v>
      </c>
      <c r="U67">
        <v>56</v>
      </c>
      <c r="V67">
        <f t="shared" si="11"/>
        <v>4</v>
      </c>
      <c r="W67">
        <f t="shared" si="12"/>
        <v>5600</v>
      </c>
      <c r="X67">
        <f t="shared" si="5"/>
        <v>5040</v>
      </c>
      <c r="Y67">
        <f t="shared" si="6"/>
        <v>6160.0000000000009</v>
      </c>
      <c r="Z67">
        <f t="shared" si="13"/>
        <v>0</v>
      </c>
      <c r="AA67" s="126">
        <f t="shared" si="14"/>
        <v>1.1481294878348488E-8</v>
      </c>
      <c r="AB67" s="126">
        <f t="shared" si="15"/>
        <v>1.9785424754043342E-8</v>
      </c>
      <c r="AC67" s="126">
        <f t="shared" si="18"/>
        <v>1.8784687482620281E-8</v>
      </c>
      <c r="AD67" s="126">
        <f t="shared" si="19"/>
        <v>1.214646628227567E-8</v>
      </c>
    </row>
    <row r="68" spans="1:31" ht="28.4" customHeight="1" x14ac:dyDescent="0.35">
      <c r="B68" s="32" t="s">
        <v>355</v>
      </c>
      <c r="C68" s="32" t="s">
        <v>356</v>
      </c>
      <c r="D68" s="32" t="s">
        <v>357</v>
      </c>
      <c r="E68" s="32" t="str">
        <f>IF(Summary!Q37="absolute","find min R2, so that max (Vz) = " &amp; TRUNC(R3/J2,3),"find min R2, so that max (Vz) = " &amp; R3)</f>
        <v>find min R2, so that max (Vz) = 0.3</v>
      </c>
      <c r="F68" s="32" t="s">
        <v>358</v>
      </c>
      <c r="G68" s="32" t="s">
        <v>359</v>
      </c>
      <c r="H68" s="32" t="s">
        <v>360</v>
      </c>
      <c r="I68" s="49"/>
      <c r="J68" s="49"/>
      <c r="K68">
        <v>10</v>
      </c>
      <c r="L68">
        <v>27</v>
      </c>
      <c r="M68">
        <f t="shared" si="9"/>
        <v>3</v>
      </c>
      <c r="N68">
        <f t="shared" si="0"/>
        <v>270</v>
      </c>
      <c r="O68">
        <f t="shared" si="1"/>
        <v>256.5</v>
      </c>
      <c r="P68">
        <f t="shared" si="2"/>
        <v>283.5</v>
      </c>
      <c r="Q68">
        <f t="shared" si="10"/>
        <v>1</v>
      </c>
      <c r="R68" s="126">
        <f t="shared" si="16"/>
        <v>1.2916456736914984E-8</v>
      </c>
      <c r="S68" s="126">
        <f t="shared" si="17"/>
        <v>2.2123978592223235E-8</v>
      </c>
      <c r="T68">
        <v>100</v>
      </c>
      <c r="U68">
        <v>68</v>
      </c>
      <c r="V68">
        <f t="shared" si="11"/>
        <v>4</v>
      </c>
      <c r="W68">
        <f t="shared" si="12"/>
        <v>6800</v>
      </c>
      <c r="X68">
        <f t="shared" si="5"/>
        <v>6120</v>
      </c>
      <c r="Y68">
        <f t="shared" si="6"/>
        <v>7480.0000000000009</v>
      </c>
      <c r="Z68">
        <f t="shared" si="13"/>
        <v>0</v>
      </c>
      <c r="AA68" s="126">
        <f t="shared" si="14"/>
        <v>1.2916456736914984E-8</v>
      </c>
      <c r="AB68" s="126">
        <f t="shared" si="15"/>
        <v>2.2123978592223235E-8</v>
      </c>
      <c r="AC68" s="126">
        <f t="shared" si="18"/>
        <v>1.5528520370293372E-8</v>
      </c>
      <c r="AD68" s="126">
        <f t="shared" si="19"/>
        <v>1.0918293130755981E-8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4</v>
      </c>
      <c r="N69">
        <f t="shared" si="0"/>
        <v>300</v>
      </c>
      <c r="O69">
        <f t="shared" si="1"/>
        <v>285</v>
      </c>
      <c r="P69">
        <f t="shared" si="2"/>
        <v>315</v>
      </c>
      <c r="Q69">
        <f t="shared" si="10"/>
        <v>1</v>
      </c>
      <c r="R69" s="126">
        <f t="shared" si="16"/>
        <v>1.43516185952088E-8</v>
      </c>
      <c r="S69" s="126">
        <f t="shared" si="17"/>
        <v>2.446253243000132E-8</v>
      </c>
      <c r="T69">
        <v>100</v>
      </c>
      <c r="U69">
        <v>82</v>
      </c>
      <c r="V69">
        <f t="shared" si="11"/>
        <v>4</v>
      </c>
      <c r="W69">
        <f t="shared" si="12"/>
        <v>8200</v>
      </c>
      <c r="X69">
        <f t="shared" si="5"/>
        <v>7380</v>
      </c>
      <c r="Y69">
        <f t="shared" si="6"/>
        <v>9020</v>
      </c>
      <c r="Z69">
        <f t="shared" si="13"/>
        <v>0</v>
      </c>
      <c r="AA69" s="126">
        <f t="shared" si="14"/>
        <v>1.43516185952088E-8</v>
      </c>
      <c r="AB69" s="126">
        <f t="shared" si="15"/>
        <v>2.446253243000132E-8</v>
      </c>
      <c r="AC69" s="126">
        <f t="shared" si="18"/>
        <v>1.3854773539097793E-8</v>
      </c>
      <c r="AD69" s="126">
        <f t="shared" si="19"/>
        <v>1.0145906966844443E-8</v>
      </c>
    </row>
    <row r="70" spans="1:31" x14ac:dyDescent="0.35">
      <c r="A70" t="s">
        <v>320</v>
      </c>
      <c r="B70" s="11">
        <f>F11*(1+H11)</f>
        <v>409.5</v>
      </c>
      <c r="C70" s="11">
        <f>F11*(1-H11)</f>
        <v>370.5</v>
      </c>
      <c r="D70" s="11">
        <f>F11*(1+H11)</f>
        <v>409.5</v>
      </c>
      <c r="E70" s="11"/>
      <c r="F70" s="11">
        <f>F11*(1-H11)</f>
        <v>370.5</v>
      </c>
      <c r="G70" s="11">
        <f>F11*(1-H11)</f>
        <v>370.5</v>
      </c>
      <c r="H70" s="11">
        <f>F11*(1+H11)</f>
        <v>409.5</v>
      </c>
      <c r="K70">
        <v>10</v>
      </c>
      <c r="L70">
        <v>33</v>
      </c>
      <c r="M70">
        <f t="shared" si="9"/>
        <v>5</v>
      </c>
      <c r="N70">
        <f t="shared" si="0"/>
        <v>330</v>
      </c>
      <c r="O70">
        <f t="shared" si="1"/>
        <v>313.5</v>
      </c>
      <c r="P70">
        <f t="shared" si="2"/>
        <v>346.5</v>
      </c>
      <c r="Q70">
        <f t="shared" si="10"/>
        <v>1</v>
      </c>
      <c r="R70" s="126">
        <f t="shared" si="16"/>
        <v>1.5786780453229936E-8</v>
      </c>
      <c r="S70" s="126">
        <f t="shared" si="17"/>
        <v>2.68010862673776E-8</v>
      </c>
      <c r="T70">
        <v>1000</v>
      </c>
      <c r="U70">
        <v>10</v>
      </c>
      <c r="V70">
        <f t="shared" si="11"/>
        <v>4</v>
      </c>
      <c r="W70">
        <f t="shared" si="12"/>
        <v>10000</v>
      </c>
      <c r="X70">
        <f t="shared" si="5"/>
        <v>9000</v>
      </c>
      <c r="Y70">
        <f t="shared" si="6"/>
        <v>11000</v>
      </c>
      <c r="Z70">
        <f t="shared" si="13"/>
        <v>0</v>
      </c>
      <c r="AA70" s="126">
        <f t="shared" si="14"/>
        <v>1.5786780453229936E-8</v>
      </c>
      <c r="AB70" s="126">
        <f t="shared" si="15"/>
        <v>2.68010862673776E-8</v>
      </c>
      <c r="AC70" s="126">
        <f t="shared" si="18"/>
        <v>1.2802988423694648E-8</v>
      </c>
      <c r="AD70" s="126">
        <f t="shared" si="19"/>
        <v>9.6113900366045382E-9</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6</v>
      </c>
      <c r="N71">
        <f t="shared" si="0"/>
        <v>360</v>
      </c>
      <c r="O71">
        <f t="shared" si="1"/>
        <v>342</v>
      </c>
      <c r="P71">
        <f t="shared" si="2"/>
        <v>378</v>
      </c>
      <c r="Q71">
        <f t="shared" si="10"/>
        <v>1</v>
      </c>
      <c r="R71" s="126">
        <f t="shared" si="16"/>
        <v>1.7221942310978391E-8</v>
      </c>
      <c r="S71" s="126">
        <f t="shared" si="17"/>
        <v>2.9139640104352076E-8</v>
      </c>
      <c r="T71">
        <v>1000</v>
      </c>
      <c r="U71">
        <v>12</v>
      </c>
      <c r="V71">
        <f t="shared" si="11"/>
        <v>4</v>
      </c>
      <c r="W71">
        <f t="shared" si="12"/>
        <v>12000</v>
      </c>
      <c r="X71">
        <f t="shared" si="5"/>
        <v>10800</v>
      </c>
      <c r="Y71">
        <f t="shared" si="6"/>
        <v>13200.000000000002</v>
      </c>
      <c r="Z71">
        <f t="shared" si="13"/>
        <v>0</v>
      </c>
      <c r="AA71" s="126">
        <f t="shared" si="14"/>
        <v>1.7221942310978391E-8</v>
      </c>
      <c r="AB71" s="126">
        <f t="shared" si="15"/>
        <v>2.9139640104352076E-8</v>
      </c>
      <c r="AC71" s="126">
        <f t="shared" si="18"/>
        <v>1.2073041724492476E-8</v>
      </c>
      <c r="AD71" s="126">
        <f t="shared" si="19"/>
        <v>9.2184394685424517E-9</v>
      </c>
    </row>
    <row r="72" spans="1:31" x14ac:dyDescent="0.35">
      <c r="A72" t="s">
        <v>324</v>
      </c>
      <c r="B72" s="1">
        <f>K21*MIN(K25,K24)</f>
        <v>0</v>
      </c>
      <c r="C72" s="1">
        <f>K21*MAX(K25,K24)</f>
        <v>14.506962153924308</v>
      </c>
      <c r="D72" s="1">
        <f>K21*MIN(K25,K24)</f>
        <v>0</v>
      </c>
      <c r="E72" s="1">
        <f>K21*MAX(K25,K24)</f>
        <v>14.506962153924308</v>
      </c>
      <c r="F72" s="125">
        <f>K21*MAX(K25,K24)</f>
        <v>14.506962153924308</v>
      </c>
      <c r="G72" s="125">
        <f>K22*MAX(K25,K24)</f>
        <v>8.6969621539243072</v>
      </c>
      <c r="H72" s="1">
        <f>K22*MIN(K25,K24)</f>
        <v>0</v>
      </c>
      <c r="K72">
        <v>10</v>
      </c>
      <c r="L72">
        <v>39</v>
      </c>
      <c r="M72">
        <f t="shared" si="9"/>
        <v>7</v>
      </c>
      <c r="N72">
        <f t="shared" si="0"/>
        <v>390</v>
      </c>
      <c r="O72">
        <f t="shared" si="1"/>
        <v>370.5</v>
      </c>
      <c r="P72">
        <f t="shared" si="2"/>
        <v>409.5</v>
      </c>
      <c r="Q72">
        <f t="shared" si="10"/>
        <v>1</v>
      </c>
      <c r="R72" s="126">
        <f t="shared" si="16"/>
        <v>1.8657104168454167E-8</v>
      </c>
      <c r="S72" s="126">
        <f t="shared" si="17"/>
        <v>3.1478193940924747E-8</v>
      </c>
      <c r="T72">
        <v>1000</v>
      </c>
      <c r="U72">
        <v>15</v>
      </c>
      <c r="V72">
        <f t="shared" si="11"/>
        <v>4</v>
      </c>
      <c r="W72">
        <f t="shared" si="12"/>
        <v>15000</v>
      </c>
      <c r="X72">
        <f t="shared" si="5"/>
        <v>13500</v>
      </c>
      <c r="Y72">
        <f t="shared" si="6"/>
        <v>16500</v>
      </c>
      <c r="Z72">
        <f t="shared" si="13"/>
        <v>0</v>
      </c>
      <c r="AA72" s="126">
        <f t="shared" si="14"/>
        <v>1.8657104168454167E-8</v>
      </c>
      <c r="AB72" s="126">
        <f t="shared" si="15"/>
        <v>3.1478193940924747E-8</v>
      </c>
      <c r="AC72" s="126">
        <f t="shared" si="18"/>
        <v>1.1534445833461516E-8</v>
      </c>
      <c r="AD72" s="126">
        <f t="shared" si="19"/>
        <v>8.9170766681327571E-9</v>
      </c>
    </row>
    <row r="73" spans="1:31" x14ac:dyDescent="0.35">
      <c r="A73" t="s">
        <v>327</v>
      </c>
      <c r="B73" s="1">
        <f>K21-B72</f>
        <v>14.506962153924308</v>
      </c>
      <c r="C73" s="1">
        <f>K21-C72</f>
        <v>0</v>
      </c>
      <c r="D73" s="1">
        <f>K21-D72</f>
        <v>14.506962153924308</v>
      </c>
      <c r="E73" s="1">
        <f>K21-E72</f>
        <v>0</v>
      </c>
      <c r="F73" s="1">
        <f>K21-F72</f>
        <v>0</v>
      </c>
      <c r="G73" s="1">
        <f>K22-G72</f>
        <v>0</v>
      </c>
      <c r="H73" s="1">
        <f>K22-H72</f>
        <v>8.6969621539243072</v>
      </c>
      <c r="K73">
        <v>10</v>
      </c>
      <c r="L73">
        <v>43</v>
      </c>
      <c r="M73">
        <f t="shared" si="9"/>
        <v>8</v>
      </c>
      <c r="N73">
        <f t="shared" si="0"/>
        <v>430</v>
      </c>
      <c r="O73">
        <f t="shared" si="1"/>
        <v>408.5</v>
      </c>
      <c r="P73">
        <f t="shared" si="2"/>
        <v>451.5</v>
      </c>
      <c r="Q73">
        <f t="shared" si="10"/>
        <v>1</v>
      </c>
      <c r="R73" s="126">
        <f t="shared" si="16"/>
        <v>2.0570653311331031E-8</v>
      </c>
      <c r="S73" s="126">
        <f t="shared" si="17"/>
        <v>3.4596265722396605E-8</v>
      </c>
      <c r="T73">
        <v>1000</v>
      </c>
      <c r="U73">
        <v>18</v>
      </c>
      <c r="V73">
        <f t="shared" si="11"/>
        <v>4</v>
      </c>
      <c r="W73">
        <f t="shared" si="12"/>
        <v>18000</v>
      </c>
      <c r="X73">
        <f t="shared" si="5"/>
        <v>16200</v>
      </c>
      <c r="Y73">
        <f t="shared" si="6"/>
        <v>19800</v>
      </c>
      <c r="Z73">
        <f t="shared" si="13"/>
        <v>0</v>
      </c>
      <c r="AA73" s="126">
        <f t="shared" si="14"/>
        <v>2.0570653311331031E-8</v>
      </c>
      <c r="AB73" s="126">
        <f t="shared" si="15"/>
        <v>3.4596265722396605E-8</v>
      </c>
      <c r="AC73" s="126">
        <f t="shared" si="18"/>
        <v>1.1002038523433599E-8</v>
      </c>
      <c r="AD73" s="126">
        <f t="shared" si="19"/>
        <v>8.6097112101063997E-9</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9</v>
      </c>
      <c r="N74">
        <f t="shared" si="0"/>
        <v>470</v>
      </c>
      <c r="O74">
        <f t="shared" si="1"/>
        <v>446.5</v>
      </c>
      <c r="P74">
        <f t="shared" si="2"/>
        <v>493.5</v>
      </c>
      <c r="Q74">
        <f t="shared" si="10"/>
        <v>1</v>
      </c>
      <c r="R74" s="126">
        <f t="shared" si="16"/>
        <v>2.2484202453723124E-8</v>
      </c>
      <c r="S74" s="126">
        <f t="shared" si="17"/>
        <v>3.7714337503154142E-8</v>
      </c>
      <c r="T74">
        <v>1000</v>
      </c>
      <c r="U74">
        <v>22</v>
      </c>
      <c r="V74">
        <f t="shared" si="11"/>
        <v>4</v>
      </c>
      <c r="W74">
        <f t="shared" si="12"/>
        <v>22000</v>
      </c>
      <c r="X74">
        <f t="shared" si="5"/>
        <v>19800</v>
      </c>
      <c r="Y74">
        <f t="shared" si="6"/>
        <v>24200.000000000004</v>
      </c>
      <c r="Z74">
        <f t="shared" si="13"/>
        <v>0</v>
      </c>
      <c r="AA74" s="126">
        <f t="shared" si="14"/>
        <v>2.2484202453723124E-8</v>
      </c>
      <c r="AB74" s="126">
        <f t="shared" si="15"/>
        <v>3.7714337503154142E-8</v>
      </c>
      <c r="AC74" s="126">
        <f t="shared" si="18"/>
        <v>1.0606269965435127E-8</v>
      </c>
      <c r="AD74" s="126">
        <f t="shared" si="19"/>
        <v>8.3751444408627738E-9</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10</v>
      </c>
      <c r="N75">
        <f t="shared" si="0"/>
        <v>510</v>
      </c>
      <c r="O75">
        <f t="shared" si="1"/>
        <v>484.5</v>
      </c>
      <c r="P75">
        <f t="shared" si="2"/>
        <v>535.5</v>
      </c>
      <c r="Q75">
        <f t="shared" si="10"/>
        <v>0</v>
      </c>
      <c r="R75" s="126">
        <f t="shared" si="16"/>
        <v>2.4397751595630459E-8</v>
      </c>
      <c r="S75" s="126">
        <f t="shared" si="17"/>
        <v>4.0832409283197359E-8</v>
      </c>
      <c r="T75">
        <v>1000</v>
      </c>
      <c r="U75">
        <v>27</v>
      </c>
      <c r="V75">
        <f t="shared" si="11"/>
        <v>4</v>
      </c>
      <c r="W75">
        <f t="shared" si="12"/>
        <v>27000</v>
      </c>
      <c r="X75">
        <f t="shared" si="5"/>
        <v>24300</v>
      </c>
      <c r="Y75">
        <f t="shared" si="6"/>
        <v>29700.000000000004</v>
      </c>
      <c r="Z75">
        <f t="shared" si="13"/>
        <v>0</v>
      </c>
      <c r="AA75" s="126">
        <f t="shared" si="14"/>
        <v>2.4397751595630459E-8</v>
      </c>
      <c r="AB75" s="126">
        <f t="shared" si="15"/>
        <v>4.0832409283197359E-8</v>
      </c>
      <c r="AC75" s="126">
        <f t="shared" si="18"/>
        <v>1.0300402340817047E-8</v>
      </c>
      <c r="AD75" s="126">
        <f t="shared" si="19"/>
        <v>8.1902967736893976E-9</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10</v>
      </c>
      <c r="N76">
        <f t="shared" si="0"/>
        <v>560</v>
      </c>
      <c r="O76">
        <f t="shared" si="1"/>
        <v>532</v>
      </c>
      <c r="P76">
        <f t="shared" si="2"/>
        <v>588</v>
      </c>
      <c r="Q76">
        <f t="shared" si="10"/>
        <v>0</v>
      </c>
      <c r="R76" s="126">
        <f t="shared" si="16"/>
        <v>2.6789688022332924E-8</v>
      </c>
      <c r="S76" s="126">
        <f t="shared" si="17"/>
        <v>4.4729999007246864E-8</v>
      </c>
      <c r="T76">
        <v>1000</v>
      </c>
      <c r="U76">
        <v>33</v>
      </c>
      <c r="V76">
        <f t="shared" si="11"/>
        <v>4</v>
      </c>
      <c r="W76">
        <f t="shared" si="12"/>
        <v>33000</v>
      </c>
      <c r="X76">
        <f t="shared" si="5"/>
        <v>29700</v>
      </c>
      <c r="Y76">
        <f t="shared" si="6"/>
        <v>36300</v>
      </c>
      <c r="Z76">
        <f t="shared" si="13"/>
        <v>0</v>
      </c>
      <c r="AA76" s="126">
        <f t="shared" si="14"/>
        <v>2.6789688022332924E-8</v>
      </c>
      <c r="AB76" s="126">
        <f t="shared" si="15"/>
        <v>4.4729999007246864E-8</v>
      </c>
      <c r="AC76" s="126">
        <f t="shared" si="18"/>
        <v>1.000363327394176E-8</v>
      </c>
      <c r="AD76" s="126">
        <f t="shared" si="19"/>
        <v>8.0079569574319928E-9</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10</v>
      </c>
      <c r="N77">
        <f t="shared" si="0"/>
        <v>620</v>
      </c>
      <c r="O77">
        <f t="shared" si="1"/>
        <v>589</v>
      </c>
      <c r="P77">
        <f t="shared" si="2"/>
        <v>651</v>
      </c>
      <c r="Q77">
        <f t="shared" si="10"/>
        <v>0</v>
      </c>
      <c r="R77" s="126">
        <f t="shared" si="16"/>
        <v>2.9660011733376047E-8</v>
      </c>
      <c r="S77" s="126">
        <f t="shared" si="17"/>
        <v>4.9407106674632984E-8</v>
      </c>
      <c r="T77">
        <v>1000</v>
      </c>
      <c r="U77">
        <v>39</v>
      </c>
      <c r="V77">
        <f t="shared" si="11"/>
        <v>4</v>
      </c>
      <c r="W77">
        <f t="shared" si="12"/>
        <v>39000</v>
      </c>
      <c r="X77">
        <f t="shared" si="5"/>
        <v>35100</v>
      </c>
      <c r="Y77">
        <f t="shared" si="6"/>
        <v>42900</v>
      </c>
      <c r="Z77">
        <f t="shared" si="13"/>
        <v>0</v>
      </c>
      <c r="AA77" s="126">
        <f t="shared" si="14"/>
        <v>2.9660011733376047E-8</v>
      </c>
      <c r="AB77" s="126">
        <f t="shared" si="15"/>
        <v>4.9407106674632984E-8</v>
      </c>
      <c r="AC77" s="126">
        <f t="shared" si="18"/>
        <v>9.732353706806407E-9</v>
      </c>
      <c r="AD77" s="126">
        <f t="shared" si="19"/>
        <v>7.838672361094003E-9</v>
      </c>
    </row>
    <row r="78" spans="1:31" x14ac:dyDescent="0.35">
      <c r="A78" t="s">
        <v>344</v>
      </c>
      <c r="B78">
        <v>1</v>
      </c>
      <c r="C78">
        <v>1</v>
      </c>
      <c r="D78">
        <v>1</v>
      </c>
      <c r="E78">
        <v>1</v>
      </c>
      <c r="F78">
        <v>1</v>
      </c>
      <c r="G78">
        <v>1</v>
      </c>
      <c r="H78">
        <v>1</v>
      </c>
      <c r="K78">
        <v>10</v>
      </c>
      <c r="L78">
        <v>68</v>
      </c>
      <c r="M78">
        <f t="shared" si="9"/>
        <v>10</v>
      </c>
      <c r="N78">
        <f t="shared" si="0"/>
        <v>680</v>
      </c>
      <c r="O78">
        <f t="shared" si="1"/>
        <v>646</v>
      </c>
      <c r="P78">
        <f t="shared" si="2"/>
        <v>714</v>
      </c>
      <c r="Q78">
        <f t="shared" si="10"/>
        <v>0</v>
      </c>
      <c r="R78" s="126">
        <f t="shared" si="16"/>
        <v>3.2530335443328447E-8</v>
      </c>
      <c r="S78" s="126">
        <f t="shared" si="17"/>
        <v>5.4084214340411879E-8</v>
      </c>
      <c r="T78">
        <v>1000</v>
      </c>
      <c r="U78">
        <v>47</v>
      </c>
      <c r="V78">
        <f t="shared" si="11"/>
        <v>4</v>
      </c>
      <c r="W78">
        <f t="shared" si="12"/>
        <v>47000</v>
      </c>
      <c r="X78">
        <f t="shared" si="5"/>
        <v>42300</v>
      </c>
      <c r="Y78">
        <f t="shared" si="6"/>
        <v>51700.000000000007</v>
      </c>
      <c r="Z78">
        <f t="shared" si="13"/>
        <v>0</v>
      </c>
      <c r="AA78" s="126">
        <f t="shared" si="14"/>
        <v>3.2530335443328447E-8</v>
      </c>
      <c r="AB78" s="126">
        <f t="shared" si="15"/>
        <v>5.4084214340411879E-8</v>
      </c>
      <c r="AC78" s="126">
        <f t="shared" si="18"/>
        <v>9.5235655596955985E-9</v>
      </c>
      <c r="AD78" s="126">
        <f t="shared" si="19"/>
        <v>7.7066628959779394E-9</v>
      </c>
    </row>
    <row r="79" spans="1:31" x14ac:dyDescent="0.35">
      <c r="A79" t="s">
        <v>345</v>
      </c>
      <c r="B79">
        <v>1</v>
      </c>
      <c r="C79">
        <v>1</v>
      </c>
      <c r="D79">
        <v>1</v>
      </c>
      <c r="E79">
        <v>1</v>
      </c>
      <c r="F79">
        <v>1</v>
      </c>
      <c r="G79">
        <v>1</v>
      </c>
      <c r="H79">
        <v>1</v>
      </c>
      <c r="K79">
        <v>10</v>
      </c>
      <c r="L79">
        <v>75</v>
      </c>
      <c r="M79">
        <f t="shared" si="9"/>
        <v>10</v>
      </c>
      <c r="N79">
        <f t="shared" si="0"/>
        <v>750</v>
      </c>
      <c r="O79">
        <f t="shared" si="1"/>
        <v>712.5</v>
      </c>
      <c r="P79">
        <f t="shared" si="2"/>
        <v>787.5</v>
      </c>
      <c r="Q79">
        <f t="shared" si="10"/>
        <v>0</v>
      </c>
      <c r="R79" s="126">
        <f t="shared" si="16"/>
        <v>3.5879046436894368E-8</v>
      </c>
      <c r="S79" s="126">
        <f t="shared" si="17"/>
        <v>5.95408399484559E-8</v>
      </c>
      <c r="T79">
        <v>1000</v>
      </c>
      <c r="U79">
        <v>56</v>
      </c>
      <c r="V79">
        <f t="shared" si="11"/>
        <v>4</v>
      </c>
      <c r="W79">
        <f t="shared" si="12"/>
        <v>56000</v>
      </c>
      <c r="X79">
        <f t="shared" si="5"/>
        <v>50400</v>
      </c>
      <c r="Y79">
        <f t="shared" si="6"/>
        <v>61600.000000000007</v>
      </c>
      <c r="Z79">
        <f t="shared" si="13"/>
        <v>0</v>
      </c>
      <c r="AA79" s="126">
        <f t="shared" si="14"/>
        <v>3.5879046436894368E-8</v>
      </c>
      <c r="AB79" s="126">
        <f t="shared" si="15"/>
        <v>5.95408399484559E-8</v>
      </c>
      <c r="AC79" s="126">
        <f t="shared" si="18"/>
        <v>9.3336643747190559E-9</v>
      </c>
      <c r="AD79" s="126">
        <f t="shared" si="19"/>
        <v>7.5852710069536046E-9</v>
      </c>
      <c r="AE79" s="128"/>
    </row>
    <row r="80" spans="1:31" x14ac:dyDescent="0.35">
      <c r="A80" t="s">
        <v>346</v>
      </c>
      <c r="B80">
        <v>1</v>
      </c>
      <c r="C80">
        <v>1</v>
      </c>
      <c r="D80">
        <v>1</v>
      </c>
      <c r="E80">
        <v>1</v>
      </c>
      <c r="F80">
        <v>1</v>
      </c>
      <c r="G80">
        <v>1</v>
      </c>
      <c r="H80">
        <v>1</v>
      </c>
      <c r="K80">
        <v>10</v>
      </c>
      <c r="L80">
        <v>82</v>
      </c>
      <c r="M80">
        <f t="shared" si="9"/>
        <v>10</v>
      </c>
      <c r="N80">
        <f t="shared" si="0"/>
        <v>820</v>
      </c>
      <c r="O80">
        <f t="shared" si="1"/>
        <v>779</v>
      </c>
      <c r="P80">
        <f t="shared" si="2"/>
        <v>861</v>
      </c>
      <c r="Q80">
        <f t="shared" si="10"/>
        <v>0</v>
      </c>
      <c r="R80" s="126">
        <f t="shared" si="16"/>
        <v>3.9227757428975685E-8</v>
      </c>
      <c r="S80" s="126">
        <f t="shared" si="17"/>
        <v>6.4997465554312313E-8</v>
      </c>
      <c r="T80">
        <v>1000</v>
      </c>
      <c r="U80">
        <v>68</v>
      </c>
      <c r="V80">
        <f t="shared" si="11"/>
        <v>4</v>
      </c>
      <c r="W80">
        <f>U80*T80</f>
        <v>68000</v>
      </c>
      <c r="X80">
        <f t="shared" si="5"/>
        <v>61200</v>
      </c>
      <c r="Y80">
        <f t="shared" si="6"/>
        <v>74800</v>
      </c>
      <c r="Z80">
        <f t="shared" si="13"/>
        <v>0</v>
      </c>
      <c r="AA80" s="126">
        <f t="shared" si="14"/>
        <v>3.9227757428975685E-8</v>
      </c>
      <c r="AB80" s="126">
        <f t="shared" si="15"/>
        <v>6.4997465554312313E-8</v>
      </c>
      <c r="AC80" s="126">
        <f t="shared" si="18"/>
        <v>9.1841293416268779E-9</v>
      </c>
      <c r="AD80" s="126">
        <f t="shared" si="19"/>
        <v>7.488777453287422E-9</v>
      </c>
      <c r="AE80" s="128"/>
    </row>
    <row r="81" spans="1:31" x14ac:dyDescent="0.35">
      <c r="K81">
        <v>10</v>
      </c>
      <c r="L81">
        <v>91</v>
      </c>
      <c r="M81">
        <f t="shared" si="9"/>
        <v>10</v>
      </c>
      <c r="N81">
        <f t="shared" si="0"/>
        <v>910</v>
      </c>
      <c r="O81">
        <f t="shared" si="1"/>
        <v>864.5</v>
      </c>
      <c r="P81">
        <f t="shared" si="2"/>
        <v>955.5</v>
      </c>
      <c r="Q81">
        <f t="shared" si="10"/>
        <v>0</v>
      </c>
      <c r="R81" s="126">
        <f t="shared" si="16"/>
        <v>4.3533242988041653E-8</v>
      </c>
      <c r="S81" s="126">
        <f t="shared" si="17"/>
        <v>7.2013127044341813E-8</v>
      </c>
      <c r="T81">
        <v>1000</v>
      </c>
      <c r="U81">
        <v>82</v>
      </c>
      <c r="V81">
        <f t="shared" si="11"/>
        <v>4</v>
      </c>
      <c r="W81">
        <f t="shared" ref="W81" si="20">U81*T81</f>
        <v>82000</v>
      </c>
      <c r="X81">
        <f t="shared" si="5"/>
        <v>73800</v>
      </c>
      <c r="Y81">
        <f t="shared" si="6"/>
        <v>90200.000000000015</v>
      </c>
      <c r="Z81">
        <f t="shared" si="13"/>
        <v>0</v>
      </c>
      <c r="AA81" s="126">
        <f t="shared" si="14"/>
        <v>4.3533242988041653E-8</v>
      </c>
      <c r="AB81" s="126">
        <f t="shared" si="15"/>
        <v>7.2013127044341813E-8</v>
      </c>
      <c r="AC81" s="126">
        <f t="shared" si="18"/>
        <v>9.033039009100894E-9</v>
      </c>
      <c r="AD81" s="126">
        <f t="shared" si="19"/>
        <v>7.3904522895286112E-9</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0.9999995440902083</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0.13966262360327575</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8.3892614326815731E-2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0.81161492742167307</v>
      </c>
      <c r="F82" s="13"/>
      <c r="K82">
        <v>100</v>
      </c>
      <c r="L82">
        <v>10</v>
      </c>
      <c r="M82">
        <f>IF(AND(Q81=1,Q82=0),Q82+M81+1, Q82+M81)</f>
        <v>10</v>
      </c>
      <c r="N82">
        <f t="shared" si="0"/>
        <v>1000</v>
      </c>
      <c r="O82">
        <f t="shared" si="1"/>
        <v>950</v>
      </c>
      <c r="P82">
        <f t="shared" si="2"/>
        <v>1050</v>
      </c>
      <c r="Q82">
        <f t="shared" si="10"/>
        <v>0</v>
      </c>
      <c r="R82" s="126">
        <f t="shared" si="16"/>
        <v>4.7838728544653489E-8</v>
      </c>
      <c r="S82" s="126">
        <f t="shared" si="17"/>
        <v>7.9028788530755091E-8</v>
      </c>
      <c r="V82">
        <f t="shared" si="11"/>
        <v>4</v>
      </c>
      <c r="W82">
        <v>9999999</v>
      </c>
      <c r="AA82" s="126">
        <f t="shared" si="14"/>
        <v>4.7838728544653489E-8</v>
      </c>
      <c r="AB82" s="126">
        <f t="shared" si="15"/>
        <v>7.9028788530755091E-8</v>
      </c>
      <c r="AC82" s="126">
        <f t="shared" si="18"/>
        <v>8.914492209635957E-9</v>
      </c>
      <c r="AD82" s="126">
        <f t="shared" si="19"/>
        <v>7.3127095026477306E-9</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0.9999995440902083</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0.17207990991013794</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8.3892614326815731E-2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10</v>
      </c>
      <c r="N83">
        <f t="shared" si="0"/>
        <v>1100</v>
      </c>
      <c r="O83">
        <f t="shared" si="1"/>
        <v>1045</v>
      </c>
      <c r="P83">
        <f t="shared" si="2"/>
        <v>1155</v>
      </c>
      <c r="Q83">
        <f t="shared" si="10"/>
        <v>0</v>
      </c>
      <c r="R83" s="126">
        <f t="shared" si="16"/>
        <v>5.2622601382455019E-8</v>
      </c>
      <c r="S83" s="126">
        <f t="shared" si="17"/>
        <v>8.6823967955861868E-8</v>
      </c>
      <c r="AA83" s="126">
        <f t="shared" si="14"/>
        <v>5.2622601382455019E-8</v>
      </c>
      <c r="AB83" s="126">
        <f t="shared" si="15"/>
        <v>8.6823967955861868E-8</v>
      </c>
      <c r="AC83" s="126">
        <f t="shared" si="18"/>
        <v>8.8095666108236583E-9</v>
      </c>
      <c r="AD83" s="126">
        <f t="shared" si="19"/>
        <v>7.2434517913211813E-9</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0.99999954407408964</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0.17207990991013794</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8.3892614337545232E-2</v>
      </c>
      <c r="E84" s="12">
        <f>IF(Summary!Q37="absolute",(R3-N7)/(J2+J2*Summary!Q17),R3-N7)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0.17207990995960251</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0.16118960384797706</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8.3892614333248086E-2</v>
      </c>
      <c r="K84">
        <v>100</v>
      </c>
      <c r="L84">
        <v>12</v>
      </c>
      <c r="M84">
        <f t="shared" si="21"/>
        <v>10</v>
      </c>
      <c r="N84">
        <f t="shared" si="0"/>
        <v>1200</v>
      </c>
      <c r="O84">
        <f t="shared" si="1"/>
        <v>1140</v>
      </c>
      <c r="P84">
        <f t="shared" si="2"/>
        <v>1260</v>
      </c>
      <c r="Q84">
        <f t="shared" si="10"/>
        <v>0</v>
      </c>
      <c r="R84" s="126">
        <f t="shared" si="16"/>
        <v>5.7406474217226764E-8</v>
      </c>
      <c r="S84" s="126">
        <f t="shared" si="17"/>
        <v>9.4619147376504132E-8</v>
      </c>
      <c r="AA84" s="126">
        <f t="shared" si="14"/>
        <v>5.7406474217226764E-8</v>
      </c>
      <c r="AB84" s="126">
        <f t="shared" si="15"/>
        <v>9.4619147376504132E-8</v>
      </c>
      <c r="AC84" s="126">
        <f t="shared" si="18"/>
        <v>8.7249654357260871E-9</v>
      </c>
      <c r="AD84" s="126">
        <f t="shared" si="19"/>
        <v>7.1872964520988321E-9</v>
      </c>
      <c r="AE84" s="128"/>
    </row>
    <row r="85" spans="1:31" x14ac:dyDescent="0.35">
      <c r="E85" s="73"/>
      <c r="K85">
        <v>100</v>
      </c>
      <c r="L85">
        <v>13</v>
      </c>
      <c r="M85">
        <f t="shared" si="21"/>
        <v>10</v>
      </c>
      <c r="N85">
        <f t="shared" si="0"/>
        <v>1300</v>
      </c>
      <c r="O85">
        <f t="shared" si="1"/>
        <v>1235</v>
      </c>
      <c r="P85">
        <f t="shared" si="2"/>
        <v>1365</v>
      </c>
      <c r="Q85">
        <f t="shared" si="10"/>
        <v>0</v>
      </c>
      <c r="R85" s="126">
        <f t="shared" si="16"/>
        <v>6.2190347048968726E-8</v>
      </c>
      <c r="S85" s="126">
        <f t="shared" si="17"/>
        <v>1.0241432679268188E-7</v>
      </c>
      <c r="AA85" s="126">
        <f t="shared" si="14"/>
        <v>6.2190347048968726E-8</v>
      </c>
      <c r="AB85" s="126">
        <f t="shared" si="15"/>
        <v>1.0241432679268188E-7</v>
      </c>
      <c r="AC85" s="126">
        <f t="shared" si="18"/>
        <v>8.6553245086581024E-9</v>
      </c>
      <c r="AD85" s="126">
        <f t="shared" si="19"/>
        <v>7.1408570046659198E-9</v>
      </c>
      <c r="AE85" s="128"/>
    </row>
    <row r="86" spans="1:31" x14ac:dyDescent="0.35">
      <c r="K86">
        <v>100</v>
      </c>
      <c r="L86">
        <v>15</v>
      </c>
      <c r="M86">
        <f t="shared" si="21"/>
        <v>10</v>
      </c>
      <c r="N86">
        <f t="shared" si="0"/>
        <v>1500</v>
      </c>
      <c r="O86">
        <f t="shared" si="1"/>
        <v>1425</v>
      </c>
      <c r="P86">
        <f t="shared" si="2"/>
        <v>1575</v>
      </c>
      <c r="Q86">
        <f t="shared" si="10"/>
        <v>0</v>
      </c>
      <c r="R86" s="126">
        <f t="shared" si="16"/>
        <v>7.1758092703363271E-8</v>
      </c>
      <c r="S86" s="126">
        <f t="shared" si="17"/>
        <v>1.1800468561164385E-7</v>
      </c>
      <c r="AA86" s="126">
        <f t="shared" si="14"/>
        <v>7.1758092703363271E-8</v>
      </c>
      <c r="AB86" s="126">
        <f t="shared" si="15"/>
        <v>1.1800468561164385E-7</v>
      </c>
      <c r="AC86" s="126">
        <f t="shared" si="18"/>
        <v>8.54747624903078E-9</v>
      </c>
      <c r="AD86" s="126">
        <f t="shared" si="19"/>
        <v>7.068548374707704E-9</v>
      </c>
      <c r="AE86" s="128"/>
    </row>
    <row r="87" spans="1:31" x14ac:dyDescent="0.35">
      <c r="B87" s="171" t="s">
        <v>362</v>
      </c>
      <c r="C87" s="171"/>
      <c r="K87">
        <v>100</v>
      </c>
      <c r="L87">
        <v>16</v>
      </c>
      <c r="M87">
        <f t="shared" si="21"/>
        <v>10</v>
      </c>
      <c r="N87">
        <f t="shared" si="0"/>
        <v>1600</v>
      </c>
      <c r="O87">
        <f t="shared" si="1"/>
        <v>1520</v>
      </c>
      <c r="P87">
        <f t="shared" si="2"/>
        <v>1680</v>
      </c>
      <c r="Q87">
        <f t="shared" si="10"/>
        <v>0</v>
      </c>
      <c r="R87" s="126">
        <f t="shared" si="16"/>
        <v>7.6541965526015868E-8</v>
      </c>
      <c r="S87" s="126">
        <f t="shared" si="17"/>
        <v>1.2579986501442806E-7</v>
      </c>
      <c r="AA87" s="126">
        <f t="shared" si="14"/>
        <v>7.6541965526015868E-8</v>
      </c>
      <c r="AB87" s="126">
        <f t="shared" si="15"/>
        <v>1.2579986501442806E-7</v>
      </c>
      <c r="AC87" s="126">
        <f t="shared" si="18"/>
        <v>8.5048831526806284E-9</v>
      </c>
      <c r="AD87" s="126">
        <f t="shared" si="19"/>
        <v>7.0398573545301693E-9</v>
      </c>
      <c r="AE87" s="128"/>
    </row>
    <row r="88" spans="1:31" ht="29" x14ac:dyDescent="0.35">
      <c r="B88" t="s">
        <v>355</v>
      </c>
      <c r="C88" t="s">
        <v>363</v>
      </c>
      <c r="D88" t="s">
        <v>364</v>
      </c>
      <c r="E88" s="32" t="str">
        <f>IF(Summary!Q37="absolute","find min R2, so that max (Vx) = " &amp; TRUNC(R2/J3,3),"find min R2, so that max (Vx) = " &amp; R2)</f>
        <v>find min R2, so that max (Vx) = 0.3</v>
      </c>
      <c r="F88" s="32" t="s">
        <v>365</v>
      </c>
      <c r="G88" s="32" t="s">
        <v>366</v>
      </c>
      <c r="H88" s="32" t="s">
        <v>367</v>
      </c>
      <c r="K88">
        <v>100</v>
      </c>
      <c r="L88">
        <v>18</v>
      </c>
      <c r="M88">
        <f t="shared" si="21"/>
        <v>10</v>
      </c>
      <c r="N88">
        <f t="shared" si="0"/>
        <v>1800</v>
      </c>
      <c r="O88">
        <f t="shared" si="1"/>
        <v>1710</v>
      </c>
      <c r="P88">
        <f t="shared" si="2"/>
        <v>1890</v>
      </c>
      <c r="Q88">
        <f t="shared" si="10"/>
        <v>0</v>
      </c>
      <c r="R88" s="126">
        <f t="shared" si="16"/>
        <v>8.6109711162231683E-8</v>
      </c>
      <c r="S88" s="126">
        <f t="shared" si="17"/>
        <v>1.4139022380660294E-7</v>
      </c>
      <c r="AA88" s="126">
        <f t="shared" si="14"/>
        <v>8.6109711162231683E-8</v>
      </c>
      <c r="AB88" s="126">
        <f t="shared" si="15"/>
        <v>1.4139022380660294E-7</v>
      </c>
      <c r="AC88" s="126">
        <f t="shared" si="18"/>
        <v>8.4354147514325873E-9</v>
      </c>
      <c r="AD88" s="126">
        <f t="shared" si="19"/>
        <v>6.9928964562884225E-9</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10</v>
      </c>
      <c r="N89">
        <f t="shared" si="0"/>
        <v>2000</v>
      </c>
      <c r="O89">
        <f t="shared" si="1"/>
        <v>1900</v>
      </c>
      <c r="P89">
        <f t="shared" si="2"/>
        <v>2100</v>
      </c>
      <c r="Q89">
        <f t="shared" si="10"/>
        <v>0</v>
      </c>
      <c r="R89" s="126">
        <f t="shared" si="16"/>
        <v>9.5677456786328389E-8</v>
      </c>
      <c r="S89" s="126">
        <f t="shared" si="17"/>
        <v>1.5698058258091983E-7</v>
      </c>
      <c r="AA89" s="126">
        <f t="shared" si="14"/>
        <v>9.5677456786328389E-8</v>
      </c>
      <c r="AB89" s="126">
        <f t="shared" si="15"/>
        <v>1.5698058258091983E-7</v>
      </c>
      <c r="AC89" s="126">
        <f t="shared" si="18"/>
        <v>8.3811769781341117E-9</v>
      </c>
      <c r="AD89" s="126">
        <f t="shared" si="19"/>
        <v>6.9560851730963206E-9</v>
      </c>
      <c r="AE89" s="128"/>
    </row>
    <row r="90" spans="1:31" x14ac:dyDescent="0.35">
      <c r="A90" t="s">
        <v>320</v>
      </c>
      <c r="B90" s="11">
        <f>F11*(1+H11)</f>
        <v>409.5</v>
      </c>
      <c r="C90" s="11">
        <f>F11*(1-H11)</f>
        <v>370.5</v>
      </c>
      <c r="D90" s="11">
        <f>F11*(1+H11)</f>
        <v>409.5</v>
      </c>
      <c r="E90" s="11"/>
      <c r="F90" s="11">
        <f>F11*(1-H11)</f>
        <v>370.5</v>
      </c>
      <c r="G90">
        <f>F11*(1-H11)</f>
        <v>370.5</v>
      </c>
      <c r="H90">
        <f>F11*(1+H11)</f>
        <v>409.5</v>
      </c>
      <c r="K90">
        <v>100</v>
      </c>
      <c r="L90">
        <v>22</v>
      </c>
      <c r="M90">
        <f t="shared" si="21"/>
        <v>10</v>
      </c>
      <c r="N90">
        <f t="shared" si="0"/>
        <v>2200</v>
      </c>
      <c r="O90">
        <f t="shared" si="1"/>
        <v>2090</v>
      </c>
      <c r="P90">
        <f t="shared" si="2"/>
        <v>2310</v>
      </c>
      <c r="Q90">
        <f t="shared" si="10"/>
        <v>0</v>
      </c>
      <c r="R90" s="126">
        <f t="shared" si="16"/>
        <v>1.0524520239830591E-7</v>
      </c>
      <c r="S90" s="126">
        <f t="shared" si="17"/>
        <v>1.7257094133737858E-7</v>
      </c>
      <c r="AA90" s="126">
        <f t="shared" si="14"/>
        <v>1.0524520239830591E-7</v>
      </c>
      <c r="AB90" s="126">
        <f t="shared" si="15"/>
        <v>1.7257094133737858E-7</v>
      </c>
      <c r="AC90" s="126">
        <f t="shared" si="18"/>
        <v>8.3376643102297481E-9</v>
      </c>
      <c r="AD90" s="126">
        <f t="shared" si="19"/>
        <v>6.9264582824063622E-9</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10</v>
      </c>
      <c r="N91">
        <f t="shared" si="0"/>
        <v>2400</v>
      </c>
      <c r="O91">
        <f t="shared" si="1"/>
        <v>2280</v>
      </c>
      <c r="P91">
        <f t="shared" si="2"/>
        <v>2520</v>
      </c>
      <c r="Q91">
        <f t="shared" si="10"/>
        <v>0</v>
      </c>
      <c r="R91" s="126">
        <f t="shared" si="16"/>
        <v>1.1481294799816431E-7</v>
      </c>
      <c r="S91" s="126">
        <f t="shared" si="17"/>
        <v>1.8816130007597937E-7</v>
      </c>
      <c r="AA91" s="126">
        <f t="shared" si="14"/>
        <v>1.1481294799816431E-7</v>
      </c>
      <c r="AB91" s="126">
        <f t="shared" si="15"/>
        <v>1.8816130007597937E-7</v>
      </c>
      <c r="AC91" s="126">
        <f t="shared" si="18"/>
        <v>8.3019866307822125E-9</v>
      </c>
      <c r="AD91" s="126">
        <f t="shared" si="19"/>
        <v>6.9021019909204584E-9</v>
      </c>
      <c r="AE91" s="128"/>
    </row>
    <row r="92" spans="1:31" x14ac:dyDescent="0.35">
      <c r="A92" t="s">
        <v>324</v>
      </c>
      <c r="B92" s="1">
        <f>K21-B93</f>
        <v>14.506962153924308</v>
      </c>
      <c r="C92" s="1">
        <f>K21-C93</f>
        <v>0</v>
      </c>
      <c r="D92" s="1">
        <f>K21-D93</f>
        <v>14.506962153924308</v>
      </c>
      <c r="E92" s="1">
        <f>K21-E93</f>
        <v>0</v>
      </c>
      <c r="F92" s="1">
        <f>K21-F93</f>
        <v>0</v>
      </c>
      <c r="G92" s="1">
        <f>K22-G93</f>
        <v>0</v>
      </c>
      <c r="H92" s="1">
        <f>K22-H93</f>
        <v>8.6969621539243072</v>
      </c>
      <c r="K92">
        <v>100</v>
      </c>
      <c r="L92">
        <v>27</v>
      </c>
      <c r="M92">
        <f t="shared" si="21"/>
        <v>10</v>
      </c>
      <c r="N92">
        <f t="shared" si="0"/>
        <v>2700</v>
      </c>
      <c r="O92">
        <f t="shared" si="1"/>
        <v>2565</v>
      </c>
      <c r="P92">
        <f t="shared" si="2"/>
        <v>2835</v>
      </c>
      <c r="Q92">
        <f t="shared" si="10"/>
        <v>0</v>
      </c>
      <c r="R92" s="126">
        <f t="shared" si="16"/>
        <v>1.2916456637522855E-7</v>
      </c>
      <c r="S92" s="126">
        <f t="shared" si="17"/>
        <v>2.1154683815039663E-7</v>
      </c>
      <c r="AA92" s="126">
        <f t="shared" si="14"/>
        <v>1.2916456637522855E-7</v>
      </c>
      <c r="AB92" s="126">
        <f t="shared" si="15"/>
        <v>2.1154683815039663E-7</v>
      </c>
      <c r="AC92" s="126">
        <f t="shared" si="18"/>
        <v>8.2590880246089488E-9</v>
      </c>
      <c r="AD92" s="126">
        <f t="shared" si="19"/>
        <v>6.8727383476974698E-9</v>
      </c>
      <c r="AE92" s="128"/>
    </row>
    <row r="93" spans="1:31" x14ac:dyDescent="0.35">
      <c r="A93" t="s">
        <v>327</v>
      </c>
      <c r="B93" s="1">
        <f>K21*(1-MAX(K25,K24))</f>
        <v>0</v>
      </c>
      <c r="C93" s="1">
        <f>K21*(1-MIN(K25,K24))</f>
        <v>14.506962153924308</v>
      </c>
      <c r="D93" s="1">
        <f>K21*(1-MAX(K25,K24))</f>
        <v>0</v>
      </c>
      <c r="E93" s="1">
        <f>K21*(1-MIN(K25,K24))</f>
        <v>14.506962153924308</v>
      </c>
      <c r="F93" s="125">
        <f>K21*(1-MIN(K25,K24))</f>
        <v>14.506962153924308</v>
      </c>
      <c r="G93" s="125">
        <f>K22*(1-MIN(K25,K24))</f>
        <v>8.6969621539243072</v>
      </c>
      <c r="H93" s="1">
        <f>K22*(1-MAX(K25,K24))</f>
        <v>0</v>
      </c>
      <c r="K93">
        <v>100</v>
      </c>
      <c r="L93">
        <v>30</v>
      </c>
      <c r="M93">
        <f t="shared" si="21"/>
        <v>10</v>
      </c>
      <c r="N93">
        <f t="shared" si="0"/>
        <v>3000</v>
      </c>
      <c r="O93">
        <f t="shared" si="1"/>
        <v>2850</v>
      </c>
      <c r="P93">
        <f t="shared" si="2"/>
        <v>3150</v>
      </c>
      <c r="Q93">
        <f t="shared" si="10"/>
        <v>0</v>
      </c>
      <c r="R93" s="126">
        <f t="shared" si="16"/>
        <v>1.4351618472502466E-7</v>
      </c>
      <c r="S93" s="126">
        <f t="shared" si="17"/>
        <v>2.3493237618463335E-7</v>
      </c>
      <c r="AA93" s="126">
        <f t="shared" si="14"/>
        <v>1.4351618472502466E-7</v>
      </c>
      <c r="AB93" s="126">
        <f t="shared" si="15"/>
        <v>2.3493237618463335E-7</v>
      </c>
      <c r="AC93" s="126">
        <f t="shared" si="18"/>
        <v>8.2253207030965677E-9</v>
      </c>
      <c r="AD93" s="126">
        <f t="shared" si="19"/>
        <v>6.8495642100371131E-9</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10</v>
      </c>
      <c r="N94">
        <f t="shared" si="0"/>
        <v>3300</v>
      </c>
      <c r="O94">
        <f t="shared" si="1"/>
        <v>3135</v>
      </c>
      <c r="P94">
        <f t="shared" si="2"/>
        <v>3465</v>
      </c>
      <c r="Q94">
        <f t="shared" si="10"/>
        <v>0</v>
      </c>
      <c r="R94" s="126">
        <f t="shared" si="16"/>
        <v>1.5786780304755272E-7</v>
      </c>
      <c r="S94" s="126">
        <f t="shared" si="17"/>
        <v>2.5831791417868944E-7</v>
      </c>
      <c r="AA94" s="126">
        <f t="shared" si="14"/>
        <v>1.5786780304755272E-7</v>
      </c>
      <c r="AB94" s="126">
        <f t="shared" si="15"/>
        <v>2.5831791417868944E-7</v>
      </c>
      <c r="AC94" s="126">
        <f t="shared" si="18"/>
        <v>8.1980522963354229E-9</v>
      </c>
      <c r="AD94" s="126">
        <f t="shared" si="19"/>
        <v>6.8308105019349641E-9</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10</v>
      </c>
      <c r="N95">
        <f t="shared" si="0"/>
        <v>3600</v>
      </c>
      <c r="O95">
        <f t="shared" si="1"/>
        <v>3420</v>
      </c>
      <c r="P95">
        <f t="shared" si="2"/>
        <v>3780</v>
      </c>
      <c r="Q95">
        <f t="shared" si="10"/>
        <v>0</v>
      </c>
      <c r="R95" s="126">
        <f t="shared" si="16"/>
        <v>1.7221942134281266E-7</v>
      </c>
      <c r="S95" s="126">
        <f t="shared" si="17"/>
        <v>2.8170345213256485E-7</v>
      </c>
      <c r="AA95" s="126">
        <f t="shared" si="14"/>
        <v>1.7221942134281266E-7</v>
      </c>
      <c r="AB95" s="126">
        <f t="shared" si="15"/>
        <v>2.8170345213256485E-7</v>
      </c>
      <c r="AC95" s="126">
        <f t="shared" si="18"/>
        <v>8.1755728339207887E-9</v>
      </c>
      <c r="AD95" s="126">
        <f t="shared" si="19"/>
        <v>6.8153233239482335E-9</v>
      </c>
      <c r="AE95" s="128"/>
    </row>
    <row r="96" spans="1:31" x14ac:dyDescent="0.35">
      <c r="A96" t="s">
        <v>333</v>
      </c>
      <c r="B96" s="11">
        <f>F3*(1-G3)</f>
        <v>900000000000</v>
      </c>
      <c r="C96" s="11">
        <f>1/(1/(F3*(1+H3))+1/(N3*(1+P3)))</f>
        <v>49.999999997727265</v>
      </c>
      <c r="D96" s="11">
        <f>1/(1/(F3*(1-G3))+1/(N3*(1-O3)))</f>
        <v>24.999999999305555</v>
      </c>
      <c r="E96" s="11">
        <f>1/(1/(F3*(1+H3))+1/(N3*(1+P3)))</f>
        <v>49.999999997727265</v>
      </c>
      <c r="F96" s="11">
        <f>1/(1/(F3*(1+H3))+1/(N3*(1+P3)))</f>
        <v>49.999999997727265</v>
      </c>
      <c r="G96">
        <f>1/(1/(F3*(1+H3))+1/(N3*(1+P3)))</f>
        <v>49.999999997727265</v>
      </c>
      <c r="H96">
        <f>1/(1/(F3*(1-G3))+1/(N3*(1-O3)))</f>
        <v>24.999999999305555</v>
      </c>
      <c r="K96">
        <v>100</v>
      </c>
      <c r="L96">
        <v>39</v>
      </c>
      <c r="M96">
        <f t="shared" si="21"/>
        <v>10</v>
      </c>
      <c r="N96">
        <f t="shared" si="0"/>
        <v>3900</v>
      </c>
      <c r="O96">
        <f t="shared" si="1"/>
        <v>3705</v>
      </c>
      <c r="P96">
        <f t="shared" si="2"/>
        <v>4095</v>
      </c>
      <c r="Q96">
        <f t="shared" si="10"/>
        <v>0</v>
      </c>
      <c r="R96" s="126">
        <f t="shared" si="16"/>
        <v>1.8657103961080458E-7</v>
      </c>
      <c r="S96" s="126">
        <f t="shared" si="17"/>
        <v>3.0508899004625973E-7</v>
      </c>
      <c r="AA96" s="126">
        <f t="shared" si="14"/>
        <v>1.8657103961080458E-7</v>
      </c>
      <c r="AB96" s="126">
        <f t="shared" si="15"/>
        <v>3.0508899004625973E-7</v>
      </c>
      <c r="AC96" s="126">
        <f t="shared" si="18"/>
        <v>8.1567234896788847E-9</v>
      </c>
      <c r="AD96" s="126">
        <f t="shared" si="19"/>
        <v>6.8023180523063474E-9</v>
      </c>
      <c r="AE96" s="128"/>
    </row>
    <row r="97" spans="1:31" x14ac:dyDescent="0.35">
      <c r="K97">
        <v>100</v>
      </c>
      <c r="L97">
        <v>43</v>
      </c>
      <c r="M97">
        <f t="shared" si="21"/>
        <v>10</v>
      </c>
      <c r="N97">
        <f t="shared" si="0"/>
        <v>4300</v>
      </c>
      <c r="O97">
        <f t="shared" si="1"/>
        <v>4085</v>
      </c>
      <c r="P97">
        <f t="shared" si="2"/>
        <v>4515</v>
      </c>
      <c r="Q97">
        <f t="shared" si="10"/>
        <v>0</v>
      </c>
      <c r="R97" s="126">
        <f t="shared" si="16"/>
        <v>2.0570653059237677E-7</v>
      </c>
      <c r="S97" s="126">
        <f t="shared" si="17"/>
        <v>3.3626970720201638E-7</v>
      </c>
      <c r="AA97" s="126">
        <f t="shared" si="14"/>
        <v>2.0570653059237677E-7</v>
      </c>
      <c r="AB97" s="126">
        <f t="shared" si="15"/>
        <v>3.3626970720201638E-7</v>
      </c>
      <c r="AC97" s="126">
        <f t="shared" si="18"/>
        <v>8.1358666900017634E-9</v>
      </c>
      <c r="AD97" s="126">
        <f t="shared" si="19"/>
        <v>6.7879072427620128E-9</v>
      </c>
      <c r="AE97" s="128"/>
    </row>
    <row r="98" spans="1:31" x14ac:dyDescent="0.35">
      <c r="A98" t="s">
        <v>344</v>
      </c>
      <c r="B98">
        <v>1</v>
      </c>
      <c r="C98">
        <v>1</v>
      </c>
      <c r="D98">
        <v>1</v>
      </c>
      <c r="E98">
        <v>1</v>
      </c>
      <c r="F98">
        <v>1</v>
      </c>
      <c r="G98">
        <v>1</v>
      </c>
      <c r="H98">
        <v>1</v>
      </c>
      <c r="K98">
        <v>100</v>
      </c>
      <c r="L98">
        <v>47</v>
      </c>
      <c r="M98">
        <f t="shared" si="21"/>
        <v>10</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2.2484202152547237E-7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3.6745042428634089E-7</v>
      </c>
      <c r="AA98" s="126">
        <f t="shared" si="14"/>
        <v>2.2484202152547237E-7</v>
      </c>
      <c r="AB98" s="126">
        <f t="shared" si="15"/>
        <v>3.6745042428634089E-7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8.1187064298983527E-9</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6.7760342285877449E-9</v>
      </c>
      <c r="AE98" s="128"/>
    </row>
    <row r="99" spans="1:31" x14ac:dyDescent="0.35">
      <c r="A99" t="s">
        <v>345</v>
      </c>
      <c r="B99">
        <v>1</v>
      </c>
      <c r="C99">
        <v>1</v>
      </c>
      <c r="D99">
        <v>1</v>
      </c>
      <c r="E99">
        <v>1</v>
      </c>
      <c r="F99">
        <v>1</v>
      </c>
      <c r="G99">
        <v>1</v>
      </c>
      <c r="H99">
        <v>1</v>
      </c>
      <c r="K99">
        <v>100</v>
      </c>
      <c r="L99">
        <v>51</v>
      </c>
      <c r="M99">
        <f t="shared" si="21"/>
        <v>10</v>
      </c>
      <c r="N99">
        <f t="shared" si="23"/>
        <v>5100</v>
      </c>
      <c r="O99">
        <f t="shared" si="24"/>
        <v>4845</v>
      </c>
      <c r="P99">
        <f t="shared" si="25"/>
        <v>5355</v>
      </c>
      <c r="Q99">
        <f t="shared" ref="Q99:Q129" si="30">IF($Q$2="N/A",IF(AND((O99&gt;=MAX($H$7:$I$7)),(P99&lt;=MIN($F$7:$G$7)),(P99&lt;=MIN($B$7:$C$7)),(O99&gt;=MAX($D$7:$E$7))),1,0),IF(AND((O99&gt;=MAX($I$7)),(P99&lt;=MIN($G$7)),(P99&lt;=MIN($C$7)),(O99&gt;=MAX($E$7))),1,0))</f>
        <v>0</v>
      </c>
      <c r="R99" s="126">
        <f t="shared" si="26"/>
        <v>2.439775124100915E-7</v>
      </c>
      <c r="S99" s="126">
        <f t="shared" si="27"/>
        <v>3.9863114129923326E-7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2.439775124100915E-7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3.9863114129923326E-7</v>
      </c>
      <c r="AC99" s="126">
        <f t="shared" si="28"/>
        <v>8.104340419885624E-9</v>
      </c>
      <c r="AD99" s="126">
        <f t="shared" si="29"/>
        <v>6.7660831087188079E-9</v>
      </c>
      <c r="AE99" s="128"/>
    </row>
    <row r="100" spans="1:31" x14ac:dyDescent="0.35">
      <c r="A100" t="s">
        <v>346</v>
      </c>
      <c r="B100">
        <v>1</v>
      </c>
      <c r="C100">
        <v>1</v>
      </c>
      <c r="D100">
        <v>1</v>
      </c>
      <c r="E100">
        <v>1</v>
      </c>
      <c r="F100">
        <v>1</v>
      </c>
      <c r="G100">
        <v>1</v>
      </c>
      <c r="H100">
        <v>1</v>
      </c>
      <c r="K100">
        <v>100</v>
      </c>
      <c r="L100">
        <v>56</v>
      </c>
      <c r="M100">
        <f t="shared" si="21"/>
        <v>10</v>
      </c>
      <c r="N100">
        <f t="shared" si="23"/>
        <v>5600</v>
      </c>
      <c r="O100">
        <f t="shared" si="24"/>
        <v>5320</v>
      </c>
      <c r="P100">
        <f t="shared" si="25"/>
        <v>5880</v>
      </c>
      <c r="Q100">
        <f t="shared" si="30"/>
        <v>0</v>
      </c>
      <c r="R100" s="126">
        <f t="shared" si="26"/>
        <v>2.6789687594769503E-7</v>
      </c>
      <c r="S100" s="126">
        <f t="shared" si="27"/>
        <v>4.3760703746489717E-7</v>
      </c>
      <c r="AA100" s="126">
        <f t="shared" si="31"/>
        <v>2.6789687594769503E-7</v>
      </c>
      <c r="AB100" s="126">
        <f t="shared" si="32"/>
        <v>4.3760703746489717E-7</v>
      </c>
      <c r="AC100" s="126">
        <f t="shared" si="28"/>
        <v>8.0893690191348207E-9</v>
      </c>
      <c r="AD100" s="126">
        <f t="shared" si="29"/>
        <v>6.7557014733141304E-9</v>
      </c>
      <c r="AE100" s="128"/>
    </row>
    <row r="101" spans="1:31" x14ac:dyDescent="0.35">
      <c r="K101">
        <v>100</v>
      </c>
      <c r="L101">
        <v>62</v>
      </c>
      <c r="M101">
        <f t="shared" si="21"/>
        <v>10</v>
      </c>
      <c r="N101">
        <f t="shared" si="23"/>
        <v>6200</v>
      </c>
      <c r="O101">
        <f t="shared" si="24"/>
        <v>5890</v>
      </c>
      <c r="P101">
        <f t="shared" si="25"/>
        <v>6510</v>
      </c>
      <c r="Q101">
        <f t="shared" si="30"/>
        <v>0</v>
      </c>
      <c r="R101" s="126">
        <f t="shared" si="26"/>
        <v>2.9660011209283648E-7</v>
      </c>
      <c r="S101" s="126">
        <f t="shared" si="27"/>
        <v>4.8437811271636476E-7</v>
      </c>
      <c r="AA101" s="126">
        <f t="shared" si="31"/>
        <v>2.9660011209283648E-7</v>
      </c>
      <c r="AB101" s="126">
        <f t="shared" si="32"/>
        <v>4.8437811271636476E-7</v>
      </c>
      <c r="AC101" s="126">
        <f t="shared" si="28"/>
        <v>8.0746906802261699E-9</v>
      </c>
      <c r="AD101" s="126">
        <f t="shared" si="29"/>
        <v>6.745511895296577E-9</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0.99999954407408942</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0.14828948632981465</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5.7537397872300784E-2</v>
      </c>
      <c r="E102" s="12">
        <f>IF(Summary!Q50="absolute",(R2-N7)/(J3+J3*Summary!Q18),R2-N7)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0.1482894863716932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0.13675996029455931</v>
      </c>
      <c r="H102" s="12">
        <f t="shared" si="33"/>
        <v>5.7537397867694282E-2</v>
      </c>
      <c r="K102">
        <v>100</v>
      </c>
      <c r="L102">
        <v>68</v>
      </c>
      <c r="M102">
        <f t="shared" si="21"/>
        <v>10</v>
      </c>
      <c r="N102">
        <f t="shared" si="23"/>
        <v>6800</v>
      </c>
      <c r="O102">
        <f t="shared" si="24"/>
        <v>6460</v>
      </c>
      <c r="P102">
        <f t="shared" si="25"/>
        <v>7140</v>
      </c>
      <c r="Q102">
        <f t="shared" si="30"/>
        <v>0</v>
      </c>
      <c r="R102" s="126">
        <f t="shared" si="26"/>
        <v>3.2530334812890555E-7</v>
      </c>
      <c r="S102" s="126">
        <f t="shared" si="27"/>
        <v>5.3114918780711017E-7</v>
      </c>
      <c r="AA102" s="126">
        <f t="shared" si="31"/>
        <v>3.2530334812890555E-7</v>
      </c>
      <c r="AB102" s="126">
        <f t="shared" si="32"/>
        <v>5.3114918780711017E-7</v>
      </c>
      <c r="AC102" s="126">
        <f t="shared" si="28"/>
        <v>8.0626767094280428E-9</v>
      </c>
      <c r="AD102" s="126">
        <f t="shared" si="29"/>
        <v>6.7371636090074288E-9</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0.9999995440902083</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0.14828948632981465</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5.7537397860798881E-2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0.1482894863716932</v>
      </c>
      <c r="K103">
        <v>100</v>
      </c>
      <c r="L103">
        <v>75</v>
      </c>
      <c r="M103">
        <f t="shared" si="21"/>
        <v>10</v>
      </c>
      <c r="N103">
        <f t="shared" si="23"/>
        <v>7500</v>
      </c>
      <c r="O103">
        <f t="shared" si="24"/>
        <v>7125</v>
      </c>
      <c r="P103">
        <f t="shared" si="25"/>
        <v>7875</v>
      </c>
      <c r="Q103">
        <f t="shared" si="30"/>
        <v>0</v>
      </c>
      <c r="R103" s="126">
        <f t="shared" si="26"/>
        <v>3.5879045669979767E-7</v>
      </c>
      <c r="S103" s="126">
        <f t="shared" si="27"/>
        <v>5.8571544187651114E-7</v>
      </c>
      <c r="AA103" s="126">
        <f t="shared" si="31"/>
        <v>3.5879045669979767E-7</v>
      </c>
      <c r="AB103" s="126">
        <f t="shared" si="32"/>
        <v>5.8571544187651114E-7</v>
      </c>
      <c r="AC103" s="126">
        <f t="shared" si="28"/>
        <v>8.0511529384331319E-9</v>
      </c>
      <c r="AD103" s="126">
        <f t="shared" si="29"/>
        <v>6.7291488889113955E-9</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0.9999995440902083</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0.11494068344802971</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5.7537397860798881E-2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0.77511013276926366</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0.11494068349154803</v>
      </c>
      <c r="K104">
        <v>100</v>
      </c>
      <c r="L104">
        <v>82</v>
      </c>
      <c r="M104">
        <f t="shared" si="21"/>
        <v>10</v>
      </c>
      <c r="N104">
        <f t="shared" si="23"/>
        <v>8200</v>
      </c>
      <c r="O104">
        <f t="shared" si="24"/>
        <v>7790</v>
      </c>
      <c r="P104">
        <f t="shared" si="25"/>
        <v>8610</v>
      </c>
      <c r="Q104">
        <f t="shared" si="30"/>
        <v>0</v>
      </c>
      <c r="R104" s="126">
        <f t="shared" si="26"/>
        <v>3.9227756512223011E-7</v>
      </c>
      <c r="S104" s="126">
        <f t="shared" si="27"/>
        <v>6.4028169572715091E-7</v>
      </c>
      <c r="AA104" s="126">
        <f t="shared" si="31"/>
        <v>3.9227756512223011E-7</v>
      </c>
      <c r="AB104" s="126">
        <f t="shared" si="32"/>
        <v>6.4028169572715091E-7</v>
      </c>
      <c r="AC104" s="126">
        <f t="shared" si="28"/>
        <v>8.0416433673108138E-9</v>
      </c>
      <c r="AD104" s="126">
        <f t="shared" si="29"/>
        <v>6.7225297900348525E-9</v>
      </c>
      <c r="AE104" s="128"/>
    </row>
    <row r="105" spans="1:31" x14ac:dyDescent="0.35">
      <c r="K105">
        <v>100</v>
      </c>
      <c r="L105">
        <v>91</v>
      </c>
      <c r="M105">
        <f t="shared" si="21"/>
        <v>10</v>
      </c>
      <c r="N105">
        <f t="shared" si="23"/>
        <v>9100</v>
      </c>
      <c r="O105">
        <f t="shared" si="24"/>
        <v>8645</v>
      </c>
      <c r="P105">
        <f t="shared" si="25"/>
        <v>9555</v>
      </c>
      <c r="Q105">
        <f t="shared" si="30"/>
        <v>0</v>
      </c>
      <c r="R105" s="126">
        <f t="shared" si="26"/>
        <v>4.3533241859007031E-7</v>
      </c>
      <c r="S105" s="126">
        <f t="shared" si="27"/>
        <v>7.1043830749938601E-7</v>
      </c>
      <c r="AA105" s="126">
        <f t="shared" si="31"/>
        <v>4.3533241859007031E-7</v>
      </c>
      <c r="AB105" s="126">
        <f t="shared" si="32"/>
        <v>7.1043830749938601E-7</v>
      </c>
      <c r="AC105" s="126">
        <f t="shared" si="28"/>
        <v>8.0316125347883174E-9</v>
      </c>
      <c r="AD105" s="126">
        <f t="shared" si="29"/>
        <v>6.715542698292304E-9</v>
      </c>
      <c r="AE105" s="128"/>
    </row>
    <row r="106" spans="1:31" x14ac:dyDescent="0.35">
      <c r="K106">
        <v>1000</v>
      </c>
      <c r="L106">
        <v>10</v>
      </c>
      <c r="M106">
        <f t="shared" si="21"/>
        <v>10</v>
      </c>
      <c r="N106">
        <f t="shared" si="23"/>
        <v>10000</v>
      </c>
      <c r="O106">
        <f t="shared" si="24"/>
        <v>9500</v>
      </c>
      <c r="P106">
        <f t="shared" si="25"/>
        <v>10500</v>
      </c>
      <c r="Q106">
        <f t="shared" si="30"/>
        <v>0</v>
      </c>
      <c r="R106" s="126">
        <f t="shared" si="26"/>
        <v>4.7838727181249776E-7</v>
      </c>
      <c r="S106" s="126">
        <f t="shared" si="27"/>
        <v>7.8059491890999542E-7</v>
      </c>
      <c r="AA106" s="126">
        <f t="shared" si="31"/>
        <v>4.7838727181249776E-7</v>
      </c>
      <c r="AB106" s="126">
        <f t="shared" si="32"/>
        <v>7.8059491890999542E-7</v>
      </c>
      <c r="AC106" s="126">
        <f t="shared" si="28"/>
        <v>8.0234224545020661E-9</v>
      </c>
      <c r="AD106" s="126">
        <f t="shared" si="29"/>
        <v>6.7098338443918256E-9</v>
      </c>
      <c r="AE106" s="128"/>
    </row>
    <row r="107" spans="1:31" x14ac:dyDescent="0.35">
      <c r="K107">
        <v>1000</v>
      </c>
      <c r="L107">
        <v>11</v>
      </c>
      <c r="M107">
        <f t="shared" si="21"/>
        <v>10</v>
      </c>
      <c r="N107">
        <f t="shared" si="23"/>
        <v>11000</v>
      </c>
      <c r="O107">
        <f t="shared" si="24"/>
        <v>10450</v>
      </c>
      <c r="P107">
        <f t="shared" si="25"/>
        <v>11550</v>
      </c>
      <c r="Q107">
        <f t="shared" si="30"/>
        <v>0</v>
      </c>
      <c r="R107" s="126">
        <f t="shared" si="26"/>
        <v>5.2622599732736532E-7</v>
      </c>
      <c r="S107" s="126">
        <f t="shared" si="27"/>
        <v>8.5854670894209963E-7</v>
      </c>
      <c r="AA107" s="126">
        <f t="shared" si="31"/>
        <v>5.2622599732736532E-7</v>
      </c>
      <c r="AB107" s="126">
        <f t="shared" si="32"/>
        <v>8.5854670894209963E-7</v>
      </c>
      <c r="AC107" s="126">
        <f t="shared" si="28"/>
        <v>8.0159220762560622E-9</v>
      </c>
      <c r="AD107" s="126">
        <f t="shared" si="29"/>
        <v>6.704602604838398E-9</v>
      </c>
      <c r="AE107" s="128"/>
    </row>
    <row r="108" spans="1:31" x14ac:dyDescent="0.35">
      <c r="K108">
        <v>1000</v>
      </c>
      <c r="L108">
        <v>12</v>
      </c>
      <c r="M108">
        <f t="shared" si="21"/>
        <v>10</v>
      </c>
      <c r="N108">
        <f t="shared" si="23"/>
        <v>12000</v>
      </c>
      <c r="O108">
        <f t="shared" si="24"/>
        <v>11400</v>
      </c>
      <c r="P108">
        <f t="shared" si="25"/>
        <v>12600</v>
      </c>
      <c r="Q108">
        <f t="shared" si="30"/>
        <v>0</v>
      </c>
      <c r="R108" s="126">
        <f t="shared" si="26"/>
        <v>5.7406472253925428E-7</v>
      </c>
      <c r="S108" s="126">
        <f t="shared" si="27"/>
        <v>9.3649849852775288E-7</v>
      </c>
      <c r="AA108" s="126">
        <f t="shared" si="31"/>
        <v>5.7406472253925428E-7</v>
      </c>
      <c r="AB108" s="126">
        <f t="shared" si="32"/>
        <v>9.3649849852775288E-7</v>
      </c>
      <c r="AC108" s="126">
        <f t="shared" si="28"/>
        <v>8.0096920961485955E-9</v>
      </c>
      <c r="AD108" s="126">
        <f t="shared" si="29"/>
        <v>6.7002551294885222E-9</v>
      </c>
      <c r="AE108" s="128"/>
    </row>
    <row r="109" spans="1:31" x14ac:dyDescent="0.35">
      <c r="K109">
        <v>1000</v>
      </c>
      <c r="L109">
        <v>13</v>
      </c>
      <c r="M109">
        <f t="shared" si="21"/>
        <v>10</v>
      </c>
      <c r="N109">
        <f t="shared" si="23"/>
        <v>13000</v>
      </c>
      <c r="O109">
        <f t="shared" si="24"/>
        <v>12350</v>
      </c>
      <c r="P109">
        <f t="shared" si="25"/>
        <v>13650</v>
      </c>
      <c r="Q109">
        <f t="shared" si="30"/>
        <v>0</v>
      </c>
      <c r="R109" s="126">
        <f t="shared" si="26"/>
        <v>6.2190344744816454E-7</v>
      </c>
      <c r="S109" s="126">
        <f t="shared" si="27"/>
        <v>1.014450287666955E-6</v>
      </c>
      <c r="AA109" s="126">
        <f t="shared" si="31"/>
        <v>6.2190344744816454E-7</v>
      </c>
      <c r="AB109" s="126">
        <f t="shared" si="32"/>
        <v>1.014450287666955E-6</v>
      </c>
      <c r="AC109" s="126">
        <f t="shared" si="28"/>
        <v>8.0044349746976979E-9</v>
      </c>
      <c r="AD109" s="126">
        <f t="shared" si="29"/>
        <v>6.6965849207857654E-9</v>
      </c>
      <c r="AE109" s="128"/>
    </row>
    <row r="110" spans="1:31" x14ac:dyDescent="0.35">
      <c r="K110">
        <v>1000</v>
      </c>
      <c r="L110">
        <v>15</v>
      </c>
      <c r="M110">
        <f t="shared" si="21"/>
        <v>10</v>
      </c>
      <c r="N110">
        <f t="shared" si="23"/>
        <v>15000</v>
      </c>
      <c r="O110">
        <f t="shared" si="24"/>
        <v>14250</v>
      </c>
      <c r="P110">
        <f t="shared" si="25"/>
        <v>15750</v>
      </c>
      <c r="Q110">
        <f t="shared" si="30"/>
        <v>0</v>
      </c>
      <c r="R110" s="126">
        <f t="shared" si="26"/>
        <v>7.1758089635704955E-7</v>
      </c>
      <c r="S110" s="126">
        <f t="shared" si="27"/>
        <v>1.1703538646060053E-6</v>
      </c>
      <c r="AA110" s="126">
        <f t="shared" si="31"/>
        <v>7.1758089635704955E-7</v>
      </c>
      <c r="AB110" s="126">
        <f t="shared" si="32"/>
        <v>1.1703538646060053E-6</v>
      </c>
      <c r="AC110" s="126">
        <f t="shared" si="28"/>
        <v>7.9960509591585766E-9</v>
      </c>
      <c r="AD110" s="126">
        <f t="shared" si="29"/>
        <v>6.6907286113139056E-9</v>
      </c>
      <c r="AE110" s="128"/>
    </row>
    <row r="111" spans="1:31" x14ac:dyDescent="0.35">
      <c r="K111">
        <v>1000</v>
      </c>
      <c r="L111">
        <v>16</v>
      </c>
      <c r="M111">
        <f t="shared" si="21"/>
        <v>10</v>
      </c>
      <c r="N111">
        <f t="shared" si="23"/>
        <v>16000</v>
      </c>
      <c r="O111">
        <f t="shared" si="24"/>
        <v>15200</v>
      </c>
      <c r="P111">
        <f t="shared" si="25"/>
        <v>16800</v>
      </c>
      <c r="Q111">
        <f t="shared" si="30"/>
        <v>0</v>
      </c>
      <c r="R111" s="126">
        <f t="shared" si="26"/>
        <v>7.654196203570241E-7</v>
      </c>
      <c r="S111" s="126">
        <f t="shared" si="27"/>
        <v>1.2483056524058539E-6</v>
      </c>
      <c r="AA111" s="126">
        <f t="shared" si="31"/>
        <v>7.654196203570241E-7</v>
      </c>
      <c r="AB111" s="126">
        <f t="shared" si="32"/>
        <v>1.2483056524058539E-6</v>
      </c>
      <c r="AC111" s="126">
        <f t="shared" si="28"/>
        <v>7.9926545548808064E-9</v>
      </c>
      <c r="AD111" s="126">
        <f t="shared" si="29"/>
        <v>6.6883551077980971E-9</v>
      </c>
      <c r="AE111" s="128"/>
    </row>
    <row r="112" spans="1:31" x14ac:dyDescent="0.35">
      <c r="K112">
        <v>1000</v>
      </c>
      <c r="L112">
        <v>18</v>
      </c>
      <c r="M112">
        <f t="shared" si="21"/>
        <v>10</v>
      </c>
      <c r="N112">
        <f t="shared" si="23"/>
        <v>18000</v>
      </c>
      <c r="O112">
        <f t="shared" si="24"/>
        <v>17100</v>
      </c>
      <c r="P112">
        <f t="shared" si="25"/>
        <v>18900</v>
      </c>
      <c r="Q112">
        <f t="shared" si="30"/>
        <v>0</v>
      </c>
      <c r="R112" s="126">
        <f t="shared" si="26"/>
        <v>8.6109706744803771E-7</v>
      </c>
      <c r="S112" s="126">
        <f t="shared" si="27"/>
        <v>1.4042092266661976E-6</v>
      </c>
      <c r="AA112" s="126">
        <f t="shared" si="31"/>
        <v>8.6109706744803771E-7</v>
      </c>
      <c r="AB112" s="126">
        <f t="shared" si="32"/>
        <v>1.4042092266661976E-6</v>
      </c>
      <c r="AC112" s="126">
        <f t="shared" si="28"/>
        <v>7.9870061790621538E-9</v>
      </c>
      <c r="AD112" s="126">
        <f t="shared" si="29"/>
        <v>6.6844064723025729E-9</v>
      </c>
      <c r="AE112" s="128"/>
    </row>
    <row r="113" spans="11:31" x14ac:dyDescent="0.35">
      <c r="K113">
        <v>1000</v>
      </c>
      <c r="L113">
        <v>20</v>
      </c>
      <c r="M113">
        <f t="shared" si="21"/>
        <v>10</v>
      </c>
      <c r="N113">
        <f t="shared" si="23"/>
        <v>20000</v>
      </c>
      <c r="O113">
        <f t="shared" si="24"/>
        <v>19000</v>
      </c>
      <c r="P113">
        <f t="shared" si="25"/>
        <v>21000</v>
      </c>
      <c r="Q113">
        <f t="shared" si="30"/>
        <v>0</v>
      </c>
      <c r="R113" s="126">
        <f t="shared" si="26"/>
        <v>9.5677451332713712E-7</v>
      </c>
      <c r="S113" s="126">
        <f t="shared" si="27"/>
        <v>1.5601127991407367E-6</v>
      </c>
      <c r="AA113" s="126">
        <f t="shared" si="31"/>
        <v>9.5677451332713712E-7</v>
      </c>
      <c r="AB113" s="126">
        <f t="shared" si="32"/>
        <v>1.5601127991407367E-6</v>
      </c>
      <c r="AC113" s="126">
        <f t="shared" si="28"/>
        <v>7.9824985252319154E-9</v>
      </c>
      <c r="AD113" s="126">
        <f t="shared" si="29"/>
        <v>6.6812540367872136E-9</v>
      </c>
      <c r="AE113" s="128"/>
    </row>
    <row r="114" spans="11:31" x14ac:dyDescent="0.35">
      <c r="K114">
        <v>1000</v>
      </c>
      <c r="L114">
        <v>22</v>
      </c>
      <c r="M114">
        <f t="shared" si="21"/>
        <v>10</v>
      </c>
      <c r="N114">
        <f t="shared" si="23"/>
        <v>22000</v>
      </c>
      <c r="O114">
        <f t="shared" si="24"/>
        <v>20900</v>
      </c>
      <c r="P114">
        <f t="shared" si="25"/>
        <v>23100</v>
      </c>
      <c r="Q114">
        <f t="shared" si="30"/>
        <v>0</v>
      </c>
      <c r="R114" s="126">
        <f t="shared" si="26"/>
        <v>1.052451957994322E-6</v>
      </c>
      <c r="S114" s="126">
        <f t="shared" si="27"/>
        <v>1.7160163698294716E-6</v>
      </c>
      <c r="AA114" s="126">
        <f t="shared" si="31"/>
        <v>1.052451957994322E-6</v>
      </c>
      <c r="AB114" s="126">
        <f t="shared" si="32"/>
        <v>1.7160163698294716E-6</v>
      </c>
      <c r="AC114" s="126">
        <f t="shared" si="28"/>
        <v>7.9788177341234118E-9</v>
      </c>
      <c r="AD114" s="126">
        <f t="shared" si="29"/>
        <v>6.6786790439138996E-9</v>
      </c>
      <c r="AE114" s="128"/>
    </row>
    <row r="115" spans="11:31" x14ac:dyDescent="0.35">
      <c r="K115">
        <v>1000</v>
      </c>
      <c r="L115">
        <v>24</v>
      </c>
      <c r="M115">
        <f t="shared" si="21"/>
        <v>10</v>
      </c>
      <c r="N115">
        <f t="shared" si="23"/>
        <v>24000</v>
      </c>
      <c r="O115">
        <f t="shared" si="24"/>
        <v>22800</v>
      </c>
      <c r="P115">
        <f t="shared" si="25"/>
        <v>25200</v>
      </c>
      <c r="Q115">
        <f t="shared" si="30"/>
        <v>0</v>
      </c>
      <c r="R115" s="126">
        <f t="shared" si="26"/>
        <v>1.1481294014495929E-6</v>
      </c>
      <c r="S115" s="126">
        <f t="shared" si="27"/>
        <v>1.8719199387324022E-6</v>
      </c>
      <c r="AA115" s="126">
        <f t="shared" si="31"/>
        <v>1.1481294014495929E-6</v>
      </c>
      <c r="AB115" s="126">
        <f t="shared" si="32"/>
        <v>1.8719199387324022E-6</v>
      </c>
      <c r="AC115" s="126">
        <f t="shared" si="28"/>
        <v>7.9757554115609769E-9</v>
      </c>
      <c r="AD115" s="126">
        <f t="shared" si="29"/>
        <v>6.6765361499631303E-9</v>
      </c>
      <c r="AE115" s="128"/>
    </row>
    <row r="116" spans="11:31" x14ac:dyDescent="0.35">
      <c r="K116">
        <v>1000</v>
      </c>
      <c r="L116">
        <v>27</v>
      </c>
      <c r="M116">
        <f t="shared" si="21"/>
        <v>10</v>
      </c>
      <c r="N116">
        <f t="shared" si="23"/>
        <v>27000</v>
      </c>
      <c r="O116">
        <f t="shared" si="24"/>
        <v>25650</v>
      </c>
      <c r="P116">
        <f t="shared" si="25"/>
        <v>28350</v>
      </c>
      <c r="Q116">
        <f t="shared" si="30"/>
        <v>0</v>
      </c>
      <c r="R116" s="126">
        <f t="shared" si="26"/>
        <v>1.2916455643601598E-6</v>
      </c>
      <c r="S116" s="126">
        <f t="shared" si="27"/>
        <v>2.1057752887384145E-6</v>
      </c>
      <c r="AA116" s="126">
        <f t="shared" si="31"/>
        <v>1.2916455643601598E-6</v>
      </c>
      <c r="AB116" s="126">
        <f t="shared" si="32"/>
        <v>2.1057752887384145E-6</v>
      </c>
      <c r="AC116" s="126">
        <f t="shared" si="28"/>
        <v>7.9720187406381422E-9</v>
      </c>
      <c r="AD116" s="126">
        <f t="shared" si="29"/>
        <v>6.6739206743717777E-9</v>
      </c>
      <c r="AE116" s="128"/>
    </row>
    <row r="117" spans="11:31" x14ac:dyDescent="0.35">
      <c r="K117">
        <v>1000</v>
      </c>
      <c r="L117">
        <v>30</v>
      </c>
      <c r="M117">
        <f t="shared" si="21"/>
        <v>10</v>
      </c>
      <c r="N117">
        <f t="shared" si="23"/>
        <v>30000</v>
      </c>
      <c r="O117">
        <f t="shared" si="24"/>
        <v>28500</v>
      </c>
      <c r="P117">
        <f t="shared" si="25"/>
        <v>31500</v>
      </c>
      <c r="Q117">
        <f t="shared" si="30"/>
        <v>0</v>
      </c>
      <c r="R117" s="126">
        <f t="shared" si="26"/>
        <v>1.4351617245439204E-6</v>
      </c>
      <c r="S117" s="126">
        <f t="shared" si="27"/>
        <v>2.3396306347263676E-6</v>
      </c>
      <c r="AA117" s="126">
        <f t="shared" si="31"/>
        <v>1.4351617245439204E-6</v>
      </c>
      <c r="AB117" s="126">
        <f t="shared" si="32"/>
        <v>2.3396306347263676E-6</v>
      </c>
      <c r="AC117" s="126">
        <f t="shared" si="28"/>
        <v>7.9690342819573109E-9</v>
      </c>
      <c r="AD117" s="126">
        <f t="shared" si="29"/>
        <v>6.6718311552350963E-9</v>
      </c>
      <c r="AE117" s="128"/>
    </row>
    <row r="118" spans="11:31" x14ac:dyDescent="0.35">
      <c r="K118">
        <v>1000</v>
      </c>
      <c r="L118">
        <v>33</v>
      </c>
      <c r="M118">
        <f t="shared" si="21"/>
        <v>10</v>
      </c>
      <c r="N118">
        <f t="shared" si="23"/>
        <v>33000</v>
      </c>
      <c r="O118">
        <f t="shared" si="24"/>
        <v>31350</v>
      </c>
      <c r="P118">
        <f t="shared" si="25"/>
        <v>34650</v>
      </c>
      <c r="Q118">
        <f t="shared" si="30"/>
        <v>0</v>
      </c>
      <c r="R118" s="126">
        <f t="shared" si="26"/>
        <v>1.5786778820008738E-6</v>
      </c>
      <c r="S118" s="126">
        <f t="shared" si="27"/>
        <v>2.5734859766962598E-6</v>
      </c>
      <c r="AA118" s="126">
        <f t="shared" si="31"/>
        <v>1.5786778820008738E-6</v>
      </c>
      <c r="AB118" s="126">
        <f t="shared" si="32"/>
        <v>2.5734859766962598E-6</v>
      </c>
      <c r="AC118" s="126">
        <f t="shared" si="28"/>
        <v>7.966595673078002E-9</v>
      </c>
      <c r="AD118" s="126">
        <f t="shared" si="29"/>
        <v>6.6701234383958662E-9</v>
      </c>
      <c r="AE118" s="128"/>
    </row>
    <row r="119" spans="11:31" x14ac:dyDescent="0.35">
      <c r="K119">
        <v>1000</v>
      </c>
      <c r="L119">
        <v>36</v>
      </c>
      <c r="M119">
        <f t="shared" si="21"/>
        <v>10</v>
      </c>
      <c r="N119">
        <f t="shared" si="23"/>
        <v>36000</v>
      </c>
      <c r="O119">
        <f t="shared" si="24"/>
        <v>34200</v>
      </c>
      <c r="P119">
        <f t="shared" si="25"/>
        <v>37800</v>
      </c>
      <c r="Q119">
        <f t="shared" si="30"/>
        <v>0</v>
      </c>
      <c r="R119" s="126">
        <f t="shared" si="26"/>
        <v>1.7221940367310205E-6</v>
      </c>
      <c r="S119" s="126">
        <f t="shared" si="27"/>
        <v>2.8073413146480932E-6</v>
      </c>
      <c r="AA119" s="126">
        <f t="shared" si="31"/>
        <v>1.7221940367310205E-6</v>
      </c>
      <c r="AB119" s="126">
        <f t="shared" si="32"/>
        <v>2.8073413146480932E-6</v>
      </c>
      <c r="AC119" s="126">
        <f t="shared" si="28"/>
        <v>7.9645657110617269E-9</v>
      </c>
      <c r="AD119" s="126">
        <f t="shared" si="29"/>
        <v>6.6687016390624745E-9</v>
      </c>
      <c r="AE119" s="128"/>
    </row>
    <row r="120" spans="11:31" x14ac:dyDescent="0.35">
      <c r="K120">
        <v>1000</v>
      </c>
      <c r="L120">
        <v>39</v>
      </c>
      <c r="M120">
        <f t="shared" si="21"/>
        <v>10</v>
      </c>
      <c r="N120">
        <f t="shared" si="23"/>
        <v>39000</v>
      </c>
      <c r="O120">
        <f t="shared" si="24"/>
        <v>37050</v>
      </c>
      <c r="P120">
        <f t="shared" si="25"/>
        <v>40950</v>
      </c>
      <c r="Q120">
        <f t="shared" si="30"/>
        <v>0</v>
      </c>
      <c r="R120" s="126">
        <f t="shared" si="26"/>
        <v>1.8657101887343607E-6</v>
      </c>
      <c r="S120" s="126">
        <f t="shared" si="27"/>
        <v>3.0411966485818675E-6</v>
      </c>
      <c r="AA120" s="126">
        <f t="shared" si="31"/>
        <v>1.8657101887343607E-6</v>
      </c>
      <c r="AB120" s="126">
        <f t="shared" si="32"/>
        <v>3.0411966485818675E-6</v>
      </c>
      <c r="AC120" s="126">
        <f t="shared" si="28"/>
        <v>7.9628496201946766E-9</v>
      </c>
      <c r="AD120" s="126">
        <f t="shared" si="29"/>
        <v>6.6674994990879505E-9</v>
      </c>
      <c r="AE120" s="128"/>
    </row>
    <row r="121" spans="11:31" x14ac:dyDescent="0.35">
      <c r="K121">
        <v>1000</v>
      </c>
      <c r="L121">
        <v>43</v>
      </c>
      <c r="M121">
        <f t="shared" si="21"/>
        <v>10</v>
      </c>
      <c r="N121">
        <f t="shared" si="23"/>
        <v>43000</v>
      </c>
      <c r="O121">
        <f t="shared" si="24"/>
        <v>40850</v>
      </c>
      <c r="P121">
        <f t="shared" si="25"/>
        <v>45150</v>
      </c>
      <c r="Q121">
        <f t="shared" si="30"/>
        <v>0</v>
      </c>
      <c r="R121" s="126">
        <f t="shared" si="26"/>
        <v>2.0570650538304488E-6</v>
      </c>
      <c r="S121" s="126">
        <f t="shared" si="27"/>
        <v>3.3530037542432511E-6</v>
      </c>
      <c r="AA121" s="126">
        <f t="shared" si="31"/>
        <v>2.0570650538304488E-6</v>
      </c>
      <c r="AB121" s="126">
        <f t="shared" si="32"/>
        <v>3.3530037542432511E-6</v>
      </c>
      <c r="AC121" s="126">
        <f t="shared" si="28"/>
        <v>7.960935681661957E-9</v>
      </c>
      <c r="AD121" s="126">
        <f t="shared" si="29"/>
        <v>6.6661585719320785E-9</v>
      </c>
      <c r="AE121" s="128"/>
    </row>
    <row r="122" spans="11:31" x14ac:dyDescent="0.35">
      <c r="K122">
        <v>1000</v>
      </c>
      <c r="L122">
        <v>47</v>
      </c>
      <c r="M122">
        <f t="shared" si="21"/>
        <v>10</v>
      </c>
      <c r="N122">
        <f t="shared" si="23"/>
        <v>47000</v>
      </c>
      <c r="O122">
        <f t="shared" si="24"/>
        <v>44650</v>
      </c>
      <c r="P122">
        <f t="shared" si="25"/>
        <v>49350</v>
      </c>
      <c r="Q122">
        <f t="shared" si="30"/>
        <v>0</v>
      </c>
      <c r="R122" s="126">
        <f t="shared" si="26"/>
        <v>2.2484199140788808E-6</v>
      </c>
      <c r="S122" s="126">
        <f t="shared" si="27"/>
        <v>3.6648108527614191E-6</v>
      </c>
      <c r="AA122" s="126">
        <f t="shared" si="31"/>
        <v>2.2484199140788808E-6</v>
      </c>
      <c r="AB122" s="126">
        <f t="shared" si="32"/>
        <v>3.6648108527614191E-6</v>
      </c>
      <c r="AC122" s="126">
        <f t="shared" si="28"/>
        <v>7.9593488786089413E-9</v>
      </c>
      <c r="AD122" s="126">
        <f t="shared" si="29"/>
        <v>6.6650466853050542E-9</v>
      </c>
      <c r="AE122" s="128"/>
    </row>
    <row r="123" spans="11:31" x14ac:dyDescent="0.35">
      <c r="K123">
        <v>1000</v>
      </c>
      <c r="L123">
        <v>51</v>
      </c>
      <c r="M123">
        <f t="shared" si="21"/>
        <v>10</v>
      </c>
      <c r="N123">
        <f t="shared" si="23"/>
        <v>51000</v>
      </c>
      <c r="O123">
        <f t="shared" si="24"/>
        <v>48450</v>
      </c>
      <c r="P123">
        <f t="shared" si="25"/>
        <v>53550</v>
      </c>
      <c r="Q123">
        <f t="shared" si="30"/>
        <v>0</v>
      </c>
      <c r="R123" s="126">
        <f t="shared" si="26"/>
        <v>2.4397747694796576E-6</v>
      </c>
      <c r="S123" s="126">
        <f t="shared" si="27"/>
        <v>3.9766179441363715E-6</v>
      </c>
      <c r="AA123" s="126">
        <f t="shared" si="31"/>
        <v>2.4397747694796576E-6</v>
      </c>
      <c r="AB123" s="126">
        <f t="shared" si="32"/>
        <v>3.9766179441363715E-6</v>
      </c>
      <c r="AC123" s="126">
        <f t="shared" si="28"/>
        <v>7.9580119426986625E-9</v>
      </c>
      <c r="AD123" s="126">
        <f t="shared" si="29"/>
        <v>6.6641097740398261E-9</v>
      </c>
      <c r="AE123" s="128"/>
    </row>
    <row r="124" spans="11:31" x14ac:dyDescent="0.35">
      <c r="K124">
        <v>1000</v>
      </c>
      <c r="L124">
        <v>56</v>
      </c>
      <c r="M124">
        <f t="shared" si="21"/>
        <v>10</v>
      </c>
      <c r="N124">
        <f t="shared" si="23"/>
        <v>56000</v>
      </c>
      <c r="O124">
        <f t="shared" si="24"/>
        <v>53200</v>
      </c>
      <c r="P124">
        <f t="shared" si="25"/>
        <v>58800</v>
      </c>
      <c r="Q124">
        <f t="shared" si="30"/>
        <v>0</v>
      </c>
      <c r="R124" s="126">
        <f t="shared" si="26"/>
        <v>2.6789683319136128E-6</v>
      </c>
      <c r="S124" s="126">
        <f t="shared" si="27"/>
        <v>4.3663767983099126E-6</v>
      </c>
      <c r="AA124" s="126">
        <f t="shared" si="31"/>
        <v>2.6789683319136128E-6</v>
      </c>
      <c r="AB124" s="126">
        <f t="shared" si="32"/>
        <v>4.3663767983099126E-6</v>
      </c>
      <c r="AC124" s="126">
        <f t="shared" si="28"/>
        <v>7.9566102940696953E-9</v>
      </c>
      <c r="AD124" s="126">
        <f t="shared" si="29"/>
        <v>6.6631274058951747E-9</v>
      </c>
      <c r="AE124" s="128"/>
    </row>
    <row r="125" spans="11:31" x14ac:dyDescent="0.35">
      <c r="K125">
        <v>1000</v>
      </c>
      <c r="L125">
        <v>62</v>
      </c>
      <c r="M125">
        <f t="shared" si="21"/>
        <v>10</v>
      </c>
      <c r="N125">
        <f t="shared" si="23"/>
        <v>62000</v>
      </c>
      <c r="O125">
        <f t="shared" si="24"/>
        <v>58900</v>
      </c>
      <c r="P125">
        <f t="shared" si="25"/>
        <v>65100</v>
      </c>
      <c r="Q125">
        <f t="shared" si="30"/>
        <v>0</v>
      </c>
      <c r="R125" s="126">
        <f t="shared" si="26"/>
        <v>2.9660005968360695E-6</v>
      </c>
      <c r="S125" s="126">
        <f t="shared" si="27"/>
        <v>4.8340874085852812E-6</v>
      </c>
      <c r="AA125" s="126">
        <f t="shared" si="31"/>
        <v>2.9660005968360695E-6</v>
      </c>
      <c r="AB125" s="126">
        <f t="shared" si="32"/>
        <v>4.8340874085852812E-6</v>
      </c>
      <c r="AC125" s="126">
        <f t="shared" si="28"/>
        <v>7.9552276750373606E-9</v>
      </c>
      <c r="AD125" s="126">
        <f t="shared" si="29"/>
        <v>6.6621582676879971E-9</v>
      </c>
      <c r="AE125" s="128"/>
    </row>
    <row r="126" spans="11:31" x14ac:dyDescent="0.35">
      <c r="K126">
        <v>1000</v>
      </c>
      <c r="L126">
        <v>68</v>
      </c>
      <c r="M126">
        <f t="shared" si="21"/>
        <v>10</v>
      </c>
      <c r="N126">
        <f t="shared" si="23"/>
        <v>68000</v>
      </c>
      <c r="O126">
        <f t="shared" si="24"/>
        <v>64600</v>
      </c>
      <c r="P126">
        <f t="shared" si="25"/>
        <v>71400</v>
      </c>
      <c r="Q126">
        <f t="shared" si="30"/>
        <v>0</v>
      </c>
      <c r="R126" s="126">
        <f t="shared" si="26"/>
        <v>3.2530328508513028E-6</v>
      </c>
      <c r="S126" s="126">
        <f t="shared" si="27"/>
        <v>5.3017980027884157E-6</v>
      </c>
      <c r="AA126" s="126">
        <f t="shared" si="31"/>
        <v>3.2530328508513028E-6</v>
      </c>
      <c r="AB126" s="126">
        <f t="shared" si="32"/>
        <v>5.3017980027884157E-6</v>
      </c>
      <c r="AC126" s="126">
        <f t="shared" si="28"/>
        <v>7.9540897512752868E-9</v>
      </c>
      <c r="AD126" s="126">
        <f t="shared" si="29"/>
        <v>6.661360567118358E-9</v>
      </c>
      <c r="AE126" s="128"/>
    </row>
    <row r="127" spans="11:31" x14ac:dyDescent="0.35">
      <c r="K127">
        <v>1000</v>
      </c>
      <c r="L127">
        <v>75</v>
      </c>
      <c r="M127">
        <f t="shared" si="21"/>
        <v>10</v>
      </c>
      <c r="N127">
        <f t="shared" si="23"/>
        <v>75000</v>
      </c>
      <c r="O127">
        <f t="shared" si="24"/>
        <v>71250</v>
      </c>
      <c r="P127">
        <f t="shared" si="25"/>
        <v>78750</v>
      </c>
      <c r="Q127">
        <f t="shared" si="30"/>
        <v>0</v>
      </c>
      <c r="R127" s="126">
        <f t="shared" si="26"/>
        <v>3.5879038000835575E-6</v>
      </c>
      <c r="S127" s="126">
        <f t="shared" si="27"/>
        <v>5.847460342378555E-6</v>
      </c>
      <c r="AA127" s="126">
        <f t="shared" si="31"/>
        <v>3.5879038000835575E-6</v>
      </c>
      <c r="AB127" s="126">
        <f t="shared" si="32"/>
        <v>5.847460342378555E-6</v>
      </c>
      <c r="AC127" s="126">
        <f t="shared" si="28"/>
        <v>7.9529928887966008E-9</v>
      </c>
      <c r="AD127" s="126">
        <f t="shared" si="29"/>
        <v>6.6605915826680116E-9</v>
      </c>
      <c r="AE127" s="128"/>
    </row>
    <row r="128" spans="11:31" x14ac:dyDescent="0.35">
      <c r="K128">
        <v>1000</v>
      </c>
      <c r="L128">
        <v>82</v>
      </c>
      <c r="M128">
        <f t="shared" si="21"/>
        <v>10</v>
      </c>
      <c r="N128">
        <f t="shared" si="23"/>
        <v>82000</v>
      </c>
      <c r="O128">
        <f t="shared" si="24"/>
        <v>77900</v>
      </c>
      <c r="P128">
        <f t="shared" si="25"/>
        <v>86100</v>
      </c>
      <c r="Q128">
        <f t="shared" si="30"/>
        <v>0</v>
      </c>
      <c r="R128" s="126">
        <f t="shared" si="26"/>
        <v>3.9227747344698703E-6</v>
      </c>
      <c r="S128" s="126">
        <f t="shared" si="27"/>
        <v>6.3931226600926013E-6</v>
      </c>
      <c r="AA128" s="126">
        <f t="shared" si="31"/>
        <v>3.9227747344698703E-6</v>
      </c>
      <c r="AB128" s="126">
        <f t="shared" si="32"/>
        <v>6.3931226600926013E-6</v>
      </c>
      <c r="AC128" s="126">
        <f t="shared" si="28"/>
        <v>7.9520837434893756E-9</v>
      </c>
      <c r="AD128" s="126">
        <f t="shared" si="29"/>
        <v>6.6599541513652525E-9</v>
      </c>
      <c r="AE128" s="128"/>
    </row>
    <row r="129" spans="11:31" x14ac:dyDescent="0.35">
      <c r="K129">
        <v>1000</v>
      </c>
      <c r="L129">
        <v>91</v>
      </c>
      <c r="M129">
        <f t="shared" si="21"/>
        <v>10</v>
      </c>
      <c r="N129">
        <f t="shared" si="23"/>
        <v>91000</v>
      </c>
      <c r="O129">
        <f t="shared" si="24"/>
        <v>86450</v>
      </c>
      <c r="P129">
        <f t="shared" si="25"/>
        <v>95550</v>
      </c>
      <c r="Q129">
        <f t="shared" si="30"/>
        <v>0</v>
      </c>
      <c r="R129" s="126">
        <f t="shared" si="26"/>
        <v>4.3533230568664005E-6</v>
      </c>
      <c r="S129" s="126">
        <f t="shared" si="27"/>
        <v>7.0946884650090531E-6</v>
      </c>
      <c r="AA129" s="126">
        <f t="shared" si="31"/>
        <v>4.3533230568664005E-6</v>
      </c>
      <c r="AB129" s="126">
        <f t="shared" si="32"/>
        <v>7.0946884650090531E-6</v>
      </c>
      <c r="AC129" s="126">
        <f t="shared" si="28"/>
        <v>7.9511208064902195E-9</v>
      </c>
      <c r="AD129" s="126">
        <f t="shared" si="29"/>
        <v>6.6592789545739984E-9</v>
      </c>
      <c r="AE129" s="128"/>
    </row>
    <row r="130" spans="11:31" x14ac:dyDescent="0.35">
      <c r="M130">
        <f t="shared" si="21"/>
        <v>10</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463" priority="28" stopIfTrue="1">
      <formula>AND($B$11="need resistor",$C$11&gt;0)</formula>
    </cfRule>
    <cfRule type="containsText" dxfId="462" priority="32" operator="containsText" text="need resistor">
      <formula>NOT(ISERROR(SEARCH("need resistor",B11)))</formula>
    </cfRule>
  </conditionalFormatting>
  <conditionalFormatting sqref="B11:B12">
    <cfRule type="containsText" dxfId="461" priority="30" operator="containsText" text="no need">
      <formula>NOT(ISERROR(SEARCH("no need",B11)))</formula>
    </cfRule>
  </conditionalFormatting>
  <conditionalFormatting sqref="B12">
    <cfRule type="expression" dxfId="460" priority="27" stopIfTrue="1">
      <formula>AND($B$12="need resistor",$C$12&gt;0)</formula>
    </cfRule>
    <cfRule type="containsText" dxfId="459" priority="29" operator="containsText" text="need resistor">
      <formula>NOT(ISERROR(SEARCH("need resistor",B12)))</formula>
    </cfRule>
  </conditionalFormatting>
  <conditionalFormatting sqref="B42">
    <cfRule type="expression" dxfId="458" priority="55">
      <formula>AND($B$42&gt;$S$2,$B$2=1)</formula>
    </cfRule>
    <cfRule type="expression" dxfId="457" priority="54">
      <formula>AND($B$42&lt;$R$2,$B$2=0)</formula>
    </cfRule>
    <cfRule type="expression" dxfId="456" priority="53" stopIfTrue="1">
      <formula>AND($B$42&lt;=$S$2,$B$2=1)</formula>
    </cfRule>
    <cfRule type="expression" dxfId="455" priority="52" stopIfTrue="1">
      <formula>AND($B$42&gt;=$R$2,$B$2=0)</formula>
    </cfRule>
  </conditionalFormatting>
  <conditionalFormatting sqref="B62">
    <cfRule type="expression" dxfId="454" priority="63">
      <formula>AND($B$62&gt;$S$2,$B$2=1)</formula>
    </cfRule>
    <cfRule type="expression" dxfId="453" priority="62">
      <formula>AND($B$62&lt;$R$2,$B$2=0)</formula>
    </cfRule>
    <cfRule type="expression" dxfId="452" priority="61" stopIfTrue="1">
      <formula>AND($B$62&lt;=$S$2,$B$2=1)</formula>
    </cfRule>
    <cfRule type="expression" dxfId="451" priority="60" stopIfTrue="1">
      <formula>AND($B$62&gt;=$R$2,$B$2=0)</formula>
    </cfRule>
  </conditionalFormatting>
  <conditionalFormatting sqref="B84">
    <cfRule type="cellIs" dxfId="450" priority="41" operator="greaterThan">
      <formula>$S$3</formula>
    </cfRule>
    <cfRule type="cellIs" dxfId="449" priority="40" operator="lessThanOrEqual">
      <formula>$S$3</formula>
    </cfRule>
  </conditionalFormatting>
  <conditionalFormatting sqref="B102">
    <cfRule type="cellIs" dxfId="448" priority="44" operator="lessThanOrEqual">
      <formula>$S$2</formula>
    </cfRule>
    <cfRule type="cellIs" dxfId="447" priority="45" operator="greaterThan">
      <formula>$S$2</formula>
    </cfRule>
  </conditionalFormatting>
  <conditionalFormatting sqref="B18:C18">
    <cfRule type="expression" dxfId="446" priority="49">
      <formula>OR(AND($B$2=0,$C$18&lt;$R$2),AND($B$2=1,$C$18&gt;$S$2))</formula>
    </cfRule>
    <cfRule type="expression" dxfId="445" priority="48" stopIfTrue="1">
      <formula>OR(AND($B$2=0,$C$18&gt;=$R$2),AND($B$2=1,$C$18&lt;=$S$2))</formula>
    </cfRule>
  </conditionalFormatting>
  <conditionalFormatting sqref="B19:C19">
    <cfRule type="expression" dxfId="444" priority="51">
      <formula>OR(AND($B$3=0,$C$19&lt;$R$3),AND($B$3=1,$C$19&gt;$S$3))</formula>
    </cfRule>
    <cfRule type="expression" dxfId="443" priority="50" stopIfTrue="1">
      <formula>OR(AND($B$3=0,$C$19&gt;=$R$3),AND($B$3=1,$C$19&lt;=$S$3))</formula>
    </cfRule>
  </conditionalFormatting>
  <conditionalFormatting sqref="C14">
    <cfRule type="cellIs" dxfId="442" priority="22" operator="equal">
      <formula>"no solution"</formula>
    </cfRule>
  </conditionalFormatting>
  <conditionalFormatting sqref="C44">
    <cfRule type="expression" dxfId="441" priority="59">
      <formula>AND($B$44&gt;$S$3,$B$3=1)</formula>
    </cfRule>
    <cfRule type="expression" dxfId="440" priority="58">
      <formula>AND($B$44&lt;$R$3,$B$3=0)</formula>
    </cfRule>
    <cfRule type="expression" dxfId="439" priority="57" stopIfTrue="1">
      <formula>AND($C$44&lt;=$S$3,$B$3=1)</formula>
    </cfRule>
    <cfRule type="expression" dxfId="438" priority="56" stopIfTrue="1">
      <formula>AND($C$44&gt;=$R$3,$B$3=0)</formula>
    </cfRule>
  </conditionalFormatting>
  <conditionalFormatting sqref="C64">
    <cfRule type="expression" dxfId="437" priority="65" stopIfTrue="1">
      <formula>AND($C$64&lt;=$S$3,$B$3=1)</formula>
    </cfRule>
    <cfRule type="expression" dxfId="436" priority="66">
      <formula>AND($B$64&lt;$R$3,$B$3=0)</formula>
    </cfRule>
    <cfRule type="expression" dxfId="435" priority="67">
      <formula>AND($B$64&gt;$S$3,$B$3=1)</formula>
    </cfRule>
    <cfRule type="expression" dxfId="434" priority="64" stopIfTrue="1">
      <formula>AND($C$64&gt;=$R$3,$B$3=0)</formula>
    </cfRule>
  </conditionalFormatting>
  <conditionalFormatting sqref="C102:D102">
    <cfRule type="cellIs" dxfId="433" priority="24" operator="lessThan">
      <formula>$R$2</formula>
    </cfRule>
    <cfRule type="cellIs" dxfId="432" priority="23" operator="greaterThanOrEqual">
      <formula>$R$2</formula>
    </cfRule>
  </conditionalFormatting>
  <conditionalFormatting sqref="C84:H84">
    <cfRule type="cellIs" dxfId="431" priority="8" operator="greaterThanOrEqual">
      <formula>$R$3</formula>
    </cfRule>
    <cfRule type="cellIs" dxfId="430" priority="9" operator="lessThan">
      <formula>$R$3</formula>
    </cfRule>
  </conditionalFormatting>
  <conditionalFormatting sqref="D11">
    <cfRule type="containsText" dxfId="429" priority="35" stopIfTrue="1" operator="containsText" text="please remove resistor">
      <formula>NOT(ISERROR(SEARCH("please remove resistor",D11)))</formula>
    </cfRule>
    <cfRule type="cellIs" dxfId="428" priority="37" operator="greaterThan">
      <formula>$S$2</formula>
    </cfRule>
    <cfRule type="cellIs" dxfId="427" priority="36" operator="lessThan">
      <formula>$S$2</formula>
    </cfRule>
  </conditionalFormatting>
  <conditionalFormatting sqref="D11:D12">
    <cfRule type="cellIs" priority="20" stopIfTrue="1" operator="equal">
      <formula>""</formula>
    </cfRule>
  </conditionalFormatting>
  <conditionalFormatting sqref="D12 E18:E19">
    <cfRule type="cellIs" dxfId="426" priority="34" operator="lessThan">
      <formula>$R$2-$N$7</formula>
    </cfRule>
    <cfRule type="cellIs" dxfId="425" priority="33" operator="greaterThanOrEqual">
      <formula>$R$2-$N$7</formula>
    </cfRule>
  </conditionalFormatting>
  <conditionalFormatting sqref="D18:D19">
    <cfRule type="cellIs" dxfId="424" priority="38" operator="lessThanOrEqual">
      <formula>$S$2+$N$7</formula>
    </cfRule>
    <cfRule type="cellIs" dxfId="423" priority="39" operator="greaterThan">
      <formula>$S$2+$N$7</formula>
    </cfRule>
  </conditionalFormatting>
  <conditionalFormatting sqref="E102">
    <cfRule type="cellIs" dxfId="422" priority="7" operator="lessThan">
      <formula>$R$3</formula>
    </cfRule>
    <cfRule type="cellIs" dxfId="421" priority="6" operator="greaterThanOrEqual">
      <formula>$R$3</formula>
    </cfRule>
  </conditionalFormatting>
  <conditionalFormatting sqref="F21">
    <cfRule type="containsText" dxfId="420" priority="5" operator="containsText" text="failed">
      <formula>NOT(ISERROR(SEARCH("failed",F21)))</formula>
    </cfRule>
  </conditionalFormatting>
  <conditionalFormatting sqref="F22">
    <cfRule type="containsText" dxfId="419" priority="4" operator="containsText" text="fail">
      <formula>NOT(ISERROR(SEARCH("fail",F22)))</formula>
    </cfRule>
  </conditionalFormatting>
  <conditionalFormatting sqref="F23">
    <cfRule type="containsText" dxfId="418" priority="3" operator="containsText" text="failed">
      <formula>NOT(ISERROR(SEARCH("failed",F23)))</formula>
    </cfRule>
  </conditionalFormatting>
  <conditionalFormatting sqref="F102:H102">
    <cfRule type="cellIs" dxfId="417" priority="16" operator="greaterThanOrEqual">
      <formula>$R$2</formula>
    </cfRule>
    <cfRule type="cellIs" dxfId="416" priority="17" operator="lessThan">
      <formula>$R$2</formula>
    </cfRule>
  </conditionalFormatting>
  <conditionalFormatting sqref="G18">
    <cfRule type="cellIs" dxfId="415" priority="11" operator="lessThan">
      <formula>$V$2</formula>
    </cfRule>
    <cfRule type="cellIs" dxfId="414" priority="10" operator="greaterThan">
      <formula>$V$2</formula>
    </cfRule>
  </conditionalFormatting>
  <conditionalFormatting sqref="G19">
    <cfRule type="cellIs" dxfId="413" priority="13" operator="lessThan">
      <formula>$V$3</formula>
    </cfRule>
    <cfRule type="cellIs" dxfId="412" priority="12" operator="greaterThan">
      <formula>$V$3</formula>
    </cfRule>
  </conditionalFormatting>
  <conditionalFormatting sqref="I18:I19">
    <cfRule type="cellIs" dxfId="411" priority="2" operator="lessThan">
      <formula>$W$2</formula>
    </cfRule>
    <cfRule type="cellIs" dxfId="410" priority="1" operator="greaterThan">
      <formula>$W$2</formula>
    </cfRule>
  </conditionalFormatting>
  <conditionalFormatting sqref="K12">
    <cfRule type="expression" dxfId="409" priority="68">
      <formula>SEARCH("reduce",$F$23)</formula>
    </cfRule>
    <cfRule type="expression" dxfId="408" priority="69">
      <formula>SEARCH("reduce",$F$21)</formula>
    </cfRule>
  </conditionalFormatting>
  <conditionalFormatting sqref="N2">
    <cfRule type="expression" dxfId="407" priority="70">
      <formula>SEARCH("strength",$F$21)</formula>
    </cfRule>
    <cfRule type="expression" dxfId="406" priority="71">
      <formula>SEARCH("strength",$F$23)</formula>
    </cfRule>
  </conditionalFormatting>
  <hyperlinks>
    <hyperlink ref="N25" location="Summary!A1" display="Link to summary" xr:uid="{EEEAEF4D-6D89-4C65-B65A-21F2B9525FAF}"/>
  </hyperlinks>
  <pageMargins left="0.7" right="0.7" top="0.75" bottom="0.75" header="0.3" footer="0.3"/>
  <pageSetup paperSize="9" orientation="portrait" r:id="rId1"/>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17646-B3C6-4AB1-B77B-3FF933C7257A}">
  <dimension ref="A1:AK130"/>
  <sheetViews>
    <sheetView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Summary!R16</f>
        <v>1.8</v>
      </c>
      <c r="K2" s="10">
        <v>1000000000000</v>
      </c>
      <c r="L2" s="15">
        <v>0.1</v>
      </c>
      <c r="M2" s="15">
        <v>0.1</v>
      </c>
      <c r="N2" s="17">
        <f>Summary!R26</f>
        <v>100</v>
      </c>
      <c r="O2" s="15">
        <f>Summary!R88</f>
        <v>0.25</v>
      </c>
      <c r="P2" s="15">
        <f>Summary!R89</f>
        <v>0.25</v>
      </c>
      <c r="Q2" s="5" t="str">
        <f>Summary!R27</f>
        <v>N/A</v>
      </c>
      <c r="R2" s="5">
        <f>Summary!R51</f>
        <v>0.3</v>
      </c>
      <c r="S2" s="5">
        <f>Summary!R52</f>
        <v>0.7</v>
      </c>
      <c r="T2" s="5">
        <f>Summary!R53</f>
        <v>0.3</v>
      </c>
      <c r="U2" s="5">
        <f>Summary!R54</f>
        <v>0.7</v>
      </c>
      <c r="V2" s="130">
        <f>Summary!R55</f>
        <v>9.9999999999999995E-7</v>
      </c>
      <c r="W2" s="130">
        <f>Summary!R56</f>
        <v>2.9999999999999999E-7</v>
      </c>
      <c r="X2" s="131">
        <f>V2</f>
        <v>9.9999999999999995E-7</v>
      </c>
      <c r="Y2" s="132" t="str">
        <f>IF(Summary!R57="","",Summary!R57)</f>
        <v/>
      </c>
      <c r="Z2" s="132" t="str">
        <f>IF(Summary!R58="","",Summary!R58)</f>
        <v/>
      </c>
      <c r="AA2" s="4">
        <f>Summary!R59</f>
        <v>1E-10</v>
      </c>
      <c r="AB2" s="41">
        <f>Summary!R81</f>
        <v>4.9999999999999997E-12</v>
      </c>
      <c r="AC2" s="41">
        <f>Summary!R83</f>
        <v>8.1900000000000013E-12</v>
      </c>
      <c r="AD2" s="3">
        <f>Summary!R84</f>
        <v>0.69</v>
      </c>
      <c r="AE2" s="41">
        <f>Summary!R86</f>
        <v>4.9999999999999997E-12</v>
      </c>
      <c r="AF2" s="5">
        <f>Summary!R87</f>
        <v>2.2999999999999998</v>
      </c>
      <c r="AG2" s="127" t="str">
        <f>Summary!R50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Summary!R16</f>
        <v>1.8</v>
      </c>
      <c r="K3" s="10">
        <v>1000000000000</v>
      </c>
      <c r="L3" s="15">
        <v>0.1</v>
      </c>
      <c r="M3" s="15">
        <v>0.1</v>
      </c>
      <c r="N3">
        <f>Summary!R97</f>
        <v>133</v>
      </c>
      <c r="O3" s="15">
        <f>Summary!R98</f>
        <v>0.5</v>
      </c>
      <c r="P3" s="15">
        <f>Summary!R99</f>
        <v>0</v>
      </c>
      <c r="Q3"/>
      <c r="R3" s="5">
        <f>Summary!R38</f>
        <v>0.8</v>
      </c>
      <c r="S3" s="5">
        <f>Summary!R39</f>
        <v>1.35</v>
      </c>
      <c r="T3" s="5">
        <f>Summary!R42</f>
        <v>0.65</v>
      </c>
      <c r="U3" s="5">
        <f>Summary!R43</f>
        <v>1.5</v>
      </c>
      <c r="V3" s="130">
        <f>Summary!R44</f>
        <v>9.9999999999999995E-7</v>
      </c>
      <c r="W3" s="130">
        <f>Summary!R45</f>
        <v>2.9999999999999999E-7</v>
      </c>
      <c r="X3" s="131">
        <f>V3</f>
        <v>9.9999999999999995E-7</v>
      </c>
      <c r="Y3" s="132" t="str">
        <f>IF(Summary!R46="","",Summary!R46)</f>
        <v/>
      </c>
      <c r="Z3" s="132" t="str">
        <f>IF(Summary!R47="","",Summary!R47)</f>
        <v/>
      </c>
      <c r="AA3" s="4">
        <f>Summary!R59</f>
        <v>1E-10</v>
      </c>
      <c r="AB3" s="41">
        <f>Summary!R96</f>
        <v>9.9999999999999994E-12</v>
      </c>
      <c r="AG3" s="127" t="str">
        <f>Summary!R37</f>
        <v>absolute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427329345.73263782</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272612855.71033394</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397.26612971747522</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208.46993379195175</v>
      </c>
      <c r="F7" s="123">
        <f>_xlfn.IFNA(_xlfn.XLOOKUP($X$2,AB34:AB129,P34:P129,,-1), "Out of support PU range")</f>
        <v>6510</v>
      </c>
      <c r="G7" s="124">
        <f>_xlfn.IFNA(_xlfn.XLOOKUP($X$3,S34:S129,P34:P129,,-1), "Out of support PU range")</f>
        <v>3465</v>
      </c>
      <c r="H7" s="124">
        <f>_xlfn.IFNA(MAX(_xlfn.XLOOKUP(MAX($Y$2:$AA$2),AA34:AA129,O34:O129,,1), _xlfn.XLOOKUP($W$2,AD34:AD129,O34:O129,,-1)), "Fail AC VIL")</f>
        <v>408.5</v>
      </c>
      <c r="I7" s="129">
        <f>_xlfn.IFNA(MAX(_xlfn.XLOOKUP(MAX($Y$3:$AA$3),R34:R129,O34:O129,,1), _xlfn.XLOOKUP($W$3,AC34:AC129,O34:O129,,-1)), "Fail AC VIL")</f>
        <v>313.5</v>
      </c>
      <c r="J7" s="21">
        <v>20000</v>
      </c>
      <c r="K7" s="2">
        <f>MIN(
MIN(FLOOR(B7,10^(LEN(ROUND(B7,0))-1))/10,
FLOOR(C7,10^(LEN(ROUND(C7,0))-1))/10,
IF(F7*10&gt;=J7,FLOOR(F7,10^(LEN(ROUND(F7,0))-1))/10,FLOOR(F7,10^(LEN(ROUND(F7,0))-1))),
FLOOR(G7,10^(LEN(ROUND(G7,0))-1))/10),
MAX(I7,J7)
)</f>
        <v>300</v>
      </c>
      <c r="L7" s="1"/>
      <c r="N7" s="71">
        <f>Summary!R62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610.71428442692059</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5700.0000414094311</v>
      </c>
      <c r="E8">
        <f>X2/(1.204*K18)</f>
        <v>5182.276253199745</v>
      </c>
      <c r="F8">
        <f>X3/(1.204*K18)</f>
        <v>5182.276253199745</v>
      </c>
      <c r="H8">
        <f>AA2/(1.204*K18)</f>
        <v>0.51822762531997457</v>
      </c>
      <c r="I8" s="2">
        <f>AA3/(1.204*K18)</f>
        <v>0.51822762531997457</v>
      </c>
      <c r="J8" s="8">
        <v>20000</v>
      </c>
      <c r="K8">
        <f>MIN(MIN(FLOOR(B8,10^(LEN(ROUND(B8,0))-1))/10,FLOOR(C8,10^(LEN(ROUND(C8,0))-1))/10,FLOOR(E8,10^(LEN(ROUND(E8,0))-1))/10,FLOOR(F8,10^(LEN(ROUND(F8,0))-1))/10),MAX(I8,J8))</f>
        <v>60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Summary!R24</f>
        <v>1500</v>
      </c>
      <c r="D11" s="1">
        <f>IF(AND(B11="no need", C11=""), "",IF(AND(B11="no need", C11&gt;0), "please remove resistor",   IF(AND(B11="need resistor", ISBLANK(C11)), "please enter resistor",  (1/(1/F2+1/F3))/(1/(1/(1/(1/C2+1/C3))+1/C11)+(1/(1/F2+1/F3))) ) ))</f>
        <v>0.99999999699999997</v>
      </c>
      <c r="F11" s="7">
        <f>IF(B11="no need", 1000000000, C11)</f>
        <v>1500</v>
      </c>
      <c r="G11" s="7" t="s">
        <v>281</v>
      </c>
      <c r="H11" s="62">
        <f>Summary!R25</f>
        <v>0.05</v>
      </c>
      <c r="K11" s="6" t="s">
        <v>282</v>
      </c>
      <c r="N11" s="19" t="s">
        <v>283</v>
      </c>
      <c r="P11" s="19" t="s">
        <v>284</v>
      </c>
      <c r="R11" s="127" t="s">
        <v>285</v>
      </c>
      <c r="S11" s="127">
        <f>($J$2+$J$2*Summary!$R$17)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Summary!R10</f>
        <v>25</v>
      </c>
      <c r="L12" t="s">
        <v>287</v>
      </c>
      <c r="N12" s="4">
        <f>SUM(AB2:AC3,AE2:AE3)</f>
        <v>2.8189999999999998E-11</v>
      </c>
      <c r="O12" t="s">
        <v>288</v>
      </c>
      <c r="P12" s="61">
        <f>Summary!R84+Summary!R87</f>
        <v>2.9899999999999998</v>
      </c>
      <c r="Q12" t="s">
        <v>289</v>
      </c>
      <c r="R12" s="127" t="s">
        <v>290</v>
      </c>
      <c r="S12" s="127">
        <f>($J$2-$J$2*Summary!$R$17)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($J$3+$J$3*Summary!$R$18)</f>
        <v>1.8900000000000001</v>
      </c>
    </row>
    <row r="14" spans="1:37" x14ac:dyDescent="0.35">
      <c r="K14" s="6" t="s">
        <v>293</v>
      </c>
      <c r="N14" s="6" t="s">
        <v>294</v>
      </c>
      <c r="R14" s="127" t="s">
        <v>295</v>
      </c>
      <c r="S14" s="127">
        <f>($J$3-$J$3*Summary!$R$18)</f>
        <v>1.71</v>
      </c>
    </row>
    <row r="15" spans="1:37" x14ac:dyDescent="0.35">
      <c r="B15" s="2"/>
      <c r="C15" s="2"/>
      <c r="K15" s="3">
        <f>Summary!R8</f>
        <v>19.988</v>
      </c>
      <c r="L15" t="s">
        <v>296</v>
      </c>
      <c r="N15" s="41">
        <f>Summary!R9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0.99999824647919933</v>
      </c>
      <c r="C18">
        <f>B42</f>
        <v>0.99999870193669604</v>
      </c>
      <c r="D18">
        <f>B102</f>
        <v>0.99999824647920199</v>
      </c>
      <c r="E18">
        <f>C102</f>
        <v>9.7811414389711193E-2</v>
      </c>
      <c r="F18" s="126">
        <f>_xlfn.LET(
_xlpm.Rbus, (1/(1/((1/(1/($G$91+$G$93)+1/$G$90))+$G$92)+1/($G$89))),
_xlpm.VCC, IF($AG$2="absolute",$S$13,1),
_xlpm.Vspec_abs, $U$2-$N$7,
(LN(1-$T$2/_xlpm.VCC)-LN(1-_xlpm.Vspec_abs/_xlpm.VCC))*$K$19*_xlpm.Rbus
)</f>
        <v>1.601540288418739E-7</v>
      </c>
      <c r="G18" s="128">
        <f>_xlfn.LET(
_xlpm.Rbus, (1/(1/((1/(1/($D$91+$D$93)+1/$D$90))+$D$92)+1/($D$89))),
_xlpm.VCC, IF($AG$2="absolute",$S$14,1),
_xlpm.Vspec_abs, $U$2+$N$7,
(LN(1-$T$2/_xlpm.VCC)-LN(1-_xlpm.Vspec_abs/_xlpm.VCC))*$K$18*_xlpm.Rbus
)</f>
        <v>2.3445154637731012E-7</v>
      </c>
      <c r="H18" s="126">
        <f>_xlfn.LET(
_xlpm.Rbus, (1/(1/((1/(1/($H$96+$H$93)+1/$H$95))+$H$92)+1/($H$94))),
_xlpm.VCC, IF($AG$2="absolute",$S$14,1),
_xlpm.VL_rel, $H$102,
_xlpm.Vspec_abs, $T$2-$N$7,
_xlpm.Vspec_rel, (_xlpm.Vspec_abs/_xlpm.VCC-_xlpm.VL_rel)/(1-_xlpm.VL_rel),
IFERROR((LN($D$18-_xlpm.VL_rel)-LN(_xlpm.Vspec_rel))*$K$19*_xlpm.Rbus, "Vlow exceeds VIL spec")
)</f>
        <v>1.5888847087724362E-8</v>
      </c>
      <c r="I18" s="128">
        <f>_xlfn.LET(
_xlpm.Rbus, (1/(1/((1/(1/($F$96+$F$93)+1/$F$95))+$F$92)+1/($F$94))),
_xlpm.VCC, IF($AG$2="absolute",$S$13,1),
_xlpm.VL_rel, $F$102,
_xlpm.Vspec_abs, $T$2-$N$7,
_xlpm.Vspec_rel, (_xlpm.Vspec_abs/_xlpm.VCC-_xlpm.VL_rel)/(1-_xlpm.VL_rel),
IFERROR((LN($D$18-_xlpm.VL_rel)-LN(_xlpm.Vspec_rel))*$K$18*_xlpm.Rbus,"Vlow exceeds VIL spec")
)</f>
        <v>3.70627473199242E-8</v>
      </c>
      <c r="J18" s="139" t="s">
        <v>307</v>
      </c>
      <c r="K18" s="4">
        <f>Summary!R102</f>
        <v>1.6027026416052833E-10</v>
      </c>
      <c r="L18" s="22" t="s">
        <v>288</v>
      </c>
      <c r="M18" s="10">
        <f>K18*1000000000000</f>
        <v>160.27026416052834</v>
      </c>
      <c r="N18" t="s">
        <v>308</v>
      </c>
      <c r="O18" s="49">
        <f>N12+K12/39.37*N15</f>
        <v>1.6027026416052833E-10</v>
      </c>
    </row>
    <row r="19" spans="1:26" x14ac:dyDescent="0.35">
      <c r="A19" t="s">
        <v>309</v>
      </c>
      <c r="B19">
        <f>C64</f>
        <v>0.99999824647919944</v>
      </c>
      <c r="C19">
        <f>C44</f>
        <v>0.99999870193669604</v>
      </c>
      <c r="D19">
        <f>B84</f>
        <v>0.99999824647920199</v>
      </c>
      <c r="E19">
        <f>C84</f>
        <v>9.3218642071877383E-2</v>
      </c>
      <c r="F19" s="126">
        <f>_xlfn.LET(
_xlpm.Rbus,(1/(1/((1/(1/($G$77+$G$72)+1/$G$70))+$G$73)+1/($G$71))),
_xlpm.VCC,IF($AG$3="absolute",$S$11,1),
_xlpm.Vspec_abs,$U$3-$N$7,
(LN(1-($T$3/_xlpm.VCC))-LN(1-_xlpm.Vspec_abs/_xlpm.VCC))*$K$19*_xlpm.Rbus
)</f>
        <v>2.2643483906104852E-7</v>
      </c>
      <c r="G19" s="128">
        <f>_xlfn.LET(
_xlpm.Rbus, (1/(1/((1/(1/($D$77+$D$72)+1/$D$70))+$D$73)+1/($D$71))),
_xlpm.VCC, IF($AG$3="absolute",$S$12,1),
_xlpm.Vspec_abs, $U$3+$N$7,
(LN(1-$T$3/_xlpm.VCC)-LN(1-_xlpm.Vspec_abs/_xlpm.VCC))*$K$18*_xlpm.Rbus
)</f>
        <v>4.398410036817092E-7</v>
      </c>
      <c r="H19" s="126">
        <f>_xlfn.LET(
_xlpm.Rbus, (1/(1/((1/(1/($H$74+$H$72)+1/$H$75))+$H$73)+1/($H$76))),
_xlpm.VCC, IF($AG$3="absolute",$S$12,1),
_xlpm.VL_rel, $H$84,
_xlpm.Vspec_abs, $T$3-$N$7,
_xlpm.Vspec_rel, (_xlpm.Vspec_abs/_xlpm.VCC-_xlpm.VL_rel)/(1-_xlpm.VL_rel),
IFERROR((LN($D$19-_xlpm.VL_rel)-LN(_xlpm.Vspec_rel))*$K$19*_xlpm.Rbus, "Vlow exceeds VIL spec")
)</f>
        <v>1.3504095824450348E-8</v>
      </c>
      <c r="I19" s="128">
        <f>_xlfn.LET(
_xlpm.Rbus, (1/(1/((1/(1/($F$74+$F$72)+1/$F$75))+$F$73)+1/($F$76))),
_xlpm.VCC, IF($AG$3="absolute",$S$11,1),
_xlpm.VL_rel, $F$84,
_xlpm.Vspec_abs, $T$3-$N$7,
_xlpm.Vspec_rel, (_xlpm.Vspec_abs/_xlpm.VCC-_xlpm.VL_rel)/(1-_xlpm.VL_rel),
IFERROR((LN($D$19-_xlpm.VL_rel)-LN(_xlpm.Vspec_rel))*$K$18*_xlpm.Rbus,"Vlow exceeds VIL spec")
)</f>
        <v>2.8900206404764888E-8</v>
      </c>
      <c r="J19" s="139" t="s">
        <v>310</v>
      </c>
      <c r="K19" s="122">
        <f>Summary!R101</f>
        <v>1.4358026416052834E-10</v>
      </c>
      <c r="L19" t="s">
        <v>288</v>
      </c>
    </row>
    <row r="20" spans="1:26" x14ac:dyDescent="0.35">
      <c r="J20" s="139"/>
      <c r="K20" s="6" t="s">
        <v>311</v>
      </c>
    </row>
    <row r="21" spans="1:26" x14ac:dyDescent="0.35">
      <c r="E21" s="120" t="s">
        <v>137</v>
      </c>
      <c r="F21" t="str">
        <f>IF(OR(AND(E18&gt;(R2-N7), Summary!R50="relative"), AND(E18&gt;(R2-N7)/(J3+J3*Summary!R18), Summary!R50="absolute")),IF(U29="no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IF(OR(Summary!R24&gt;Summary!R22,Summary!R24&lt;Summary!R21), "- ensure board PU is within recommended range" &amp; CHAR(10),) &amp; "- reduce MB trace length",""))</f>
        <v/>
      </c>
      <c r="J21" s="139" t="s">
        <v>307</v>
      </c>
      <c r="K21" s="5">
        <f>Summary!R104</f>
        <v>21.49240538481077</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Summary!R103</f>
        <v>15.682405384810767</v>
      </c>
      <c r="L22" t="s">
        <v>289</v>
      </c>
    </row>
    <row r="23" spans="1:26" x14ac:dyDescent="0.35">
      <c r="B23" s="171" t="s">
        <v>313</v>
      </c>
      <c r="C23" s="171"/>
      <c r="D23" t="s">
        <v>314</v>
      </c>
      <c r="E23" s="175"/>
      <c r="F23" t="str">
        <f>IF(F22="",IF(OR(AND(E19&lt;=(R3-N7), Summary!R37="relative"),AND(E19&lt;=(R3-N7)/(J2+J2*Summary!R17), Summary!R37="absolute")),IF(OR(G19&gt;V3,I19&gt;W3), IF(N2=MIN(AH2:AH5), "failed max rise/fall time spec, recommendations:" &amp; CHAR(10) &amp; "-reduce MB trace length" &amp; CHAR(10) &amp; "-increase trace width (reduce MB trace resistance per length)", "failed max rise/fall time spec, recommendations:" &amp; CHAR(10) &amp; IF(OR(Summary!R24&gt;Summary!R22,Summary!R24&lt;Summary!R21),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Summary!R13</f>
        <v>0</v>
      </c>
      <c r="L24" t="s">
        <v>305</v>
      </c>
    </row>
    <row r="25" spans="1:26" x14ac:dyDescent="0.35">
      <c r="A25" t="s">
        <v>318</v>
      </c>
      <c r="B25" s="11">
        <f>C2*(1-D2)</f>
        <v>900000000000</v>
      </c>
      <c r="C25" s="11">
        <f>C2*(1-D2)</f>
        <v>900000000000</v>
      </c>
      <c r="K25" s="18">
        <f>Summary!R14</f>
        <v>1</v>
      </c>
      <c r="L25" t="s">
        <v>274</v>
      </c>
      <c r="N25" s="72" t="s">
        <v>319</v>
      </c>
    </row>
    <row r="26" spans="1:26" x14ac:dyDescent="0.35">
      <c r="A26" t="s">
        <v>320</v>
      </c>
      <c r="B26" s="11">
        <f>F11*(1-H11)</f>
        <v>1425</v>
      </c>
      <c r="C26" s="11">
        <f>F11*(1-H11)</f>
        <v>1425</v>
      </c>
      <c r="Q26" t="s">
        <v>321</v>
      </c>
    </row>
    <row r="27" spans="1:26" x14ac:dyDescent="0.35">
      <c r="A27" t="s">
        <v>322</v>
      </c>
      <c r="B27" s="11">
        <f>C3*(1-D3)</f>
        <v>900000000000</v>
      </c>
      <c r="C27" s="11">
        <f>C3*(1-D3)</f>
        <v>900000000000</v>
      </c>
      <c r="Q27" t="s">
        <v>323</v>
      </c>
    </row>
    <row r="28" spans="1:26" x14ac:dyDescent="0.35">
      <c r="A28" t="s">
        <v>324</v>
      </c>
      <c r="B28" s="1">
        <f>K21</f>
        <v>21.49240538481077</v>
      </c>
      <c r="C28">
        <v>0</v>
      </c>
      <c r="Q28" t="s">
        <v>325</v>
      </c>
      <c r="V28" t="s">
        <v>305</v>
      </c>
      <c r="W28" t="s">
        <v>274</v>
      </c>
      <c r="X28" t="s">
        <v>326</v>
      </c>
    </row>
    <row r="29" spans="1:26" x14ac:dyDescent="0.35">
      <c r="A29" t="s">
        <v>327</v>
      </c>
      <c r="B29">
        <v>0</v>
      </c>
      <c r="C29" s="1">
        <f>K21</f>
        <v>21.49240538481077</v>
      </c>
      <c r="F29" s="11"/>
      <c r="T29" t="s">
        <v>328</v>
      </c>
      <c r="U29">
        <f>IF(IF(ISBLANK(Summary!R25),IF(U30=W82,L30,U30),IF(Summary!R25=5%,L30,U30))=N130,"no solution",IF(ISBLANK(Summary!R25),IF(U30=W82,L30,U30),IF(Summary!R25=5%,L30,U30)))</f>
        <v>1200</v>
      </c>
      <c r="V29">
        <f>IFERROR(IF(X29=5%,VLOOKUP(1,M34:N129,2,FALSE),VLOOKUP(1,V34:W81,2,FALSE)),"no solution")</f>
        <v>430</v>
      </c>
      <c r="W29">
        <f>IF(U29="no solution","no solution",IF(X29=5%,VLOOKUP(MAX(M34:M129)-1,M34:N129,2,FALSE),VLOOKUP(MAX(V34:V81)-1,V34:W81,2,FALSE)))</f>
        <v>3300</v>
      </c>
      <c r="X29" s="64">
        <f>Summary!R25</f>
        <v>0.05</v>
      </c>
    </row>
    <row r="30" spans="1:26" x14ac:dyDescent="0.35">
      <c r="A30" t="s">
        <v>329</v>
      </c>
      <c r="B30" s="11">
        <f>F2*(1+H2)</f>
        <v>1100000000000</v>
      </c>
      <c r="C30" s="11">
        <f>F2*(1+H2)</f>
        <v>1100000000000</v>
      </c>
      <c r="K30" t="s">
        <v>330</v>
      </c>
      <c r="L30">
        <f>VLOOKUP(Q31,M34:Q154,2)</f>
        <v>1200</v>
      </c>
      <c r="T30" t="s">
        <v>331</v>
      </c>
      <c r="U30">
        <f>VLOOKUP(Z31,V34:W82,2)</f>
        <v>1200</v>
      </c>
    </row>
    <row r="31" spans="1:26" x14ac:dyDescent="0.35">
      <c r="A31" t="s">
        <v>332</v>
      </c>
      <c r="B31" s="11">
        <f>F12*(1+H12)</f>
        <v>1100000000</v>
      </c>
      <c r="C31" s="11">
        <f>F12*(1+H12)</f>
        <v>1100000000</v>
      </c>
      <c r="Q31" cm="1">
        <f t="array" ref="Q31">MAX(M34:M129+1)/2</f>
        <v>12</v>
      </c>
      <c r="Z31" cm="1">
        <f t="array" ref="Z31">MAX(V34:V81+1)/2</f>
        <v>6</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1.5095656008629572E-9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8.8140549287075229E-9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4.6982177436677331E-9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1.6605221609439943E-9</v>
      </c>
      <c r="S35" s="126">
        <f t="shared" si="4"/>
        <v>9.1033347613188522E-9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4.8524146091800149E-9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1.8114787210240752E-9</v>
      </c>
      <c r="S36" s="126">
        <f t="shared" si="4"/>
        <v>9.3926145939285271E-9</v>
      </c>
      <c r="T36">
        <v>1</v>
      </c>
      <c r="U36">
        <v>15</v>
      </c>
      <c r="V36">
        <f t="shared" si="11"/>
        <v>0</v>
      </c>
      <c r="W36">
        <f t="shared" si="12"/>
        <v>15</v>
      </c>
      <c r="X36">
        <f t="shared" si="5"/>
        <v>13.5</v>
      </c>
      <c r="Y36">
        <f t="shared" si="6"/>
        <v>16.5</v>
      </c>
      <c r="Z36">
        <f t="shared" si="13"/>
        <v>0</v>
      </c>
      <c r="AA36" s="126">
        <f t="shared" si="14"/>
        <v>1.281232236772157E-9</v>
      </c>
      <c r="AB36" s="126">
        <f t="shared" si="15"/>
        <v>5.0066114746914149E-9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1.9624352811032006E-9</v>
      </c>
      <c r="S37" s="126">
        <f t="shared" si="4"/>
        <v>9.6818944265365427E-9</v>
      </c>
      <c r="T37">
        <v>1</v>
      </c>
      <c r="U37">
        <v>18</v>
      </c>
      <c r="V37">
        <f t="shared" si="11"/>
        <v>0</v>
      </c>
      <c r="W37">
        <f t="shared" si="12"/>
        <v>18</v>
      </c>
      <c r="X37">
        <f t="shared" si="5"/>
        <v>16.2</v>
      </c>
      <c r="Y37">
        <f t="shared" si="6"/>
        <v>19.8</v>
      </c>
      <c r="Z37">
        <f t="shared" si="13"/>
        <v>0</v>
      </c>
      <c r="AA37" s="126">
        <f t="shared" si="14"/>
        <v>1.3880015898321084E-9</v>
      </c>
      <c r="AB37" s="126">
        <f t="shared" si="15"/>
        <v>5.1608083402019298E-9</v>
      </c>
      <c r="AC37" s="126" t="str">
        <f t="shared" si="7"/>
        <v>Vlow exceeds VIL spec</v>
      </c>
      <c r="AD37" s="126" t="str">
        <f t="shared" si="8"/>
        <v>Vlow exceeds VIL spec</v>
      </c>
    </row>
    <row r="38" spans="1:30" x14ac:dyDescent="0.35">
      <c r="A38" t="s">
        <v>347</v>
      </c>
      <c r="B38" s="125">
        <f>IF(Summary!R50="absolute",(S2+N7)/(J3-J3*Summary!R18),S2+N7)</f>
        <v>0.72</v>
      </c>
      <c r="K38">
        <v>1</v>
      </c>
      <c r="L38">
        <v>15</v>
      </c>
      <c r="M38">
        <f t="shared" si="9"/>
        <v>0</v>
      </c>
      <c r="N38">
        <f t="shared" si="0"/>
        <v>15</v>
      </c>
      <c r="O38">
        <f t="shared" si="1"/>
        <v>14.25</v>
      </c>
      <c r="P38">
        <f t="shared" si="2"/>
        <v>15.75</v>
      </c>
      <c r="Q38">
        <f t="shared" si="10"/>
        <v>0</v>
      </c>
      <c r="R38" s="126">
        <f t="shared" si="3"/>
        <v>2.2643484012585833E-9</v>
      </c>
      <c r="S38" s="126">
        <f t="shared" si="4"/>
        <v>1.0260454091747604E-8</v>
      </c>
      <c r="T38">
        <v>1</v>
      </c>
      <c r="U38">
        <v>22</v>
      </c>
      <c r="V38">
        <f t="shared" si="11"/>
        <v>0</v>
      </c>
      <c r="W38">
        <f t="shared" si="12"/>
        <v>22</v>
      </c>
      <c r="X38">
        <f t="shared" si="5"/>
        <v>19.8</v>
      </c>
      <c r="Y38">
        <f t="shared" si="6"/>
        <v>24.200000000000003</v>
      </c>
      <c r="Z38">
        <f t="shared" si="13"/>
        <v>0</v>
      </c>
      <c r="AA38" s="126">
        <f t="shared" si="14"/>
        <v>1.601540295949982E-9</v>
      </c>
      <c r="AB38" s="126">
        <f t="shared" si="15"/>
        <v>5.4692020712203119E-9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2.4153049613348403E-9</v>
      </c>
      <c r="S39" s="126">
        <f t="shared" si="4"/>
        <v>1.054973392435065E-8</v>
      </c>
      <c r="T39">
        <v>1</v>
      </c>
      <c r="U39">
        <v>27</v>
      </c>
      <c r="V39">
        <f t="shared" si="11"/>
        <v>0</v>
      </c>
      <c r="W39">
        <f t="shared" si="12"/>
        <v>27</v>
      </c>
      <c r="X39">
        <f t="shared" si="5"/>
        <v>24.3</v>
      </c>
      <c r="Y39">
        <f t="shared" si="6"/>
        <v>29.700000000000003</v>
      </c>
      <c r="Z39">
        <f t="shared" si="13"/>
        <v>0</v>
      </c>
      <c r="AA39" s="126">
        <f t="shared" si="14"/>
        <v>1.7083096490079043E-9</v>
      </c>
      <c r="AB39" s="126">
        <f t="shared" si="15"/>
        <v>5.623398936728179E-9</v>
      </c>
      <c r="AC39" s="126" t="str">
        <f t="shared" si="7"/>
        <v>Vlow exceeds VIL spec</v>
      </c>
      <c r="AD39" s="126" t="str">
        <f t="shared" si="8"/>
        <v>Vlow exceeds VIL spec</v>
      </c>
    </row>
    <row r="40" spans="1:30" x14ac:dyDescent="0.35">
      <c r="A40" t="s">
        <v>349</v>
      </c>
      <c r="C40" s="125">
        <f>IF(Summary!R37="absolute",(S3+N7)/(J2-J2*Summary!R17),S3+N7)</f>
        <v>0.80116959064327498</v>
      </c>
      <c r="K40">
        <v>1</v>
      </c>
      <c r="L40">
        <v>18</v>
      </c>
      <c r="M40">
        <f t="shared" si="9"/>
        <v>0</v>
      </c>
      <c r="N40">
        <f t="shared" si="0"/>
        <v>18</v>
      </c>
      <c r="O40">
        <f t="shared" si="1"/>
        <v>17.099999999999998</v>
      </c>
      <c r="P40">
        <f t="shared" si="2"/>
        <v>18.900000000000002</v>
      </c>
      <c r="Q40">
        <f t="shared" si="10"/>
        <v>0</v>
      </c>
      <c r="R40" s="126">
        <f t="shared" si="3"/>
        <v>2.7172180814844856E-9</v>
      </c>
      <c r="S40" s="126">
        <f t="shared" si="4"/>
        <v>1.1128293589551767E-8</v>
      </c>
      <c r="T40">
        <v>1</v>
      </c>
      <c r="U40">
        <v>33</v>
      </c>
      <c r="V40">
        <f t="shared" si="11"/>
        <v>0</v>
      </c>
      <c r="W40">
        <f t="shared" si="12"/>
        <v>33</v>
      </c>
      <c r="X40">
        <f t="shared" si="5"/>
        <v>29.7</v>
      </c>
      <c r="Y40">
        <f t="shared" si="6"/>
        <v>36.300000000000004</v>
      </c>
      <c r="Z40">
        <f t="shared" si="13"/>
        <v>0</v>
      </c>
      <c r="AA40" s="126">
        <f t="shared" si="14"/>
        <v>1.9218483551217202E-9</v>
      </c>
      <c r="AB40" s="126">
        <f t="shared" si="15"/>
        <v>5.9317926677412604E-9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3.0191312016303081E-9</v>
      </c>
      <c r="S41" s="126">
        <f t="shared" si="4"/>
        <v>1.1706853254746262E-8</v>
      </c>
      <c r="T41">
        <v>1</v>
      </c>
      <c r="U41">
        <v>39</v>
      </c>
      <c r="V41">
        <f t="shared" si="11"/>
        <v>0</v>
      </c>
      <c r="W41">
        <f t="shared" si="12"/>
        <v>39</v>
      </c>
      <c r="X41">
        <f t="shared" si="5"/>
        <v>35.1</v>
      </c>
      <c r="Y41">
        <f t="shared" si="6"/>
        <v>42.900000000000006</v>
      </c>
      <c r="Z41">
        <f t="shared" si="13"/>
        <v>0</v>
      </c>
      <c r="AA41" s="126">
        <f t="shared" si="14"/>
        <v>2.1353870612328322E-9</v>
      </c>
      <c r="AB41" s="126">
        <f t="shared" si="15"/>
        <v>6.2401863987508115E-9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0.99999870193669604</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0.99999870195623441</v>
      </c>
      <c r="K42">
        <v>1</v>
      </c>
      <c r="L42">
        <v>22</v>
      </c>
      <c r="M42">
        <f t="shared" si="9"/>
        <v>0</v>
      </c>
      <c r="N42">
        <f t="shared" si="0"/>
        <v>22</v>
      </c>
      <c r="O42">
        <f t="shared" si="1"/>
        <v>20.9</v>
      </c>
      <c r="P42">
        <f t="shared" si="2"/>
        <v>23.1</v>
      </c>
      <c r="Q42">
        <f t="shared" si="10"/>
        <v>0</v>
      </c>
      <c r="R42" s="126">
        <f t="shared" si="3"/>
        <v>3.3210443217723049E-9</v>
      </c>
      <c r="S42" s="126">
        <f t="shared" si="4"/>
        <v>1.2285412919934131E-8</v>
      </c>
      <c r="T42">
        <v>1</v>
      </c>
      <c r="U42">
        <v>47</v>
      </c>
      <c r="V42">
        <f t="shared" si="11"/>
        <v>0</v>
      </c>
      <c r="W42">
        <f t="shared" si="12"/>
        <v>47</v>
      </c>
      <c r="X42">
        <f t="shared" si="5"/>
        <v>42.300000000000004</v>
      </c>
      <c r="Y42">
        <f t="shared" si="6"/>
        <v>51.7</v>
      </c>
      <c r="Z42">
        <f t="shared" si="13"/>
        <v>0</v>
      </c>
      <c r="AA42" s="126">
        <f t="shared" si="14"/>
        <v>2.3489257673412385E-9</v>
      </c>
      <c r="AB42" s="126">
        <f t="shared" si="15"/>
        <v>6.5485801297568305E-9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0.99999870195623441</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0.99999870195623441</v>
      </c>
      <c r="K43">
        <v>1</v>
      </c>
      <c r="L43">
        <v>24</v>
      </c>
      <c r="M43">
        <f t="shared" si="9"/>
        <v>0</v>
      </c>
      <c r="N43">
        <f t="shared" si="0"/>
        <v>24</v>
      </c>
      <c r="O43">
        <f t="shared" si="1"/>
        <v>22.799999999999997</v>
      </c>
      <c r="P43">
        <f t="shared" si="2"/>
        <v>25.200000000000003</v>
      </c>
      <c r="Q43">
        <f t="shared" si="10"/>
        <v>0</v>
      </c>
      <c r="R43" s="126">
        <f t="shared" si="3"/>
        <v>3.6229574419104781E-9</v>
      </c>
      <c r="S43" s="126">
        <f t="shared" si="4"/>
        <v>1.2863972585115371E-8</v>
      </c>
      <c r="T43">
        <v>1</v>
      </c>
      <c r="U43">
        <v>56</v>
      </c>
      <c r="V43">
        <f t="shared" si="11"/>
        <v>0</v>
      </c>
      <c r="W43">
        <f t="shared" si="12"/>
        <v>56</v>
      </c>
      <c r="X43">
        <f t="shared" si="5"/>
        <v>50.4</v>
      </c>
      <c r="Y43">
        <f t="shared" si="6"/>
        <v>61.600000000000009</v>
      </c>
      <c r="Z43">
        <f t="shared" si="13"/>
        <v>0</v>
      </c>
      <c r="AA43" s="126">
        <f t="shared" si="14"/>
        <v>2.5624644734469403E-9</v>
      </c>
      <c r="AB43" s="126">
        <f t="shared" si="15"/>
        <v>6.8569738607593166E-9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0.99999870195623441</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0.99999870193669604</v>
      </c>
      <c r="K44">
        <v>1</v>
      </c>
      <c r="L44">
        <v>27</v>
      </c>
      <c r="M44">
        <f t="shared" si="9"/>
        <v>0</v>
      </c>
      <c r="N44">
        <f t="shared" si="0"/>
        <v>27</v>
      </c>
      <c r="O44">
        <f t="shared" si="1"/>
        <v>25.65</v>
      </c>
      <c r="P44">
        <f t="shared" si="2"/>
        <v>28.35</v>
      </c>
      <c r="Q44">
        <f t="shared" si="10"/>
        <v>0</v>
      </c>
      <c r="R44" s="126">
        <f t="shared" si="3"/>
        <v>4.0758271221105674E-9</v>
      </c>
      <c r="S44" s="126">
        <f t="shared" si="4"/>
        <v>1.3731812082874802E-8</v>
      </c>
      <c r="T44">
        <v>1</v>
      </c>
      <c r="U44">
        <v>68</v>
      </c>
      <c r="V44">
        <f t="shared" si="11"/>
        <v>0</v>
      </c>
      <c r="W44">
        <f t="shared" si="12"/>
        <v>68</v>
      </c>
      <c r="X44">
        <f t="shared" si="5"/>
        <v>61.2</v>
      </c>
      <c r="Y44">
        <f t="shared" si="6"/>
        <v>74.800000000000011</v>
      </c>
      <c r="Z44">
        <f t="shared" si="13"/>
        <v>0</v>
      </c>
      <c r="AA44" s="126">
        <f t="shared" si="14"/>
        <v>2.8827725326004216E-9</v>
      </c>
      <c r="AB44" s="126">
        <f t="shared" si="15"/>
        <v>7.3195644572564209E-9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4.5286968023020533E-9</v>
      </c>
      <c r="S45" s="126">
        <f t="shared" si="4"/>
        <v>1.4599651580619324E-8</v>
      </c>
      <c r="T45">
        <v>1</v>
      </c>
      <c r="U45">
        <v>82</v>
      </c>
      <c r="V45">
        <f t="shared" si="11"/>
        <v>0</v>
      </c>
      <c r="W45">
        <f t="shared" si="12"/>
        <v>82</v>
      </c>
      <c r="X45">
        <f t="shared" si="5"/>
        <v>73.8</v>
      </c>
      <c r="Y45">
        <f t="shared" si="6"/>
        <v>90.2</v>
      </c>
      <c r="Z45">
        <f t="shared" si="13"/>
        <v>0</v>
      </c>
      <c r="AA45" s="126">
        <f t="shared" si="14"/>
        <v>3.2030805917478173E-9</v>
      </c>
      <c r="AB45" s="126">
        <f t="shared" si="15"/>
        <v>7.7821550537455768E-9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4.9815664824849323E-9</v>
      </c>
      <c r="S46" s="126">
        <f t="shared" si="4"/>
        <v>1.5467491078348933E-8</v>
      </c>
      <c r="T46">
        <v>10</v>
      </c>
      <c r="U46">
        <v>10</v>
      </c>
      <c r="V46">
        <f t="shared" si="11"/>
        <v>0</v>
      </c>
      <c r="W46">
        <f t="shared" si="12"/>
        <v>100</v>
      </c>
      <c r="X46">
        <f t="shared" si="5"/>
        <v>90</v>
      </c>
      <c r="Y46">
        <f t="shared" si="6"/>
        <v>110.00000000000001</v>
      </c>
      <c r="Z46">
        <f t="shared" si="13"/>
        <v>0</v>
      </c>
      <c r="AA46" s="126">
        <f t="shared" si="14"/>
        <v>3.5233886508891263E-9</v>
      </c>
      <c r="AB46" s="126">
        <f t="shared" si="15"/>
        <v>8.244745650226786E-9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5.4344361626592078E-9</v>
      </c>
      <c r="S47" s="126">
        <f t="shared" si="4"/>
        <v>1.6335330576063636E-8</v>
      </c>
      <c r="T47">
        <v>10</v>
      </c>
      <c r="U47">
        <v>12</v>
      </c>
      <c r="V47">
        <f t="shared" si="11"/>
        <v>0</v>
      </c>
      <c r="W47">
        <f>U47*T47</f>
        <v>120</v>
      </c>
      <c r="X47">
        <f t="shared" si="5"/>
        <v>108</v>
      </c>
      <c r="Y47">
        <f t="shared" si="6"/>
        <v>132</v>
      </c>
      <c r="Z47">
        <f t="shared" si="13"/>
        <v>0</v>
      </c>
      <c r="AA47" s="126">
        <f t="shared" si="14"/>
        <v>3.8436967100243492E-9</v>
      </c>
      <c r="AB47" s="126">
        <f t="shared" si="15"/>
        <v>8.7073362467000476E-9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5.887305842824879E-9</v>
      </c>
      <c r="S48" s="126">
        <f t="shared" si="4"/>
        <v>1.7203170073763424E-8</v>
      </c>
      <c r="T48">
        <v>10</v>
      </c>
      <c r="U48">
        <v>15</v>
      </c>
      <c r="V48">
        <f t="shared" si="11"/>
        <v>0</v>
      </c>
      <c r="W48">
        <f t="shared" si="12"/>
        <v>150</v>
      </c>
      <c r="X48">
        <f t="shared" si="5"/>
        <v>135</v>
      </c>
      <c r="Y48">
        <f t="shared" si="6"/>
        <v>165</v>
      </c>
      <c r="Z48">
        <f t="shared" si="13"/>
        <v>0</v>
      </c>
      <c r="AA48" s="126">
        <f t="shared" si="14"/>
        <v>4.164004769153487E-9</v>
      </c>
      <c r="AB48" s="126">
        <f t="shared" si="15"/>
        <v>9.16992684316536E-9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6.4911320830323915E-9</v>
      </c>
      <c r="S49" s="126">
        <f t="shared" si="4"/>
        <v>1.8360289404006618E-8</v>
      </c>
      <c r="T49">
        <v>10</v>
      </c>
      <c r="U49">
        <v>18</v>
      </c>
      <c r="V49">
        <f t="shared" si="11"/>
        <v>0</v>
      </c>
      <c r="W49">
        <f t="shared" si="12"/>
        <v>180</v>
      </c>
      <c r="X49">
        <f t="shared" si="5"/>
        <v>162</v>
      </c>
      <c r="Y49">
        <f t="shared" si="6"/>
        <v>198.00000000000003</v>
      </c>
      <c r="Z49">
        <f t="shared" si="13"/>
        <v>0</v>
      </c>
      <c r="AA49" s="126">
        <f t="shared" si="14"/>
        <v>4.5910821813162061E-9</v>
      </c>
      <c r="AB49" s="126">
        <f t="shared" si="15"/>
        <v>9.7867143051067485E-9</v>
      </c>
      <c r="AC49" s="126" t="str">
        <f t="shared" si="7"/>
        <v>Vlow exceeds VIL spec</v>
      </c>
      <c r="AD49" s="126" t="str">
        <f t="shared" si="8"/>
        <v>Vlow exceeds VIL spec</v>
      </c>
    </row>
    <row r="50" spans="1:30" x14ac:dyDescent="0.35">
      <c r="A50" t="s">
        <v>320</v>
      </c>
      <c r="B50" s="11">
        <f>F11*(1+H11)</f>
        <v>1575</v>
      </c>
      <c r="C50" s="11">
        <f>F11*(1+H11)</f>
        <v>1575</v>
      </c>
      <c r="K50">
        <v>1</v>
      </c>
      <c r="L50">
        <v>47</v>
      </c>
      <c r="M50">
        <f t="shared" si="9"/>
        <v>0</v>
      </c>
      <c r="N50">
        <f t="shared" si="0"/>
        <v>47</v>
      </c>
      <c r="O50">
        <f t="shared" si="1"/>
        <v>44.65</v>
      </c>
      <c r="P50">
        <f t="shared" si="2"/>
        <v>49.35</v>
      </c>
      <c r="Q50">
        <f t="shared" si="10"/>
        <v>0</v>
      </c>
      <c r="R50" s="126">
        <f t="shared" si="3"/>
        <v>7.0949583232246044E-9</v>
      </c>
      <c r="S50" s="126">
        <f t="shared" si="4"/>
        <v>1.9517408734223299E-8</v>
      </c>
      <c r="T50">
        <v>10</v>
      </c>
      <c r="U50">
        <v>22</v>
      </c>
      <c r="V50">
        <f t="shared" si="11"/>
        <v>0</v>
      </c>
      <c r="W50">
        <f t="shared" si="12"/>
        <v>220</v>
      </c>
      <c r="X50">
        <f t="shared" si="5"/>
        <v>198</v>
      </c>
      <c r="Y50">
        <f t="shared" si="6"/>
        <v>242.00000000000003</v>
      </c>
      <c r="Z50">
        <f t="shared" si="13"/>
        <v>0</v>
      </c>
      <c r="AA50" s="126">
        <f t="shared" si="14"/>
        <v>5.0181595934681032E-9</v>
      </c>
      <c r="AB50" s="126">
        <f t="shared" si="15"/>
        <v>1.0403501767034002E-8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7.6987845634015187E-9</v>
      </c>
      <c r="S51" s="126">
        <f t="shared" si="4"/>
        <v>2.0674528064413474E-8</v>
      </c>
      <c r="T51">
        <v>10</v>
      </c>
      <c r="U51">
        <v>27</v>
      </c>
      <c r="V51">
        <f t="shared" si="11"/>
        <v>0</v>
      </c>
      <c r="W51">
        <f t="shared" si="12"/>
        <v>270</v>
      </c>
      <c r="X51">
        <f t="shared" si="5"/>
        <v>243</v>
      </c>
      <c r="Y51">
        <f t="shared" si="6"/>
        <v>297</v>
      </c>
      <c r="Z51">
        <f t="shared" si="13"/>
        <v>0</v>
      </c>
      <c r="AA51" s="126">
        <f t="shared" si="14"/>
        <v>5.44523700560918E-9</v>
      </c>
      <c r="AB51" s="126">
        <f t="shared" si="15"/>
        <v>1.1020289228947131E-8</v>
      </c>
      <c r="AC51" s="126" t="str">
        <f t="shared" si="7"/>
        <v>Vlow exceeds VIL spec</v>
      </c>
      <c r="AD51" s="126" t="str">
        <f t="shared" si="8"/>
        <v>Vlow exceeds VIL spec</v>
      </c>
    </row>
    <row r="52" spans="1:30" x14ac:dyDescent="0.35">
      <c r="A52" t="s">
        <v>324</v>
      </c>
      <c r="B52" s="1">
        <f>K21</f>
        <v>21.49240538481077</v>
      </c>
      <c r="C52">
        <v>0</v>
      </c>
      <c r="K52">
        <v>1</v>
      </c>
      <c r="L52">
        <v>56</v>
      </c>
      <c r="M52">
        <f t="shared" si="9"/>
        <v>0</v>
      </c>
      <c r="N52">
        <f t="shared" si="0"/>
        <v>56</v>
      </c>
      <c r="O52">
        <f t="shared" si="1"/>
        <v>53.199999999999996</v>
      </c>
      <c r="P52">
        <f t="shared" si="2"/>
        <v>58.800000000000004</v>
      </c>
      <c r="Q52">
        <f t="shared" si="10"/>
        <v>0</v>
      </c>
      <c r="R52" s="126">
        <f t="shared" si="3"/>
        <v>8.4535673636011532E-9</v>
      </c>
      <c r="S52" s="126">
        <f t="shared" si="4"/>
        <v>2.2120927227113915E-8</v>
      </c>
      <c r="T52">
        <v>10</v>
      </c>
      <c r="U52">
        <v>33</v>
      </c>
      <c r="V52">
        <f t="shared" si="11"/>
        <v>0</v>
      </c>
      <c r="W52">
        <f t="shared" si="12"/>
        <v>330</v>
      </c>
      <c r="X52">
        <f t="shared" si="5"/>
        <v>297</v>
      </c>
      <c r="Y52">
        <f t="shared" si="6"/>
        <v>363.00000000000006</v>
      </c>
      <c r="Z52">
        <f t="shared" si="13"/>
        <v>0</v>
      </c>
      <c r="AA52" s="126">
        <f t="shared" si="14"/>
        <v>5.9790837707703136E-9</v>
      </c>
      <c r="AB52" s="126">
        <f t="shared" si="15"/>
        <v>1.1791273556318669E-8</v>
      </c>
      <c r="AC52" s="126" t="str">
        <f t="shared" si="7"/>
        <v>Vlow exceeds VIL spec</v>
      </c>
      <c r="AD52" s="126" t="str">
        <f t="shared" si="8"/>
        <v>Vlow exceeds VIL spec</v>
      </c>
    </row>
    <row r="53" spans="1:30" x14ac:dyDescent="0.35">
      <c r="A53" t="s">
        <v>327</v>
      </c>
      <c r="B53">
        <v>0</v>
      </c>
      <c r="C53" s="1">
        <f>K21</f>
        <v>21.49240538481077</v>
      </c>
      <c r="K53">
        <v>1</v>
      </c>
      <c r="L53">
        <v>62</v>
      </c>
      <c r="M53">
        <f t="shared" si="9"/>
        <v>0</v>
      </c>
      <c r="N53">
        <f t="shared" si="0"/>
        <v>62</v>
      </c>
      <c r="O53">
        <f t="shared" si="1"/>
        <v>58.9</v>
      </c>
      <c r="P53">
        <f t="shared" si="2"/>
        <v>65.100000000000009</v>
      </c>
      <c r="Q53">
        <f t="shared" si="10"/>
        <v>0</v>
      </c>
      <c r="R53" s="126">
        <f t="shared" si="3"/>
        <v>9.3593067238091662E-9</v>
      </c>
      <c r="S53" s="126">
        <f t="shared" si="4"/>
        <v>2.385660622229977E-8</v>
      </c>
      <c r="T53">
        <v>10</v>
      </c>
      <c r="U53">
        <v>39</v>
      </c>
      <c r="V53">
        <f t="shared" si="11"/>
        <v>0</v>
      </c>
      <c r="W53">
        <f t="shared" si="12"/>
        <v>390</v>
      </c>
      <c r="X53">
        <f t="shared" si="5"/>
        <v>351</v>
      </c>
      <c r="Y53">
        <f t="shared" si="6"/>
        <v>429.00000000000006</v>
      </c>
      <c r="Z53">
        <f t="shared" si="13"/>
        <v>0</v>
      </c>
      <c r="AA53" s="126">
        <f t="shared" si="14"/>
        <v>6.6196998889413597E-9</v>
      </c>
      <c r="AB53" s="126">
        <f t="shared" si="15"/>
        <v>1.2716454749135371E-8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1.0265046083982759E-8</v>
      </c>
      <c r="S54" s="126">
        <f t="shared" si="4"/>
        <v>2.5592285217425972E-8</v>
      </c>
      <c r="T54">
        <v>10</v>
      </c>
      <c r="U54">
        <v>47</v>
      </c>
      <c r="V54">
        <f t="shared" si="11"/>
        <v>1</v>
      </c>
      <c r="W54">
        <f t="shared" si="12"/>
        <v>470</v>
      </c>
      <c r="X54">
        <f t="shared" si="5"/>
        <v>423</v>
      </c>
      <c r="Y54">
        <f t="shared" si="6"/>
        <v>517</v>
      </c>
      <c r="Z54">
        <f t="shared" si="13"/>
        <v>1</v>
      </c>
      <c r="AA54" s="126">
        <f t="shared" si="14"/>
        <v>7.2603160070880602E-9</v>
      </c>
      <c r="AB54" s="126">
        <f t="shared" si="15"/>
        <v>1.3641635941920278E-8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1.1321742004141782E-8</v>
      </c>
      <c r="S55" s="126">
        <f t="shared" si="4"/>
        <v>2.7617244044997835E-8</v>
      </c>
      <c r="T55">
        <v>10</v>
      </c>
      <c r="U55">
        <v>56</v>
      </c>
      <c r="V55">
        <f t="shared" si="11"/>
        <v>2</v>
      </c>
      <c r="W55">
        <f t="shared" si="12"/>
        <v>560</v>
      </c>
      <c r="X55">
        <f t="shared" si="5"/>
        <v>504</v>
      </c>
      <c r="Y55">
        <f t="shared" si="6"/>
        <v>616</v>
      </c>
      <c r="Z55">
        <f t="shared" si="13"/>
        <v>1</v>
      </c>
      <c r="AA55" s="126">
        <f t="shared" si="14"/>
        <v>8.0077014782284446E-9</v>
      </c>
      <c r="AB55" s="126">
        <f t="shared" si="15"/>
        <v>1.4721014000129157E-8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1.2378437924253962E-8</v>
      </c>
      <c r="S56" s="126">
        <f t="shared" si="4"/>
        <v>2.9642202872488517E-8</v>
      </c>
      <c r="T56">
        <v>10</v>
      </c>
      <c r="U56">
        <v>68</v>
      </c>
      <c r="V56">
        <f t="shared" si="11"/>
        <v>3</v>
      </c>
      <c r="W56">
        <f t="shared" si="12"/>
        <v>680</v>
      </c>
      <c r="X56">
        <f t="shared" si="5"/>
        <v>612</v>
      </c>
      <c r="Y56">
        <f t="shared" si="6"/>
        <v>748.00000000000011</v>
      </c>
      <c r="Z56">
        <f t="shared" si="13"/>
        <v>1</v>
      </c>
      <c r="AA56" s="126">
        <f t="shared" si="14"/>
        <v>8.7550869493356963E-9</v>
      </c>
      <c r="AB56" s="126">
        <f t="shared" si="15"/>
        <v>1.5800392058294765E-8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1.3737046964329354E-8</v>
      </c>
      <c r="S57" s="126">
        <f t="shared" si="4"/>
        <v>3.2245721364857235E-8</v>
      </c>
      <c r="T57">
        <v>10</v>
      </c>
      <c r="U57">
        <v>82</v>
      </c>
      <c r="V57">
        <f t="shared" si="11"/>
        <v>4</v>
      </c>
      <c r="W57">
        <f t="shared" si="12"/>
        <v>820</v>
      </c>
      <c r="X57">
        <f t="shared" si="5"/>
        <v>738</v>
      </c>
      <c r="Y57">
        <f t="shared" si="6"/>
        <v>902.00000000000011</v>
      </c>
      <c r="Z57">
        <f t="shared" si="13"/>
        <v>1</v>
      </c>
      <c r="AA57" s="126">
        <f t="shared" si="14"/>
        <v>9.7160111264249028E-9</v>
      </c>
      <c r="AB57" s="126">
        <f t="shared" si="15"/>
        <v>1.7188163847301242E-8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1.5095656004327307E-8</v>
      </c>
      <c r="S58" s="126">
        <f t="shared" si="4"/>
        <v>3.4849239857091765E-8</v>
      </c>
      <c r="T58">
        <v>100</v>
      </c>
      <c r="U58">
        <v>10</v>
      </c>
      <c r="V58">
        <f t="shared" si="11"/>
        <v>5</v>
      </c>
      <c r="W58">
        <f t="shared" si="12"/>
        <v>1000</v>
      </c>
      <c r="X58">
        <f t="shared" si="5"/>
        <v>900</v>
      </c>
      <c r="Y58">
        <f t="shared" si="6"/>
        <v>1100</v>
      </c>
      <c r="Z58">
        <f t="shared" si="13"/>
        <v>1</v>
      </c>
      <c r="AA58" s="126">
        <f t="shared" si="14"/>
        <v>1.0676935303459338E-8</v>
      </c>
      <c r="AB58" s="126">
        <f t="shared" si="15"/>
        <v>1.8575935636236185E-8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1.6605221604234205E-8</v>
      </c>
      <c r="S59" s="126">
        <f t="shared" si="4"/>
        <v>3.77420381816394E-8</v>
      </c>
      <c r="T59">
        <v>100</v>
      </c>
      <c r="U59">
        <v>12</v>
      </c>
      <c r="V59">
        <f t="shared" si="11"/>
        <v>6</v>
      </c>
      <c r="W59">
        <f t="shared" si="12"/>
        <v>1200</v>
      </c>
      <c r="X59">
        <f t="shared" si="5"/>
        <v>1080</v>
      </c>
      <c r="Y59">
        <f t="shared" si="6"/>
        <v>1320</v>
      </c>
      <c r="Z59">
        <f t="shared" si="13"/>
        <v>1</v>
      </c>
      <c r="AA59" s="126">
        <f t="shared" si="14"/>
        <v>1.1744628833433358E-8</v>
      </c>
      <c r="AB59" s="126">
        <f t="shared" si="15"/>
        <v>2.0117904290524454E-8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1.8114787204045498E-8</v>
      </c>
      <c r="S60" s="126">
        <f t="shared" si="4"/>
        <v>4.0634836506021361E-8</v>
      </c>
      <c r="T60">
        <v>100</v>
      </c>
      <c r="U60">
        <v>15</v>
      </c>
      <c r="V60">
        <f t="shared" si="11"/>
        <v>7</v>
      </c>
      <c r="W60">
        <f t="shared" si="12"/>
        <v>1500</v>
      </c>
      <c r="X60">
        <f t="shared" si="5"/>
        <v>1350</v>
      </c>
      <c r="Y60">
        <f t="shared" si="6"/>
        <v>1650.0000000000002</v>
      </c>
      <c r="Z60">
        <f t="shared" si="13"/>
        <v>1</v>
      </c>
      <c r="AA60" s="126">
        <f t="shared" si="14"/>
        <v>1.2812322363339758E-8</v>
      </c>
      <c r="AB60" s="126">
        <f t="shared" si="15"/>
        <v>2.1659872944724406E-8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1.9624352803761184E-8</v>
      </c>
      <c r="S61" s="126">
        <f t="shared" si="4"/>
        <v>4.3527634830237627E-8</v>
      </c>
      <c r="T61">
        <v>100</v>
      </c>
      <c r="U61">
        <v>18</v>
      </c>
      <c r="V61">
        <f t="shared" si="11"/>
        <v>8</v>
      </c>
      <c r="W61">
        <f t="shared" si="12"/>
        <v>1800</v>
      </c>
      <c r="X61">
        <f t="shared" si="5"/>
        <v>1620</v>
      </c>
      <c r="Y61">
        <f t="shared" si="6"/>
        <v>1980.0000000000002</v>
      </c>
      <c r="Z61">
        <f t="shared" si="13"/>
        <v>1</v>
      </c>
      <c r="AA61" s="126">
        <f t="shared" si="14"/>
        <v>1.3880015893178537E-8</v>
      </c>
      <c r="AB61" s="126">
        <f t="shared" si="15"/>
        <v>2.3201841598836042E-8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0.99999824647919933</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0.99999824650307978</v>
      </c>
      <c r="K62">
        <v>10</v>
      </c>
      <c r="L62">
        <v>15</v>
      </c>
      <c r="M62">
        <f t="shared" si="9"/>
        <v>0</v>
      </c>
      <c r="N62">
        <f t="shared" si="0"/>
        <v>150</v>
      </c>
      <c r="O62">
        <f t="shared" si="1"/>
        <v>142.5</v>
      </c>
      <c r="P62">
        <f t="shared" si="2"/>
        <v>157.5</v>
      </c>
      <c r="Q62">
        <f t="shared" si="10"/>
        <v>0</v>
      </c>
      <c r="R62" s="126">
        <f t="shared" si="3"/>
        <v>2.2643484002905742E-8</v>
      </c>
      <c r="S62" s="126">
        <f t="shared" si="4"/>
        <v>4.9313231478173158E-8</v>
      </c>
      <c r="T62">
        <v>100</v>
      </c>
      <c r="U62">
        <v>22</v>
      </c>
      <c r="V62">
        <f t="shared" si="11"/>
        <v>9</v>
      </c>
      <c r="W62">
        <f t="shared" si="12"/>
        <v>2200</v>
      </c>
      <c r="X62">
        <f t="shared" si="5"/>
        <v>1980</v>
      </c>
      <c r="Y62">
        <f t="shared" si="6"/>
        <v>2420</v>
      </c>
      <c r="Z62">
        <f t="shared" si="13"/>
        <v>1</v>
      </c>
      <c r="AA62" s="126">
        <f t="shared" si="14"/>
        <v>1.6015402952653235E-8</v>
      </c>
      <c r="AB62" s="126">
        <f t="shared" si="15"/>
        <v>2.6285778906794384E-8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0.99999824650307978</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0.99999824650307978</v>
      </c>
      <c r="K63">
        <v>10</v>
      </c>
      <c r="L63">
        <v>16</v>
      </c>
      <c r="M63">
        <f t="shared" si="9"/>
        <v>0</v>
      </c>
      <c r="N63">
        <f t="shared" si="0"/>
        <v>160</v>
      </c>
      <c r="O63">
        <f t="shared" si="1"/>
        <v>152</v>
      </c>
      <c r="P63">
        <f t="shared" si="2"/>
        <v>168</v>
      </c>
      <c r="Q63">
        <f t="shared" si="10"/>
        <v>0</v>
      </c>
      <c r="R63" s="126">
        <f t="shared" si="3"/>
        <v>2.4153049602334609E-8</v>
      </c>
      <c r="S63" s="126">
        <f t="shared" si="4"/>
        <v>5.2206029801892395E-8</v>
      </c>
      <c r="T63">
        <v>100</v>
      </c>
      <c r="U63">
        <v>27</v>
      </c>
      <c r="V63">
        <f t="shared" si="11"/>
        <v>10</v>
      </c>
      <c r="W63">
        <f t="shared" si="12"/>
        <v>2700</v>
      </c>
      <c r="X63">
        <f t="shared" si="5"/>
        <v>2430</v>
      </c>
      <c r="Y63">
        <f t="shared" si="6"/>
        <v>2970.0000000000005</v>
      </c>
      <c r="Z63">
        <f t="shared" si="13"/>
        <v>1</v>
      </c>
      <c r="AA63" s="126">
        <f t="shared" si="14"/>
        <v>1.7083096482289151E-8</v>
      </c>
      <c r="AB63" s="126">
        <f t="shared" si="15"/>
        <v>2.7827747560641084E-8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0.99999824650307978</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0.99999824647919944</v>
      </c>
      <c r="K64">
        <v>10</v>
      </c>
      <c r="L64">
        <v>18</v>
      </c>
      <c r="M64">
        <f t="shared" si="9"/>
        <v>0</v>
      </c>
      <c r="N64">
        <f t="shared" si="0"/>
        <v>180</v>
      </c>
      <c r="O64">
        <f t="shared" si="1"/>
        <v>171</v>
      </c>
      <c r="P64">
        <f t="shared" si="2"/>
        <v>189</v>
      </c>
      <c r="Q64">
        <f t="shared" si="10"/>
        <v>0</v>
      </c>
      <c r="R64" s="126">
        <f t="shared" si="3"/>
        <v>2.7172180800905533E-8</v>
      </c>
      <c r="S64" s="126">
        <f t="shared" si="4"/>
        <v>5.7991626448833846E-8</v>
      </c>
      <c r="T64">
        <v>100</v>
      </c>
      <c r="U64">
        <v>33</v>
      </c>
      <c r="V64">
        <f t="shared" si="11"/>
        <v>11</v>
      </c>
      <c r="W64">
        <f t="shared" si="12"/>
        <v>3300</v>
      </c>
      <c r="X64">
        <f t="shared" si="5"/>
        <v>2970</v>
      </c>
      <c r="Y64">
        <f t="shared" si="6"/>
        <v>3630.0000000000005</v>
      </c>
      <c r="Z64">
        <f t="shared" si="13"/>
        <v>0</v>
      </c>
      <c r="AA64" s="126">
        <f t="shared" si="14"/>
        <v>1.9218483541358125E-8</v>
      </c>
      <c r="AB64" s="126">
        <f t="shared" si="15"/>
        <v>3.0911684868069551E-8</v>
      </c>
      <c r="AC64" s="126" t="str">
        <f t="shared" si="7"/>
        <v>Vlow exceeds VIL spec</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3.0191311999094028E-8</v>
      </c>
      <c r="S65" s="126">
        <f t="shared" si="4"/>
        <v>6.3777223095112566E-8</v>
      </c>
      <c r="T65">
        <v>100</v>
      </c>
      <c r="U65">
        <v>39</v>
      </c>
      <c r="V65">
        <f t="shared" si="11"/>
        <v>11</v>
      </c>
      <c r="W65">
        <f t="shared" si="12"/>
        <v>3900</v>
      </c>
      <c r="X65">
        <f t="shared" si="5"/>
        <v>3510</v>
      </c>
      <c r="Y65">
        <f t="shared" si="6"/>
        <v>4290</v>
      </c>
      <c r="Z65">
        <f t="shared" si="13"/>
        <v>0</v>
      </c>
      <c r="AA65" s="126">
        <f t="shared" si="14"/>
        <v>2.1353870600156614E-8</v>
      </c>
      <c r="AB65" s="126">
        <f t="shared" si="15"/>
        <v>3.3995622175144755E-8</v>
      </c>
      <c r="AC65" s="126" t="str">
        <f t="shared" si="7"/>
        <v>Vlow exceeds VIL spec</v>
      </c>
      <c r="AD65" s="126" t="str">
        <f t="shared" si="8"/>
        <v>Vlow exceeds VIL spec</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3.3210443196900104E-8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6.9562819740728596E-8</v>
      </c>
      <c r="T66">
        <v>100</v>
      </c>
      <c r="U66">
        <v>47</v>
      </c>
      <c r="V66">
        <f t="shared" si="11"/>
        <v>11</v>
      </c>
      <c r="W66">
        <f t="shared" si="12"/>
        <v>4700</v>
      </c>
      <c r="X66">
        <f t="shared" si="5"/>
        <v>4230</v>
      </c>
      <c r="Y66">
        <f t="shared" si="6"/>
        <v>5170</v>
      </c>
      <c r="Z66">
        <f t="shared" si="13"/>
        <v>0</v>
      </c>
      <c r="AA66" s="126">
        <f t="shared" si="14"/>
        <v>2.3489257658684622E-8</v>
      </c>
      <c r="AB66" s="126">
        <f t="shared" si="15"/>
        <v>3.7079559481866714E-8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t="str">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3.6229574394323758E-8</v>
      </c>
      <c r="S67" s="126">
        <f t="shared" si="17"/>
        <v>7.5348416385681902E-8</v>
      </c>
      <c r="T67">
        <v>100</v>
      </c>
      <c r="U67">
        <v>56</v>
      </c>
      <c r="V67">
        <f t="shared" si="11"/>
        <v>11</v>
      </c>
      <c r="W67">
        <f t="shared" si="12"/>
        <v>5600</v>
      </c>
      <c r="X67">
        <f t="shared" si="5"/>
        <v>5040</v>
      </c>
      <c r="Y67">
        <f t="shared" si="6"/>
        <v>6160.0000000000009</v>
      </c>
      <c r="Z67">
        <f t="shared" si="13"/>
        <v>0</v>
      </c>
      <c r="AA67" s="126">
        <f t="shared" si="14"/>
        <v>2.5624644716942152E-8</v>
      </c>
      <c r="AB67" s="126">
        <f t="shared" si="15"/>
        <v>4.0163496788235427E-8</v>
      </c>
      <c r="AC67" s="126" t="str">
        <f t="shared" si="18"/>
        <v>Vlow exceeds VIL spec</v>
      </c>
      <c r="AD67" s="126" t="str">
        <f t="shared" si="19"/>
        <v>Vlow exceeds VIL spec</v>
      </c>
    </row>
    <row r="68" spans="1:31" ht="28.4" customHeight="1" x14ac:dyDescent="0.35">
      <c r="B68" s="32" t="s">
        <v>355</v>
      </c>
      <c r="C68" s="32" t="s">
        <v>356</v>
      </c>
      <c r="D68" s="32" t="s">
        <v>357</v>
      </c>
      <c r="E68" s="32" t="str">
        <f>IF(Summary!R37="absolute","find min R2, so that max (Vz) = " &amp; TRUNC(R3/J2,3),"find min R2, so that max (Vz) = " &amp; R3)</f>
        <v>find min R2, so that max (Vz) = 0.444</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4.0758271189742187E-8</v>
      </c>
      <c r="S68" s="126">
        <f t="shared" si="17"/>
        <v>8.402681135186927E-8</v>
      </c>
      <c r="T68">
        <v>100</v>
      </c>
      <c r="U68">
        <v>68</v>
      </c>
      <c r="V68">
        <f t="shared" si="11"/>
        <v>11</v>
      </c>
      <c r="W68">
        <f t="shared" si="12"/>
        <v>6800</v>
      </c>
      <c r="X68">
        <f t="shared" si="5"/>
        <v>6120</v>
      </c>
      <c r="Y68">
        <f t="shared" si="6"/>
        <v>7480.0000000000009</v>
      </c>
      <c r="Z68">
        <f t="shared" si="13"/>
        <v>0</v>
      </c>
      <c r="AA68" s="126">
        <f t="shared" si="14"/>
        <v>2.8827725303821282E-8</v>
      </c>
      <c r="AB68" s="126">
        <f t="shared" si="15"/>
        <v>4.478940274712614E-8</v>
      </c>
      <c r="AC68" s="126" t="str">
        <f t="shared" si="18"/>
        <v>Vlow exceeds VIL spec</v>
      </c>
      <c r="AD68" s="126" t="str">
        <f t="shared" si="19"/>
        <v>Vlow exceeds VIL spec</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4.5286967984300168E-8</v>
      </c>
      <c r="S69" s="126">
        <f t="shared" si="17"/>
        <v>9.2705206316565529E-8</v>
      </c>
      <c r="T69">
        <v>100</v>
      </c>
      <c r="U69">
        <v>82</v>
      </c>
      <c r="V69">
        <f t="shared" si="11"/>
        <v>11</v>
      </c>
      <c r="W69">
        <f t="shared" si="12"/>
        <v>8200</v>
      </c>
      <c r="X69">
        <f t="shared" si="5"/>
        <v>7380</v>
      </c>
      <c r="Y69">
        <f t="shared" si="6"/>
        <v>9020</v>
      </c>
      <c r="Z69">
        <f t="shared" si="13"/>
        <v>0</v>
      </c>
      <c r="AA69" s="126">
        <f t="shared" si="14"/>
        <v>3.2030805890091832E-8</v>
      </c>
      <c r="AB69" s="126">
        <f t="shared" si="15"/>
        <v>4.9415308705222044E-8</v>
      </c>
      <c r="AC69" s="126" t="str">
        <f t="shared" si="18"/>
        <v>Vlow exceeds VIL spec</v>
      </c>
      <c r="AD69" s="126" t="str">
        <f t="shared" si="19"/>
        <v>Vlow exceeds VIL spec</v>
      </c>
    </row>
    <row r="70" spans="1:31" x14ac:dyDescent="0.35">
      <c r="A70" t="s">
        <v>320</v>
      </c>
      <c r="B70" s="11">
        <f>F11*(1+H11)</f>
        <v>1575</v>
      </c>
      <c r="C70" s="11">
        <f>F11*(1-H11)</f>
        <v>1425</v>
      </c>
      <c r="D70" s="11">
        <f>F11*(1+H11)</f>
        <v>1575</v>
      </c>
      <c r="E70" s="11"/>
      <c r="F70" s="11">
        <f>F11*(1-H11)</f>
        <v>1425</v>
      </c>
      <c r="G70" s="11">
        <f>F11*(1-H11)</f>
        <v>1425</v>
      </c>
      <c r="H70" s="11">
        <f>F11*(1+H11)</f>
        <v>1575</v>
      </c>
      <c r="K70">
        <v>10</v>
      </c>
      <c r="L70">
        <v>33</v>
      </c>
      <c r="M70">
        <f t="shared" si="9"/>
        <v>0</v>
      </c>
      <c r="N70">
        <f t="shared" si="0"/>
        <v>330</v>
      </c>
      <c r="O70">
        <f t="shared" si="1"/>
        <v>313.5</v>
      </c>
      <c r="P70">
        <f t="shared" si="2"/>
        <v>346.5</v>
      </c>
      <c r="Q70">
        <f t="shared" si="10"/>
        <v>0</v>
      </c>
      <c r="R70" s="126">
        <f t="shared" si="16"/>
        <v>4.981566477799769E-8</v>
      </c>
      <c r="S70" s="126">
        <f t="shared" si="17"/>
        <v>1.0138360127977071E-7</v>
      </c>
      <c r="T70">
        <v>1000</v>
      </c>
      <c r="U70">
        <v>10</v>
      </c>
      <c r="V70">
        <f t="shared" si="11"/>
        <v>11</v>
      </c>
      <c r="W70">
        <f t="shared" si="12"/>
        <v>10000</v>
      </c>
      <c r="X70">
        <f t="shared" si="5"/>
        <v>9000</v>
      </c>
      <c r="Y70">
        <f t="shared" si="6"/>
        <v>11000</v>
      </c>
      <c r="Z70">
        <f t="shared" si="13"/>
        <v>0</v>
      </c>
      <c r="AA70" s="126">
        <f t="shared" si="14"/>
        <v>3.5233886475753796E-8</v>
      </c>
      <c r="AB70" s="126">
        <f t="shared" si="15"/>
        <v>5.4041214662523141E-8</v>
      </c>
      <c r="AC70" s="126">
        <f t="shared" si="18"/>
        <v>8.0808594672405514E-8</v>
      </c>
      <c r="AD70" s="126" t="str">
        <f t="shared" si="19"/>
        <v>Vlow exceeds VIL spec</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5.4344361570834773E-8</v>
      </c>
      <c r="S71" s="126">
        <f t="shared" si="17"/>
        <v>1.1006199624148475E-7</v>
      </c>
      <c r="T71">
        <v>1000</v>
      </c>
      <c r="U71">
        <v>12</v>
      </c>
      <c r="V71">
        <f t="shared" si="11"/>
        <v>11</v>
      </c>
      <c r="W71">
        <f t="shared" si="12"/>
        <v>12000</v>
      </c>
      <c r="X71">
        <f t="shared" si="5"/>
        <v>10800</v>
      </c>
      <c r="Y71">
        <f t="shared" si="6"/>
        <v>13200.000000000002</v>
      </c>
      <c r="Z71">
        <f t="shared" si="13"/>
        <v>0</v>
      </c>
      <c r="AA71" s="126">
        <f t="shared" si="14"/>
        <v>3.8436967060807173E-8</v>
      </c>
      <c r="AB71" s="126">
        <f t="shared" si="15"/>
        <v>5.866712061902941E-8</v>
      </c>
      <c r="AC71" s="126">
        <f t="shared" si="18"/>
        <v>6.303418152813059E-8</v>
      </c>
      <c r="AD71" s="126" t="str">
        <f t="shared" si="19"/>
        <v>Vlow exceeds VIL spec</v>
      </c>
    </row>
    <row r="72" spans="1:31" x14ac:dyDescent="0.35">
      <c r="A72" t="s">
        <v>324</v>
      </c>
      <c r="B72" s="1">
        <f>K21*MIN(K25,K24)</f>
        <v>0</v>
      </c>
      <c r="C72" s="1">
        <f>K21*MAX(K25,K24)</f>
        <v>21.49240538481077</v>
      </c>
      <c r="D72" s="1">
        <f>K21*MIN(K25,K24)</f>
        <v>0</v>
      </c>
      <c r="E72" s="1">
        <f>K21*MAX(K25,K24)</f>
        <v>21.49240538481077</v>
      </c>
      <c r="F72" s="125">
        <f>K21*MAX(K25,K24)</f>
        <v>21.49240538481077</v>
      </c>
      <c r="G72" s="125">
        <f>K22*MAX(K25,K24)</f>
        <v>15.682405384810767</v>
      </c>
      <c r="H72" s="1">
        <f>K22*MIN(K25,K24)</f>
        <v>0</v>
      </c>
      <c r="K72">
        <v>10</v>
      </c>
      <c r="L72">
        <v>39</v>
      </c>
      <c r="M72">
        <f t="shared" si="9"/>
        <v>0</v>
      </c>
      <c r="N72">
        <f t="shared" si="0"/>
        <v>390</v>
      </c>
      <c r="O72">
        <f t="shared" si="1"/>
        <v>370.5</v>
      </c>
      <c r="P72">
        <f t="shared" si="2"/>
        <v>409.5</v>
      </c>
      <c r="Q72">
        <f t="shared" si="10"/>
        <v>0</v>
      </c>
      <c r="R72" s="126">
        <f t="shared" si="16"/>
        <v>5.8873058362811402E-8</v>
      </c>
      <c r="S72" s="126">
        <f t="shared" si="17"/>
        <v>1.1874039120170768E-7</v>
      </c>
      <c r="T72">
        <v>1000</v>
      </c>
      <c r="U72">
        <v>15</v>
      </c>
      <c r="V72">
        <f t="shared" si="11"/>
        <v>11</v>
      </c>
      <c r="W72">
        <f t="shared" si="12"/>
        <v>15000</v>
      </c>
      <c r="X72">
        <f t="shared" si="5"/>
        <v>13500</v>
      </c>
      <c r="Y72">
        <f t="shared" si="6"/>
        <v>16500</v>
      </c>
      <c r="Z72">
        <f t="shared" si="13"/>
        <v>0</v>
      </c>
      <c r="AA72" s="126">
        <f t="shared" si="14"/>
        <v>4.164004764525197E-8</v>
      </c>
      <c r="AB72" s="126">
        <f t="shared" si="15"/>
        <v>6.3293026574740864E-8</v>
      </c>
      <c r="AC72" s="126">
        <f t="shared" si="18"/>
        <v>5.4700247146401746E-8</v>
      </c>
      <c r="AD72" s="126" t="str">
        <f t="shared" si="19"/>
        <v>Vlow exceeds VIL spec</v>
      </c>
    </row>
    <row r="73" spans="1:31" x14ac:dyDescent="0.35">
      <c r="A73" t="s">
        <v>327</v>
      </c>
      <c r="B73" s="1">
        <f>K21-B72</f>
        <v>21.49240538481077</v>
      </c>
      <c r="C73" s="1">
        <f>K21-C72</f>
        <v>0</v>
      </c>
      <c r="D73" s="1">
        <f>K21-D72</f>
        <v>21.49240538481077</v>
      </c>
      <c r="E73" s="1">
        <f>K21-E72</f>
        <v>0</v>
      </c>
      <c r="F73" s="1">
        <f>K21-F72</f>
        <v>0</v>
      </c>
      <c r="G73" s="1">
        <f>K22-G72</f>
        <v>0</v>
      </c>
      <c r="H73" s="1">
        <f>K22-H72</f>
        <v>15.682405384810767</v>
      </c>
      <c r="K73">
        <v>10</v>
      </c>
      <c r="L73">
        <v>43</v>
      </c>
      <c r="M73">
        <f t="shared" si="9"/>
        <v>1</v>
      </c>
      <c r="N73">
        <f t="shared" si="0"/>
        <v>430</v>
      </c>
      <c r="O73">
        <f t="shared" si="1"/>
        <v>408.5</v>
      </c>
      <c r="P73">
        <f t="shared" si="2"/>
        <v>451.5</v>
      </c>
      <c r="Q73">
        <f t="shared" si="10"/>
        <v>1</v>
      </c>
      <c r="R73" s="126">
        <f t="shared" si="16"/>
        <v>6.4911320750775092E-8</v>
      </c>
      <c r="S73" s="126">
        <f t="shared" si="17"/>
        <v>1.3031158447968543E-7</v>
      </c>
      <c r="T73">
        <v>1000</v>
      </c>
      <c r="U73">
        <v>18</v>
      </c>
      <c r="V73">
        <f t="shared" si="11"/>
        <v>11</v>
      </c>
      <c r="W73">
        <f t="shared" si="12"/>
        <v>18000</v>
      </c>
      <c r="X73">
        <f t="shared" si="5"/>
        <v>16200</v>
      </c>
      <c r="Y73">
        <f t="shared" si="6"/>
        <v>19800</v>
      </c>
      <c r="Z73">
        <f t="shared" si="13"/>
        <v>0</v>
      </c>
      <c r="AA73" s="126">
        <f t="shared" si="14"/>
        <v>4.5910821756898344E-8</v>
      </c>
      <c r="AB73" s="126">
        <f t="shared" si="15"/>
        <v>6.9460901181119772E-8</v>
      </c>
      <c r="AC73" s="126">
        <f t="shared" si="18"/>
        <v>4.825362108040922E-8</v>
      </c>
      <c r="AD73" s="126">
        <f t="shared" si="19"/>
        <v>1.1255514455741243E-7</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9"/>
        <v>2</v>
      </c>
      <c r="N74">
        <f t="shared" si="0"/>
        <v>470</v>
      </c>
      <c r="O74">
        <f t="shared" si="1"/>
        <v>446.5</v>
      </c>
      <c r="P74">
        <f t="shared" si="2"/>
        <v>493.5</v>
      </c>
      <c r="Q74">
        <f t="shared" si="10"/>
        <v>1</v>
      </c>
      <c r="R74" s="126">
        <f t="shared" si="16"/>
        <v>7.0949583137209073E-8</v>
      </c>
      <c r="S74" s="126">
        <f t="shared" si="17"/>
        <v>1.4188277775501236E-7</v>
      </c>
      <c r="T74">
        <v>1000</v>
      </c>
      <c r="U74">
        <v>22</v>
      </c>
      <c r="V74">
        <f t="shared" si="11"/>
        <v>11</v>
      </c>
      <c r="W74">
        <f t="shared" si="12"/>
        <v>22000</v>
      </c>
      <c r="X74">
        <f t="shared" si="5"/>
        <v>19800</v>
      </c>
      <c r="Y74">
        <f t="shared" si="6"/>
        <v>24200.000000000004</v>
      </c>
      <c r="Z74">
        <f t="shared" si="13"/>
        <v>0</v>
      </c>
      <c r="AA74" s="126">
        <f t="shared" si="14"/>
        <v>5.0181595867462772E-8</v>
      </c>
      <c r="AB74" s="126">
        <f t="shared" si="15"/>
        <v>7.562877578608567E-8</v>
      </c>
      <c r="AC74" s="126">
        <f t="shared" si="18"/>
        <v>4.4198212431856365E-8</v>
      </c>
      <c r="AD74" s="126">
        <f t="shared" si="19"/>
        <v>7.8755290659632902E-8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3</v>
      </c>
      <c r="N75">
        <f t="shared" si="0"/>
        <v>510</v>
      </c>
      <c r="O75">
        <f t="shared" si="1"/>
        <v>484.5</v>
      </c>
      <c r="P75">
        <f t="shared" si="2"/>
        <v>535.5</v>
      </c>
      <c r="Q75">
        <f t="shared" si="10"/>
        <v>1</v>
      </c>
      <c r="R75" s="126">
        <f t="shared" si="16"/>
        <v>7.698784552211338E-8</v>
      </c>
      <c r="S75" s="126">
        <f t="shared" si="17"/>
        <v>1.5345397102768844E-7</v>
      </c>
      <c r="T75">
        <v>1000</v>
      </c>
      <c r="U75">
        <v>27</v>
      </c>
      <c r="V75">
        <f t="shared" si="11"/>
        <v>11</v>
      </c>
      <c r="W75">
        <f t="shared" si="12"/>
        <v>27000</v>
      </c>
      <c r="X75">
        <f t="shared" si="5"/>
        <v>24300</v>
      </c>
      <c r="Y75">
        <f t="shared" si="6"/>
        <v>29700.000000000004</v>
      </c>
      <c r="Z75">
        <f t="shared" si="13"/>
        <v>0</v>
      </c>
      <c r="AA75" s="126">
        <f t="shared" si="14"/>
        <v>5.4452369976945294E-8</v>
      </c>
      <c r="AB75" s="126">
        <f t="shared" si="15"/>
        <v>8.1796650389638572E-8</v>
      </c>
      <c r="AC75" s="126">
        <f t="shared" si="18"/>
        <v>4.1382599324187205E-8</v>
      </c>
      <c r="AD75" s="126">
        <f t="shared" si="19"/>
        <v>6.7118704911059088E-8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4</v>
      </c>
      <c r="N76">
        <f t="shared" si="0"/>
        <v>560</v>
      </c>
      <c r="O76">
        <f t="shared" si="1"/>
        <v>532</v>
      </c>
      <c r="P76">
        <f t="shared" si="2"/>
        <v>588</v>
      </c>
      <c r="Q76">
        <f t="shared" si="10"/>
        <v>1</v>
      </c>
      <c r="R76" s="126">
        <f t="shared" si="16"/>
        <v>8.4535673501092623E-8</v>
      </c>
      <c r="S76" s="126">
        <f t="shared" si="17"/>
        <v>1.6791796261480574E-7</v>
      </c>
      <c r="T76">
        <v>1000</v>
      </c>
      <c r="U76">
        <v>33</v>
      </c>
      <c r="V76">
        <f t="shared" si="11"/>
        <v>11</v>
      </c>
      <c r="W76">
        <f t="shared" si="12"/>
        <v>33000</v>
      </c>
      <c r="X76">
        <f t="shared" si="5"/>
        <v>29700</v>
      </c>
      <c r="Y76">
        <f t="shared" si="6"/>
        <v>36300</v>
      </c>
      <c r="Z76">
        <f t="shared" si="13"/>
        <v>0</v>
      </c>
      <c r="AA76" s="126">
        <f t="shared" si="14"/>
        <v>5.9790837612276972E-8</v>
      </c>
      <c r="AB76" s="126">
        <f t="shared" si="15"/>
        <v>8.950649364209266E-8</v>
      </c>
      <c r="AC76" s="126">
        <f t="shared" si="18"/>
        <v>3.8868365156024854E-8</v>
      </c>
      <c r="AD76" s="126">
        <f t="shared" si="19"/>
        <v>5.9211198839886633E-8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5</v>
      </c>
      <c r="N77">
        <f t="shared" si="0"/>
        <v>620</v>
      </c>
      <c r="O77">
        <f t="shared" si="1"/>
        <v>589</v>
      </c>
      <c r="P77">
        <f t="shared" si="2"/>
        <v>651</v>
      </c>
      <c r="Q77">
        <f t="shared" si="10"/>
        <v>1</v>
      </c>
      <c r="R77" s="126">
        <f t="shared" si="16"/>
        <v>9.3593067072712724E-8</v>
      </c>
      <c r="S77" s="126">
        <f t="shared" si="17"/>
        <v>1.8527475251387908E-7</v>
      </c>
      <c r="T77">
        <v>1000</v>
      </c>
      <c r="U77">
        <v>39</v>
      </c>
      <c r="V77">
        <f t="shared" si="11"/>
        <v>11</v>
      </c>
      <c r="W77">
        <f t="shared" si="12"/>
        <v>39000</v>
      </c>
      <c r="X77">
        <f t="shared" si="5"/>
        <v>35100</v>
      </c>
      <c r="Y77">
        <f t="shared" si="6"/>
        <v>42900</v>
      </c>
      <c r="Z77">
        <f t="shared" si="13"/>
        <v>0</v>
      </c>
      <c r="AA77" s="126">
        <f t="shared" si="14"/>
        <v>6.6196998772443504E-8</v>
      </c>
      <c r="AB77" s="126">
        <f t="shared" si="15"/>
        <v>9.8758305542123213E-8</v>
      </c>
      <c r="AC77" s="126">
        <f t="shared" si="18"/>
        <v>3.673218233385122E-8</v>
      </c>
      <c r="AD77" s="126">
        <f t="shared" si="19"/>
        <v>5.3540918176103917E-8</v>
      </c>
    </row>
    <row r="78" spans="1:31" x14ac:dyDescent="0.35">
      <c r="A78" t="s">
        <v>344</v>
      </c>
      <c r="B78">
        <v>1</v>
      </c>
      <c r="C78">
        <v>1</v>
      </c>
      <c r="D78">
        <v>1</v>
      </c>
      <c r="E78">
        <v>1</v>
      </c>
      <c r="F78">
        <v>1</v>
      </c>
      <c r="G78">
        <v>1</v>
      </c>
      <c r="H78">
        <v>1</v>
      </c>
      <c r="K78">
        <v>10</v>
      </c>
      <c r="L78">
        <v>68</v>
      </c>
      <c r="M78">
        <f t="shared" si="9"/>
        <v>6</v>
      </c>
      <c r="N78">
        <f t="shared" si="0"/>
        <v>680</v>
      </c>
      <c r="O78">
        <f t="shared" si="1"/>
        <v>646</v>
      </c>
      <c r="P78">
        <f t="shared" si="2"/>
        <v>714</v>
      </c>
      <c r="Q78">
        <f t="shared" si="10"/>
        <v>1</v>
      </c>
      <c r="R78" s="126">
        <f t="shared" si="16"/>
        <v>1.02650460640891E-7</v>
      </c>
      <c r="S78" s="126">
        <f t="shared" si="17"/>
        <v>2.0263154240698805E-7</v>
      </c>
      <c r="T78">
        <v>1000</v>
      </c>
      <c r="U78">
        <v>47</v>
      </c>
      <c r="V78">
        <f t="shared" si="11"/>
        <v>11</v>
      </c>
      <c r="W78">
        <f t="shared" si="12"/>
        <v>47000</v>
      </c>
      <c r="X78">
        <f t="shared" si="5"/>
        <v>42300</v>
      </c>
      <c r="Y78">
        <f t="shared" si="6"/>
        <v>51700.000000000007</v>
      </c>
      <c r="Z78">
        <f t="shared" si="13"/>
        <v>0</v>
      </c>
      <c r="AA78" s="126">
        <f t="shared" si="14"/>
        <v>7.2603159930175676E-8</v>
      </c>
      <c r="AB78" s="126">
        <f t="shared" si="15"/>
        <v>1.0801011743897453E-7</v>
      </c>
      <c r="AC78" s="126">
        <f t="shared" si="18"/>
        <v>3.5182695917529074E-8</v>
      </c>
      <c r="AD78" s="126">
        <f t="shared" si="19"/>
        <v>4.9841767816392079E-8</v>
      </c>
    </row>
    <row r="79" spans="1:31" x14ac:dyDescent="0.35">
      <c r="A79" t="s">
        <v>345</v>
      </c>
      <c r="B79">
        <v>1</v>
      </c>
      <c r="C79">
        <v>1</v>
      </c>
      <c r="D79">
        <v>1</v>
      </c>
      <c r="E79">
        <v>1</v>
      </c>
      <c r="F79">
        <v>1</v>
      </c>
      <c r="G79">
        <v>1</v>
      </c>
      <c r="H79">
        <v>1</v>
      </c>
      <c r="K79">
        <v>10</v>
      </c>
      <c r="L79">
        <v>75</v>
      </c>
      <c r="M79">
        <f t="shared" si="9"/>
        <v>7</v>
      </c>
      <c r="N79">
        <f t="shared" si="0"/>
        <v>750</v>
      </c>
      <c r="O79">
        <f t="shared" si="1"/>
        <v>712.5</v>
      </c>
      <c r="P79">
        <f t="shared" si="2"/>
        <v>787.5</v>
      </c>
      <c r="Q79">
        <f t="shared" si="10"/>
        <v>1</v>
      </c>
      <c r="R79" s="126">
        <f t="shared" si="16"/>
        <v>1.1321741979941563E-7</v>
      </c>
      <c r="S79" s="126">
        <f t="shared" si="17"/>
        <v>2.2288113060807676E-7</v>
      </c>
      <c r="T79">
        <v>1000</v>
      </c>
      <c r="U79">
        <v>56</v>
      </c>
      <c r="V79">
        <f t="shared" si="11"/>
        <v>11</v>
      </c>
      <c r="W79">
        <f t="shared" si="12"/>
        <v>56000</v>
      </c>
      <c r="X79">
        <f t="shared" si="5"/>
        <v>50400</v>
      </c>
      <c r="Y79">
        <f t="shared" si="6"/>
        <v>61600.000000000007</v>
      </c>
      <c r="Z79">
        <f t="shared" si="13"/>
        <v>0</v>
      </c>
      <c r="AA79" s="126">
        <f t="shared" si="14"/>
        <v>8.0077014611119853E-8</v>
      </c>
      <c r="AB79" s="126">
        <f t="shared" si="15"/>
        <v>1.1880389798128283E-7</v>
      </c>
      <c r="AC79" s="126">
        <f t="shared" si="18"/>
        <v>3.3839617048252169E-8</v>
      </c>
      <c r="AD79" s="126">
        <f t="shared" si="19"/>
        <v>4.6851348942811852E-8</v>
      </c>
      <c r="AE79" s="128"/>
    </row>
    <row r="80" spans="1:31" x14ac:dyDescent="0.35">
      <c r="A80" t="s">
        <v>346</v>
      </c>
      <c r="B80">
        <v>1</v>
      </c>
      <c r="C80">
        <v>1</v>
      </c>
      <c r="D80">
        <v>1</v>
      </c>
      <c r="E80">
        <v>1</v>
      </c>
      <c r="F80">
        <v>1</v>
      </c>
      <c r="G80">
        <v>1</v>
      </c>
      <c r="H80">
        <v>1</v>
      </c>
      <c r="K80">
        <v>10</v>
      </c>
      <c r="L80">
        <v>82</v>
      </c>
      <c r="M80">
        <f t="shared" si="9"/>
        <v>8</v>
      </c>
      <c r="N80">
        <f t="shared" si="0"/>
        <v>820</v>
      </c>
      <c r="O80">
        <f t="shared" si="1"/>
        <v>779</v>
      </c>
      <c r="P80">
        <f t="shared" si="2"/>
        <v>861</v>
      </c>
      <c r="Q80">
        <f t="shared" si="10"/>
        <v>1</v>
      </c>
      <c r="R80" s="126">
        <f t="shared" si="16"/>
        <v>1.2378437895325552E-7</v>
      </c>
      <c r="S80" s="126">
        <f t="shared" si="17"/>
        <v>2.4313071880104731E-7</v>
      </c>
      <c r="T80">
        <v>1000</v>
      </c>
      <c r="U80">
        <v>68</v>
      </c>
      <c r="V80">
        <f t="shared" si="11"/>
        <v>11</v>
      </c>
      <c r="W80">
        <f>U80*T80</f>
        <v>68000</v>
      </c>
      <c r="X80">
        <f t="shared" si="5"/>
        <v>61200</v>
      </c>
      <c r="Y80">
        <f t="shared" si="6"/>
        <v>74800</v>
      </c>
      <c r="Z80">
        <f t="shared" si="13"/>
        <v>0</v>
      </c>
      <c r="AA80" s="126">
        <f t="shared" si="14"/>
        <v>8.7550869288750583E-8</v>
      </c>
      <c r="AB80" s="126">
        <f t="shared" si="15"/>
        <v>1.2959767851926382E-7</v>
      </c>
      <c r="AC80" s="126">
        <f t="shared" si="18"/>
        <v>3.2824325786970752E-8</v>
      </c>
      <c r="AD80" s="126">
        <f t="shared" si="19"/>
        <v>4.470091640676069E-8</v>
      </c>
      <c r="AE80" s="128"/>
    </row>
    <row r="81" spans="1:31" x14ac:dyDescent="0.35">
      <c r="K81">
        <v>10</v>
      </c>
      <c r="L81">
        <v>91</v>
      </c>
      <c r="M81">
        <f t="shared" si="9"/>
        <v>9</v>
      </c>
      <c r="N81">
        <f t="shared" si="0"/>
        <v>910</v>
      </c>
      <c r="O81">
        <f t="shared" si="1"/>
        <v>864.5</v>
      </c>
      <c r="P81">
        <f t="shared" si="2"/>
        <v>955.5</v>
      </c>
      <c r="Q81">
        <f t="shared" si="10"/>
        <v>1</v>
      </c>
      <c r="R81" s="126">
        <f t="shared" si="16"/>
        <v>1.3737046928702323E-7</v>
      </c>
      <c r="S81" s="126">
        <f t="shared" si="17"/>
        <v>2.6916590360865186E-7</v>
      </c>
      <c r="T81">
        <v>1000</v>
      </c>
      <c r="U81">
        <v>82</v>
      </c>
      <c r="V81">
        <f t="shared" si="11"/>
        <v>11</v>
      </c>
      <c r="W81">
        <f t="shared" ref="W81" si="20">U81*T81</f>
        <v>82000</v>
      </c>
      <c r="X81">
        <f t="shared" si="5"/>
        <v>73800</v>
      </c>
      <c r="Y81">
        <f t="shared" si="6"/>
        <v>90200.000000000015</v>
      </c>
      <c r="Z81">
        <f t="shared" si="13"/>
        <v>0</v>
      </c>
      <c r="AA81" s="126">
        <f t="shared" si="14"/>
        <v>9.716011101226428E-8</v>
      </c>
      <c r="AB81" s="126">
        <f t="shared" si="15"/>
        <v>1.4347539634745224E-7</v>
      </c>
      <c r="AC81" s="126">
        <f t="shared" si="18"/>
        <v>3.1835125487451398E-8</v>
      </c>
      <c r="AD81" s="126">
        <f t="shared" si="19"/>
        <v>4.2683862896324715E-8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0.99999824650308233</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7.954221402078368E-2</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4.5454542017984864E-2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0.85328655550436283</v>
      </c>
      <c r="F82" s="13"/>
      <c r="K82">
        <v>100</v>
      </c>
      <c r="L82">
        <v>10</v>
      </c>
      <c r="M82">
        <f>IF(AND(Q81=1,Q82=0),Q82+M81+1, Q82+M81)</f>
        <v>10</v>
      </c>
      <c r="N82">
        <f t="shared" si="0"/>
        <v>1000</v>
      </c>
      <c r="O82">
        <f t="shared" si="1"/>
        <v>950</v>
      </c>
      <c r="P82">
        <f t="shared" si="2"/>
        <v>1050</v>
      </c>
      <c r="Q82">
        <f t="shared" si="10"/>
        <v>1</v>
      </c>
      <c r="R82" s="126">
        <f t="shared" si="16"/>
        <v>1.5095655961304685E-7</v>
      </c>
      <c r="S82" s="126">
        <f t="shared" si="17"/>
        <v>2.9520108840283661E-7</v>
      </c>
      <c r="V82">
        <f t="shared" si="11"/>
        <v>11</v>
      </c>
      <c r="W82">
        <v>9999999</v>
      </c>
      <c r="AA82" s="126">
        <f t="shared" si="14"/>
        <v>1.0676935273030072E-7</v>
      </c>
      <c r="AB82" s="126">
        <f t="shared" si="15"/>
        <v>1.5735311416848741E-7</v>
      </c>
      <c r="AC82" s="126">
        <f t="shared" si="18"/>
        <v>3.1084319550307355E-8</v>
      </c>
      <c r="AD82" s="126">
        <f t="shared" si="19"/>
        <v>4.1198307684509994E-8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0.99999824650308233</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9.3218642071877383E-2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4.5454542017984864E-2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11</v>
      </c>
      <c r="N83">
        <f t="shared" si="0"/>
        <v>1100</v>
      </c>
      <c r="O83">
        <f t="shared" si="1"/>
        <v>1045</v>
      </c>
      <c r="P83">
        <f t="shared" si="2"/>
        <v>1155</v>
      </c>
      <c r="Q83">
        <f t="shared" si="10"/>
        <v>1</v>
      </c>
      <c r="R83" s="126">
        <f t="shared" si="16"/>
        <v>1.6605221552176835E-7</v>
      </c>
      <c r="S83" s="126">
        <f t="shared" si="17"/>
        <v>3.2412907149174683E-7</v>
      </c>
      <c r="AA83" s="126">
        <f t="shared" si="14"/>
        <v>1.1744628796613945E-7</v>
      </c>
      <c r="AB83" s="126">
        <f t="shared" si="15"/>
        <v>1.7277280062791452E-7</v>
      </c>
      <c r="AC83" s="126">
        <f t="shared" si="18"/>
        <v>3.0438211722819194E-8</v>
      </c>
      <c r="AD83" s="126">
        <f t="shared" si="19"/>
        <v>3.994801209216619E-8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0.99999824647920199</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9.3218642071877383E-2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4.5454542035549821E-2</v>
      </c>
      <c r="E84" s="12">
        <f>IF(Summary!R37="absolute",(R3-N7)/(J2+J2*Summary!R17),R3-N7)</f>
        <v>0.41269841269841268</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9.3218642187801515E-2</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8.9853720692647951E-2</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4.5454542030801529E-2</v>
      </c>
      <c r="K84">
        <v>100</v>
      </c>
      <c r="L84">
        <v>12</v>
      </c>
      <c r="M84">
        <f t="shared" si="21"/>
        <v>12</v>
      </c>
      <c r="N84">
        <f t="shared" si="0"/>
        <v>1200</v>
      </c>
      <c r="O84">
        <f t="shared" si="1"/>
        <v>1140</v>
      </c>
      <c r="P84">
        <f t="shared" si="2"/>
        <v>1260</v>
      </c>
      <c r="Q84">
        <f t="shared" si="10"/>
        <v>1</v>
      </c>
      <c r="R84" s="126">
        <f t="shared" si="16"/>
        <v>1.8114787142092927E-7</v>
      </c>
      <c r="S84" s="126">
        <f t="shared" si="17"/>
        <v>3.5305705456408918E-7</v>
      </c>
      <c r="AA84" s="126">
        <f t="shared" si="14"/>
        <v>1.2812322319521616E-7</v>
      </c>
      <c r="AB84" s="126">
        <f t="shared" si="15"/>
        <v>1.8819248707851031E-7</v>
      </c>
      <c r="AC84" s="126">
        <f t="shared" si="18"/>
        <v>2.992985488088993E-8</v>
      </c>
      <c r="AD84" s="126">
        <f t="shared" si="19"/>
        <v>3.8980982279726865E-8</v>
      </c>
      <c r="AE84" s="128"/>
    </row>
    <row r="85" spans="1:31" x14ac:dyDescent="0.35">
      <c r="E85" s="73"/>
      <c r="K85">
        <v>100</v>
      </c>
      <c r="L85">
        <v>13</v>
      </c>
      <c r="M85">
        <f t="shared" si="21"/>
        <v>13</v>
      </c>
      <c r="N85">
        <f t="shared" si="0"/>
        <v>1300</v>
      </c>
      <c r="O85">
        <f t="shared" si="1"/>
        <v>1235</v>
      </c>
      <c r="P85">
        <f t="shared" si="2"/>
        <v>1365</v>
      </c>
      <c r="Q85">
        <f t="shared" si="10"/>
        <v>1</v>
      </c>
      <c r="R85" s="126">
        <f t="shared" si="16"/>
        <v>1.9624352731052961E-7</v>
      </c>
      <c r="S85" s="126">
        <f t="shared" si="17"/>
        <v>3.8198503761986373E-7</v>
      </c>
      <c r="AA85" s="126">
        <f t="shared" si="14"/>
        <v>1.388001584175308E-7</v>
      </c>
      <c r="AB85" s="126">
        <f t="shared" si="15"/>
        <v>2.0361217352027488E-7</v>
      </c>
      <c r="AC85" s="126">
        <f t="shared" si="18"/>
        <v>2.9519869567019866E-8</v>
      </c>
      <c r="AD85" s="126">
        <f t="shared" si="19"/>
        <v>3.8211001601473637E-8</v>
      </c>
      <c r="AE85" s="128"/>
    </row>
    <row r="86" spans="1:31" x14ac:dyDescent="0.35">
      <c r="K86">
        <v>100</v>
      </c>
      <c r="L86">
        <v>15</v>
      </c>
      <c r="M86">
        <f t="shared" si="21"/>
        <v>14</v>
      </c>
      <c r="N86">
        <f t="shared" si="0"/>
        <v>1500</v>
      </c>
      <c r="O86">
        <f t="shared" si="1"/>
        <v>1425</v>
      </c>
      <c r="P86">
        <f t="shared" si="2"/>
        <v>1575</v>
      </c>
      <c r="Q86">
        <f t="shared" si="10"/>
        <v>1</v>
      </c>
      <c r="R86" s="126">
        <f t="shared" si="16"/>
        <v>2.2643483906104852E-7</v>
      </c>
      <c r="S86" s="126">
        <f t="shared" si="17"/>
        <v>4.398410036817092E-7</v>
      </c>
      <c r="AA86" s="126">
        <f t="shared" si="14"/>
        <v>1.601540288418739E-7</v>
      </c>
      <c r="AB86" s="126">
        <f t="shared" si="15"/>
        <v>2.3445154637731012E-7</v>
      </c>
      <c r="AC86" s="126">
        <f t="shared" si="18"/>
        <v>2.8900206404764888E-8</v>
      </c>
      <c r="AD86" s="126">
        <f t="shared" si="19"/>
        <v>3.70627473199242E-8</v>
      </c>
      <c r="AE86" s="128"/>
    </row>
    <row r="87" spans="1:31" x14ac:dyDescent="0.35">
      <c r="B87" s="171" t="s">
        <v>362</v>
      </c>
      <c r="C87" s="171"/>
      <c r="K87">
        <v>100</v>
      </c>
      <c r="L87">
        <v>16</v>
      </c>
      <c r="M87">
        <f t="shared" si="21"/>
        <v>15</v>
      </c>
      <c r="N87">
        <f t="shared" si="0"/>
        <v>1600</v>
      </c>
      <c r="O87">
        <f t="shared" si="1"/>
        <v>1520</v>
      </c>
      <c r="P87">
        <f t="shared" si="2"/>
        <v>1680</v>
      </c>
      <c r="Q87">
        <f t="shared" si="10"/>
        <v>1</v>
      </c>
      <c r="R87" s="126">
        <f t="shared" si="16"/>
        <v>2.415304949219671E-7</v>
      </c>
      <c r="S87" s="126">
        <f t="shared" si="17"/>
        <v>4.6876898668778017E-7</v>
      </c>
      <c r="AA87" s="126">
        <f t="shared" si="14"/>
        <v>1.7083096404390233E-7</v>
      </c>
      <c r="AB87" s="126">
        <f t="shared" si="15"/>
        <v>2.4987123279258082E-7</v>
      </c>
      <c r="AC87" s="126">
        <f t="shared" si="18"/>
        <v>2.8660646968119176E-8</v>
      </c>
      <c r="AD87" s="126">
        <f t="shared" si="19"/>
        <v>3.6623497764606543E-8</v>
      </c>
      <c r="AE87" s="128"/>
    </row>
    <row r="88" spans="1:31" ht="29" x14ac:dyDescent="0.35">
      <c r="B88" t="s">
        <v>355</v>
      </c>
      <c r="C88" t="s">
        <v>363</v>
      </c>
      <c r="D88" t="s">
        <v>364</v>
      </c>
      <c r="E88" s="32" t="str">
        <f>IF(Summary!R37="absolute","find min R2, so that max (Vx) = " &amp; TRUNC(R2/J3,3),"find min R2, so that max (Vx) = " &amp; R2)</f>
        <v>find min R2, so that max (Vx) = 0.166</v>
      </c>
      <c r="F88" s="32" t="s">
        <v>365</v>
      </c>
      <c r="G88" s="32" t="s">
        <v>366</v>
      </c>
      <c r="H88" s="32" t="s">
        <v>367</v>
      </c>
      <c r="K88">
        <v>100</v>
      </c>
      <c r="L88">
        <v>18</v>
      </c>
      <c r="M88">
        <f t="shared" si="21"/>
        <v>16</v>
      </c>
      <c r="N88">
        <f t="shared" si="0"/>
        <v>1800</v>
      </c>
      <c r="O88">
        <f t="shared" si="1"/>
        <v>1710</v>
      </c>
      <c r="P88">
        <f t="shared" si="2"/>
        <v>1890</v>
      </c>
      <c r="Q88">
        <f t="shared" si="10"/>
        <v>1</v>
      </c>
      <c r="R88" s="126">
        <f t="shared" si="16"/>
        <v>2.7172180661512246E-7</v>
      </c>
      <c r="S88" s="126">
        <f t="shared" si="17"/>
        <v>5.2662495265021855E-7</v>
      </c>
      <c r="AA88" s="126">
        <f t="shared" si="14"/>
        <v>1.9218483442767305E-7</v>
      </c>
      <c r="AB88" s="126">
        <f t="shared" si="15"/>
        <v>2.8071060559662841E-7</v>
      </c>
      <c r="AC88" s="126">
        <f t="shared" si="18"/>
        <v>2.8276308713117121E-8</v>
      </c>
      <c r="AD88" s="126">
        <f t="shared" si="19"/>
        <v>3.5923817046954936E-8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17</v>
      </c>
      <c r="N89">
        <f t="shared" si="0"/>
        <v>2000</v>
      </c>
      <c r="O89">
        <f t="shared" si="1"/>
        <v>1900</v>
      </c>
      <c r="P89">
        <f t="shared" si="2"/>
        <v>2100</v>
      </c>
      <c r="Q89">
        <f t="shared" si="10"/>
        <v>1</v>
      </c>
      <c r="R89" s="126">
        <f t="shared" si="16"/>
        <v>3.019131182700356E-7</v>
      </c>
      <c r="S89" s="126">
        <f t="shared" si="17"/>
        <v>5.844809185463858E-7</v>
      </c>
      <c r="AA89" s="126">
        <f t="shared" si="14"/>
        <v>2.1353870478439558E-7</v>
      </c>
      <c r="AB89" s="126">
        <f t="shared" si="15"/>
        <v>3.1154997836535102E-7</v>
      </c>
      <c r="AC89" s="126">
        <f t="shared" si="18"/>
        <v>2.7981814493567338E-8</v>
      </c>
      <c r="AD89" s="126">
        <f t="shared" si="19"/>
        <v>3.5391637323616293E-8</v>
      </c>
      <c r="AE89" s="128"/>
    </row>
    <row r="90" spans="1:31" x14ac:dyDescent="0.35">
      <c r="A90" t="s">
        <v>320</v>
      </c>
      <c r="B90" s="11">
        <f>F11*(1+H11)</f>
        <v>1575</v>
      </c>
      <c r="C90" s="11">
        <f>F11*(1-H11)</f>
        <v>1425</v>
      </c>
      <c r="D90" s="11">
        <f>F11*(1+H11)</f>
        <v>1575</v>
      </c>
      <c r="E90" s="11"/>
      <c r="F90" s="11">
        <f>F11*(1-H11)</f>
        <v>1425</v>
      </c>
      <c r="G90">
        <f>F11*(1-H11)</f>
        <v>1425</v>
      </c>
      <c r="H90">
        <f>F11*(1+H11)</f>
        <v>1575</v>
      </c>
      <c r="K90">
        <v>100</v>
      </c>
      <c r="L90">
        <v>22</v>
      </c>
      <c r="M90">
        <f t="shared" si="21"/>
        <v>18</v>
      </c>
      <c r="N90">
        <f t="shared" si="0"/>
        <v>2200</v>
      </c>
      <c r="O90">
        <f t="shared" si="1"/>
        <v>2090</v>
      </c>
      <c r="P90">
        <f t="shared" si="2"/>
        <v>2310</v>
      </c>
      <c r="Q90">
        <f t="shared" si="10"/>
        <v>1</v>
      </c>
      <c r="R90" s="126">
        <f t="shared" si="16"/>
        <v>3.3210442988670621E-7</v>
      </c>
      <c r="S90" s="126">
        <f t="shared" si="17"/>
        <v>6.4233688437628141E-7</v>
      </c>
      <c r="AA90" s="126">
        <f t="shared" si="14"/>
        <v>2.3489257511406977E-7</v>
      </c>
      <c r="AB90" s="126">
        <f t="shared" si="15"/>
        <v>3.4238935109874844E-7</v>
      </c>
      <c r="AC90" s="126">
        <f t="shared" si="18"/>
        <v>2.7749153433525242E-8</v>
      </c>
      <c r="AD90" s="126">
        <f t="shared" si="19"/>
        <v>3.4973454704966554E-8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19</v>
      </c>
      <c r="N91">
        <f t="shared" si="0"/>
        <v>2400</v>
      </c>
      <c r="O91">
        <f t="shared" si="1"/>
        <v>2280</v>
      </c>
      <c r="P91">
        <f t="shared" si="2"/>
        <v>2520</v>
      </c>
      <c r="Q91">
        <f t="shared" si="10"/>
        <v>1</v>
      </c>
      <c r="R91" s="126">
        <f t="shared" si="16"/>
        <v>3.6229574146513466E-7</v>
      </c>
      <c r="S91" s="126">
        <f t="shared" si="17"/>
        <v>7.0019285013990558E-7</v>
      </c>
      <c r="AA91" s="126">
        <f t="shared" si="14"/>
        <v>2.562464454166958E-7</v>
      </c>
      <c r="AB91" s="126">
        <f t="shared" si="15"/>
        <v>3.7322872379682072E-7</v>
      </c>
      <c r="AC91" s="126">
        <f t="shared" si="18"/>
        <v>2.7560814763622163E-8</v>
      </c>
      <c r="AD91" s="126">
        <f t="shared" si="19"/>
        <v>3.4636312096845717E-8</v>
      </c>
      <c r="AE91" s="128"/>
    </row>
    <row r="92" spans="1:31" x14ac:dyDescent="0.35">
      <c r="A92" t="s">
        <v>324</v>
      </c>
      <c r="B92" s="1">
        <f>K21-B93</f>
        <v>21.49240538481077</v>
      </c>
      <c r="C92" s="1">
        <f>K21-C93</f>
        <v>0</v>
      </c>
      <c r="D92" s="1">
        <f>K21-D93</f>
        <v>21.49240538481077</v>
      </c>
      <c r="E92" s="1">
        <f>K21-E93</f>
        <v>0</v>
      </c>
      <c r="F92" s="1">
        <f>K21-F93</f>
        <v>0</v>
      </c>
      <c r="G92" s="1">
        <f>K22-G93</f>
        <v>0</v>
      </c>
      <c r="H92" s="1">
        <f>K22-H93</f>
        <v>15.682405384810767</v>
      </c>
      <c r="K92">
        <v>100</v>
      </c>
      <c r="L92">
        <v>27</v>
      </c>
      <c r="M92">
        <f t="shared" si="21"/>
        <v>20</v>
      </c>
      <c r="N92">
        <f t="shared" si="0"/>
        <v>2700</v>
      </c>
      <c r="O92">
        <f t="shared" si="1"/>
        <v>2565</v>
      </c>
      <c r="P92">
        <f t="shared" si="2"/>
        <v>2835</v>
      </c>
      <c r="Q92">
        <f t="shared" si="10"/>
        <v>1</v>
      </c>
      <c r="R92" s="126">
        <f t="shared" si="16"/>
        <v>4.0758270876107306E-7</v>
      </c>
      <c r="S92" s="126">
        <f t="shared" si="17"/>
        <v>7.8697679866108322E-7</v>
      </c>
      <c r="AA92" s="126">
        <f t="shared" si="14"/>
        <v>2.8827725081991944E-7</v>
      </c>
      <c r="AB92" s="126">
        <f t="shared" si="15"/>
        <v>4.1948778277769463E-7</v>
      </c>
      <c r="AC92" s="126">
        <f t="shared" si="18"/>
        <v>2.733730254210979E-8</v>
      </c>
      <c r="AD92" s="126">
        <f t="shared" si="19"/>
        <v>3.4237709518832014E-8</v>
      </c>
      <c r="AE92" s="128"/>
    </row>
    <row r="93" spans="1:31" x14ac:dyDescent="0.35">
      <c r="A93" t="s">
        <v>327</v>
      </c>
      <c r="B93" s="1">
        <f>K21*(1-MAX(K25,K24))</f>
        <v>0</v>
      </c>
      <c r="C93" s="1">
        <f>K21*(1-MIN(K25,K24))</f>
        <v>21.49240538481077</v>
      </c>
      <c r="D93" s="1">
        <f>K21*(1-MAX(K25,K24))</f>
        <v>0</v>
      </c>
      <c r="E93" s="1">
        <f>K21*(1-MIN(K25,K24))</f>
        <v>21.49240538481077</v>
      </c>
      <c r="F93" s="125">
        <f>K21*(1-MIN(K25,K24))</f>
        <v>21.49240538481077</v>
      </c>
      <c r="G93" s="125">
        <f>K22*(1-MIN(K25,K24))</f>
        <v>15.682405384810767</v>
      </c>
      <c r="H93" s="1">
        <f>K22*(1-MAX(K25,K24))</f>
        <v>0</v>
      </c>
      <c r="K93">
        <v>100</v>
      </c>
      <c r="L93">
        <v>30</v>
      </c>
      <c r="M93">
        <f t="shared" si="21"/>
        <v>21</v>
      </c>
      <c r="N93">
        <f t="shared" si="0"/>
        <v>3000</v>
      </c>
      <c r="O93">
        <f t="shared" si="1"/>
        <v>2850</v>
      </c>
      <c r="P93">
        <f t="shared" si="2"/>
        <v>3150</v>
      </c>
      <c r="Q93">
        <f t="shared" si="10"/>
        <v>1</v>
      </c>
      <c r="R93" s="126">
        <f t="shared" si="16"/>
        <v>4.5286967597096598E-7</v>
      </c>
      <c r="S93" s="126">
        <f t="shared" si="17"/>
        <v>8.7376074703315024E-7</v>
      </c>
      <c r="AA93" s="126">
        <f t="shared" si="14"/>
        <v>3.2030805616228445E-7</v>
      </c>
      <c r="AB93" s="126">
        <f t="shared" si="15"/>
        <v>4.6574684167908704E-7</v>
      </c>
      <c r="AC93" s="126">
        <f t="shared" si="18"/>
        <v>2.7163665231861204E-8</v>
      </c>
      <c r="AD93" s="126">
        <f t="shared" si="19"/>
        <v>3.3929111687627102E-8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22</v>
      </c>
      <c r="N94">
        <f t="shared" si="0"/>
        <v>3300</v>
      </c>
      <c r="O94">
        <f t="shared" si="1"/>
        <v>3135</v>
      </c>
      <c r="P94">
        <f t="shared" si="2"/>
        <v>3465</v>
      </c>
      <c r="Q94">
        <f t="shared" si="10"/>
        <v>1</v>
      </c>
      <c r="R94" s="126">
        <f t="shared" si="16"/>
        <v>4.981566430948138E-7</v>
      </c>
      <c r="S94" s="126">
        <f t="shared" si="17"/>
        <v>9.6054469525610653E-7</v>
      </c>
      <c r="AA94" s="126">
        <f t="shared" si="14"/>
        <v>3.5233886144379104E-7</v>
      </c>
      <c r="AB94" s="126">
        <f t="shared" si="15"/>
        <v>5.1200590050099801E-7</v>
      </c>
      <c r="AC94" s="126">
        <f t="shared" si="18"/>
        <v>2.7024948356322087E-8</v>
      </c>
      <c r="AD94" s="126">
        <f t="shared" si="19"/>
        <v>3.3683201941716096E-8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23</v>
      </c>
      <c r="N95">
        <f t="shared" si="0"/>
        <v>3600</v>
      </c>
      <c r="O95">
        <f t="shared" si="1"/>
        <v>3420</v>
      </c>
      <c r="P95">
        <f t="shared" si="2"/>
        <v>3780</v>
      </c>
      <c r="Q95">
        <f t="shared" si="10"/>
        <v>0</v>
      </c>
      <c r="R95" s="126">
        <f t="shared" si="16"/>
        <v>5.4344361013261632E-7</v>
      </c>
      <c r="S95" s="126">
        <f t="shared" si="17"/>
        <v>1.0473286433299523E-6</v>
      </c>
      <c r="AA95" s="126">
        <f t="shared" si="14"/>
        <v>3.8436966666443901E-7</v>
      </c>
      <c r="AB95" s="126">
        <f t="shared" si="15"/>
        <v>5.5826495924342749E-7</v>
      </c>
      <c r="AC95" s="126">
        <f t="shared" si="18"/>
        <v>2.6911616537319436E-8</v>
      </c>
      <c r="AD95" s="126">
        <f t="shared" si="19"/>
        <v>3.3482683563697393E-8</v>
      </c>
      <c r="AE95" s="128"/>
    </row>
    <row r="96" spans="1:31" x14ac:dyDescent="0.35">
      <c r="A96" t="s">
        <v>333</v>
      </c>
      <c r="B96" s="11">
        <f>F3*(1-G3)</f>
        <v>900000000000</v>
      </c>
      <c r="C96" s="11">
        <f>1/(1/(F3*(1+H3))+1/(N3*(1+P3)))</f>
        <v>132.99999998391911</v>
      </c>
      <c r="D96" s="11">
        <f>1/(1/(F3*(1-G3))+1/(N3*(1-O3)))</f>
        <v>66.499999995086398</v>
      </c>
      <c r="E96" s="11">
        <f>1/(1/(F3*(1+H3))+1/(N3*(1+P3)))</f>
        <v>132.99999998391911</v>
      </c>
      <c r="F96" s="11">
        <f>1/(1/(F3*(1+H3))+1/(N3*(1+P3)))</f>
        <v>132.99999998391911</v>
      </c>
      <c r="G96">
        <f>1/(1/(F3*(1+H3))+1/(N3*(1+P3)))</f>
        <v>132.99999998391911</v>
      </c>
      <c r="H96">
        <f>1/(1/(F3*(1-G3))+1/(N3*(1-O3)))</f>
        <v>66.499999995086398</v>
      </c>
      <c r="K96">
        <v>100</v>
      </c>
      <c r="L96">
        <v>39</v>
      </c>
      <c r="M96">
        <f t="shared" si="21"/>
        <v>23</v>
      </c>
      <c r="N96">
        <f t="shared" si="0"/>
        <v>3900</v>
      </c>
      <c r="O96">
        <f t="shared" si="1"/>
        <v>3705</v>
      </c>
      <c r="P96">
        <f t="shared" si="2"/>
        <v>4095</v>
      </c>
      <c r="Q96">
        <f t="shared" si="10"/>
        <v>0</v>
      </c>
      <c r="R96" s="126">
        <f t="shared" si="16"/>
        <v>5.8873057708437373E-7</v>
      </c>
      <c r="S96" s="126">
        <f t="shared" si="17"/>
        <v>1.1341125912546877E-6</v>
      </c>
      <c r="AA96" s="126">
        <f t="shared" si="14"/>
        <v>4.164004718242285E-7</v>
      </c>
      <c r="AB96" s="126">
        <f t="shared" si="15"/>
        <v>6.0452401790637552E-7</v>
      </c>
      <c r="AC96" s="126">
        <f t="shared" si="18"/>
        <v>2.6817307637213135E-8</v>
      </c>
      <c r="AD96" s="126">
        <f t="shared" si="19"/>
        <v>3.3316076911969381E-8</v>
      </c>
      <c r="AE96" s="128"/>
    </row>
    <row r="97" spans="1:31" x14ac:dyDescent="0.35">
      <c r="K97">
        <v>100</v>
      </c>
      <c r="L97">
        <v>43</v>
      </c>
      <c r="M97">
        <f t="shared" si="21"/>
        <v>23</v>
      </c>
      <c r="N97">
        <f t="shared" si="0"/>
        <v>4300</v>
      </c>
      <c r="O97">
        <f t="shared" si="1"/>
        <v>4085</v>
      </c>
      <c r="P97">
        <f t="shared" si="2"/>
        <v>4515</v>
      </c>
      <c r="Q97">
        <f t="shared" si="10"/>
        <v>0</v>
      </c>
      <c r="R97" s="126">
        <f t="shared" si="16"/>
        <v>6.4911319955286855E-7</v>
      </c>
      <c r="S97" s="126">
        <f t="shared" si="17"/>
        <v>1.2498245215890513E-6</v>
      </c>
      <c r="AA97" s="126">
        <f t="shared" si="14"/>
        <v>4.5910821194261226E-7</v>
      </c>
      <c r="AB97" s="126">
        <f t="shared" si="15"/>
        <v>6.6620276266666833E-7</v>
      </c>
      <c r="AC97" s="126">
        <f t="shared" si="18"/>
        <v>2.6713730520579945E-8</v>
      </c>
      <c r="AD97" s="126">
        <f t="shared" si="19"/>
        <v>3.3133350456013642E-8</v>
      </c>
      <c r="AE97" s="128"/>
    </row>
    <row r="98" spans="1:31" x14ac:dyDescent="0.35">
      <c r="A98" t="s">
        <v>344</v>
      </c>
      <c r="B98">
        <v>1</v>
      </c>
      <c r="C98">
        <v>1</v>
      </c>
      <c r="D98">
        <v>1</v>
      </c>
      <c r="E98">
        <v>1</v>
      </c>
      <c r="F98">
        <v>1</v>
      </c>
      <c r="G98">
        <v>1</v>
      </c>
      <c r="H98">
        <v>1</v>
      </c>
      <c r="K98">
        <v>100</v>
      </c>
      <c r="L98">
        <v>47</v>
      </c>
      <c r="M98">
        <f t="shared" si="21"/>
        <v>23</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7.0949582186839419E-7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1.3655364516583298E-6</v>
      </c>
      <c r="AA98" s="126">
        <f t="shared" si="14"/>
        <v>5.0181595195280307E-7</v>
      </c>
      <c r="AB98" s="126">
        <f t="shared" si="15"/>
        <v>7.278815072856609E-7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2.6629128516409625E-8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3.2984286583832432E-8</v>
      </c>
      <c r="AE98" s="128"/>
    </row>
    <row r="99" spans="1:31" x14ac:dyDescent="0.35">
      <c r="A99" t="s">
        <v>345</v>
      </c>
      <c r="B99">
        <v>1</v>
      </c>
      <c r="C99">
        <v>1</v>
      </c>
      <c r="D99">
        <v>1</v>
      </c>
      <c r="E99">
        <v>1</v>
      </c>
      <c r="F99">
        <v>1</v>
      </c>
      <c r="G99">
        <v>1</v>
      </c>
      <c r="H99">
        <v>1</v>
      </c>
      <c r="K99">
        <v>100</v>
      </c>
      <c r="L99">
        <v>51</v>
      </c>
      <c r="M99">
        <f t="shared" si="21"/>
        <v>23</v>
      </c>
      <c r="N99">
        <f t="shared" si="23"/>
        <v>5100</v>
      </c>
      <c r="O99">
        <f t="shared" si="24"/>
        <v>4845</v>
      </c>
      <c r="P99">
        <f t="shared" si="25"/>
        <v>5355</v>
      </c>
      <c r="Q99">
        <f t="shared" ref="Q99:Q129" si="30">IF($Q$2="N/A",IF(AND((O99&gt;=MAX($H$7:$I$7)),(P99&lt;=MIN($F$7:$G$7)),(P99&lt;=MIN($B$7:$C$7)),(O99&gt;=MAX($D$7:$E$7))),1,0),IF(AND((O99&gt;=MAX($I$7)),(P99&lt;=MIN($G$7)),(P99&lt;=MIN($C$7)),(O99&gt;=MAX($E$7))),1,0))</f>
        <v>0</v>
      </c>
      <c r="R99" s="126">
        <f t="shared" si="26"/>
        <v>7.6987844403095077E-7</v>
      </c>
      <c r="S99" s="126">
        <f t="shared" si="27"/>
        <v>1.4812483814625225E-6</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7.8956025176335292E-7</v>
      </c>
      <c r="AC99" s="126">
        <f t="shared" si="28"/>
        <v>2.6558735745617247E-8</v>
      </c>
      <c r="AD99" s="126">
        <f t="shared" si="29"/>
        <v>3.2860380906435163E-8</v>
      </c>
      <c r="AE99" s="128"/>
    </row>
    <row r="100" spans="1:31" x14ac:dyDescent="0.35">
      <c r="A100" t="s">
        <v>346</v>
      </c>
      <c r="B100">
        <v>1</v>
      </c>
      <c r="C100">
        <v>1</v>
      </c>
      <c r="D100">
        <v>1</v>
      </c>
      <c r="E100">
        <v>1</v>
      </c>
      <c r="F100">
        <v>1</v>
      </c>
      <c r="G100">
        <v>1</v>
      </c>
      <c r="H100">
        <v>1</v>
      </c>
      <c r="K100">
        <v>100</v>
      </c>
      <c r="L100">
        <v>56</v>
      </c>
      <c r="M100">
        <f t="shared" si="21"/>
        <v>23</v>
      </c>
      <c r="N100">
        <f t="shared" si="23"/>
        <v>5600</v>
      </c>
      <c r="O100">
        <f t="shared" si="24"/>
        <v>5320</v>
      </c>
      <c r="P100">
        <f t="shared" si="25"/>
        <v>5880</v>
      </c>
      <c r="Q100">
        <f t="shared" si="30"/>
        <v>0</v>
      </c>
      <c r="R100" s="126">
        <f t="shared" si="26"/>
        <v>8.4535672151903279E-7</v>
      </c>
      <c r="S100" s="126">
        <f t="shared" si="27"/>
        <v>1.6258882933449869E-6</v>
      </c>
      <c r="AA100" s="126">
        <f t="shared" si="31"/>
        <v>5.9790836658015212E-7</v>
      </c>
      <c r="AB100" s="126">
        <f t="shared" si="32"/>
        <v>8.6665868216176428E-7</v>
      </c>
      <c r="AC100" s="126">
        <f t="shared" si="28"/>
        <v>2.6485800749759864E-8</v>
      </c>
      <c r="AD100" s="126">
        <f t="shared" si="29"/>
        <v>3.2732112219970163E-8</v>
      </c>
      <c r="AE100" s="128"/>
    </row>
    <row r="101" spans="1:31" x14ac:dyDescent="0.35">
      <c r="K101">
        <v>100</v>
      </c>
      <c r="L101">
        <v>62</v>
      </c>
      <c r="M101">
        <f t="shared" si="21"/>
        <v>23</v>
      </c>
      <c r="N101">
        <f t="shared" si="23"/>
        <v>6200</v>
      </c>
      <c r="O101">
        <f t="shared" si="24"/>
        <v>5890</v>
      </c>
      <c r="P101">
        <f t="shared" si="25"/>
        <v>6510</v>
      </c>
      <c r="Q101">
        <f t="shared" si="30"/>
        <v>0</v>
      </c>
      <c r="R101" s="126">
        <f t="shared" si="26"/>
        <v>9.3593065418923249E-7</v>
      </c>
      <c r="S101" s="126">
        <f t="shared" si="27"/>
        <v>1.7994561870572055E-6</v>
      </c>
      <c r="AA101" s="126">
        <f t="shared" si="31"/>
        <v>6.6196997602742545E-7</v>
      </c>
      <c r="AB101" s="126">
        <f t="shared" si="32"/>
        <v>9.5917679834842591E-7</v>
      </c>
      <c r="AC101" s="126">
        <f t="shared" si="28"/>
        <v>2.6414717607050664E-8</v>
      </c>
      <c r="AD101" s="126">
        <f t="shared" si="29"/>
        <v>3.2607204694234676E-8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0.99999824647920199</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9.7811414389711193E-2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4.0511724385793355E-2</v>
      </c>
      <c r="E102" s="12">
        <f>IF(Summary!R50="absolute",(R2-N7)/(J3+J3*Summary!R18),R2-N7)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9.7811414511808178E-2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9.4480555443723843E-2</v>
      </c>
      <c r="H102" s="12">
        <f t="shared" si="33"/>
        <v>4.0511724380987039E-2</v>
      </c>
      <c r="K102">
        <v>100</v>
      </c>
      <c r="L102">
        <v>68</v>
      </c>
      <c r="M102">
        <f t="shared" si="21"/>
        <v>23</v>
      </c>
      <c r="N102">
        <f t="shared" si="23"/>
        <v>6800</v>
      </c>
      <c r="O102">
        <f t="shared" si="24"/>
        <v>6460</v>
      </c>
      <c r="P102">
        <f t="shared" si="25"/>
        <v>7140</v>
      </c>
      <c r="Q102">
        <f t="shared" si="30"/>
        <v>0</v>
      </c>
      <c r="R102" s="126">
        <f t="shared" si="26"/>
        <v>1.0265045865152511E-6</v>
      </c>
      <c r="S102" s="126">
        <f t="shared" si="27"/>
        <v>1.9730240801729816E-6</v>
      </c>
      <c r="AA102" s="126">
        <f t="shared" si="31"/>
        <v>7.2603158523126469E-7</v>
      </c>
      <c r="AB102" s="126">
        <f t="shared" si="32"/>
        <v>1.0516949142171617E-6</v>
      </c>
      <c r="AC102" s="126">
        <f t="shared" si="28"/>
        <v>2.6356852610124064E-8</v>
      </c>
      <c r="AD102" s="126">
        <f t="shared" si="29"/>
        <v>3.2505596538080999E-8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0.99999824650308233</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9.7811414389711193E-2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4.0511724368013792E-2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9.7811414511808178E-2</v>
      </c>
      <c r="K103">
        <v>100</v>
      </c>
      <c r="L103">
        <v>75</v>
      </c>
      <c r="M103">
        <f t="shared" si="21"/>
        <v>23</v>
      </c>
      <c r="N103">
        <f t="shared" si="23"/>
        <v>7500</v>
      </c>
      <c r="O103">
        <f t="shared" si="24"/>
        <v>7125</v>
      </c>
      <c r="P103">
        <f t="shared" si="25"/>
        <v>7875</v>
      </c>
      <c r="Q103">
        <f t="shared" si="30"/>
        <v>0</v>
      </c>
      <c r="R103" s="126">
        <f t="shared" si="26"/>
        <v>1.1321741737939332E-6</v>
      </c>
      <c r="S103" s="126">
        <f t="shared" si="27"/>
        <v>2.1755199547208834E-6</v>
      </c>
      <c r="AA103" s="126">
        <f t="shared" si="31"/>
        <v>8.0077012899473694E-7</v>
      </c>
      <c r="AB103" s="126">
        <f t="shared" si="32"/>
        <v>1.1596327156621971E-6</v>
      </c>
      <c r="AC103" s="126">
        <f t="shared" si="28"/>
        <v>2.6301617626941991E-8</v>
      </c>
      <c r="AD103" s="126">
        <f t="shared" si="29"/>
        <v>3.2408664281111463E-8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0.99999824650308233</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8.4204256410654807E-2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4.0511724368013792E-2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0.86088374161129411</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8.4204256534593305E-2</v>
      </c>
      <c r="K104">
        <v>100</v>
      </c>
      <c r="L104">
        <v>82</v>
      </c>
      <c r="M104">
        <f t="shared" si="21"/>
        <v>23</v>
      </c>
      <c r="N104">
        <f t="shared" si="23"/>
        <v>8200</v>
      </c>
      <c r="O104">
        <f t="shared" si="24"/>
        <v>7790</v>
      </c>
      <c r="P104">
        <f t="shared" si="25"/>
        <v>8610</v>
      </c>
      <c r="Q104">
        <f t="shared" si="30"/>
        <v>0</v>
      </c>
      <c r="R104" s="126">
        <f t="shared" si="26"/>
        <v>1.2378437606041464E-6</v>
      </c>
      <c r="S104" s="126">
        <f t="shared" si="27"/>
        <v>2.3780158284569609E-6</v>
      </c>
      <c r="AA104" s="126">
        <f t="shared" si="31"/>
        <v>8.7550867242686811E-7</v>
      </c>
      <c r="AB104" s="126">
        <f t="shared" si="32"/>
        <v>1.2675705166744999E-6</v>
      </c>
      <c r="AC104" s="126">
        <f t="shared" si="28"/>
        <v>2.6256236797339115E-8</v>
      </c>
      <c r="AD104" s="126">
        <f t="shared" si="29"/>
        <v>3.2329065455915843E-8</v>
      </c>
      <c r="AE104" s="128"/>
    </row>
    <row r="105" spans="1:31" x14ac:dyDescent="0.35">
      <c r="K105">
        <v>100</v>
      </c>
      <c r="L105">
        <v>91</v>
      </c>
      <c r="M105">
        <f t="shared" si="21"/>
        <v>23</v>
      </c>
      <c r="N105">
        <f t="shared" si="23"/>
        <v>9100</v>
      </c>
      <c r="O105">
        <f t="shared" si="24"/>
        <v>8645</v>
      </c>
      <c r="P105">
        <f t="shared" si="25"/>
        <v>9555</v>
      </c>
      <c r="Q105">
        <f t="shared" si="30"/>
        <v>0</v>
      </c>
      <c r="R105" s="126">
        <f t="shared" si="26"/>
        <v>1.3737046572432021E-6</v>
      </c>
      <c r="S105" s="126">
        <f t="shared" si="27"/>
        <v>2.6383676649247474E-6</v>
      </c>
      <c r="AA105" s="126">
        <f t="shared" si="31"/>
        <v>9.7160108492416891E-7</v>
      </c>
      <c r="AB105" s="126">
        <f t="shared" si="32"/>
        <v>1.4063476887687518E-6</v>
      </c>
      <c r="AC105" s="126">
        <f t="shared" si="28"/>
        <v>2.6208565655519989E-8</v>
      </c>
      <c r="AD105" s="126">
        <f t="shared" si="29"/>
        <v>3.22454867802163E-8</v>
      </c>
      <c r="AE105" s="128"/>
    </row>
    <row r="106" spans="1:31" x14ac:dyDescent="0.35">
      <c r="K106">
        <v>1000</v>
      </c>
      <c r="L106">
        <v>10</v>
      </c>
      <c r="M106">
        <f t="shared" si="21"/>
        <v>23</v>
      </c>
      <c r="N106">
        <f t="shared" si="23"/>
        <v>10000</v>
      </c>
      <c r="O106">
        <f t="shared" si="24"/>
        <v>9500</v>
      </c>
      <c r="P106">
        <f t="shared" si="25"/>
        <v>10500</v>
      </c>
      <c r="Q106">
        <f t="shared" si="30"/>
        <v>0</v>
      </c>
      <c r="R106" s="126">
        <f t="shared" si="26"/>
        <v>1.5095655531078508E-6</v>
      </c>
      <c r="S106" s="126">
        <f t="shared" si="27"/>
        <v>2.8987195000505381E-6</v>
      </c>
      <c r="AA106" s="126">
        <f t="shared" si="31"/>
        <v>1.0676934968737427E-6</v>
      </c>
      <c r="AB106" s="126">
        <f t="shared" si="32"/>
        <v>1.5451248601476705E-6</v>
      </c>
      <c r="AC106" s="126">
        <f t="shared" si="28"/>
        <v>2.6169793736106693E-8</v>
      </c>
      <c r="AD106" s="126">
        <f t="shared" si="29"/>
        <v>3.2177537568016172E-8</v>
      </c>
      <c r="AE106" s="128"/>
    </row>
    <row r="107" spans="1:31" x14ac:dyDescent="0.35">
      <c r="K107">
        <v>1000</v>
      </c>
      <c r="L107">
        <v>11</v>
      </c>
      <c r="M107">
        <f t="shared" si="21"/>
        <v>23</v>
      </c>
      <c r="N107">
        <f t="shared" si="23"/>
        <v>11000</v>
      </c>
      <c r="O107">
        <f t="shared" si="24"/>
        <v>10450</v>
      </c>
      <c r="P107">
        <f t="shared" si="25"/>
        <v>11550</v>
      </c>
      <c r="Q107">
        <f t="shared" si="30"/>
        <v>0</v>
      </c>
      <c r="R107" s="126">
        <f t="shared" si="26"/>
        <v>1.6605221031603159E-6</v>
      </c>
      <c r="S107" s="126">
        <f t="shared" si="27"/>
        <v>3.1879993152830276E-6</v>
      </c>
      <c r="AA107" s="126">
        <f t="shared" si="31"/>
        <v>1.1744628428419847E-6</v>
      </c>
      <c r="AB107" s="126">
        <f t="shared" si="32"/>
        <v>1.699321716396387E-6</v>
      </c>
      <c r="AC107" s="126">
        <f t="shared" si="28"/>
        <v>2.6134406772402815E-8</v>
      </c>
      <c r="AD107" s="126">
        <f t="shared" si="29"/>
        <v>3.2115540887181714E-8</v>
      </c>
      <c r="AE107" s="128"/>
    </row>
    <row r="108" spans="1:31" x14ac:dyDescent="0.35">
      <c r="K108">
        <v>1000</v>
      </c>
      <c r="L108">
        <v>12</v>
      </c>
      <c r="M108">
        <f t="shared" si="21"/>
        <v>23</v>
      </c>
      <c r="N108">
        <f t="shared" si="23"/>
        <v>12000</v>
      </c>
      <c r="O108">
        <f t="shared" si="24"/>
        <v>11400</v>
      </c>
      <c r="P108">
        <f t="shared" si="25"/>
        <v>12600</v>
      </c>
      <c r="Q108">
        <f t="shared" si="30"/>
        <v>0</v>
      </c>
      <c r="R108" s="126">
        <f t="shared" si="26"/>
        <v>1.8114786522567234E-6</v>
      </c>
      <c r="S108" s="126">
        <f t="shared" si="27"/>
        <v>3.4772791288587324E-6</v>
      </c>
      <c r="AA108" s="126">
        <f t="shared" si="31"/>
        <v>1.2812321881340211E-6</v>
      </c>
      <c r="AB108" s="126">
        <f t="shared" si="32"/>
        <v>1.8535185717619759E-6</v>
      </c>
      <c r="AC108" s="126">
        <f t="shared" si="28"/>
        <v>2.6105101186189922E-8</v>
      </c>
      <c r="AD108" s="126">
        <f t="shared" si="29"/>
        <v>3.2064212638691274E-8</v>
      </c>
      <c r="AE108" s="128"/>
    </row>
    <row r="109" spans="1:31" x14ac:dyDescent="0.35">
      <c r="K109">
        <v>1000</v>
      </c>
      <c r="L109">
        <v>13</v>
      </c>
      <c r="M109">
        <f t="shared" si="21"/>
        <v>23</v>
      </c>
      <c r="N109">
        <f t="shared" si="23"/>
        <v>13000</v>
      </c>
      <c r="O109">
        <f t="shared" si="24"/>
        <v>12350</v>
      </c>
      <c r="P109">
        <f t="shared" si="25"/>
        <v>13650</v>
      </c>
      <c r="Q109">
        <f t="shared" si="30"/>
        <v>0</v>
      </c>
      <c r="R109" s="126">
        <f t="shared" si="26"/>
        <v>1.9624352003970719E-6</v>
      </c>
      <c r="S109" s="126">
        <f t="shared" si="27"/>
        <v>3.7665589407776535E-6</v>
      </c>
      <c r="AA109" s="126">
        <f t="shared" si="31"/>
        <v>1.3880015327498513E-6</v>
      </c>
      <c r="AB109" s="126">
        <f t="shared" si="32"/>
        <v>2.0077154262444377E-6</v>
      </c>
      <c r="AC109" s="126">
        <f t="shared" si="28"/>
        <v>2.6080434024500423E-8</v>
      </c>
      <c r="AD109" s="126">
        <f t="shared" si="29"/>
        <v>3.2021018050116403E-8</v>
      </c>
      <c r="AE109" s="128"/>
    </row>
    <row r="110" spans="1:31" x14ac:dyDescent="0.35">
      <c r="K110">
        <v>1000</v>
      </c>
      <c r="L110">
        <v>15</v>
      </c>
      <c r="M110">
        <f t="shared" si="21"/>
        <v>23</v>
      </c>
      <c r="N110">
        <f t="shared" si="23"/>
        <v>15000</v>
      </c>
      <c r="O110">
        <f t="shared" si="24"/>
        <v>14250</v>
      </c>
      <c r="P110">
        <f t="shared" si="25"/>
        <v>15750</v>
      </c>
      <c r="Q110">
        <f t="shared" si="30"/>
        <v>0</v>
      </c>
      <c r="R110" s="126">
        <f t="shared" si="26"/>
        <v>2.264348293809596E-6</v>
      </c>
      <c r="S110" s="126">
        <f t="shared" si="27"/>
        <v>4.3451185596451412E-6</v>
      </c>
      <c r="AA110" s="126">
        <f t="shared" si="31"/>
        <v>1.6015402199528948E-6</v>
      </c>
      <c r="AB110" s="126">
        <f t="shared" si="32"/>
        <v>2.3161091325599784E-6</v>
      </c>
      <c r="AC110" s="126">
        <f t="shared" si="28"/>
        <v>2.6041213279732449E-8</v>
      </c>
      <c r="AD110" s="126">
        <f t="shared" si="29"/>
        <v>3.195235597394454E-8</v>
      </c>
      <c r="AE110" s="128"/>
    </row>
    <row r="111" spans="1:31" x14ac:dyDescent="0.35">
      <c r="K111">
        <v>1000</v>
      </c>
      <c r="L111">
        <v>16</v>
      </c>
      <c r="M111">
        <f t="shared" si="21"/>
        <v>23</v>
      </c>
      <c r="N111">
        <f t="shared" si="23"/>
        <v>16000</v>
      </c>
      <c r="O111">
        <f t="shared" si="24"/>
        <v>15200</v>
      </c>
      <c r="P111">
        <f t="shared" si="25"/>
        <v>16800</v>
      </c>
      <c r="Q111">
        <f t="shared" si="30"/>
        <v>0</v>
      </c>
      <c r="R111" s="126">
        <f t="shared" si="26"/>
        <v>2.4153048390817707E-6</v>
      </c>
      <c r="S111" s="126">
        <f t="shared" si="27"/>
        <v>4.6343983665937102E-6</v>
      </c>
      <c r="AA111" s="126">
        <f t="shared" si="31"/>
        <v>1.7083095625401078E-6</v>
      </c>
      <c r="AB111" s="126">
        <f t="shared" si="32"/>
        <v>2.4703059843930584E-6</v>
      </c>
      <c r="AC111" s="126">
        <f t="shared" si="28"/>
        <v>2.6025366314734425E-8</v>
      </c>
      <c r="AD111" s="126">
        <f t="shared" si="29"/>
        <v>3.1924619164709061E-8</v>
      </c>
      <c r="AE111" s="128"/>
    </row>
    <row r="112" spans="1:31" x14ac:dyDescent="0.35">
      <c r="K112">
        <v>1000</v>
      </c>
      <c r="L112">
        <v>18</v>
      </c>
      <c r="M112">
        <f t="shared" si="21"/>
        <v>23</v>
      </c>
      <c r="N112">
        <f t="shared" si="23"/>
        <v>18000</v>
      </c>
      <c r="O112">
        <f t="shared" si="24"/>
        <v>17100</v>
      </c>
      <c r="P112">
        <f t="shared" si="25"/>
        <v>18900</v>
      </c>
      <c r="Q112">
        <f t="shared" si="30"/>
        <v>0</v>
      </c>
      <c r="R112" s="126">
        <f t="shared" si="26"/>
        <v>2.7172179267579459E-6</v>
      </c>
      <c r="S112" s="126">
        <f t="shared" si="27"/>
        <v>5.212957975520492E-6</v>
      </c>
      <c r="AA112" s="126">
        <f t="shared" si="31"/>
        <v>1.9218482456859162E-6</v>
      </c>
      <c r="AB112" s="126">
        <f t="shared" si="32"/>
        <v>2.778699685409835E-6</v>
      </c>
      <c r="AC112" s="126">
        <f t="shared" si="28"/>
        <v>2.5999065363615019E-8</v>
      </c>
      <c r="AD112" s="126">
        <f t="shared" si="29"/>
        <v>3.1878591909237011E-8</v>
      </c>
      <c r="AE112" s="128"/>
    </row>
    <row r="113" spans="11:31" x14ac:dyDescent="0.35">
      <c r="K113">
        <v>1000</v>
      </c>
      <c r="L113">
        <v>20</v>
      </c>
      <c r="M113">
        <f t="shared" si="21"/>
        <v>23</v>
      </c>
      <c r="N113">
        <f t="shared" si="23"/>
        <v>20000</v>
      </c>
      <c r="O113">
        <f t="shared" si="24"/>
        <v>19000</v>
      </c>
      <c r="P113">
        <f t="shared" si="25"/>
        <v>21000</v>
      </c>
      <c r="Q113">
        <f t="shared" si="30"/>
        <v>0</v>
      </c>
      <c r="R113" s="126">
        <f t="shared" si="26"/>
        <v>3.0191310106098896E-6</v>
      </c>
      <c r="S113" s="126">
        <f t="shared" si="27"/>
        <v>5.791517577820138E-6</v>
      </c>
      <c r="AA113" s="126">
        <f t="shared" si="31"/>
        <v>2.1353869261269018E-6</v>
      </c>
      <c r="AB113" s="126">
        <f t="shared" si="32"/>
        <v>3.0870933828941021E-6</v>
      </c>
      <c r="AC113" s="126">
        <f t="shared" si="28"/>
        <v>2.5978123945867649E-8</v>
      </c>
      <c r="AD113" s="126">
        <f t="shared" si="29"/>
        <v>3.1841950076103315E-8</v>
      </c>
      <c r="AE113" s="128"/>
    </row>
    <row r="114" spans="11:31" x14ac:dyDescent="0.35">
      <c r="K114">
        <v>1000</v>
      </c>
      <c r="L114">
        <v>22</v>
      </c>
      <c r="M114">
        <f t="shared" si="21"/>
        <v>23</v>
      </c>
      <c r="N114">
        <f t="shared" si="23"/>
        <v>22000</v>
      </c>
      <c r="O114">
        <f t="shared" si="24"/>
        <v>20900</v>
      </c>
      <c r="P114">
        <f t="shared" si="25"/>
        <v>23100</v>
      </c>
      <c r="Q114">
        <f t="shared" si="30"/>
        <v>0</v>
      </c>
      <c r="R114" s="126">
        <f t="shared" si="26"/>
        <v>3.3210440906375999E-6</v>
      </c>
      <c r="S114" s="126">
        <f t="shared" si="27"/>
        <v>6.3700771734926465E-6</v>
      </c>
      <c r="AA114" s="126">
        <f t="shared" si="31"/>
        <v>2.3489256038630638E-6</v>
      </c>
      <c r="AB114" s="126">
        <f t="shared" si="32"/>
        <v>3.3954870768458599E-6</v>
      </c>
      <c r="AC114" s="126">
        <f t="shared" si="28"/>
        <v>2.5961055573114199E-8</v>
      </c>
      <c r="AD114" s="126">
        <f t="shared" si="29"/>
        <v>3.1812088905319821E-8</v>
      </c>
      <c r="AE114" s="128"/>
    </row>
    <row r="115" spans="11:31" x14ac:dyDescent="0.35">
      <c r="K115">
        <v>1000</v>
      </c>
      <c r="L115">
        <v>24</v>
      </c>
      <c r="M115">
        <f t="shared" si="21"/>
        <v>23</v>
      </c>
      <c r="N115">
        <f t="shared" si="23"/>
        <v>24000</v>
      </c>
      <c r="O115">
        <f t="shared" si="24"/>
        <v>22800</v>
      </c>
      <c r="P115">
        <f t="shared" si="25"/>
        <v>25200</v>
      </c>
      <c r="Q115">
        <f t="shared" si="30"/>
        <v>0</v>
      </c>
      <c r="R115" s="126">
        <f t="shared" si="26"/>
        <v>3.6229571668410793E-6</v>
      </c>
      <c r="S115" s="126">
        <f t="shared" si="27"/>
        <v>6.9486367625380201E-6</v>
      </c>
      <c r="AA115" s="126">
        <f t="shared" si="31"/>
        <v>2.5624642788944031E-6</v>
      </c>
      <c r="AB115" s="126">
        <f t="shared" si="32"/>
        <v>3.7038807672651091E-6</v>
      </c>
      <c r="AC115" s="126">
        <f t="shared" si="28"/>
        <v>2.5946876877404635E-8</v>
      </c>
      <c r="AD115" s="126">
        <f t="shared" si="29"/>
        <v>3.1787285806498761E-8</v>
      </c>
      <c r="AE115" s="128"/>
    </row>
    <row r="116" spans="11:31" x14ac:dyDescent="0.35">
      <c r="K116">
        <v>1000</v>
      </c>
      <c r="L116">
        <v>27</v>
      </c>
      <c r="M116">
        <f t="shared" si="21"/>
        <v>23</v>
      </c>
      <c r="N116">
        <f t="shared" si="23"/>
        <v>27000</v>
      </c>
      <c r="O116">
        <f t="shared" si="24"/>
        <v>25650</v>
      </c>
      <c r="P116">
        <f t="shared" si="25"/>
        <v>28350</v>
      </c>
      <c r="Q116">
        <f t="shared" si="30"/>
        <v>0</v>
      </c>
      <c r="R116" s="126">
        <f t="shared" si="26"/>
        <v>4.075826773975862E-6</v>
      </c>
      <c r="S116" s="126">
        <f t="shared" si="27"/>
        <v>7.8164761336801981E-6</v>
      </c>
      <c r="AA116" s="126">
        <f t="shared" si="31"/>
        <v>2.8827722863698686E-6</v>
      </c>
      <c r="AB116" s="126">
        <f t="shared" si="32"/>
        <v>4.166471296270527E-6</v>
      </c>
      <c r="AC116" s="126">
        <f t="shared" si="28"/>
        <v>2.5929602745532923E-8</v>
      </c>
      <c r="AD116" s="126">
        <f t="shared" si="29"/>
        <v>3.1757070862786046E-8</v>
      </c>
      <c r="AE116" s="128"/>
    </row>
    <row r="117" spans="11:31" x14ac:dyDescent="0.35">
      <c r="K117">
        <v>1000</v>
      </c>
      <c r="L117">
        <v>30</v>
      </c>
      <c r="M117">
        <f t="shared" si="21"/>
        <v>23</v>
      </c>
      <c r="N117">
        <f t="shared" si="23"/>
        <v>30000</v>
      </c>
      <c r="O117">
        <f t="shared" si="24"/>
        <v>28500</v>
      </c>
      <c r="P117">
        <f t="shared" si="25"/>
        <v>31500</v>
      </c>
      <c r="Q117">
        <f t="shared" si="30"/>
        <v>0</v>
      </c>
      <c r="R117" s="126">
        <f t="shared" si="26"/>
        <v>4.5286963725061245E-6</v>
      </c>
      <c r="S117" s="126">
        <f t="shared" si="27"/>
        <v>8.6843154899113191E-6</v>
      </c>
      <c r="AA117" s="126">
        <f t="shared" si="31"/>
        <v>3.2030802877594832E-6</v>
      </c>
      <c r="AB117" s="126">
        <f t="shared" si="32"/>
        <v>4.6290618173278002E-6</v>
      </c>
      <c r="AC117" s="126">
        <f t="shared" si="28"/>
        <v>2.5915827226491974E-8</v>
      </c>
      <c r="AD117" s="126">
        <f t="shared" si="29"/>
        <v>3.173297784775583E-8</v>
      </c>
      <c r="AE117" s="128"/>
    </row>
    <row r="118" spans="11:31" x14ac:dyDescent="0.35">
      <c r="K118">
        <v>1000</v>
      </c>
      <c r="L118">
        <v>33</v>
      </c>
      <c r="M118">
        <f t="shared" si="21"/>
        <v>23</v>
      </c>
      <c r="N118">
        <f t="shared" si="23"/>
        <v>33000</v>
      </c>
      <c r="O118">
        <f t="shared" si="24"/>
        <v>31350</v>
      </c>
      <c r="P118">
        <f t="shared" si="25"/>
        <v>34650</v>
      </c>
      <c r="Q118">
        <f t="shared" si="30"/>
        <v>0</v>
      </c>
      <c r="R118" s="126">
        <f t="shared" si="26"/>
        <v>4.9815659624318638E-6</v>
      </c>
      <c r="S118" s="126">
        <f t="shared" si="27"/>
        <v>9.5521548312313789E-6</v>
      </c>
      <c r="AA118" s="126">
        <f t="shared" si="31"/>
        <v>3.5233882830632454E-6</v>
      </c>
      <c r="AB118" s="126">
        <f t="shared" si="32"/>
        <v>5.0916523304369246E-6</v>
      </c>
      <c r="AC118" s="126">
        <f t="shared" si="28"/>
        <v>2.5904585248519969E-8</v>
      </c>
      <c r="AD118" s="126">
        <f t="shared" si="29"/>
        <v>3.1713317434304238E-8</v>
      </c>
      <c r="AE118" s="128"/>
    </row>
    <row r="119" spans="11:31" x14ac:dyDescent="0.35">
      <c r="K119">
        <v>1000</v>
      </c>
      <c r="L119">
        <v>36</v>
      </c>
      <c r="M119">
        <f t="shared" si="21"/>
        <v>23</v>
      </c>
      <c r="N119">
        <f t="shared" si="23"/>
        <v>36000</v>
      </c>
      <c r="O119">
        <f t="shared" si="24"/>
        <v>34200</v>
      </c>
      <c r="P119">
        <f t="shared" si="25"/>
        <v>37800</v>
      </c>
      <c r="Q119">
        <f t="shared" si="30"/>
        <v>0</v>
      </c>
      <c r="R119" s="126">
        <f t="shared" si="26"/>
        <v>5.4344355437530825E-6</v>
      </c>
      <c r="S119" s="126">
        <f t="shared" si="27"/>
        <v>1.0419994157640386E-5</v>
      </c>
      <c r="AA119" s="126">
        <f t="shared" si="31"/>
        <v>3.8436962722811567E-6</v>
      </c>
      <c r="AB119" s="126">
        <f t="shared" si="32"/>
        <v>5.5542428355979059E-6</v>
      </c>
      <c r="AC119" s="126">
        <f t="shared" si="28"/>
        <v>2.5895236776096125E-8</v>
      </c>
      <c r="AD119" s="126">
        <f t="shared" si="29"/>
        <v>3.1696969466027611E-8</v>
      </c>
      <c r="AE119" s="128"/>
    </row>
    <row r="120" spans="11:31" x14ac:dyDescent="0.35">
      <c r="K120">
        <v>1000</v>
      </c>
      <c r="L120">
        <v>39</v>
      </c>
      <c r="M120">
        <f t="shared" si="21"/>
        <v>23</v>
      </c>
      <c r="N120">
        <f t="shared" si="23"/>
        <v>39000</v>
      </c>
      <c r="O120">
        <f t="shared" si="24"/>
        <v>37050</v>
      </c>
      <c r="P120">
        <f t="shared" si="25"/>
        <v>40950</v>
      </c>
      <c r="Q120">
        <f t="shared" si="30"/>
        <v>0</v>
      </c>
      <c r="R120" s="126">
        <f t="shared" si="26"/>
        <v>5.8873051164697804E-6</v>
      </c>
      <c r="S120" s="126">
        <f t="shared" si="27"/>
        <v>1.128783346913834E-5</v>
      </c>
      <c r="AA120" s="126">
        <f t="shared" si="31"/>
        <v>4.1640042554132176E-6</v>
      </c>
      <c r="AB120" s="126">
        <f t="shared" si="32"/>
        <v>6.0168333328107434E-6</v>
      </c>
      <c r="AC120" s="126">
        <f t="shared" si="28"/>
        <v>2.5887340603678844E-8</v>
      </c>
      <c r="AD120" s="126">
        <f t="shared" si="29"/>
        <v>3.1683161880415166E-8</v>
      </c>
      <c r="AE120" s="128"/>
    </row>
    <row r="121" spans="11:31" x14ac:dyDescent="0.35">
      <c r="K121">
        <v>1000</v>
      </c>
      <c r="L121">
        <v>43</v>
      </c>
      <c r="M121">
        <f t="shared" si="21"/>
        <v>23</v>
      </c>
      <c r="N121">
        <f t="shared" si="23"/>
        <v>43000</v>
      </c>
      <c r="O121">
        <f t="shared" si="24"/>
        <v>40850</v>
      </c>
      <c r="P121">
        <f t="shared" si="25"/>
        <v>45150</v>
      </c>
      <c r="Q121">
        <f t="shared" si="30"/>
        <v>0</v>
      </c>
      <c r="R121" s="126">
        <f t="shared" si="26"/>
        <v>6.4911312000405687E-6</v>
      </c>
      <c r="S121" s="126">
        <f t="shared" si="27"/>
        <v>1.2444952527940632E-5</v>
      </c>
      <c r="AA121" s="126">
        <f t="shared" si="31"/>
        <v>4.5910815567890853E-6</v>
      </c>
      <c r="AB121" s="126">
        <f t="shared" si="32"/>
        <v>6.6336206500640777E-6</v>
      </c>
      <c r="AC121" s="126">
        <f t="shared" si="28"/>
        <v>2.5878541493968223E-8</v>
      </c>
      <c r="AD121" s="126">
        <f t="shared" si="29"/>
        <v>3.1667776121815518E-8</v>
      </c>
      <c r="AE121" s="128"/>
    </row>
    <row r="122" spans="11:31" x14ac:dyDescent="0.35">
      <c r="K122">
        <v>1000</v>
      </c>
      <c r="L122">
        <v>47</v>
      </c>
      <c r="M122">
        <f t="shared" si="21"/>
        <v>23</v>
      </c>
      <c r="N122">
        <f t="shared" si="23"/>
        <v>47000</v>
      </c>
      <c r="O122">
        <f t="shared" si="24"/>
        <v>44650</v>
      </c>
      <c r="P122">
        <f t="shared" si="25"/>
        <v>49350</v>
      </c>
      <c r="Q122">
        <f t="shared" si="30"/>
        <v>0</v>
      </c>
      <c r="R122" s="126">
        <f t="shared" si="26"/>
        <v>7.094957268314429E-6</v>
      </c>
      <c r="S122" s="126">
        <f t="shared" si="27"/>
        <v>1.3602071560234385E-5</v>
      </c>
      <c r="AA122" s="126">
        <f t="shared" si="31"/>
        <v>5.0181588473456631E-6</v>
      </c>
      <c r="AB122" s="126">
        <f t="shared" si="32"/>
        <v>7.2504079531873768E-6</v>
      </c>
      <c r="AC122" s="126">
        <f t="shared" si="28"/>
        <v>2.587125228468443E-8</v>
      </c>
      <c r="AD122" s="126">
        <f t="shared" si="29"/>
        <v>3.1655031094998703E-8</v>
      </c>
      <c r="AE122" s="128"/>
    </row>
    <row r="123" spans="11:31" x14ac:dyDescent="0.35">
      <c r="K123">
        <v>1000</v>
      </c>
      <c r="L123">
        <v>51</v>
      </c>
      <c r="M123">
        <f t="shared" si="21"/>
        <v>23</v>
      </c>
      <c r="N123">
        <f t="shared" si="23"/>
        <v>51000</v>
      </c>
      <c r="O123">
        <f t="shared" si="24"/>
        <v>48450</v>
      </c>
      <c r="P123">
        <f t="shared" si="25"/>
        <v>53550</v>
      </c>
      <c r="Q123">
        <f t="shared" si="30"/>
        <v>0</v>
      </c>
      <c r="R123" s="126">
        <f t="shared" si="26"/>
        <v>7.6987833212913673E-6</v>
      </c>
      <c r="S123" s="126">
        <f t="shared" si="27"/>
        <v>1.4759190566019596E-5</v>
      </c>
      <c r="AA123" s="126">
        <f t="shared" si="31"/>
        <v>5.4452361270829519E-6</v>
      </c>
      <c r="AB123" s="126">
        <f t="shared" si="32"/>
        <v>7.8671952421806426E-6</v>
      </c>
      <c r="AC123" s="126">
        <f t="shared" si="28"/>
        <v>2.5865115056546924E-8</v>
      </c>
      <c r="AD123" s="126">
        <f t="shared" si="29"/>
        <v>3.164430068550596E-8</v>
      </c>
      <c r="AE123" s="128"/>
    </row>
    <row r="124" spans="11:31" x14ac:dyDescent="0.35">
      <c r="K124">
        <v>1000</v>
      </c>
      <c r="L124">
        <v>56</v>
      </c>
      <c r="M124">
        <f t="shared" si="21"/>
        <v>23</v>
      </c>
      <c r="N124">
        <f t="shared" si="23"/>
        <v>56000</v>
      </c>
      <c r="O124">
        <f t="shared" si="24"/>
        <v>53200</v>
      </c>
      <c r="P124">
        <f t="shared" si="25"/>
        <v>58800</v>
      </c>
      <c r="Q124">
        <f t="shared" si="30"/>
        <v>0</v>
      </c>
      <c r="R124" s="126">
        <f t="shared" si="26"/>
        <v>8.4535658660012412E-6</v>
      </c>
      <c r="S124" s="126">
        <f t="shared" si="27"/>
        <v>1.6205589285973471E-5</v>
      </c>
      <c r="AA124" s="126">
        <f t="shared" si="31"/>
        <v>5.9790827115399383E-6</v>
      </c>
      <c r="AB124" s="126">
        <f t="shared" si="32"/>
        <v>8.6381793335518632E-6</v>
      </c>
      <c r="AC124" s="126">
        <f t="shared" si="28"/>
        <v>2.5858684873339189E-8</v>
      </c>
      <c r="AD124" s="126">
        <f t="shared" si="29"/>
        <v>3.1633058459037185E-8</v>
      </c>
      <c r="AE124" s="128"/>
    </row>
    <row r="125" spans="11:31" x14ac:dyDescent="0.35">
      <c r="K125">
        <v>1000</v>
      </c>
      <c r="L125">
        <v>62</v>
      </c>
      <c r="M125">
        <f t="shared" si="21"/>
        <v>23</v>
      </c>
      <c r="N125">
        <f t="shared" si="23"/>
        <v>62000</v>
      </c>
      <c r="O125">
        <f t="shared" si="24"/>
        <v>58900</v>
      </c>
      <c r="P125">
        <f t="shared" si="25"/>
        <v>65100</v>
      </c>
      <c r="Q125">
        <f t="shared" si="30"/>
        <v>0</v>
      </c>
      <c r="R125" s="126">
        <f t="shared" si="26"/>
        <v>9.3593048881031824E-6</v>
      </c>
      <c r="S125" s="126">
        <f t="shared" si="27"/>
        <v>1.7941267695244264E-5</v>
      </c>
      <c r="AA125" s="126">
        <f t="shared" si="31"/>
        <v>6.6196985905735367E-6</v>
      </c>
      <c r="AB125" s="126">
        <f t="shared" si="32"/>
        <v>9.5633602140541361E-6</v>
      </c>
      <c r="AC125" s="126">
        <f t="shared" si="28"/>
        <v>2.5852346116216851E-8</v>
      </c>
      <c r="AD125" s="126">
        <f t="shared" si="29"/>
        <v>3.1621976462291606E-8</v>
      </c>
      <c r="AE125" s="128"/>
    </row>
    <row r="126" spans="11:31" x14ac:dyDescent="0.35">
      <c r="K126">
        <v>1000</v>
      </c>
      <c r="L126">
        <v>68</v>
      </c>
      <c r="M126">
        <f t="shared" si="21"/>
        <v>23</v>
      </c>
      <c r="N126">
        <f t="shared" si="23"/>
        <v>68000</v>
      </c>
      <c r="O126">
        <f t="shared" si="24"/>
        <v>64600</v>
      </c>
      <c r="P126">
        <f t="shared" si="25"/>
        <v>71400</v>
      </c>
      <c r="Q126">
        <f t="shared" si="30"/>
        <v>0</v>
      </c>
      <c r="R126" s="126">
        <f t="shared" si="26"/>
        <v>1.0265043875787051E-5</v>
      </c>
      <c r="S126" s="126">
        <f t="shared" si="27"/>
        <v>1.9676946044870842E-5</v>
      </c>
      <c r="AA126" s="126">
        <f t="shared" si="31"/>
        <v>7.2603144452637376E-6</v>
      </c>
      <c r="AB126" s="126">
        <f t="shared" si="32"/>
        <v>1.0488541062763834E-5</v>
      </c>
      <c r="AC126" s="126">
        <f t="shared" si="28"/>
        <v>2.5847132266861378E-8</v>
      </c>
      <c r="AD126" s="126">
        <f t="shared" si="29"/>
        <v>3.1612861414962915E-8</v>
      </c>
      <c r="AE126" s="128"/>
    </row>
    <row r="127" spans="11:31" x14ac:dyDescent="0.35">
      <c r="K127">
        <v>1000</v>
      </c>
      <c r="L127">
        <v>75</v>
      </c>
      <c r="M127">
        <f t="shared" si="21"/>
        <v>23</v>
      </c>
      <c r="N127">
        <f t="shared" si="23"/>
        <v>75000</v>
      </c>
      <c r="O127">
        <f t="shared" si="24"/>
        <v>71250</v>
      </c>
      <c r="P127">
        <f t="shared" si="25"/>
        <v>78750</v>
      </c>
      <c r="Q127">
        <f t="shared" si="30"/>
        <v>0</v>
      </c>
      <c r="R127" s="126">
        <f t="shared" si="26"/>
        <v>1.132173931791761E-5</v>
      </c>
      <c r="S127" s="126">
        <f t="shared" si="27"/>
        <v>2.1701904044051538E-5</v>
      </c>
      <c r="AA127" s="126">
        <f t="shared" si="31"/>
        <v>8.0076995783016263E-6</v>
      </c>
      <c r="AB127" s="126">
        <f t="shared" si="32"/>
        <v>1.1567918679409537E-5</v>
      </c>
      <c r="AC127" s="126">
        <f t="shared" si="28"/>
        <v>2.5842109188757222E-8</v>
      </c>
      <c r="AD127" s="126">
        <f t="shared" si="29"/>
        <v>3.1604080119202049E-8</v>
      </c>
      <c r="AE127" s="128"/>
    </row>
    <row r="128" spans="11:31" x14ac:dyDescent="0.35">
      <c r="K128">
        <v>1000</v>
      </c>
      <c r="L128">
        <v>82</v>
      </c>
      <c r="M128">
        <f t="shared" si="21"/>
        <v>23</v>
      </c>
      <c r="N128">
        <f t="shared" si="23"/>
        <v>82000</v>
      </c>
      <c r="O128">
        <f t="shared" si="24"/>
        <v>77900</v>
      </c>
      <c r="P128">
        <f t="shared" si="25"/>
        <v>86100</v>
      </c>
      <c r="Q128">
        <f t="shared" si="30"/>
        <v>0</v>
      </c>
      <c r="R128" s="126">
        <f t="shared" si="26"/>
        <v>1.237843471320135E-5</v>
      </c>
      <c r="S128" s="126">
        <f t="shared" si="27"/>
        <v>2.3726861962049848E-5</v>
      </c>
      <c r="AA128" s="126">
        <f t="shared" si="31"/>
        <v>8.7550846782054452E-6</v>
      </c>
      <c r="AB128" s="126">
        <f t="shared" si="32"/>
        <v>1.2647296252782025E-5</v>
      </c>
      <c r="AC128" s="126">
        <f t="shared" si="28"/>
        <v>2.5837947721212611E-8</v>
      </c>
      <c r="AD128" s="126">
        <f t="shared" si="29"/>
        <v>3.1596805257565867E-8</v>
      </c>
      <c r="AE128" s="128"/>
    </row>
    <row r="129" spans="11:31" x14ac:dyDescent="0.35">
      <c r="K129">
        <v>1000</v>
      </c>
      <c r="L129">
        <v>91</v>
      </c>
      <c r="M129">
        <f t="shared" si="21"/>
        <v>23</v>
      </c>
      <c r="N129">
        <f t="shared" si="23"/>
        <v>91000</v>
      </c>
      <c r="O129">
        <f t="shared" si="24"/>
        <v>86450</v>
      </c>
      <c r="P129">
        <f t="shared" si="25"/>
        <v>95550</v>
      </c>
      <c r="Q129">
        <f t="shared" si="30"/>
        <v>0</v>
      </c>
      <c r="R129" s="126">
        <f t="shared" si="26"/>
        <v>1.373704300973002E-5</v>
      </c>
      <c r="S129" s="126">
        <f t="shared" si="27"/>
        <v>2.6330379165902123E-5</v>
      </c>
      <c r="AA129" s="126">
        <f t="shared" si="31"/>
        <v>9.7160083293949993E-6</v>
      </c>
      <c r="AB129" s="126">
        <f t="shared" si="32"/>
        <v>1.403506735496151E-5</v>
      </c>
      <c r="AC129" s="126">
        <f t="shared" si="28"/>
        <v>2.5833541970089402E-8</v>
      </c>
      <c r="AD129" s="126">
        <f t="shared" si="29"/>
        <v>3.1589103523049683E-8</v>
      </c>
      <c r="AE129" s="128"/>
    </row>
    <row r="130" spans="11:31" x14ac:dyDescent="0.35">
      <c r="M130">
        <f t="shared" si="21"/>
        <v>23</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405" priority="32" stopIfTrue="1">
      <formula>AND($B$11="need resistor",$C$11&gt;0)</formula>
    </cfRule>
    <cfRule type="containsText" dxfId="404" priority="36" operator="containsText" text="need resistor">
      <formula>NOT(ISERROR(SEARCH("need resistor",B11)))</formula>
    </cfRule>
  </conditionalFormatting>
  <conditionalFormatting sqref="B11:B12">
    <cfRule type="containsText" dxfId="403" priority="34" operator="containsText" text="no need">
      <formula>NOT(ISERROR(SEARCH("no need",B11)))</formula>
    </cfRule>
  </conditionalFormatting>
  <conditionalFormatting sqref="B12">
    <cfRule type="expression" dxfId="402" priority="31" stopIfTrue="1">
      <formula>AND($B$12="need resistor",$C$12&gt;0)</formula>
    </cfRule>
    <cfRule type="containsText" dxfId="401" priority="33" operator="containsText" text="need resistor">
      <formula>NOT(ISERROR(SEARCH("need resistor",B12)))</formula>
    </cfRule>
  </conditionalFormatting>
  <conditionalFormatting sqref="B42">
    <cfRule type="expression" dxfId="400" priority="59">
      <formula>AND($B$42&gt;$S$2,$B$2=1)</formula>
    </cfRule>
    <cfRule type="expression" dxfId="399" priority="58">
      <formula>AND($B$42&lt;$R$2,$B$2=0)</formula>
    </cfRule>
    <cfRule type="expression" dxfId="398" priority="57" stopIfTrue="1">
      <formula>AND($B$42&lt;=$S$2,$B$2=1)</formula>
    </cfRule>
    <cfRule type="expression" dxfId="397" priority="56" stopIfTrue="1">
      <formula>AND($B$42&gt;=$R$2,$B$2=0)</formula>
    </cfRule>
  </conditionalFormatting>
  <conditionalFormatting sqref="B62">
    <cfRule type="expression" dxfId="396" priority="67">
      <formula>AND($B$62&gt;$S$2,$B$2=1)</formula>
    </cfRule>
    <cfRule type="expression" dxfId="395" priority="66">
      <formula>AND($B$62&lt;$R$2,$B$2=0)</formula>
    </cfRule>
    <cfRule type="expression" dxfId="394" priority="65" stopIfTrue="1">
      <formula>AND($B$62&lt;=$S$2,$B$2=1)</formula>
    </cfRule>
    <cfRule type="expression" dxfId="393" priority="64" stopIfTrue="1">
      <formula>AND($B$62&gt;=$R$2,$B$2=0)</formula>
    </cfRule>
  </conditionalFormatting>
  <conditionalFormatting sqref="B84">
    <cfRule type="cellIs" dxfId="392" priority="45" operator="greaterThan">
      <formula>$S$3</formula>
    </cfRule>
    <cfRule type="cellIs" dxfId="391" priority="44" operator="lessThanOrEqual">
      <formula>$S$3</formula>
    </cfRule>
  </conditionalFormatting>
  <conditionalFormatting sqref="B102">
    <cfRule type="cellIs" dxfId="390" priority="48" operator="lessThanOrEqual">
      <formula>$S$2</formula>
    </cfRule>
    <cfRule type="cellIs" dxfId="389" priority="49" operator="greaterThan">
      <formula>$S$2</formula>
    </cfRule>
  </conditionalFormatting>
  <conditionalFormatting sqref="B18:C18">
    <cfRule type="expression" dxfId="388" priority="53">
      <formula>OR(AND($B$2=0,$C$18&lt;$R$2),AND($B$2=1,$C$18&gt;$S$2))</formula>
    </cfRule>
    <cfRule type="expression" dxfId="387" priority="52" stopIfTrue="1">
      <formula>OR(AND($B$2=0,$C$18&gt;=$R$2),AND($B$2=1,$C$18&lt;=$S$2))</formula>
    </cfRule>
  </conditionalFormatting>
  <conditionalFormatting sqref="B19:C19">
    <cfRule type="expression" dxfId="386" priority="55">
      <formula>OR(AND($B$3=0,$C$19&lt;$R$3),AND($B$3=1,$C$19&gt;$S$3))</formula>
    </cfRule>
    <cfRule type="expression" dxfId="385" priority="54" stopIfTrue="1">
      <formula>OR(AND($B$3=0,$C$19&gt;=$R$3),AND($B$3=1,$C$19&lt;=$S$3))</formula>
    </cfRule>
  </conditionalFormatting>
  <conditionalFormatting sqref="C14">
    <cfRule type="cellIs" dxfId="384" priority="26" operator="equal">
      <formula>"no solution"</formula>
    </cfRule>
  </conditionalFormatting>
  <conditionalFormatting sqref="C44">
    <cfRule type="expression" dxfId="383" priority="63">
      <formula>AND($B$44&gt;$S$3,$B$3=1)</formula>
    </cfRule>
    <cfRule type="expression" dxfId="382" priority="62">
      <formula>AND($B$44&lt;$R$3,$B$3=0)</formula>
    </cfRule>
    <cfRule type="expression" dxfId="381" priority="61" stopIfTrue="1">
      <formula>AND($C$44&lt;=$S$3,$B$3=1)</formula>
    </cfRule>
    <cfRule type="expression" dxfId="380" priority="60" stopIfTrue="1">
      <formula>AND($C$44&gt;=$R$3,$B$3=0)</formula>
    </cfRule>
  </conditionalFormatting>
  <conditionalFormatting sqref="C64">
    <cfRule type="expression" dxfId="379" priority="69" stopIfTrue="1">
      <formula>AND($C$64&lt;=$S$3,$B$3=1)</formula>
    </cfRule>
    <cfRule type="expression" dxfId="378" priority="70">
      <formula>AND($B$64&lt;$R$3,$B$3=0)</formula>
    </cfRule>
    <cfRule type="expression" dxfId="377" priority="71">
      <formula>AND($B$64&gt;$S$3,$B$3=1)</formula>
    </cfRule>
    <cfRule type="expression" dxfId="376" priority="68" stopIfTrue="1">
      <formula>AND($C$64&gt;=$R$3,$B$3=0)</formula>
    </cfRule>
  </conditionalFormatting>
  <conditionalFormatting sqref="C102:D102">
    <cfRule type="cellIs" dxfId="375" priority="28" operator="lessThan">
      <formula>$R$2</formula>
    </cfRule>
    <cfRule type="cellIs" dxfId="374" priority="27" operator="greaterThanOrEqual">
      <formula>$R$2</formula>
    </cfRule>
  </conditionalFormatting>
  <conditionalFormatting sqref="C84:H84">
    <cfRule type="cellIs" dxfId="373" priority="13" operator="lessThan">
      <formula>$R$3</formula>
    </cfRule>
    <cfRule type="cellIs" dxfId="372" priority="12" operator="greaterThanOrEqual">
      <formula>$R$3</formula>
    </cfRule>
  </conditionalFormatting>
  <conditionalFormatting sqref="D11">
    <cfRule type="containsText" dxfId="371" priority="39" stopIfTrue="1" operator="containsText" text="please remove resistor">
      <formula>NOT(ISERROR(SEARCH("please remove resistor",D11)))</formula>
    </cfRule>
    <cfRule type="cellIs" dxfId="370" priority="41" operator="greaterThan">
      <formula>$S$2</formula>
    </cfRule>
    <cfRule type="cellIs" dxfId="369" priority="40" operator="lessThan">
      <formula>$S$2</formula>
    </cfRule>
  </conditionalFormatting>
  <conditionalFormatting sqref="D11:D12">
    <cfRule type="cellIs" priority="24" stopIfTrue="1" operator="equal">
      <formula>""</formula>
    </cfRule>
  </conditionalFormatting>
  <conditionalFormatting sqref="D12 E18:E19">
    <cfRule type="cellIs" dxfId="368" priority="38" operator="lessThan">
      <formula>$R$2-$N$7</formula>
    </cfRule>
    <cfRule type="cellIs" dxfId="367" priority="37" operator="greaterThanOrEqual">
      <formula>$R$2-$N$7</formula>
    </cfRule>
  </conditionalFormatting>
  <conditionalFormatting sqref="D18:D19">
    <cfRule type="cellIs" dxfId="366" priority="42" operator="lessThanOrEqual">
      <formula>$S$2+$N$7</formula>
    </cfRule>
    <cfRule type="cellIs" dxfId="365" priority="43" operator="greaterThan">
      <formula>$S$2+$N$7</formula>
    </cfRule>
  </conditionalFormatting>
  <conditionalFormatting sqref="E102">
    <cfRule type="cellIs" dxfId="364" priority="11" operator="lessThan">
      <formula>$R$3</formula>
    </cfRule>
    <cfRule type="cellIs" dxfId="363" priority="10" operator="greaterThanOrEqual">
      <formula>$R$3</formula>
    </cfRule>
  </conditionalFormatting>
  <conditionalFormatting sqref="F21">
    <cfRule type="containsText" dxfId="362" priority="9" operator="containsText" text="failed">
      <formula>NOT(ISERROR(SEARCH("failed",F21)))</formula>
    </cfRule>
  </conditionalFormatting>
  <conditionalFormatting sqref="F22">
    <cfRule type="containsText" dxfId="361" priority="8" operator="containsText" text="fail">
      <formula>NOT(ISERROR(SEARCH("fail",F22)))</formula>
    </cfRule>
  </conditionalFormatting>
  <conditionalFormatting sqref="F23">
    <cfRule type="containsText" dxfId="360" priority="7" operator="containsText" text="failed">
      <formula>NOT(ISERROR(SEARCH("failed",F23)))</formula>
    </cfRule>
  </conditionalFormatting>
  <conditionalFormatting sqref="F102:H102">
    <cfRule type="cellIs" dxfId="359" priority="20" operator="greaterThanOrEqual">
      <formula>$R$2</formula>
    </cfRule>
    <cfRule type="cellIs" dxfId="358" priority="21" operator="lessThan">
      <formula>$R$2</formula>
    </cfRule>
  </conditionalFormatting>
  <conditionalFormatting sqref="G18">
    <cfRule type="cellIs" dxfId="357" priority="2" operator="lessThan">
      <formula>$V$2</formula>
    </cfRule>
    <cfRule type="cellIs" dxfId="356" priority="1" operator="greaterThan">
      <formula>$V$2</formula>
    </cfRule>
  </conditionalFormatting>
  <conditionalFormatting sqref="G19">
    <cfRule type="cellIs" dxfId="355" priority="3" operator="greaterThan">
      <formula>$V$3</formula>
    </cfRule>
    <cfRule type="cellIs" dxfId="354" priority="4" operator="lessThan">
      <formula>$V$3</formula>
    </cfRule>
  </conditionalFormatting>
  <conditionalFormatting sqref="I18:I19">
    <cfRule type="cellIs" dxfId="353" priority="6" operator="lessThan">
      <formula>$W$2</formula>
    </cfRule>
    <cfRule type="cellIs" dxfId="352" priority="5" operator="greaterThan">
      <formula>$W$2</formula>
    </cfRule>
  </conditionalFormatting>
  <conditionalFormatting sqref="K12">
    <cfRule type="expression" dxfId="351" priority="72">
      <formula>SEARCH("reduce",$F$23)</formula>
    </cfRule>
    <cfRule type="expression" dxfId="350" priority="73">
      <formula>SEARCH("reduce",$F$21)</formula>
    </cfRule>
  </conditionalFormatting>
  <conditionalFormatting sqref="N2">
    <cfRule type="expression" dxfId="349" priority="74">
      <formula>SEARCH("strength",$F$21)</formula>
    </cfRule>
    <cfRule type="expression" dxfId="348" priority="75">
      <formula>SEARCH("strength",$F$23)</formula>
    </cfRule>
  </conditionalFormatting>
  <hyperlinks>
    <hyperlink ref="N25" location="Summary!A1" display="Link to summary" xr:uid="{4C63BA4B-05F9-4D82-9896-F0E1314973F0}"/>
  </hyperlinks>
  <pageMargins left="0.7" right="0.7" top="0.75" bottom="0.75" header="0.3" footer="0.3"/>
  <pageSetup paperSize="9" orientation="portrait"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61840-6B8A-40F1-9600-62F6074DFD73}">
  <dimension ref="A1:AK130"/>
  <sheetViews>
    <sheetView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Summary!S16</f>
        <v>1.8</v>
      </c>
      <c r="K2" s="10">
        <v>1000000000000</v>
      </c>
      <c r="L2" s="15">
        <v>0.1</v>
      </c>
      <c r="M2" s="15">
        <v>0.1</v>
      </c>
      <c r="N2" s="17">
        <f>Summary!S26</f>
        <v>50</v>
      </c>
      <c r="O2" s="15">
        <f>Summary!S88</f>
        <v>0.25</v>
      </c>
      <c r="P2" s="15">
        <f>Summary!S89</f>
        <v>0.25</v>
      </c>
      <c r="Q2" s="5" t="str">
        <f>Summary!S27</f>
        <v>N/A</v>
      </c>
      <c r="R2" s="5">
        <f>Summary!S51</f>
        <v>0.3</v>
      </c>
      <c r="S2" s="5">
        <f>Summary!S52</f>
        <v>0.7</v>
      </c>
      <c r="T2" s="5">
        <f>Summary!S53</f>
        <v>0.3</v>
      </c>
      <c r="U2" s="5">
        <f>Summary!S54</f>
        <v>0.7</v>
      </c>
      <c r="V2" s="130">
        <f>Summary!S55</f>
        <v>2.9999999999999999E-7</v>
      </c>
      <c r="W2" s="130">
        <f>Summary!S56</f>
        <v>2.9999999999999999E-7</v>
      </c>
      <c r="X2" s="131">
        <f>V2</f>
        <v>2.9999999999999999E-7</v>
      </c>
      <c r="Y2" s="132">
        <f>IF(Summary!S57="","",Summary!S57)</f>
        <v>2E-8</v>
      </c>
      <c r="Z2" s="132" t="str">
        <f>IF(Summary!S58="","",Summary!S58)</f>
        <v/>
      </c>
      <c r="AA2" s="4">
        <f>Summary!S59</f>
        <v>1E-10</v>
      </c>
      <c r="AB2" s="41">
        <f>Summary!S81</f>
        <v>4.9999999999999997E-12</v>
      </c>
      <c r="AC2" s="41">
        <f>Summary!S83</f>
        <v>8.1900000000000013E-12</v>
      </c>
      <c r="AD2" s="3">
        <f>Summary!S84</f>
        <v>0.69</v>
      </c>
      <c r="AE2" s="41">
        <f>Summary!S86</f>
        <v>4.9999999999999997E-12</v>
      </c>
      <c r="AF2" s="5">
        <f>Summary!S87</f>
        <v>2.2999999999999998</v>
      </c>
      <c r="AG2" s="127" t="str">
        <f>Summary!S50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Summary!S16</f>
        <v>1.8</v>
      </c>
      <c r="K3" s="10">
        <v>1000000000000</v>
      </c>
      <c r="L3" s="15">
        <v>0.1</v>
      </c>
      <c r="M3" s="15">
        <v>0.1</v>
      </c>
      <c r="N3">
        <f>Summary!S97</f>
        <v>66.7</v>
      </c>
      <c r="O3" s="15">
        <f>Summary!S98</f>
        <v>0.5</v>
      </c>
      <c r="P3" s="15">
        <f>Summary!S99</f>
        <v>0</v>
      </c>
      <c r="Q3"/>
      <c r="R3" s="5">
        <f>Summary!S38</f>
        <v>0.8</v>
      </c>
      <c r="S3" s="5">
        <f>Summary!S39</f>
        <v>1.35</v>
      </c>
      <c r="T3" s="5">
        <f>Summary!S42</f>
        <v>0.65</v>
      </c>
      <c r="U3" s="5">
        <f>Summary!S43</f>
        <v>1.5</v>
      </c>
      <c r="V3" s="130">
        <f>Summary!S44</f>
        <v>2.9999999999999999E-7</v>
      </c>
      <c r="W3" s="130">
        <f>Summary!S45</f>
        <v>2.9999999999999999E-7</v>
      </c>
      <c r="X3" s="131">
        <f>V3</f>
        <v>2.9999999999999999E-7</v>
      </c>
      <c r="Y3" s="132">
        <f>IF(Summary!S46="","",Summary!S46)</f>
        <v>2E-8</v>
      </c>
      <c r="Z3" s="132" t="str">
        <f>IF(Summary!S47="","",Summary!S47)</f>
        <v/>
      </c>
      <c r="AA3" s="4">
        <f>Summary!S59</f>
        <v>1E-10</v>
      </c>
      <c r="AB3" s="41">
        <f>Summary!S96</f>
        <v>9.9999999999999994E-12</v>
      </c>
      <c r="AG3" s="127" t="str">
        <f>Summary!S37</f>
        <v>absolute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427329345.73263782</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272612855.71033394</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226.78045288328551</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119.52764470573604</v>
      </c>
      <c r="F7" s="123">
        <f>_xlfn.IFNA(_xlfn.XLOOKUP($X$2,AB34:AB129,P34:P129,,-1), "Out of support PU range")</f>
        <v>1890</v>
      </c>
      <c r="G7" s="124">
        <f>_xlfn.IFNA(_xlfn.XLOOKUP($X$3,S34:S129,P34:P129,,-1), "Out of support PU range")</f>
        <v>1050</v>
      </c>
      <c r="H7" s="124">
        <f>_xlfn.IFNA(MAX(_xlfn.XLOOKUP(MAX($Y$2:$AA$2),AA34:AA129,O34:O129,,1), _xlfn.XLOOKUP($W$2,AD34:AD129,O34:O129,,-1)), "Fail AC VIL")</f>
        <v>228</v>
      </c>
      <c r="I7" s="129">
        <f>_xlfn.IFNA(MAX(_xlfn.XLOOKUP(MAX($Y$3:$AA$3),R34:R129,O34:O129,,1), _xlfn.XLOOKUP($W$3,AC34:AC129,O34:O129,,-1)), "Fail AC VIL")</f>
        <v>171</v>
      </c>
      <c r="J7" s="21">
        <v>20000</v>
      </c>
      <c r="K7" s="2">
        <f>MIN(
MIN(FLOOR(B7,10^(LEN(ROUND(B7,0))-1))/10,
FLOOR(C7,10^(LEN(ROUND(C7,0))-1))/10,
IF(F7*10&gt;=J7,FLOOR(F7,10^(LEN(ROUND(F7,0))-1))/10,FLOOR(F7,10^(LEN(ROUND(F7,0))-1))),
FLOOR(G7,10^(LEN(ROUND(G7,0))-1))/10),
MAX(I7,J7)
)</f>
        <v>100</v>
      </c>
      <c r="L7" s="1"/>
      <c r="N7" s="71">
        <f>Summary!S62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227.99999981318456</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2128.0000058620258</v>
      </c>
      <c r="E8">
        <f>X2/(1.204*K18)</f>
        <v>1554.6828759599234</v>
      </c>
      <c r="F8">
        <f>X3/(1.204*K18)</f>
        <v>1554.6828759599234</v>
      </c>
      <c r="H8">
        <f>AA2/(1.204*K18)</f>
        <v>0.51822762531997457</v>
      </c>
      <c r="I8" s="2">
        <f>AA3/(1.204*K18)</f>
        <v>0.51822762531997457</v>
      </c>
      <c r="J8" s="8">
        <v>20000</v>
      </c>
      <c r="K8">
        <f>MIN(MIN(FLOOR(B8,10^(LEN(ROUND(B8,0))-1))/10,FLOOR(C8,10^(LEN(ROUND(C8,0))-1))/10,FLOOR(E8,10^(LEN(ROUND(E8,0))-1))/10,FLOOR(F8,10^(LEN(ROUND(F8,0))-1))/10),MAX(I8,J8))</f>
        <v>20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Summary!S24</f>
        <v>560</v>
      </c>
      <c r="D11" s="1">
        <f>IF(AND(B11="no need", C11=""), "",IF(AND(B11="no need", C11&gt;0), "please remove resistor",   IF(AND(B11="need resistor", ISBLANK(C11)), "please enter resistor",  (1/(1/F2+1/F3))/(1/(1/(1/(1/C2+1/C3))+1/C11)+(1/(1/F2+1/F3))) ) ))</f>
        <v>0.99999999888000002</v>
      </c>
      <c r="F11" s="7">
        <f>IF(B11="no need", 1000000000, C11)</f>
        <v>560</v>
      </c>
      <c r="G11" s="7" t="s">
        <v>281</v>
      </c>
      <c r="H11" s="62">
        <f>Summary!S25</f>
        <v>0.05</v>
      </c>
      <c r="K11" s="6" t="s">
        <v>282</v>
      </c>
      <c r="N11" s="19" t="s">
        <v>283</v>
      </c>
      <c r="P11" s="19" t="s">
        <v>284</v>
      </c>
      <c r="R11" s="127" t="s">
        <v>285</v>
      </c>
      <c r="S11" s="127">
        <f>($J$2+$J$2*Summary!$S$17)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Summary!S10</f>
        <v>25</v>
      </c>
      <c r="L12" t="s">
        <v>287</v>
      </c>
      <c r="N12" s="4">
        <f>SUM(AB2:AC3,AE2:AE3)</f>
        <v>2.8189999999999998E-11</v>
      </c>
      <c r="O12" t="s">
        <v>288</v>
      </c>
      <c r="P12" s="61">
        <f>Summary!S84+Summary!S87</f>
        <v>2.9899999999999998</v>
      </c>
      <c r="Q12" t="s">
        <v>289</v>
      </c>
      <c r="R12" s="127" t="s">
        <v>290</v>
      </c>
      <c r="S12" s="127">
        <f>($J$2-$J$2*Summary!$S$17)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($J$3+$J$3*Summary!$S$18)</f>
        <v>1.8900000000000001</v>
      </c>
    </row>
    <row r="14" spans="1:37" x14ac:dyDescent="0.35">
      <c r="K14" s="6" t="s">
        <v>293</v>
      </c>
      <c r="N14" s="6" t="s">
        <v>294</v>
      </c>
      <c r="R14" s="127" t="s">
        <v>295</v>
      </c>
      <c r="S14" s="127">
        <f>($J$3-$J$3*Summary!$S$18)</f>
        <v>1.71</v>
      </c>
    </row>
    <row r="15" spans="1:37" x14ac:dyDescent="0.35">
      <c r="B15" s="2"/>
      <c r="C15" s="2"/>
      <c r="K15" s="3">
        <f>Summary!S8</f>
        <v>19.988</v>
      </c>
      <c r="L15" t="s">
        <v>296</v>
      </c>
      <c r="N15" s="41">
        <f>Summary!S9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0.99999934533654877</v>
      </c>
      <c r="C18">
        <f>B42</f>
        <v>0.99999951537706044</v>
      </c>
      <c r="D18">
        <f>B102</f>
        <v>0.99999934533654922</v>
      </c>
      <c r="E18">
        <f>C102</f>
        <v>0.14220167584142657</v>
      </c>
      <c r="F18" s="126">
        <f>_xlfn.LET(
_xlpm.Rbus, (1/(1/((1/(1/($G$91+$G$93)+1/$G$90))+$G$92)+1/($G$89))),
_xlpm.VCC, IF($AG$2="absolute",$S$13,1),
_xlpm.Vspec_abs, $U$2-$N$7,
(LN(1-$T$2/_xlpm.VCC)-LN(1-_xlpm.Vspec_abs/_xlpm.VCC))*$K$19*_xlpm.Rbus
)</f>
        <v>5.9790837612276972E-8</v>
      </c>
      <c r="G18" s="128">
        <f>_xlfn.LET(
_xlpm.Rbus, (1/(1/((1/(1/($D$91+$D$93)+1/$D$90))+$D$92)+1/($D$89))),
_xlpm.VCC, IF($AG$2="absolute",$S$14,1),
_xlpm.Vspec_abs, $U$2+$N$7,
(LN(1-$T$2/_xlpm.VCC)-LN(1-_xlpm.Vspec_abs/_xlpm.VCC))*$K$18*_xlpm.Rbus
)</f>
        <v>8.950649364209266E-8</v>
      </c>
      <c r="H18" s="126">
        <f>_xlfn.LET(
_xlpm.Rbus, (1/(1/((1/(1/($H$96+$H$93)+1/$H$95))+$H$92)+1/($H$94))),
_xlpm.VCC, IF($AG$2="absolute",$S$14,1),
_xlpm.VL_rel, $H$102,
_xlpm.Vspec_abs, $T$2-$N$7,
_xlpm.Vspec_rel, (_xlpm.Vspec_abs/_xlpm.VCC-_xlpm.VL_rel)/(1-_xlpm.VL_rel),
IFERROR((LN($D$18-_xlpm.VL_rel)-LN(_xlpm.Vspec_rel))*$K$19*_xlpm.Rbus, "Vlow exceeds VIL spec")
)</f>
        <v>9.6832192220403368E-9</v>
      </c>
      <c r="I18" s="128">
        <f>_xlfn.LET(
_xlpm.Rbus, (1/(1/((1/(1/($F$96+$F$93)+1/$F$95))+$F$92)+1/($F$94))),
_xlpm.VCC, IF($AG$2="absolute",$S$13,1),
_xlpm.VL_rel, $F$102,
_xlpm.Vspec_abs, $T$2-$N$7,
_xlpm.Vspec_rel, (_xlpm.Vspec_abs/_xlpm.VCC-_xlpm.VL_rel)/(1-_xlpm.VL_rel),
IFERROR((LN($D$18-_xlpm.VL_rel)-LN(_xlpm.Vspec_rel))*$K$18*_xlpm.Rbus,"Vlow exceeds VIL spec")
)</f>
        <v>2.3678183634823517E-8</v>
      </c>
      <c r="J18" s="139" t="s">
        <v>307</v>
      </c>
      <c r="K18" s="4">
        <f>Summary!S102</f>
        <v>1.6027026416052833E-10</v>
      </c>
      <c r="L18" s="22" t="s">
        <v>288</v>
      </c>
      <c r="M18" s="10">
        <f>K18*1000000000000</f>
        <v>160.27026416052834</v>
      </c>
      <c r="N18" t="s">
        <v>308</v>
      </c>
      <c r="O18" s="49">
        <f>N12+K12/39.37*N15</f>
        <v>1.6027026416052833E-10</v>
      </c>
    </row>
    <row r="19" spans="1:26" x14ac:dyDescent="0.35">
      <c r="A19" t="s">
        <v>309</v>
      </c>
      <c r="B19">
        <f>C64</f>
        <v>0.99999934533654877</v>
      </c>
      <c r="C19">
        <f>C44</f>
        <v>0.99999951537706044</v>
      </c>
      <c r="D19">
        <f>B84</f>
        <v>0.99999934533654922</v>
      </c>
      <c r="E19">
        <f>C84</f>
        <v>0.1363529796457619</v>
      </c>
      <c r="F19" s="126">
        <f>_xlfn.LET(
_xlpm.Rbus,(1/(1/((1/(1/($G$77+$G$72)+1/$G$70))+$G$73)+1/($G$71))),
_xlpm.VCC,IF($AG$3="absolute",$S$11,1),
_xlpm.Vspec_abs,$U$3-$N$7,
(LN(1-($T$3/_xlpm.VCC))-LN(1-_xlpm.Vspec_abs/_xlpm.VCC))*$K$19*_xlpm.Rbus
)</f>
        <v>8.4535673501092623E-8</v>
      </c>
      <c r="G19" s="128">
        <f>_xlfn.LET(
_xlpm.Rbus, (1/(1/((1/(1/($D$77+$D$72)+1/$D$70))+$D$73)+1/($D$71))),
_xlpm.VCC, IF($AG$3="absolute",$S$12,1),
_xlpm.Vspec_abs, $U$3+$N$7,
(LN(1-$T$3/_xlpm.VCC)-LN(1-_xlpm.Vspec_abs/_xlpm.VCC))*$K$18*_xlpm.Rbus
)</f>
        <v>1.6791796261480574E-7</v>
      </c>
      <c r="H19" s="126">
        <f>_xlfn.LET(
_xlpm.Rbus, (1/(1/((1/(1/($H$74+$H$72)+1/$H$75))+$H$73)+1/($H$76))),
_xlpm.VCC, IF($AG$3="absolute",$S$12,1),
_xlpm.VL_rel, $H$84,
_xlpm.Vspec_abs, $T$3-$N$7,
_xlpm.Vspec_rel, (_xlpm.Vspec_abs/_xlpm.VCC-_xlpm.VL_rel)/(1-_xlpm.VL_rel),
IFERROR((LN($D$19-_xlpm.VL_rel)-LN(_xlpm.Vspec_rel))*$K$19*_xlpm.Rbus, "Vlow exceeds VIL spec")
)</f>
        <v>8.0367116419371291E-9</v>
      </c>
      <c r="I19" s="128">
        <f>_xlfn.LET(
_xlpm.Rbus, (1/(1/((1/(1/($F$74+$F$72)+1/$F$75))+$F$73)+1/($F$76))),
_xlpm.VCC, IF($AG$3="absolute",$S$11,1),
_xlpm.VL_rel, $F$84,
_xlpm.Vspec_abs, $T$3-$N$7,
_xlpm.Vspec_rel, (_xlpm.Vspec_abs/_xlpm.VCC-_xlpm.VL_rel)/(1-_xlpm.VL_rel),
IFERROR((LN($D$19-_xlpm.VL_rel)-LN(_xlpm.Vspec_rel))*$K$18*_xlpm.Rbus,"Vlow exceeds VIL spec")
)</f>
        <v>1.7923538569915303E-8</v>
      </c>
      <c r="J19" s="139" t="s">
        <v>310</v>
      </c>
      <c r="K19" s="122">
        <f>Summary!S101</f>
        <v>1.4358026416052834E-10</v>
      </c>
      <c r="L19" t="s">
        <v>288</v>
      </c>
    </row>
    <row r="20" spans="1:26" x14ac:dyDescent="0.35">
      <c r="J20" s="139"/>
      <c r="K20" s="6" t="s">
        <v>311</v>
      </c>
    </row>
    <row r="21" spans="1:26" x14ac:dyDescent="0.35">
      <c r="E21" s="120" t="s">
        <v>137</v>
      </c>
      <c r="F21" t="str">
        <f>IF(OR(AND(E18&gt;(R2-N7), Summary!S50="relative"), AND(E18&gt;(R2-N7)/(J3+J3*Summary!S18), Summary!S50="absolute")),IF(U29="no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IF(OR(Summary!S24&gt;Summary!S22,Summary!S24&lt;Summary!S21), "- ensure board PU is within recommended range" &amp; CHAR(10),) &amp; "- reduce MB trace length",""))</f>
        <v/>
      </c>
      <c r="J21" s="139" t="s">
        <v>307</v>
      </c>
      <c r="K21" s="5">
        <f>Summary!S104</f>
        <v>21.49240538481077</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Summary!S103</f>
        <v>15.682405384810767</v>
      </c>
    </row>
    <row r="23" spans="1:26" x14ac:dyDescent="0.35">
      <c r="B23" s="171" t="s">
        <v>313</v>
      </c>
      <c r="C23" s="171"/>
      <c r="D23" t="s">
        <v>314</v>
      </c>
      <c r="E23" s="175"/>
      <c r="F23" t="str">
        <f>IF(F22="",IF(OR(AND(E19&lt;=(R3-N7), Summary!S37="relative"),AND(E19&lt;=(R3-N7)/(J2+J2*Summary!S17), Summary!S37="absolute")),IF(OR(G19&gt;V3,I19&gt;W3), IF(N2=MIN(AH2:AH5), "failed max rise/fall time spec, recommendations:" &amp; CHAR(10) &amp; "-reduce MB trace length" &amp; CHAR(10) &amp; "-increase trace width (reduce MB trace resistance per length)", "failed max rise/fall time spec, recommendations:" &amp; CHAR(10) &amp; IF(OR(Summary!S24&gt;Summary!S22,Summary!S24&lt;Summary!S21),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Summary!S13</f>
        <v>0</v>
      </c>
      <c r="L24" t="s">
        <v>305</v>
      </c>
    </row>
    <row r="25" spans="1:26" x14ac:dyDescent="0.35">
      <c r="A25" t="s">
        <v>318</v>
      </c>
      <c r="B25" s="11">
        <f>C2*(1-D2)</f>
        <v>900000000000</v>
      </c>
      <c r="C25" s="11">
        <f>C2*(1-D2)</f>
        <v>900000000000</v>
      </c>
      <c r="K25" s="18">
        <f>Summary!S14</f>
        <v>1</v>
      </c>
      <c r="L25" t="s">
        <v>274</v>
      </c>
      <c r="N25" s="72" t="s">
        <v>319</v>
      </c>
    </row>
    <row r="26" spans="1:26" x14ac:dyDescent="0.35">
      <c r="A26" t="s">
        <v>320</v>
      </c>
      <c r="B26" s="11">
        <f>F11*(1-H11)</f>
        <v>532</v>
      </c>
      <c r="C26" s="11">
        <f>F11*(1-H11)</f>
        <v>532</v>
      </c>
      <c r="Q26" t="s">
        <v>321</v>
      </c>
    </row>
    <row r="27" spans="1:26" x14ac:dyDescent="0.35">
      <c r="A27" t="s">
        <v>322</v>
      </c>
      <c r="B27" s="11">
        <f>C3*(1-D3)</f>
        <v>900000000000</v>
      </c>
      <c r="C27" s="11">
        <f>C3*(1-D3)</f>
        <v>900000000000</v>
      </c>
      <c r="Q27" t="s">
        <v>323</v>
      </c>
    </row>
    <row r="28" spans="1:26" x14ac:dyDescent="0.35">
      <c r="A28" t="s">
        <v>324</v>
      </c>
      <c r="B28" s="1">
        <f>K21</f>
        <v>21.49240538481077</v>
      </c>
      <c r="C28">
        <v>0</v>
      </c>
      <c r="Q28" t="s">
        <v>325</v>
      </c>
      <c r="V28" t="s">
        <v>305</v>
      </c>
      <c r="W28" t="s">
        <v>274</v>
      </c>
      <c r="X28" t="s">
        <v>326</v>
      </c>
    </row>
    <row r="29" spans="1:26" x14ac:dyDescent="0.35">
      <c r="A29" t="s">
        <v>327</v>
      </c>
      <c r="B29">
        <v>0</v>
      </c>
      <c r="C29" s="1">
        <f>K21</f>
        <v>21.49240538481077</v>
      </c>
      <c r="F29" s="11"/>
      <c r="T29" t="s">
        <v>328</v>
      </c>
      <c r="U29">
        <f>IF(IF(ISBLANK(Summary!S25),IF(U30=W82,L30,U30),IF(Summary!S25=5%,L30,U30))=N130,"no solution",IF(ISBLANK(Summary!S25),IF(U30=W82,L30,U30),IF(Summary!S25=5%,L30,U30)))</f>
        <v>510</v>
      </c>
      <c r="V29">
        <f>IFERROR(IF(X29=5%,VLOOKUP(1,M34:N129,2,FALSE),VLOOKUP(1,V34:W81,2,FALSE)),"no solution")</f>
        <v>240</v>
      </c>
      <c r="W29">
        <f>IF(U29="no solution","no solution",IF(X29=5%,VLOOKUP(MAX(M34:M129)-1,M34:N129,2,FALSE),VLOOKUP(MAX(V34:V81)-1,V34:W81,2,FALSE)))</f>
        <v>1000</v>
      </c>
      <c r="X29" s="64">
        <f>Summary!S25</f>
        <v>0.05</v>
      </c>
    </row>
    <row r="30" spans="1:26" x14ac:dyDescent="0.35">
      <c r="A30" t="s">
        <v>329</v>
      </c>
      <c r="B30" s="11">
        <f>F2*(1+H2)</f>
        <v>1100000000000</v>
      </c>
      <c r="C30" s="11">
        <f>F2*(1+H2)</f>
        <v>1100000000000</v>
      </c>
      <c r="K30" t="s">
        <v>330</v>
      </c>
      <c r="L30">
        <f>VLOOKUP(Q31,M34:Q154,2)</f>
        <v>510</v>
      </c>
      <c r="T30" t="s">
        <v>331</v>
      </c>
      <c r="U30">
        <f>VLOOKUP(Z31,V34:W82,2)</f>
        <v>470</v>
      </c>
    </row>
    <row r="31" spans="1:26" x14ac:dyDescent="0.35">
      <c r="A31" t="s">
        <v>332</v>
      </c>
      <c r="B31" s="11">
        <f>F12*(1+H12)</f>
        <v>1100000000</v>
      </c>
      <c r="C31" s="11">
        <f>F12*(1+H12)</f>
        <v>1100000000</v>
      </c>
      <c r="Q31" cm="1">
        <f t="array" ref="Q31">MAX(M34:M129+1)/2</f>
        <v>9</v>
      </c>
      <c r="Z31" cm="1">
        <f t="array" ref="Z31">MAX(V34:V81+1)/2</f>
        <v>4.5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1.5095656008629572E-9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8.8140549287075229E-9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4.6982177436677331E-9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1.6605221609439943E-9</v>
      </c>
      <c r="S35" s="126">
        <f t="shared" si="4"/>
        <v>9.1033347613188522E-9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4.8524146091800149E-9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1.8114787210240752E-9</v>
      </c>
      <c r="S36" s="126">
        <f t="shared" si="4"/>
        <v>9.3926145939285271E-9</v>
      </c>
      <c r="T36">
        <v>1</v>
      </c>
      <c r="U36">
        <v>15</v>
      </c>
      <c r="V36">
        <f t="shared" si="11"/>
        <v>0</v>
      </c>
      <c r="W36">
        <f t="shared" si="12"/>
        <v>15</v>
      </c>
      <c r="X36">
        <f t="shared" si="5"/>
        <v>13.5</v>
      </c>
      <c r="Y36">
        <f t="shared" si="6"/>
        <v>16.5</v>
      </c>
      <c r="Z36">
        <f t="shared" si="13"/>
        <v>0</v>
      </c>
      <c r="AA36" s="126">
        <f t="shared" si="14"/>
        <v>1.281232236772157E-9</v>
      </c>
      <c r="AB36" s="126">
        <f t="shared" si="15"/>
        <v>5.0066114746914149E-9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1.9624352811032006E-9</v>
      </c>
      <c r="S37" s="126">
        <f t="shared" si="4"/>
        <v>9.6818944265365427E-9</v>
      </c>
      <c r="T37">
        <v>1</v>
      </c>
      <c r="U37">
        <v>18</v>
      </c>
      <c r="V37">
        <f t="shared" si="11"/>
        <v>0</v>
      </c>
      <c r="W37">
        <f t="shared" si="12"/>
        <v>18</v>
      </c>
      <c r="X37">
        <f t="shared" si="5"/>
        <v>16.2</v>
      </c>
      <c r="Y37">
        <f t="shared" si="6"/>
        <v>19.8</v>
      </c>
      <c r="Z37">
        <f t="shared" si="13"/>
        <v>0</v>
      </c>
      <c r="AA37" s="126">
        <f t="shared" si="14"/>
        <v>1.3880015898321084E-9</v>
      </c>
      <c r="AB37" s="126">
        <f t="shared" si="15"/>
        <v>5.1608083402019298E-9</v>
      </c>
      <c r="AC37" s="126" t="str">
        <f t="shared" si="7"/>
        <v>Vlow exceeds VIL spec</v>
      </c>
      <c r="AD37" s="126" t="str">
        <f t="shared" si="8"/>
        <v>Vlow exceeds VIL spec</v>
      </c>
    </row>
    <row r="38" spans="1:30" x14ac:dyDescent="0.35">
      <c r="A38" t="s">
        <v>347</v>
      </c>
      <c r="B38" s="125">
        <f>IF(Summary!S50="absolute",(S2+N7)/(J3-J3*Summary!S18),S2+N7)</f>
        <v>0.72</v>
      </c>
      <c r="K38">
        <v>1</v>
      </c>
      <c r="L38">
        <v>15</v>
      </c>
      <c r="M38">
        <f t="shared" si="9"/>
        <v>0</v>
      </c>
      <c r="N38">
        <f t="shared" si="0"/>
        <v>15</v>
      </c>
      <c r="O38">
        <f t="shared" si="1"/>
        <v>14.25</v>
      </c>
      <c r="P38">
        <f t="shared" si="2"/>
        <v>15.75</v>
      </c>
      <c r="Q38">
        <f t="shared" si="10"/>
        <v>0</v>
      </c>
      <c r="R38" s="126">
        <f t="shared" si="3"/>
        <v>2.2643484012585833E-9</v>
      </c>
      <c r="S38" s="126">
        <f t="shared" si="4"/>
        <v>1.0260454091747604E-8</v>
      </c>
      <c r="T38">
        <v>1</v>
      </c>
      <c r="U38">
        <v>22</v>
      </c>
      <c r="V38">
        <f t="shared" si="11"/>
        <v>0</v>
      </c>
      <c r="W38">
        <f t="shared" si="12"/>
        <v>22</v>
      </c>
      <c r="X38">
        <f t="shared" si="5"/>
        <v>19.8</v>
      </c>
      <c r="Y38">
        <f t="shared" si="6"/>
        <v>24.200000000000003</v>
      </c>
      <c r="Z38">
        <f t="shared" si="13"/>
        <v>0</v>
      </c>
      <c r="AA38" s="126">
        <f t="shared" si="14"/>
        <v>1.601540295949982E-9</v>
      </c>
      <c r="AB38" s="126">
        <f t="shared" si="15"/>
        <v>5.4692020712203119E-9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2.4153049613348403E-9</v>
      </c>
      <c r="S39" s="126">
        <f t="shared" si="4"/>
        <v>1.054973392435065E-8</v>
      </c>
      <c r="T39">
        <v>1</v>
      </c>
      <c r="U39">
        <v>27</v>
      </c>
      <c r="V39">
        <f t="shared" si="11"/>
        <v>0</v>
      </c>
      <c r="W39">
        <f t="shared" si="12"/>
        <v>27</v>
      </c>
      <c r="X39">
        <f t="shared" si="5"/>
        <v>24.3</v>
      </c>
      <c r="Y39">
        <f t="shared" si="6"/>
        <v>29.700000000000003</v>
      </c>
      <c r="Z39">
        <f t="shared" si="13"/>
        <v>0</v>
      </c>
      <c r="AA39" s="126">
        <f t="shared" si="14"/>
        <v>1.7083096490079043E-9</v>
      </c>
      <c r="AB39" s="126">
        <f t="shared" si="15"/>
        <v>5.623398936728179E-9</v>
      </c>
      <c r="AC39" s="126" t="str">
        <f t="shared" si="7"/>
        <v>Vlow exceeds VIL spec</v>
      </c>
      <c r="AD39" s="126" t="str">
        <f t="shared" si="8"/>
        <v>Vlow exceeds VIL spec</v>
      </c>
    </row>
    <row r="40" spans="1:30" x14ac:dyDescent="0.35">
      <c r="A40" t="s">
        <v>349</v>
      </c>
      <c r="C40" s="125">
        <f>IF(Summary!S37="absolute",(S3+N7)/(J2-J2*Summary!S17),S3+N7)</f>
        <v>0.80116959064327498</v>
      </c>
      <c r="K40">
        <v>1</v>
      </c>
      <c r="L40">
        <v>18</v>
      </c>
      <c r="M40">
        <f t="shared" si="9"/>
        <v>0</v>
      </c>
      <c r="N40">
        <f t="shared" si="0"/>
        <v>18</v>
      </c>
      <c r="O40">
        <f t="shared" si="1"/>
        <v>17.099999999999998</v>
      </c>
      <c r="P40">
        <f t="shared" si="2"/>
        <v>18.900000000000002</v>
      </c>
      <c r="Q40">
        <f t="shared" si="10"/>
        <v>0</v>
      </c>
      <c r="R40" s="126">
        <f t="shared" si="3"/>
        <v>2.7172180814844856E-9</v>
      </c>
      <c r="S40" s="126">
        <f t="shared" si="4"/>
        <v>1.1128293589551767E-8</v>
      </c>
      <c r="T40">
        <v>1</v>
      </c>
      <c r="U40">
        <v>33</v>
      </c>
      <c r="V40">
        <f t="shared" si="11"/>
        <v>0</v>
      </c>
      <c r="W40">
        <f t="shared" si="12"/>
        <v>33</v>
      </c>
      <c r="X40">
        <f t="shared" si="5"/>
        <v>29.7</v>
      </c>
      <c r="Y40">
        <f t="shared" si="6"/>
        <v>36.300000000000004</v>
      </c>
      <c r="Z40">
        <f t="shared" si="13"/>
        <v>0</v>
      </c>
      <c r="AA40" s="126">
        <f t="shared" si="14"/>
        <v>1.9218483551217202E-9</v>
      </c>
      <c r="AB40" s="126">
        <f t="shared" si="15"/>
        <v>5.9317926677412604E-9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3.0191312016303081E-9</v>
      </c>
      <c r="S41" s="126">
        <f t="shared" si="4"/>
        <v>1.1706853254746262E-8</v>
      </c>
      <c r="T41">
        <v>1</v>
      </c>
      <c r="U41">
        <v>39</v>
      </c>
      <c r="V41">
        <f t="shared" si="11"/>
        <v>0</v>
      </c>
      <c r="W41">
        <f t="shared" si="12"/>
        <v>39</v>
      </c>
      <c r="X41">
        <f t="shared" si="5"/>
        <v>35.1</v>
      </c>
      <c r="Y41">
        <f t="shared" si="6"/>
        <v>42.900000000000006</v>
      </c>
      <c r="Z41">
        <f t="shared" si="13"/>
        <v>0</v>
      </c>
      <c r="AA41" s="126">
        <f t="shared" si="14"/>
        <v>2.1353870612328322E-9</v>
      </c>
      <c r="AB41" s="126">
        <f t="shared" si="15"/>
        <v>6.2401863987508115E-9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0.99999951537706044</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0.99999951539659893</v>
      </c>
      <c r="K42">
        <v>1</v>
      </c>
      <c r="L42">
        <v>22</v>
      </c>
      <c r="M42">
        <f t="shared" si="9"/>
        <v>0</v>
      </c>
      <c r="N42">
        <f t="shared" si="0"/>
        <v>22</v>
      </c>
      <c r="O42">
        <f t="shared" si="1"/>
        <v>20.9</v>
      </c>
      <c r="P42">
        <f t="shared" si="2"/>
        <v>23.1</v>
      </c>
      <c r="Q42">
        <f t="shared" si="10"/>
        <v>0</v>
      </c>
      <c r="R42" s="126">
        <f t="shared" si="3"/>
        <v>3.3210443217723049E-9</v>
      </c>
      <c r="S42" s="126">
        <f t="shared" si="4"/>
        <v>1.2285412919934131E-8</v>
      </c>
      <c r="T42">
        <v>1</v>
      </c>
      <c r="U42">
        <v>47</v>
      </c>
      <c r="V42">
        <f t="shared" si="11"/>
        <v>0</v>
      </c>
      <c r="W42">
        <f t="shared" si="12"/>
        <v>47</v>
      </c>
      <c r="X42">
        <f t="shared" si="5"/>
        <v>42.300000000000004</v>
      </c>
      <c r="Y42">
        <f t="shared" si="6"/>
        <v>51.7</v>
      </c>
      <c r="Z42">
        <f t="shared" si="13"/>
        <v>0</v>
      </c>
      <c r="AA42" s="126">
        <f t="shared" si="14"/>
        <v>2.3489257673412385E-9</v>
      </c>
      <c r="AB42" s="126">
        <f t="shared" si="15"/>
        <v>6.5485801297568305E-9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0.99999951539659893</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0.99999951539659893</v>
      </c>
      <c r="K43">
        <v>1</v>
      </c>
      <c r="L43">
        <v>24</v>
      </c>
      <c r="M43">
        <f t="shared" si="9"/>
        <v>0</v>
      </c>
      <c r="N43">
        <f t="shared" si="0"/>
        <v>24</v>
      </c>
      <c r="O43">
        <f t="shared" si="1"/>
        <v>22.799999999999997</v>
      </c>
      <c r="P43">
        <f t="shared" si="2"/>
        <v>25.200000000000003</v>
      </c>
      <c r="Q43">
        <f t="shared" si="10"/>
        <v>0</v>
      </c>
      <c r="R43" s="126">
        <f t="shared" si="3"/>
        <v>3.6229574419104781E-9</v>
      </c>
      <c r="S43" s="126">
        <f t="shared" si="4"/>
        <v>1.2863972585115371E-8</v>
      </c>
      <c r="T43">
        <v>1</v>
      </c>
      <c r="U43">
        <v>56</v>
      </c>
      <c r="V43">
        <f t="shared" si="11"/>
        <v>0</v>
      </c>
      <c r="W43">
        <f t="shared" si="12"/>
        <v>56</v>
      </c>
      <c r="X43">
        <f t="shared" si="5"/>
        <v>50.4</v>
      </c>
      <c r="Y43">
        <f t="shared" si="6"/>
        <v>61.600000000000009</v>
      </c>
      <c r="Z43">
        <f t="shared" si="13"/>
        <v>0</v>
      </c>
      <c r="AA43" s="126">
        <f t="shared" si="14"/>
        <v>2.5624644734469403E-9</v>
      </c>
      <c r="AB43" s="126">
        <f t="shared" si="15"/>
        <v>6.8569738607593166E-9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0.99999951539659893</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0.99999951537706044</v>
      </c>
      <c r="K44">
        <v>1</v>
      </c>
      <c r="L44">
        <v>27</v>
      </c>
      <c r="M44">
        <f t="shared" si="9"/>
        <v>0</v>
      </c>
      <c r="N44">
        <f t="shared" si="0"/>
        <v>27</v>
      </c>
      <c r="O44">
        <f t="shared" si="1"/>
        <v>25.65</v>
      </c>
      <c r="P44">
        <f t="shared" si="2"/>
        <v>28.35</v>
      </c>
      <c r="Q44">
        <f t="shared" si="10"/>
        <v>0</v>
      </c>
      <c r="R44" s="126">
        <f t="shared" si="3"/>
        <v>4.0758271221105674E-9</v>
      </c>
      <c r="S44" s="126">
        <f t="shared" si="4"/>
        <v>1.3731812082874802E-8</v>
      </c>
      <c r="T44">
        <v>1</v>
      </c>
      <c r="U44">
        <v>68</v>
      </c>
      <c r="V44">
        <f t="shared" si="11"/>
        <v>0</v>
      </c>
      <c r="W44">
        <f t="shared" si="12"/>
        <v>68</v>
      </c>
      <c r="X44">
        <f t="shared" si="5"/>
        <v>61.2</v>
      </c>
      <c r="Y44">
        <f t="shared" si="6"/>
        <v>74.800000000000011</v>
      </c>
      <c r="Z44">
        <f t="shared" si="13"/>
        <v>0</v>
      </c>
      <c r="AA44" s="126">
        <f t="shared" si="14"/>
        <v>2.8827725326004216E-9</v>
      </c>
      <c r="AB44" s="126">
        <f t="shared" si="15"/>
        <v>7.3195644572564209E-9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4.5286968023020533E-9</v>
      </c>
      <c r="S45" s="126">
        <f t="shared" si="4"/>
        <v>1.4599651580619324E-8</v>
      </c>
      <c r="T45">
        <v>1</v>
      </c>
      <c r="U45">
        <v>82</v>
      </c>
      <c r="V45">
        <f t="shared" si="11"/>
        <v>0</v>
      </c>
      <c r="W45">
        <f t="shared" si="12"/>
        <v>82</v>
      </c>
      <c r="X45">
        <f t="shared" si="5"/>
        <v>73.8</v>
      </c>
      <c r="Y45">
        <f t="shared" si="6"/>
        <v>90.2</v>
      </c>
      <c r="Z45">
        <f t="shared" si="13"/>
        <v>0</v>
      </c>
      <c r="AA45" s="126">
        <f t="shared" si="14"/>
        <v>3.2030805917478173E-9</v>
      </c>
      <c r="AB45" s="126">
        <f t="shared" si="15"/>
        <v>7.7821550537455768E-9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4.9815664824849323E-9</v>
      </c>
      <c r="S46" s="126">
        <f t="shared" si="4"/>
        <v>1.5467491078348933E-8</v>
      </c>
      <c r="T46">
        <v>10</v>
      </c>
      <c r="U46">
        <v>10</v>
      </c>
      <c r="V46">
        <f t="shared" si="11"/>
        <v>0</v>
      </c>
      <c r="W46">
        <f t="shared" si="12"/>
        <v>100</v>
      </c>
      <c r="X46">
        <f t="shared" si="5"/>
        <v>90</v>
      </c>
      <c r="Y46">
        <f t="shared" si="6"/>
        <v>110.00000000000001</v>
      </c>
      <c r="Z46">
        <f t="shared" si="13"/>
        <v>0</v>
      </c>
      <c r="AA46" s="126">
        <f t="shared" si="14"/>
        <v>3.5233886508891263E-9</v>
      </c>
      <c r="AB46" s="126">
        <f t="shared" si="15"/>
        <v>8.244745650226786E-9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5.4344361626592078E-9</v>
      </c>
      <c r="S47" s="126">
        <f t="shared" si="4"/>
        <v>1.6335330576063636E-8</v>
      </c>
      <c r="T47">
        <v>10</v>
      </c>
      <c r="U47">
        <v>12</v>
      </c>
      <c r="V47">
        <f t="shared" si="11"/>
        <v>0</v>
      </c>
      <c r="W47">
        <f>U47*T47</f>
        <v>120</v>
      </c>
      <c r="X47">
        <f t="shared" si="5"/>
        <v>108</v>
      </c>
      <c r="Y47">
        <f t="shared" si="6"/>
        <v>132</v>
      </c>
      <c r="Z47">
        <f t="shared" si="13"/>
        <v>0</v>
      </c>
      <c r="AA47" s="126">
        <f t="shared" si="14"/>
        <v>3.8436967100243492E-9</v>
      </c>
      <c r="AB47" s="126">
        <f t="shared" si="15"/>
        <v>8.7073362467000476E-9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5.887305842824879E-9</v>
      </c>
      <c r="S48" s="126">
        <f t="shared" si="4"/>
        <v>1.7203170073763424E-8</v>
      </c>
      <c r="T48">
        <v>10</v>
      </c>
      <c r="U48">
        <v>15</v>
      </c>
      <c r="V48">
        <f t="shared" si="11"/>
        <v>0</v>
      </c>
      <c r="W48">
        <f t="shared" si="12"/>
        <v>150</v>
      </c>
      <c r="X48">
        <f t="shared" si="5"/>
        <v>135</v>
      </c>
      <c r="Y48">
        <f t="shared" si="6"/>
        <v>165</v>
      </c>
      <c r="Z48">
        <f t="shared" si="13"/>
        <v>0</v>
      </c>
      <c r="AA48" s="126">
        <f t="shared" si="14"/>
        <v>4.164004769153487E-9</v>
      </c>
      <c r="AB48" s="126">
        <f t="shared" si="15"/>
        <v>9.16992684316536E-9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6.4911320830323915E-9</v>
      </c>
      <c r="S49" s="126">
        <f t="shared" si="4"/>
        <v>1.8360289404006618E-8</v>
      </c>
      <c r="T49">
        <v>10</v>
      </c>
      <c r="U49">
        <v>18</v>
      </c>
      <c r="V49">
        <f t="shared" si="11"/>
        <v>0</v>
      </c>
      <c r="W49">
        <f t="shared" si="12"/>
        <v>180</v>
      </c>
      <c r="X49">
        <f t="shared" si="5"/>
        <v>162</v>
      </c>
      <c r="Y49">
        <f t="shared" si="6"/>
        <v>198.00000000000003</v>
      </c>
      <c r="Z49">
        <f t="shared" si="13"/>
        <v>0</v>
      </c>
      <c r="AA49" s="126">
        <f t="shared" si="14"/>
        <v>4.5910821813162061E-9</v>
      </c>
      <c r="AB49" s="126">
        <f t="shared" si="15"/>
        <v>9.7867143051067485E-9</v>
      </c>
      <c r="AC49" s="126" t="str">
        <f t="shared" si="7"/>
        <v>Vlow exceeds VIL spec</v>
      </c>
      <c r="AD49" s="126" t="str">
        <f t="shared" si="8"/>
        <v>Vlow exceeds VIL spec</v>
      </c>
    </row>
    <row r="50" spans="1:30" x14ac:dyDescent="0.35">
      <c r="A50" t="s">
        <v>320</v>
      </c>
      <c r="B50" s="11">
        <f>F11*(1+H11)</f>
        <v>588</v>
      </c>
      <c r="C50" s="11">
        <f>F11*(1+H11)</f>
        <v>588</v>
      </c>
      <c r="K50">
        <v>1</v>
      </c>
      <c r="L50">
        <v>47</v>
      </c>
      <c r="M50">
        <f t="shared" si="9"/>
        <v>0</v>
      </c>
      <c r="N50">
        <f t="shared" si="0"/>
        <v>47</v>
      </c>
      <c r="O50">
        <f t="shared" si="1"/>
        <v>44.65</v>
      </c>
      <c r="P50">
        <f t="shared" si="2"/>
        <v>49.35</v>
      </c>
      <c r="Q50">
        <f t="shared" si="10"/>
        <v>0</v>
      </c>
      <c r="R50" s="126">
        <f t="shared" si="3"/>
        <v>7.0949583232246044E-9</v>
      </c>
      <c r="S50" s="126">
        <f t="shared" si="4"/>
        <v>1.9517408734223299E-8</v>
      </c>
      <c r="T50">
        <v>10</v>
      </c>
      <c r="U50">
        <v>22</v>
      </c>
      <c r="V50">
        <f t="shared" si="11"/>
        <v>0</v>
      </c>
      <c r="W50">
        <f t="shared" si="12"/>
        <v>220</v>
      </c>
      <c r="X50">
        <f t="shared" si="5"/>
        <v>198</v>
      </c>
      <c r="Y50">
        <f t="shared" si="6"/>
        <v>242.00000000000003</v>
      </c>
      <c r="Z50">
        <f t="shared" si="13"/>
        <v>0</v>
      </c>
      <c r="AA50" s="126">
        <f t="shared" si="14"/>
        <v>5.0181595934681032E-9</v>
      </c>
      <c r="AB50" s="126">
        <f t="shared" si="15"/>
        <v>1.0403501767034002E-8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7.6987845634015187E-9</v>
      </c>
      <c r="S51" s="126">
        <f t="shared" si="4"/>
        <v>2.0674528064413474E-8</v>
      </c>
      <c r="T51">
        <v>10</v>
      </c>
      <c r="U51">
        <v>27</v>
      </c>
      <c r="V51">
        <f t="shared" si="11"/>
        <v>1</v>
      </c>
      <c r="W51">
        <f t="shared" si="12"/>
        <v>270</v>
      </c>
      <c r="X51">
        <f t="shared" si="5"/>
        <v>243</v>
      </c>
      <c r="Y51">
        <f t="shared" si="6"/>
        <v>297</v>
      </c>
      <c r="Z51">
        <f t="shared" si="13"/>
        <v>1</v>
      </c>
      <c r="AA51" s="126">
        <f t="shared" si="14"/>
        <v>5.44523700560918E-9</v>
      </c>
      <c r="AB51" s="126">
        <f t="shared" si="15"/>
        <v>1.1020289228947131E-8</v>
      </c>
      <c r="AC51" s="126" t="str">
        <f t="shared" si="7"/>
        <v>Vlow exceeds VIL spec</v>
      </c>
      <c r="AD51" s="126" t="str">
        <f t="shared" si="8"/>
        <v>Vlow exceeds VIL spec</v>
      </c>
    </row>
    <row r="52" spans="1:30" x14ac:dyDescent="0.35">
      <c r="A52" t="s">
        <v>324</v>
      </c>
      <c r="B52" s="1">
        <f>K21</f>
        <v>21.49240538481077</v>
      </c>
      <c r="C52">
        <v>0</v>
      </c>
      <c r="K52">
        <v>1</v>
      </c>
      <c r="L52">
        <v>56</v>
      </c>
      <c r="M52">
        <f t="shared" si="9"/>
        <v>0</v>
      </c>
      <c r="N52">
        <f t="shared" si="0"/>
        <v>56</v>
      </c>
      <c r="O52">
        <f t="shared" si="1"/>
        <v>53.199999999999996</v>
      </c>
      <c r="P52">
        <f t="shared" si="2"/>
        <v>58.800000000000004</v>
      </c>
      <c r="Q52">
        <f t="shared" si="10"/>
        <v>0</v>
      </c>
      <c r="R52" s="126">
        <f t="shared" si="3"/>
        <v>8.4535673636011532E-9</v>
      </c>
      <c r="S52" s="126">
        <f t="shared" si="4"/>
        <v>2.2120927227113915E-8</v>
      </c>
      <c r="T52">
        <v>10</v>
      </c>
      <c r="U52">
        <v>33</v>
      </c>
      <c r="V52">
        <f t="shared" si="11"/>
        <v>2</v>
      </c>
      <c r="W52">
        <f t="shared" si="12"/>
        <v>330</v>
      </c>
      <c r="X52">
        <f t="shared" si="5"/>
        <v>297</v>
      </c>
      <c r="Y52">
        <f t="shared" si="6"/>
        <v>363.00000000000006</v>
      </c>
      <c r="Z52">
        <f t="shared" si="13"/>
        <v>1</v>
      </c>
      <c r="AA52" s="126">
        <f t="shared" si="14"/>
        <v>5.9790837707703136E-9</v>
      </c>
      <c r="AB52" s="126">
        <f t="shared" si="15"/>
        <v>1.1791273556318669E-8</v>
      </c>
      <c r="AC52" s="126" t="str">
        <f t="shared" si="7"/>
        <v>Vlow exceeds VIL spec</v>
      </c>
      <c r="AD52" s="126" t="str">
        <f t="shared" si="8"/>
        <v>Vlow exceeds VIL spec</v>
      </c>
    </row>
    <row r="53" spans="1:30" x14ac:dyDescent="0.35">
      <c r="A53" t="s">
        <v>327</v>
      </c>
      <c r="B53">
        <v>0</v>
      </c>
      <c r="C53" s="1">
        <f>K21</f>
        <v>21.49240538481077</v>
      </c>
      <c r="K53">
        <v>1</v>
      </c>
      <c r="L53">
        <v>62</v>
      </c>
      <c r="M53">
        <f t="shared" si="9"/>
        <v>0</v>
      </c>
      <c r="N53">
        <f t="shared" si="0"/>
        <v>62</v>
      </c>
      <c r="O53">
        <f t="shared" si="1"/>
        <v>58.9</v>
      </c>
      <c r="P53">
        <f t="shared" si="2"/>
        <v>65.100000000000009</v>
      </c>
      <c r="Q53">
        <f t="shared" si="10"/>
        <v>0</v>
      </c>
      <c r="R53" s="126">
        <f t="shared" si="3"/>
        <v>9.3593067238091662E-9</v>
      </c>
      <c r="S53" s="126">
        <f t="shared" si="4"/>
        <v>2.385660622229977E-8</v>
      </c>
      <c r="T53">
        <v>10</v>
      </c>
      <c r="U53">
        <v>39</v>
      </c>
      <c r="V53">
        <f t="shared" si="11"/>
        <v>3</v>
      </c>
      <c r="W53">
        <f t="shared" si="12"/>
        <v>390</v>
      </c>
      <c r="X53">
        <f t="shared" si="5"/>
        <v>351</v>
      </c>
      <c r="Y53">
        <f t="shared" si="6"/>
        <v>429.00000000000006</v>
      </c>
      <c r="Z53">
        <f t="shared" si="13"/>
        <v>1</v>
      </c>
      <c r="AA53" s="126">
        <f t="shared" si="14"/>
        <v>6.6196998889413597E-9</v>
      </c>
      <c r="AB53" s="126">
        <f t="shared" si="15"/>
        <v>1.2716454749135371E-8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1.0265046083982759E-8</v>
      </c>
      <c r="S54" s="126">
        <f t="shared" si="4"/>
        <v>2.5592285217425972E-8</v>
      </c>
      <c r="T54">
        <v>10</v>
      </c>
      <c r="U54">
        <v>47</v>
      </c>
      <c r="V54">
        <f t="shared" si="11"/>
        <v>4</v>
      </c>
      <c r="W54">
        <f t="shared" si="12"/>
        <v>470</v>
      </c>
      <c r="X54">
        <f t="shared" si="5"/>
        <v>423</v>
      </c>
      <c r="Y54">
        <f t="shared" si="6"/>
        <v>517</v>
      </c>
      <c r="Z54">
        <f t="shared" si="13"/>
        <v>1</v>
      </c>
      <c r="AA54" s="126">
        <f t="shared" si="14"/>
        <v>7.2603160070880602E-9</v>
      </c>
      <c r="AB54" s="126">
        <f t="shared" si="15"/>
        <v>1.3641635941920278E-8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1.1321742004141782E-8</v>
      </c>
      <c r="S55" s="126">
        <f t="shared" si="4"/>
        <v>2.7617244044997835E-8</v>
      </c>
      <c r="T55">
        <v>10</v>
      </c>
      <c r="U55">
        <v>56</v>
      </c>
      <c r="V55">
        <f t="shared" si="11"/>
        <v>5</v>
      </c>
      <c r="W55">
        <f t="shared" si="12"/>
        <v>560</v>
      </c>
      <c r="X55">
        <f t="shared" si="5"/>
        <v>504</v>
      </c>
      <c r="Y55">
        <f t="shared" si="6"/>
        <v>616</v>
      </c>
      <c r="Z55">
        <f t="shared" si="13"/>
        <v>1</v>
      </c>
      <c r="AA55" s="126">
        <f t="shared" si="14"/>
        <v>8.0077014782284446E-9</v>
      </c>
      <c r="AB55" s="126">
        <f t="shared" si="15"/>
        <v>1.4721014000129157E-8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1.2378437924253962E-8</v>
      </c>
      <c r="S56" s="126">
        <f t="shared" si="4"/>
        <v>2.9642202872488517E-8</v>
      </c>
      <c r="T56">
        <v>10</v>
      </c>
      <c r="U56">
        <v>68</v>
      </c>
      <c r="V56">
        <f t="shared" si="11"/>
        <v>6</v>
      </c>
      <c r="W56">
        <f t="shared" si="12"/>
        <v>680</v>
      </c>
      <c r="X56">
        <f t="shared" si="5"/>
        <v>612</v>
      </c>
      <c r="Y56">
        <f t="shared" si="6"/>
        <v>748.00000000000011</v>
      </c>
      <c r="Z56">
        <f t="shared" si="13"/>
        <v>1</v>
      </c>
      <c r="AA56" s="126">
        <f t="shared" si="14"/>
        <v>8.7550869493356963E-9</v>
      </c>
      <c r="AB56" s="126">
        <f t="shared" si="15"/>
        <v>1.5800392058294765E-8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1.3737046964329354E-8</v>
      </c>
      <c r="S57" s="126">
        <f t="shared" si="4"/>
        <v>3.2245721364857235E-8</v>
      </c>
      <c r="T57">
        <v>10</v>
      </c>
      <c r="U57">
        <v>82</v>
      </c>
      <c r="V57">
        <f t="shared" si="11"/>
        <v>7</v>
      </c>
      <c r="W57">
        <f t="shared" si="12"/>
        <v>820</v>
      </c>
      <c r="X57">
        <f t="shared" si="5"/>
        <v>738</v>
      </c>
      <c r="Y57">
        <f t="shared" si="6"/>
        <v>902.00000000000011</v>
      </c>
      <c r="Z57">
        <f t="shared" si="13"/>
        <v>1</v>
      </c>
      <c r="AA57" s="126">
        <f t="shared" si="14"/>
        <v>9.7160111264249028E-9</v>
      </c>
      <c r="AB57" s="126">
        <f t="shared" si="15"/>
        <v>1.7188163847301242E-8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1.5095656004327307E-8</v>
      </c>
      <c r="S58" s="126">
        <f t="shared" si="4"/>
        <v>3.4849239857091765E-8</v>
      </c>
      <c r="T58">
        <v>100</v>
      </c>
      <c r="U58">
        <v>10</v>
      </c>
      <c r="V58">
        <f t="shared" si="11"/>
        <v>8</v>
      </c>
      <c r="W58">
        <f t="shared" si="12"/>
        <v>1000</v>
      </c>
      <c r="X58">
        <f t="shared" si="5"/>
        <v>900</v>
      </c>
      <c r="Y58">
        <f t="shared" si="6"/>
        <v>1100</v>
      </c>
      <c r="Z58">
        <f t="shared" si="13"/>
        <v>0</v>
      </c>
      <c r="AA58" s="126">
        <f t="shared" si="14"/>
        <v>1.0676935303459338E-8</v>
      </c>
      <c r="AB58" s="126">
        <f t="shared" si="15"/>
        <v>1.8575935636236185E-8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1.6605221604234205E-8</v>
      </c>
      <c r="S59" s="126">
        <f t="shared" si="4"/>
        <v>3.77420381816394E-8</v>
      </c>
      <c r="T59">
        <v>100</v>
      </c>
      <c r="U59">
        <v>12</v>
      </c>
      <c r="V59">
        <f t="shared" si="11"/>
        <v>8</v>
      </c>
      <c r="W59">
        <f t="shared" si="12"/>
        <v>1200</v>
      </c>
      <c r="X59">
        <f t="shared" si="5"/>
        <v>1080</v>
      </c>
      <c r="Y59">
        <f t="shared" si="6"/>
        <v>1320</v>
      </c>
      <c r="Z59">
        <f t="shared" si="13"/>
        <v>0</v>
      </c>
      <c r="AA59" s="126">
        <f t="shared" si="14"/>
        <v>1.1744628833433358E-8</v>
      </c>
      <c r="AB59" s="126">
        <f t="shared" si="15"/>
        <v>2.0117904290524454E-8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1.8114787204045498E-8</v>
      </c>
      <c r="S60" s="126">
        <f t="shared" si="4"/>
        <v>4.0634836506021361E-8</v>
      </c>
      <c r="T60">
        <v>100</v>
      </c>
      <c r="U60">
        <v>15</v>
      </c>
      <c r="V60">
        <f t="shared" si="11"/>
        <v>8</v>
      </c>
      <c r="W60">
        <f t="shared" si="12"/>
        <v>1500</v>
      </c>
      <c r="X60">
        <f t="shared" si="5"/>
        <v>1350</v>
      </c>
      <c r="Y60">
        <f t="shared" si="6"/>
        <v>1650.0000000000002</v>
      </c>
      <c r="Z60">
        <f t="shared" si="13"/>
        <v>0</v>
      </c>
      <c r="AA60" s="126">
        <f t="shared" si="14"/>
        <v>1.2812322363339758E-8</v>
      </c>
      <c r="AB60" s="126">
        <f t="shared" si="15"/>
        <v>2.1659872944724406E-8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1.9624352803761184E-8</v>
      </c>
      <c r="S61" s="126">
        <f t="shared" si="4"/>
        <v>4.3527634830237627E-8</v>
      </c>
      <c r="T61">
        <v>100</v>
      </c>
      <c r="U61">
        <v>18</v>
      </c>
      <c r="V61">
        <f t="shared" si="11"/>
        <v>8</v>
      </c>
      <c r="W61">
        <f t="shared" si="12"/>
        <v>1800</v>
      </c>
      <c r="X61">
        <f t="shared" si="5"/>
        <v>1620</v>
      </c>
      <c r="Y61">
        <f t="shared" si="6"/>
        <v>1980.0000000000002</v>
      </c>
      <c r="Z61">
        <f t="shared" si="13"/>
        <v>0</v>
      </c>
      <c r="AA61" s="126">
        <f t="shared" si="14"/>
        <v>1.3880015893178537E-8</v>
      </c>
      <c r="AB61" s="126">
        <f t="shared" si="15"/>
        <v>2.3201841598836042E-8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0.99999934533654877</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0.99999934536042911</v>
      </c>
      <c r="K62">
        <v>10</v>
      </c>
      <c r="L62">
        <v>15</v>
      </c>
      <c r="M62">
        <f t="shared" si="9"/>
        <v>0</v>
      </c>
      <c r="N62">
        <f t="shared" si="0"/>
        <v>150</v>
      </c>
      <c r="O62">
        <f t="shared" si="1"/>
        <v>142.5</v>
      </c>
      <c r="P62">
        <f t="shared" si="2"/>
        <v>157.5</v>
      </c>
      <c r="Q62">
        <f t="shared" si="10"/>
        <v>0</v>
      </c>
      <c r="R62" s="126">
        <f t="shared" si="3"/>
        <v>2.2643484002905742E-8</v>
      </c>
      <c r="S62" s="126">
        <f t="shared" si="4"/>
        <v>4.9313231478173158E-8</v>
      </c>
      <c r="T62">
        <v>100</v>
      </c>
      <c r="U62">
        <v>22</v>
      </c>
      <c r="V62">
        <f t="shared" si="11"/>
        <v>8</v>
      </c>
      <c r="W62">
        <f t="shared" si="12"/>
        <v>2200</v>
      </c>
      <c r="X62">
        <f t="shared" si="5"/>
        <v>1980</v>
      </c>
      <c r="Y62">
        <f t="shared" si="6"/>
        <v>2420</v>
      </c>
      <c r="Z62">
        <f t="shared" si="13"/>
        <v>0</v>
      </c>
      <c r="AA62" s="126">
        <f t="shared" si="14"/>
        <v>1.6015402952653235E-8</v>
      </c>
      <c r="AB62" s="126">
        <f t="shared" si="15"/>
        <v>2.6285778906794384E-8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0.99999934536042911</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0.99999934536042911</v>
      </c>
      <c r="K63">
        <v>10</v>
      </c>
      <c r="L63">
        <v>16</v>
      </c>
      <c r="M63">
        <f t="shared" si="9"/>
        <v>0</v>
      </c>
      <c r="N63">
        <f t="shared" si="0"/>
        <v>160</v>
      </c>
      <c r="O63">
        <f t="shared" si="1"/>
        <v>152</v>
      </c>
      <c r="P63">
        <f t="shared" si="2"/>
        <v>168</v>
      </c>
      <c r="Q63">
        <f t="shared" si="10"/>
        <v>0</v>
      </c>
      <c r="R63" s="126">
        <f t="shared" si="3"/>
        <v>2.4153049602334609E-8</v>
      </c>
      <c r="S63" s="126">
        <f t="shared" si="4"/>
        <v>5.2206029801892395E-8</v>
      </c>
      <c r="T63">
        <v>100</v>
      </c>
      <c r="U63">
        <v>27</v>
      </c>
      <c r="V63">
        <f t="shared" si="11"/>
        <v>8</v>
      </c>
      <c r="W63">
        <f t="shared" si="12"/>
        <v>2700</v>
      </c>
      <c r="X63">
        <f t="shared" si="5"/>
        <v>2430</v>
      </c>
      <c r="Y63">
        <f t="shared" si="6"/>
        <v>2970.0000000000005</v>
      </c>
      <c r="Z63">
        <f t="shared" si="13"/>
        <v>0</v>
      </c>
      <c r="AA63" s="126">
        <f t="shared" si="14"/>
        <v>1.7083096482289151E-8</v>
      </c>
      <c r="AB63" s="126">
        <f t="shared" si="15"/>
        <v>2.7827747560641084E-8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0.99999934536042911</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0.99999934533654877</v>
      </c>
      <c r="K64">
        <v>10</v>
      </c>
      <c r="L64">
        <v>18</v>
      </c>
      <c r="M64">
        <f t="shared" si="9"/>
        <v>0</v>
      </c>
      <c r="N64">
        <f t="shared" si="0"/>
        <v>180</v>
      </c>
      <c r="O64">
        <f t="shared" si="1"/>
        <v>171</v>
      </c>
      <c r="P64">
        <f t="shared" si="2"/>
        <v>189</v>
      </c>
      <c r="Q64">
        <f t="shared" si="10"/>
        <v>0</v>
      </c>
      <c r="R64" s="126">
        <f t="shared" si="3"/>
        <v>2.7172180800905533E-8</v>
      </c>
      <c r="S64" s="126">
        <f t="shared" si="4"/>
        <v>5.7991626448833846E-8</v>
      </c>
      <c r="T64">
        <v>100</v>
      </c>
      <c r="U64">
        <v>33</v>
      </c>
      <c r="V64">
        <f t="shared" si="11"/>
        <v>8</v>
      </c>
      <c r="W64">
        <f t="shared" si="12"/>
        <v>3300</v>
      </c>
      <c r="X64">
        <f t="shared" si="5"/>
        <v>2970</v>
      </c>
      <c r="Y64">
        <f t="shared" si="6"/>
        <v>3630.0000000000005</v>
      </c>
      <c r="Z64">
        <f t="shared" si="13"/>
        <v>0</v>
      </c>
      <c r="AA64" s="126">
        <f t="shared" si="14"/>
        <v>1.9218483541358125E-8</v>
      </c>
      <c r="AB64" s="126">
        <f t="shared" si="15"/>
        <v>3.0911684868069551E-8</v>
      </c>
      <c r="AC64" s="126">
        <f t="shared" si="7"/>
        <v>6.3767559280944888E-8</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3.0191311999094028E-8</v>
      </c>
      <c r="S65" s="126">
        <f t="shared" si="4"/>
        <v>6.3777223095112566E-8</v>
      </c>
      <c r="T65">
        <v>100</v>
      </c>
      <c r="U65">
        <v>39</v>
      </c>
      <c r="V65">
        <f t="shared" si="11"/>
        <v>8</v>
      </c>
      <c r="W65">
        <f t="shared" si="12"/>
        <v>3900</v>
      </c>
      <c r="X65">
        <f t="shared" si="5"/>
        <v>3510</v>
      </c>
      <c r="Y65">
        <f t="shared" si="6"/>
        <v>4290</v>
      </c>
      <c r="Z65">
        <f t="shared" si="13"/>
        <v>0</v>
      </c>
      <c r="AA65" s="126">
        <f t="shared" si="14"/>
        <v>2.1353870600156614E-8</v>
      </c>
      <c r="AB65" s="126">
        <f t="shared" si="15"/>
        <v>3.3995622175144755E-8</v>
      </c>
      <c r="AC65" s="126">
        <f t="shared" si="7"/>
        <v>3.8874422190298158E-8</v>
      </c>
      <c r="AD65" s="126" t="str">
        <f t="shared" si="8"/>
        <v>Vlow exceeds VIL spec</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3.3210443196900104E-8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6.9562819740728596E-8</v>
      </c>
      <c r="T66">
        <v>100</v>
      </c>
      <c r="U66">
        <v>47</v>
      </c>
      <c r="V66">
        <f t="shared" si="11"/>
        <v>8</v>
      </c>
      <c r="W66">
        <f t="shared" si="12"/>
        <v>4700</v>
      </c>
      <c r="X66">
        <f t="shared" si="5"/>
        <v>4230</v>
      </c>
      <c r="Y66">
        <f t="shared" si="6"/>
        <v>5170</v>
      </c>
      <c r="Z66">
        <f t="shared" si="13"/>
        <v>0</v>
      </c>
      <c r="AA66" s="126">
        <f t="shared" si="14"/>
        <v>2.3489257658684622E-8</v>
      </c>
      <c r="AB66" s="126">
        <f t="shared" si="15"/>
        <v>3.7079559481866714E-8</v>
      </c>
      <c r="AC66" s="126">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3.2162048675862361E-8</v>
      </c>
      <c r="AD66" s="126" t="str">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67" spans="1:31" x14ac:dyDescent="0.35">
      <c r="B67" s="171" t="s">
        <v>354</v>
      </c>
      <c r="C67" s="171"/>
      <c r="I67" s="128"/>
      <c r="K67">
        <v>10</v>
      </c>
      <c r="L67">
        <v>24</v>
      </c>
      <c r="M67">
        <f t="shared" si="9"/>
        <v>1</v>
      </c>
      <c r="N67">
        <f t="shared" si="0"/>
        <v>240</v>
      </c>
      <c r="O67">
        <f t="shared" si="1"/>
        <v>228</v>
      </c>
      <c r="P67">
        <f t="shared" si="2"/>
        <v>252</v>
      </c>
      <c r="Q67">
        <f t="shared" si="10"/>
        <v>1</v>
      </c>
      <c r="R67" s="126">
        <f t="shared" si="16"/>
        <v>3.6229574394323758E-8</v>
      </c>
      <c r="S67" s="126">
        <f t="shared" si="17"/>
        <v>7.5348416385681902E-8</v>
      </c>
      <c r="T67">
        <v>100</v>
      </c>
      <c r="U67">
        <v>56</v>
      </c>
      <c r="V67">
        <f t="shared" si="11"/>
        <v>8</v>
      </c>
      <c r="W67">
        <f t="shared" si="12"/>
        <v>5600</v>
      </c>
      <c r="X67">
        <f t="shared" si="5"/>
        <v>5040</v>
      </c>
      <c r="Y67">
        <f t="shared" si="6"/>
        <v>6160.0000000000009</v>
      </c>
      <c r="Z67">
        <f t="shared" si="13"/>
        <v>0</v>
      </c>
      <c r="AA67" s="126">
        <f t="shared" si="14"/>
        <v>2.5624644716942152E-8</v>
      </c>
      <c r="AB67" s="126">
        <f t="shared" si="15"/>
        <v>4.0163496788235427E-8</v>
      </c>
      <c r="AC67" s="126">
        <f t="shared" si="18"/>
        <v>2.8534656613813159E-8</v>
      </c>
      <c r="AD67" s="126">
        <f t="shared" si="19"/>
        <v>8.7307076422293967E-8</v>
      </c>
    </row>
    <row r="68" spans="1:31" ht="28.4" customHeight="1" x14ac:dyDescent="0.35">
      <c r="B68" s="32" t="s">
        <v>355</v>
      </c>
      <c r="C68" s="32" t="s">
        <v>356</v>
      </c>
      <c r="D68" s="32" t="s">
        <v>357</v>
      </c>
      <c r="E68" s="32" t="str">
        <f>IF(Summary!S37="absolute","find min R2, so that max (Vz) = " &amp; TRUNC(R3/J2,3),"find min R2, so that max (Vz) = " &amp; R3)</f>
        <v>find min R2, so that max (Vz) = 0.444</v>
      </c>
      <c r="F68" s="32" t="s">
        <v>358</v>
      </c>
      <c r="G68" s="32" t="s">
        <v>359</v>
      </c>
      <c r="H68" s="32" t="s">
        <v>360</v>
      </c>
      <c r="I68" s="49"/>
      <c r="J68" s="49"/>
      <c r="K68">
        <v>10</v>
      </c>
      <c r="L68">
        <v>27</v>
      </c>
      <c r="M68">
        <f t="shared" si="9"/>
        <v>2</v>
      </c>
      <c r="N68">
        <f t="shared" si="0"/>
        <v>270</v>
      </c>
      <c r="O68">
        <f t="shared" si="1"/>
        <v>256.5</v>
      </c>
      <c r="P68">
        <f t="shared" si="2"/>
        <v>283.5</v>
      </c>
      <c r="Q68">
        <f t="shared" si="10"/>
        <v>1</v>
      </c>
      <c r="R68" s="126">
        <f t="shared" si="16"/>
        <v>4.0758271189742187E-8</v>
      </c>
      <c r="S68" s="126">
        <f t="shared" si="17"/>
        <v>8.402681135186927E-8</v>
      </c>
      <c r="T68">
        <v>100</v>
      </c>
      <c r="U68">
        <v>68</v>
      </c>
      <c r="V68">
        <f t="shared" si="11"/>
        <v>8</v>
      </c>
      <c r="W68">
        <f t="shared" si="12"/>
        <v>6800</v>
      </c>
      <c r="X68">
        <f t="shared" si="5"/>
        <v>6120</v>
      </c>
      <c r="Y68">
        <f t="shared" si="6"/>
        <v>7480.0000000000009</v>
      </c>
      <c r="Z68">
        <f t="shared" si="13"/>
        <v>0</v>
      </c>
      <c r="AA68" s="126">
        <f t="shared" si="14"/>
        <v>2.8827725303821282E-8</v>
      </c>
      <c r="AB68" s="126">
        <f t="shared" si="15"/>
        <v>4.478940274712614E-8</v>
      </c>
      <c r="AC68" s="126">
        <f t="shared" si="18"/>
        <v>2.5298188842819484E-8</v>
      </c>
      <c r="AD68" s="126">
        <f t="shared" si="19"/>
        <v>4.4280435729854092E-8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3</v>
      </c>
      <c r="N69">
        <f t="shared" si="0"/>
        <v>300</v>
      </c>
      <c r="O69">
        <f t="shared" si="1"/>
        <v>285</v>
      </c>
      <c r="P69">
        <f t="shared" si="2"/>
        <v>315</v>
      </c>
      <c r="Q69">
        <f t="shared" si="10"/>
        <v>1</v>
      </c>
      <c r="R69" s="126">
        <f t="shared" si="16"/>
        <v>4.5286967984300168E-8</v>
      </c>
      <c r="S69" s="126">
        <f t="shared" si="17"/>
        <v>9.2705206316565529E-8</v>
      </c>
      <c r="T69">
        <v>100</v>
      </c>
      <c r="U69">
        <v>82</v>
      </c>
      <c r="V69">
        <f t="shared" si="11"/>
        <v>8</v>
      </c>
      <c r="W69">
        <f t="shared" si="12"/>
        <v>8200</v>
      </c>
      <c r="X69">
        <f t="shared" si="5"/>
        <v>7380</v>
      </c>
      <c r="Y69">
        <f t="shared" si="6"/>
        <v>9020</v>
      </c>
      <c r="Z69">
        <f t="shared" si="13"/>
        <v>0</v>
      </c>
      <c r="AA69" s="126">
        <f t="shared" si="14"/>
        <v>3.2030805890091832E-8</v>
      </c>
      <c r="AB69" s="126">
        <f t="shared" si="15"/>
        <v>4.9415308705222044E-8</v>
      </c>
      <c r="AC69" s="126">
        <f t="shared" si="18"/>
        <v>2.3295231265687652E-8</v>
      </c>
      <c r="AD69" s="126">
        <f t="shared" si="19"/>
        <v>3.6631673184258033E-8</v>
      </c>
    </row>
    <row r="70" spans="1:31" x14ac:dyDescent="0.35">
      <c r="A70" t="s">
        <v>320</v>
      </c>
      <c r="B70" s="11">
        <f>F11*(1+H11)</f>
        <v>588</v>
      </c>
      <c r="C70" s="11">
        <f>F11*(1-H11)</f>
        <v>532</v>
      </c>
      <c r="D70" s="11">
        <f>F11*(1+H11)</f>
        <v>588</v>
      </c>
      <c r="E70" s="11"/>
      <c r="F70" s="11">
        <f>F11*(1-H11)</f>
        <v>532</v>
      </c>
      <c r="G70" s="11">
        <f>F11*(1-H11)</f>
        <v>532</v>
      </c>
      <c r="H70" s="11">
        <f>F11*(1+H11)</f>
        <v>588</v>
      </c>
      <c r="K70">
        <v>10</v>
      </c>
      <c r="L70">
        <v>33</v>
      </c>
      <c r="M70">
        <f t="shared" si="9"/>
        <v>4</v>
      </c>
      <c r="N70">
        <f t="shared" si="0"/>
        <v>330</v>
      </c>
      <c r="O70">
        <f t="shared" si="1"/>
        <v>313.5</v>
      </c>
      <c r="P70">
        <f t="shared" si="2"/>
        <v>346.5</v>
      </c>
      <c r="Q70">
        <f t="shared" si="10"/>
        <v>1</v>
      </c>
      <c r="R70" s="126">
        <f t="shared" si="16"/>
        <v>4.981566477799769E-8</v>
      </c>
      <c r="S70" s="126">
        <f t="shared" si="17"/>
        <v>1.0138360127977071E-7</v>
      </c>
      <c r="T70">
        <v>1000</v>
      </c>
      <c r="U70">
        <v>10</v>
      </c>
      <c r="V70">
        <f t="shared" si="11"/>
        <v>8</v>
      </c>
      <c r="W70">
        <f t="shared" si="12"/>
        <v>10000</v>
      </c>
      <c r="X70">
        <f t="shared" si="5"/>
        <v>9000</v>
      </c>
      <c r="Y70">
        <f t="shared" si="6"/>
        <v>11000</v>
      </c>
      <c r="Z70">
        <f t="shared" si="13"/>
        <v>0</v>
      </c>
      <c r="AA70" s="126">
        <f t="shared" si="14"/>
        <v>3.5233886475753796E-8</v>
      </c>
      <c r="AB70" s="126">
        <f t="shared" si="15"/>
        <v>5.4041214662523141E-8</v>
      </c>
      <c r="AC70" s="126">
        <f t="shared" si="18"/>
        <v>2.192544323576929E-8</v>
      </c>
      <c r="AD70" s="126">
        <f t="shared" si="19"/>
        <v>3.2653763187560507E-8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5</v>
      </c>
      <c r="N71">
        <f t="shared" si="0"/>
        <v>360</v>
      </c>
      <c r="O71">
        <f t="shared" si="1"/>
        <v>342</v>
      </c>
      <c r="P71">
        <f t="shared" si="2"/>
        <v>378</v>
      </c>
      <c r="Q71">
        <f t="shared" si="10"/>
        <v>1</v>
      </c>
      <c r="R71" s="126">
        <f t="shared" si="16"/>
        <v>5.4344361570834773E-8</v>
      </c>
      <c r="S71" s="126">
        <f t="shared" si="17"/>
        <v>1.1006199624148475E-7</v>
      </c>
      <c r="T71">
        <v>1000</v>
      </c>
      <c r="U71">
        <v>12</v>
      </c>
      <c r="V71">
        <f t="shared" si="11"/>
        <v>8</v>
      </c>
      <c r="W71">
        <f t="shared" si="12"/>
        <v>12000</v>
      </c>
      <c r="X71">
        <f t="shared" si="5"/>
        <v>10800</v>
      </c>
      <c r="Y71">
        <f t="shared" si="6"/>
        <v>13200.000000000002</v>
      </c>
      <c r="Z71">
        <f t="shared" si="13"/>
        <v>0</v>
      </c>
      <c r="AA71" s="126">
        <f t="shared" si="14"/>
        <v>3.8436967060807173E-8</v>
      </c>
      <c r="AB71" s="126">
        <f t="shared" si="15"/>
        <v>5.866712061902941E-8</v>
      </c>
      <c r="AC71" s="126">
        <f t="shared" si="18"/>
        <v>2.0928148874591983E-8</v>
      </c>
      <c r="AD71" s="126">
        <f t="shared" si="19"/>
        <v>3.0128143413824782E-8</v>
      </c>
    </row>
    <row r="72" spans="1:31" x14ac:dyDescent="0.35">
      <c r="A72" t="s">
        <v>324</v>
      </c>
      <c r="B72" s="1">
        <f>K21*MIN(K25,K24)</f>
        <v>0</v>
      </c>
      <c r="C72" s="1">
        <f>K21*MAX(K25,K24)</f>
        <v>21.49240538481077</v>
      </c>
      <c r="D72" s="1">
        <f>K21*MIN(K25,K24)</f>
        <v>0</v>
      </c>
      <c r="E72" s="1">
        <f>K21*MAX(K25,K24)</f>
        <v>21.49240538481077</v>
      </c>
      <c r="F72" s="125">
        <f>K21*MAX(K25,K24)</f>
        <v>21.49240538481077</v>
      </c>
      <c r="G72" s="125">
        <f>K22*MAX(K25,K24)</f>
        <v>15.682405384810767</v>
      </c>
      <c r="H72" s="1">
        <f>K22*MIN(K25,K24)</f>
        <v>0</v>
      </c>
      <c r="K72">
        <v>10</v>
      </c>
      <c r="L72">
        <v>39</v>
      </c>
      <c r="M72">
        <f t="shared" si="9"/>
        <v>6</v>
      </c>
      <c r="N72">
        <f t="shared" si="0"/>
        <v>390</v>
      </c>
      <c r="O72">
        <f t="shared" si="1"/>
        <v>370.5</v>
      </c>
      <c r="P72">
        <f t="shared" si="2"/>
        <v>409.5</v>
      </c>
      <c r="Q72">
        <f t="shared" si="10"/>
        <v>1</v>
      </c>
      <c r="R72" s="126">
        <f t="shared" si="16"/>
        <v>5.8873058362811402E-8</v>
      </c>
      <c r="S72" s="126">
        <f t="shared" si="17"/>
        <v>1.1874039120170768E-7</v>
      </c>
      <c r="T72">
        <v>1000</v>
      </c>
      <c r="U72">
        <v>15</v>
      </c>
      <c r="V72">
        <f t="shared" si="11"/>
        <v>8</v>
      </c>
      <c r="W72">
        <f t="shared" si="12"/>
        <v>15000</v>
      </c>
      <c r="X72">
        <f t="shared" si="5"/>
        <v>13500</v>
      </c>
      <c r="Y72">
        <f t="shared" si="6"/>
        <v>16500</v>
      </c>
      <c r="Z72">
        <f t="shared" si="13"/>
        <v>0</v>
      </c>
      <c r="AA72" s="126">
        <f t="shared" si="14"/>
        <v>4.164004764525197E-8</v>
      </c>
      <c r="AB72" s="126">
        <f t="shared" si="15"/>
        <v>6.3293026574740864E-8</v>
      </c>
      <c r="AC72" s="126">
        <f t="shared" si="18"/>
        <v>2.0169640686487781E-8</v>
      </c>
      <c r="AD72" s="126">
        <f t="shared" si="19"/>
        <v>2.8360096905698249E-8</v>
      </c>
    </row>
    <row r="73" spans="1:31" x14ac:dyDescent="0.35">
      <c r="A73" t="s">
        <v>327</v>
      </c>
      <c r="B73" s="1">
        <f>K21-B72</f>
        <v>21.49240538481077</v>
      </c>
      <c r="C73" s="1">
        <f>K21-C72</f>
        <v>0</v>
      </c>
      <c r="D73" s="1">
        <f>K21-D72</f>
        <v>21.49240538481077</v>
      </c>
      <c r="E73" s="1">
        <f>K21-E72</f>
        <v>0</v>
      </c>
      <c r="F73" s="1">
        <f>K21-F72</f>
        <v>0</v>
      </c>
      <c r="G73" s="1">
        <f>K22-G72</f>
        <v>0</v>
      </c>
      <c r="H73" s="1">
        <f>K22-H72</f>
        <v>15.682405384810767</v>
      </c>
      <c r="K73">
        <v>10</v>
      </c>
      <c r="L73">
        <v>43</v>
      </c>
      <c r="M73">
        <f t="shared" si="9"/>
        <v>7</v>
      </c>
      <c r="N73">
        <f t="shared" si="0"/>
        <v>430</v>
      </c>
      <c r="O73">
        <f t="shared" si="1"/>
        <v>408.5</v>
      </c>
      <c r="P73">
        <f t="shared" si="2"/>
        <v>451.5</v>
      </c>
      <c r="Q73">
        <f t="shared" si="10"/>
        <v>1</v>
      </c>
      <c r="R73" s="126">
        <f t="shared" si="16"/>
        <v>6.4911320750775092E-8</v>
      </c>
      <c r="S73" s="126">
        <f t="shared" si="17"/>
        <v>1.3031158447968543E-7</v>
      </c>
      <c r="T73">
        <v>1000</v>
      </c>
      <c r="U73">
        <v>18</v>
      </c>
      <c r="V73">
        <f t="shared" si="11"/>
        <v>8</v>
      </c>
      <c r="W73">
        <f t="shared" si="12"/>
        <v>18000</v>
      </c>
      <c r="X73">
        <f t="shared" si="5"/>
        <v>16200</v>
      </c>
      <c r="Y73">
        <f t="shared" si="6"/>
        <v>19800</v>
      </c>
      <c r="Z73">
        <f t="shared" si="13"/>
        <v>0</v>
      </c>
      <c r="AA73" s="126">
        <f t="shared" si="14"/>
        <v>4.5910821756898344E-8</v>
      </c>
      <c r="AB73" s="126">
        <f t="shared" si="15"/>
        <v>6.9460901181119772E-8</v>
      </c>
      <c r="AC73" s="126">
        <f t="shared" si="18"/>
        <v>1.9402481125398578E-8</v>
      </c>
      <c r="AD73" s="126">
        <f t="shared" si="19"/>
        <v>2.6679280493652651E-8</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8</v>
      </c>
      <c r="N74">
        <f t="shared" si="0"/>
        <v>470</v>
      </c>
      <c r="O74">
        <f t="shared" si="1"/>
        <v>446.5</v>
      </c>
      <c r="P74">
        <f t="shared" si="2"/>
        <v>493.5</v>
      </c>
      <c r="Q74">
        <f t="shared" si="10"/>
        <v>1</v>
      </c>
      <c r="R74" s="126">
        <f t="shared" si="16"/>
        <v>7.0949583137209073E-8</v>
      </c>
      <c r="S74" s="126">
        <f t="shared" si="17"/>
        <v>1.4188277775501236E-7</v>
      </c>
      <c r="T74">
        <v>1000</v>
      </c>
      <c r="U74">
        <v>22</v>
      </c>
      <c r="V74">
        <f t="shared" si="11"/>
        <v>8</v>
      </c>
      <c r="W74">
        <f t="shared" si="12"/>
        <v>22000</v>
      </c>
      <c r="X74">
        <f t="shared" si="5"/>
        <v>19800</v>
      </c>
      <c r="Y74">
        <f t="shared" si="6"/>
        <v>24200.000000000004</v>
      </c>
      <c r="Z74">
        <f t="shared" si="13"/>
        <v>0</v>
      </c>
      <c r="AA74" s="126">
        <f t="shared" si="14"/>
        <v>5.0181595867462772E-8</v>
      </c>
      <c r="AB74" s="126">
        <f t="shared" si="15"/>
        <v>7.562877578608567E-8</v>
      </c>
      <c r="AC74" s="126">
        <f t="shared" si="18"/>
        <v>1.8822008944706451E-8</v>
      </c>
      <c r="AD74" s="126">
        <f t="shared" si="19"/>
        <v>2.5467758171795867E-8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9</v>
      </c>
      <c r="N75">
        <f t="shared" si="0"/>
        <v>510</v>
      </c>
      <c r="O75">
        <f t="shared" si="1"/>
        <v>484.5</v>
      </c>
      <c r="P75">
        <f t="shared" si="2"/>
        <v>535.5</v>
      </c>
      <c r="Q75">
        <f t="shared" si="10"/>
        <v>1</v>
      </c>
      <c r="R75" s="126">
        <f t="shared" si="16"/>
        <v>7.698784552211338E-8</v>
      </c>
      <c r="S75" s="126">
        <f t="shared" si="17"/>
        <v>1.5345397102768844E-7</v>
      </c>
      <c r="T75">
        <v>1000</v>
      </c>
      <c r="U75">
        <v>27</v>
      </c>
      <c r="V75">
        <f t="shared" si="11"/>
        <v>8</v>
      </c>
      <c r="W75">
        <f t="shared" si="12"/>
        <v>27000</v>
      </c>
      <c r="X75">
        <f t="shared" si="5"/>
        <v>24300</v>
      </c>
      <c r="Y75">
        <f t="shared" si="6"/>
        <v>29700.000000000004</v>
      </c>
      <c r="Z75">
        <f t="shared" si="13"/>
        <v>0</v>
      </c>
      <c r="AA75" s="126">
        <f t="shared" si="14"/>
        <v>5.4452369976945294E-8</v>
      </c>
      <c r="AB75" s="126">
        <f t="shared" si="15"/>
        <v>8.1796650389638572E-8</v>
      </c>
      <c r="AC75" s="126">
        <f t="shared" si="18"/>
        <v>1.8368022147001622E-8</v>
      </c>
      <c r="AD75" s="126">
        <f t="shared" si="19"/>
        <v>2.4551537069270366E-8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10</v>
      </c>
      <c r="N76">
        <f t="shared" si="0"/>
        <v>560</v>
      </c>
      <c r="O76">
        <f t="shared" si="1"/>
        <v>532</v>
      </c>
      <c r="P76">
        <f t="shared" si="2"/>
        <v>588</v>
      </c>
      <c r="Q76">
        <f t="shared" si="10"/>
        <v>1</v>
      </c>
      <c r="R76" s="126">
        <f t="shared" si="16"/>
        <v>8.4535673501092623E-8</v>
      </c>
      <c r="S76" s="126">
        <f t="shared" si="17"/>
        <v>1.6791796261480574E-7</v>
      </c>
      <c r="T76">
        <v>1000</v>
      </c>
      <c r="U76">
        <v>33</v>
      </c>
      <c r="V76">
        <f t="shared" si="11"/>
        <v>8</v>
      </c>
      <c r="W76">
        <f t="shared" si="12"/>
        <v>33000</v>
      </c>
      <c r="X76">
        <f t="shared" si="5"/>
        <v>29700</v>
      </c>
      <c r="Y76">
        <f t="shared" si="6"/>
        <v>36300</v>
      </c>
      <c r="Z76">
        <f t="shared" si="13"/>
        <v>0</v>
      </c>
      <c r="AA76" s="126">
        <f t="shared" si="14"/>
        <v>5.9790837612276972E-8</v>
      </c>
      <c r="AB76" s="126">
        <f t="shared" si="15"/>
        <v>8.950649364209266E-8</v>
      </c>
      <c r="AC76" s="126">
        <f t="shared" si="18"/>
        <v>1.7923538569915303E-8</v>
      </c>
      <c r="AD76" s="126">
        <f t="shared" si="19"/>
        <v>2.3678183634823517E-8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11</v>
      </c>
      <c r="N77">
        <f t="shared" si="0"/>
        <v>620</v>
      </c>
      <c r="O77">
        <f t="shared" si="1"/>
        <v>589</v>
      </c>
      <c r="P77">
        <f t="shared" si="2"/>
        <v>651</v>
      </c>
      <c r="Q77">
        <f t="shared" si="10"/>
        <v>1</v>
      </c>
      <c r="R77" s="126">
        <f t="shared" si="16"/>
        <v>9.3593067072712724E-8</v>
      </c>
      <c r="S77" s="126">
        <f t="shared" si="17"/>
        <v>1.8527475251387908E-7</v>
      </c>
      <c r="T77">
        <v>1000</v>
      </c>
      <c r="U77">
        <v>39</v>
      </c>
      <c r="V77">
        <f t="shared" si="11"/>
        <v>8</v>
      </c>
      <c r="W77">
        <f t="shared" si="12"/>
        <v>39000</v>
      </c>
      <c r="X77">
        <f t="shared" si="5"/>
        <v>35100</v>
      </c>
      <c r="Y77">
        <f t="shared" si="6"/>
        <v>42900</v>
      </c>
      <c r="Z77">
        <f t="shared" si="13"/>
        <v>0</v>
      </c>
      <c r="AA77" s="126">
        <f t="shared" si="14"/>
        <v>6.6196998772443504E-8</v>
      </c>
      <c r="AB77" s="126">
        <f t="shared" si="15"/>
        <v>9.8758305542123213E-8</v>
      </c>
      <c r="AC77" s="126">
        <f t="shared" si="18"/>
        <v>1.7514210860162598E-8</v>
      </c>
      <c r="AD77" s="126">
        <f t="shared" si="19"/>
        <v>2.289258937628006E-8</v>
      </c>
    </row>
    <row r="78" spans="1:31" x14ac:dyDescent="0.35">
      <c r="A78" t="s">
        <v>344</v>
      </c>
      <c r="B78">
        <v>1</v>
      </c>
      <c r="C78">
        <v>1</v>
      </c>
      <c r="D78">
        <v>1</v>
      </c>
      <c r="E78">
        <v>1</v>
      </c>
      <c r="F78">
        <v>1</v>
      </c>
      <c r="G78">
        <v>1</v>
      </c>
      <c r="H78">
        <v>1</v>
      </c>
      <c r="K78">
        <v>10</v>
      </c>
      <c r="L78">
        <v>68</v>
      </c>
      <c r="M78">
        <f t="shared" si="9"/>
        <v>12</v>
      </c>
      <c r="N78">
        <f t="shared" si="0"/>
        <v>680</v>
      </c>
      <c r="O78">
        <f t="shared" si="1"/>
        <v>646</v>
      </c>
      <c r="P78">
        <f t="shared" si="2"/>
        <v>714</v>
      </c>
      <c r="Q78">
        <f t="shared" si="10"/>
        <v>1</v>
      </c>
      <c r="R78" s="126">
        <f t="shared" si="16"/>
        <v>1.02650460640891E-7</v>
      </c>
      <c r="S78" s="126">
        <f t="shared" si="17"/>
        <v>2.0263154240698805E-7</v>
      </c>
      <c r="T78">
        <v>1000</v>
      </c>
      <c r="U78">
        <v>47</v>
      </c>
      <c r="V78">
        <f t="shared" si="11"/>
        <v>8</v>
      </c>
      <c r="W78">
        <f t="shared" si="12"/>
        <v>47000</v>
      </c>
      <c r="X78">
        <f t="shared" si="5"/>
        <v>42300</v>
      </c>
      <c r="Y78">
        <f t="shared" si="6"/>
        <v>51700.000000000007</v>
      </c>
      <c r="Z78">
        <f t="shared" si="13"/>
        <v>0</v>
      </c>
      <c r="AA78" s="126">
        <f t="shared" si="14"/>
        <v>7.2603159930175676E-8</v>
      </c>
      <c r="AB78" s="126">
        <f t="shared" si="15"/>
        <v>1.0801011743897453E-7</v>
      </c>
      <c r="AC78" s="126">
        <f t="shared" si="18"/>
        <v>1.7197502110439692E-8</v>
      </c>
      <c r="AD78" s="126">
        <f t="shared" si="19"/>
        <v>2.2295920562004677E-8</v>
      </c>
    </row>
    <row r="79" spans="1:31" x14ac:dyDescent="0.35">
      <c r="A79" t="s">
        <v>345</v>
      </c>
      <c r="B79">
        <v>1</v>
      </c>
      <c r="C79">
        <v>1</v>
      </c>
      <c r="D79">
        <v>1</v>
      </c>
      <c r="E79">
        <v>1</v>
      </c>
      <c r="F79">
        <v>1</v>
      </c>
      <c r="G79">
        <v>1</v>
      </c>
      <c r="H79">
        <v>1</v>
      </c>
      <c r="K79">
        <v>10</v>
      </c>
      <c r="L79">
        <v>75</v>
      </c>
      <c r="M79">
        <f t="shared" si="9"/>
        <v>13</v>
      </c>
      <c r="N79">
        <f t="shared" si="0"/>
        <v>750</v>
      </c>
      <c r="O79">
        <f t="shared" si="1"/>
        <v>712.5</v>
      </c>
      <c r="P79">
        <f t="shared" si="2"/>
        <v>787.5</v>
      </c>
      <c r="Q79">
        <f t="shared" si="10"/>
        <v>1</v>
      </c>
      <c r="R79" s="126">
        <f t="shared" si="16"/>
        <v>1.1321741979941563E-7</v>
      </c>
      <c r="S79" s="126">
        <f t="shared" si="17"/>
        <v>2.2288113060807676E-7</v>
      </c>
      <c r="T79">
        <v>1000</v>
      </c>
      <c r="U79">
        <v>56</v>
      </c>
      <c r="V79">
        <f t="shared" si="11"/>
        <v>8</v>
      </c>
      <c r="W79">
        <f t="shared" si="12"/>
        <v>56000</v>
      </c>
      <c r="X79">
        <f t="shared" si="5"/>
        <v>50400</v>
      </c>
      <c r="Y79">
        <f t="shared" si="6"/>
        <v>61600.000000000007</v>
      </c>
      <c r="Z79">
        <f t="shared" si="13"/>
        <v>0</v>
      </c>
      <c r="AA79" s="126">
        <f t="shared" si="14"/>
        <v>8.0077014611119853E-8</v>
      </c>
      <c r="AB79" s="126">
        <f t="shared" si="15"/>
        <v>1.1880389798128283E-7</v>
      </c>
      <c r="AC79" s="126">
        <f t="shared" si="18"/>
        <v>1.6908403742047387E-8</v>
      </c>
      <c r="AD79" s="126">
        <f t="shared" si="19"/>
        <v>2.1759065949457939E-8</v>
      </c>
      <c r="AE79" s="128"/>
    </row>
    <row r="80" spans="1:31" x14ac:dyDescent="0.35">
      <c r="A80" t="s">
        <v>346</v>
      </c>
      <c r="B80">
        <v>1</v>
      </c>
      <c r="C80">
        <v>1</v>
      </c>
      <c r="D80">
        <v>1</v>
      </c>
      <c r="E80">
        <v>1</v>
      </c>
      <c r="F80">
        <v>1</v>
      </c>
      <c r="G80">
        <v>1</v>
      </c>
      <c r="H80">
        <v>1</v>
      </c>
      <c r="K80">
        <v>10</v>
      </c>
      <c r="L80">
        <v>82</v>
      </c>
      <c r="M80">
        <f t="shared" si="9"/>
        <v>14</v>
      </c>
      <c r="N80">
        <f t="shared" si="0"/>
        <v>820</v>
      </c>
      <c r="O80">
        <f t="shared" si="1"/>
        <v>779</v>
      </c>
      <c r="P80">
        <f t="shared" si="2"/>
        <v>861</v>
      </c>
      <c r="Q80">
        <f t="shared" si="10"/>
        <v>1</v>
      </c>
      <c r="R80" s="126">
        <f t="shared" si="16"/>
        <v>1.2378437895325552E-7</v>
      </c>
      <c r="S80" s="126">
        <f t="shared" si="17"/>
        <v>2.4313071880104731E-7</v>
      </c>
      <c r="T80">
        <v>1000</v>
      </c>
      <c r="U80">
        <v>68</v>
      </c>
      <c r="V80">
        <f t="shared" si="11"/>
        <v>8</v>
      </c>
      <c r="W80">
        <f>U80*T80</f>
        <v>68000</v>
      </c>
      <c r="X80">
        <f t="shared" si="5"/>
        <v>61200</v>
      </c>
      <c r="Y80">
        <f t="shared" si="6"/>
        <v>74800</v>
      </c>
      <c r="Z80">
        <f t="shared" si="13"/>
        <v>0</v>
      </c>
      <c r="AA80" s="126">
        <f t="shared" si="14"/>
        <v>8.7550869288750583E-8</v>
      </c>
      <c r="AB80" s="126">
        <f t="shared" si="15"/>
        <v>1.2959767851926382E-7</v>
      </c>
      <c r="AC80" s="126">
        <f t="shared" si="18"/>
        <v>1.6680204648757715E-8</v>
      </c>
      <c r="AD80" s="126">
        <f t="shared" si="19"/>
        <v>2.1340171774195187E-8</v>
      </c>
      <c r="AE80" s="128"/>
    </row>
    <row r="81" spans="1:31" x14ac:dyDescent="0.35">
      <c r="K81">
        <v>10</v>
      </c>
      <c r="L81">
        <v>91</v>
      </c>
      <c r="M81">
        <f t="shared" si="9"/>
        <v>15</v>
      </c>
      <c r="N81">
        <f t="shared" si="0"/>
        <v>910</v>
      </c>
      <c r="O81">
        <f t="shared" si="1"/>
        <v>864.5</v>
      </c>
      <c r="P81">
        <f t="shared" si="2"/>
        <v>955.5</v>
      </c>
      <c r="Q81">
        <f t="shared" si="10"/>
        <v>1</v>
      </c>
      <c r="R81" s="126">
        <f t="shared" si="16"/>
        <v>1.3737046928702323E-7</v>
      </c>
      <c r="S81" s="126">
        <f t="shared" si="17"/>
        <v>2.6916590360865186E-7</v>
      </c>
      <c r="T81">
        <v>1000</v>
      </c>
      <c r="U81">
        <v>82</v>
      </c>
      <c r="V81">
        <f t="shared" si="11"/>
        <v>8</v>
      </c>
      <c r="W81">
        <f t="shared" ref="W81" si="20">U81*T81</f>
        <v>82000</v>
      </c>
      <c r="X81">
        <f t="shared" si="5"/>
        <v>73800</v>
      </c>
      <c r="Y81">
        <f t="shared" si="6"/>
        <v>90200.000000000015</v>
      </c>
      <c r="Z81">
        <f t="shared" si="13"/>
        <v>0</v>
      </c>
      <c r="AA81" s="126">
        <f t="shared" si="14"/>
        <v>9.716011101226428E-8</v>
      </c>
      <c r="AB81" s="126">
        <f t="shared" si="15"/>
        <v>1.4347539634745224E-7</v>
      </c>
      <c r="AC81" s="126">
        <f t="shared" si="18"/>
        <v>1.6449270917395876E-8</v>
      </c>
      <c r="AD81" s="126">
        <f t="shared" si="19"/>
        <v>2.0920322751453245E-8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0.99999934536042956</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0.10146228328660825</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5.9952036106744259E-2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0.74411489602101288</v>
      </c>
      <c r="F82" s="13"/>
      <c r="K82">
        <v>100</v>
      </c>
      <c r="L82">
        <v>10</v>
      </c>
      <c r="M82">
        <f>IF(AND(Q81=1,Q82=0),Q82+M81+1, Q82+M81)</f>
        <v>16</v>
      </c>
      <c r="N82">
        <f t="shared" si="0"/>
        <v>1000</v>
      </c>
      <c r="O82">
        <f t="shared" si="1"/>
        <v>950</v>
      </c>
      <c r="P82">
        <f t="shared" si="2"/>
        <v>1050</v>
      </c>
      <c r="Q82">
        <f t="shared" si="10"/>
        <v>1</v>
      </c>
      <c r="R82" s="126">
        <f t="shared" si="16"/>
        <v>1.5095655961304685E-7</v>
      </c>
      <c r="S82" s="126">
        <f t="shared" si="17"/>
        <v>2.9520108840283661E-7</v>
      </c>
      <c r="V82">
        <f t="shared" si="11"/>
        <v>8</v>
      </c>
      <c r="W82">
        <v>9999999</v>
      </c>
      <c r="AA82" s="126">
        <f t="shared" si="14"/>
        <v>1.0676935273030072E-7</v>
      </c>
      <c r="AB82" s="126">
        <f t="shared" si="15"/>
        <v>1.5735311416848741E-7</v>
      </c>
      <c r="AC82" s="126">
        <f t="shared" si="18"/>
        <v>1.6267916127020945E-8</v>
      </c>
      <c r="AD82" s="126">
        <f t="shared" si="19"/>
        <v>2.0593287403172559E-8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0.99999934536042956</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0.1363529796457619</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5.9952036106744259E-2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17</v>
      </c>
      <c r="N83">
        <f t="shared" si="0"/>
        <v>1100</v>
      </c>
      <c r="O83">
        <f t="shared" si="1"/>
        <v>1045</v>
      </c>
      <c r="P83">
        <f t="shared" si="2"/>
        <v>1155</v>
      </c>
      <c r="Q83">
        <f t="shared" si="10"/>
        <v>0</v>
      </c>
      <c r="R83" s="126">
        <f t="shared" si="16"/>
        <v>1.6605221552176835E-7</v>
      </c>
      <c r="S83" s="126">
        <f t="shared" si="17"/>
        <v>3.2412907149174683E-7</v>
      </c>
      <c r="AA83" s="126">
        <f t="shared" si="14"/>
        <v>1.1744628796613945E-7</v>
      </c>
      <c r="AB83" s="126">
        <f t="shared" si="15"/>
        <v>1.7277280062791452E-7</v>
      </c>
      <c r="AC83" s="126">
        <f t="shared" si="18"/>
        <v>1.6107348773399121E-8</v>
      </c>
      <c r="AD83" s="126">
        <f t="shared" si="19"/>
        <v>2.0305575092418501E-8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0.99999934533654922</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0.1363529796457619</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5.9952036123679747E-2</v>
      </c>
      <c r="E84" s="12">
        <f>IF(Summary!S37="absolute",(R3-N7)/(J2+J2*Summary!S17),R3-N7)</f>
        <v>0.41269841269841268</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0.13635297969965213</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0.12812955593067568</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5.9952036119101597E-2</v>
      </c>
      <c r="K84">
        <v>100</v>
      </c>
      <c r="L84">
        <v>12</v>
      </c>
      <c r="M84">
        <f t="shared" si="21"/>
        <v>17</v>
      </c>
      <c r="N84">
        <f t="shared" si="0"/>
        <v>1200</v>
      </c>
      <c r="O84">
        <f t="shared" si="1"/>
        <v>1140</v>
      </c>
      <c r="P84">
        <f t="shared" si="2"/>
        <v>1260</v>
      </c>
      <c r="Q84">
        <f t="shared" si="10"/>
        <v>0</v>
      </c>
      <c r="R84" s="126">
        <f t="shared" si="16"/>
        <v>1.8114787142092927E-7</v>
      </c>
      <c r="S84" s="126">
        <f t="shared" si="17"/>
        <v>3.5305705456408918E-7</v>
      </c>
      <c r="AA84" s="126">
        <f t="shared" si="14"/>
        <v>1.2812322319521616E-7</v>
      </c>
      <c r="AB84" s="126">
        <f t="shared" si="15"/>
        <v>1.8819248707851031E-7</v>
      </c>
      <c r="AC84" s="126">
        <f t="shared" si="18"/>
        <v>1.597789262951365E-8</v>
      </c>
      <c r="AD84" s="126">
        <f t="shared" si="19"/>
        <v>2.0074790996650076E-8</v>
      </c>
      <c r="AE84" s="128"/>
    </row>
    <row r="85" spans="1:31" x14ac:dyDescent="0.35">
      <c r="E85" s="73"/>
      <c r="K85">
        <v>100</v>
      </c>
      <c r="L85">
        <v>13</v>
      </c>
      <c r="M85">
        <f t="shared" si="21"/>
        <v>17</v>
      </c>
      <c r="N85">
        <f t="shared" si="0"/>
        <v>1300</v>
      </c>
      <c r="O85">
        <f t="shared" si="1"/>
        <v>1235</v>
      </c>
      <c r="P85">
        <f t="shared" si="2"/>
        <v>1365</v>
      </c>
      <c r="Q85">
        <f t="shared" si="10"/>
        <v>0</v>
      </c>
      <c r="R85" s="126">
        <f t="shared" si="16"/>
        <v>1.9624352731052961E-7</v>
      </c>
      <c r="S85" s="126">
        <f t="shared" si="17"/>
        <v>3.8198503761986373E-7</v>
      </c>
      <c r="AA85" s="126">
        <f t="shared" si="14"/>
        <v>1.388001584175308E-7</v>
      </c>
      <c r="AB85" s="126">
        <f t="shared" si="15"/>
        <v>2.0361217352027488E-7</v>
      </c>
      <c r="AC85" s="126">
        <f t="shared" si="18"/>
        <v>1.5871361511510008E-8</v>
      </c>
      <c r="AD85" s="126">
        <f t="shared" si="19"/>
        <v>1.9885623184540738E-8</v>
      </c>
      <c r="AE85" s="128"/>
    </row>
    <row r="86" spans="1:31" x14ac:dyDescent="0.35">
      <c r="K86">
        <v>100</v>
      </c>
      <c r="L86">
        <v>15</v>
      </c>
      <c r="M86">
        <f t="shared" si="21"/>
        <v>17</v>
      </c>
      <c r="N86">
        <f t="shared" si="0"/>
        <v>1500</v>
      </c>
      <c r="O86">
        <f t="shared" si="1"/>
        <v>1425</v>
      </c>
      <c r="P86">
        <f t="shared" si="2"/>
        <v>1575</v>
      </c>
      <c r="Q86">
        <f t="shared" si="10"/>
        <v>0</v>
      </c>
      <c r="R86" s="126">
        <f t="shared" si="16"/>
        <v>2.2643483906104852E-7</v>
      </c>
      <c r="S86" s="126">
        <f t="shared" si="17"/>
        <v>4.398410036817092E-7</v>
      </c>
      <c r="AA86" s="126">
        <f t="shared" si="14"/>
        <v>1.601540288418739E-7</v>
      </c>
      <c r="AB86" s="126">
        <f t="shared" si="15"/>
        <v>2.3445154637731012E-7</v>
      </c>
      <c r="AC86" s="126">
        <f t="shared" si="18"/>
        <v>1.5706496803122714E-8</v>
      </c>
      <c r="AD86" s="126">
        <f t="shared" si="19"/>
        <v>1.9594119425124332E-8</v>
      </c>
      <c r="AE86" s="128"/>
    </row>
    <row r="87" spans="1:31" x14ac:dyDescent="0.35">
      <c r="B87" s="171" t="s">
        <v>362</v>
      </c>
      <c r="C87" s="171"/>
      <c r="K87">
        <v>100</v>
      </c>
      <c r="L87">
        <v>16</v>
      </c>
      <c r="M87">
        <f t="shared" si="21"/>
        <v>17</v>
      </c>
      <c r="N87">
        <f t="shared" si="0"/>
        <v>1600</v>
      </c>
      <c r="O87">
        <f t="shared" si="1"/>
        <v>1520</v>
      </c>
      <c r="P87">
        <f t="shared" si="2"/>
        <v>1680</v>
      </c>
      <c r="Q87">
        <f t="shared" si="10"/>
        <v>0</v>
      </c>
      <c r="R87" s="126">
        <f t="shared" si="16"/>
        <v>2.415304949219671E-7</v>
      </c>
      <c r="S87" s="126">
        <f t="shared" si="17"/>
        <v>4.6876898668778017E-7</v>
      </c>
      <c r="AA87" s="126">
        <f t="shared" si="14"/>
        <v>1.7083096404390233E-7</v>
      </c>
      <c r="AB87" s="126">
        <f t="shared" si="15"/>
        <v>2.4987123279258082E-7</v>
      </c>
      <c r="AC87" s="126">
        <f t="shared" si="18"/>
        <v>1.5641440391902893E-8</v>
      </c>
      <c r="AD87" s="126">
        <f t="shared" si="19"/>
        <v>1.9479483183142073E-8</v>
      </c>
      <c r="AE87" s="128"/>
    </row>
    <row r="88" spans="1:31" ht="29" x14ac:dyDescent="0.35">
      <c r="B88" t="s">
        <v>355</v>
      </c>
      <c r="C88" t="s">
        <v>363</v>
      </c>
      <c r="D88" t="s">
        <v>364</v>
      </c>
      <c r="E88" s="32" t="str">
        <f>IF(Summary!S37="absolute","find min R2, so that max (Vx) = " &amp; TRUNC(R2/J3,3),"find min R2, so that max (Vx) = " &amp; R2)</f>
        <v>find min R2, so that max (Vx) = 0.166</v>
      </c>
      <c r="F88" s="32" t="s">
        <v>365</v>
      </c>
      <c r="G88" s="32" t="s">
        <v>366</v>
      </c>
      <c r="H88" s="32" t="s">
        <v>367</v>
      </c>
      <c r="K88">
        <v>100</v>
      </c>
      <c r="L88">
        <v>18</v>
      </c>
      <c r="M88">
        <f t="shared" si="21"/>
        <v>17</v>
      </c>
      <c r="N88">
        <f t="shared" si="0"/>
        <v>1800</v>
      </c>
      <c r="O88">
        <f t="shared" si="1"/>
        <v>1710</v>
      </c>
      <c r="P88">
        <f t="shared" si="2"/>
        <v>1890</v>
      </c>
      <c r="Q88">
        <f t="shared" si="10"/>
        <v>0</v>
      </c>
      <c r="R88" s="126">
        <f t="shared" si="16"/>
        <v>2.7172180661512246E-7</v>
      </c>
      <c r="S88" s="126">
        <f t="shared" si="17"/>
        <v>5.2662495265021855E-7</v>
      </c>
      <c r="AA88" s="126">
        <f t="shared" si="14"/>
        <v>1.9218483442767305E-7</v>
      </c>
      <c r="AB88" s="126">
        <f t="shared" si="15"/>
        <v>2.8071060559662841E-7</v>
      </c>
      <c r="AC88" s="126">
        <f t="shared" si="18"/>
        <v>1.5535423225394914E-8</v>
      </c>
      <c r="AD88" s="126">
        <f t="shared" si="19"/>
        <v>1.929311455627288E-8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17</v>
      </c>
      <c r="N89">
        <f t="shared" si="0"/>
        <v>2000</v>
      </c>
      <c r="O89">
        <f t="shared" si="1"/>
        <v>1900</v>
      </c>
      <c r="P89">
        <f t="shared" si="2"/>
        <v>2100</v>
      </c>
      <c r="Q89">
        <f t="shared" si="10"/>
        <v>0</v>
      </c>
      <c r="R89" s="126">
        <f t="shared" si="16"/>
        <v>3.019131182700356E-7</v>
      </c>
      <c r="S89" s="126">
        <f t="shared" si="17"/>
        <v>5.844809185463858E-7</v>
      </c>
      <c r="AA89" s="126">
        <f t="shared" si="14"/>
        <v>2.1353870478439558E-7</v>
      </c>
      <c r="AB89" s="126">
        <f t="shared" si="15"/>
        <v>3.1154997836535102E-7</v>
      </c>
      <c r="AC89" s="126">
        <f t="shared" si="18"/>
        <v>1.5452741848933461E-8</v>
      </c>
      <c r="AD89" s="126">
        <f t="shared" si="19"/>
        <v>1.9148129270920529E-8</v>
      </c>
      <c r="AE89" s="128"/>
    </row>
    <row r="90" spans="1:31" x14ac:dyDescent="0.35">
      <c r="A90" t="s">
        <v>320</v>
      </c>
      <c r="B90" s="11">
        <f>F11*(1+H11)</f>
        <v>588</v>
      </c>
      <c r="C90" s="11">
        <f>F11*(1-H11)</f>
        <v>532</v>
      </c>
      <c r="D90" s="11">
        <f>F11*(1+H11)</f>
        <v>588</v>
      </c>
      <c r="E90" s="11"/>
      <c r="F90" s="11">
        <f>F11*(1-H11)</f>
        <v>532</v>
      </c>
      <c r="G90">
        <f>F11*(1-H11)</f>
        <v>532</v>
      </c>
      <c r="H90">
        <f>F11*(1+H11)</f>
        <v>588</v>
      </c>
      <c r="K90">
        <v>100</v>
      </c>
      <c r="L90">
        <v>22</v>
      </c>
      <c r="M90">
        <f t="shared" si="21"/>
        <v>17</v>
      </c>
      <c r="N90">
        <f t="shared" si="0"/>
        <v>2200</v>
      </c>
      <c r="O90">
        <f t="shared" si="1"/>
        <v>2090</v>
      </c>
      <c r="P90">
        <f t="shared" si="2"/>
        <v>2310</v>
      </c>
      <c r="Q90">
        <f t="shared" si="10"/>
        <v>0</v>
      </c>
      <c r="R90" s="126">
        <f t="shared" si="16"/>
        <v>3.3210442988670621E-7</v>
      </c>
      <c r="S90" s="126">
        <f t="shared" si="17"/>
        <v>6.4233688437628141E-7</v>
      </c>
      <c r="AA90" s="126">
        <f t="shared" si="14"/>
        <v>2.3489257511406977E-7</v>
      </c>
      <c r="AB90" s="126">
        <f t="shared" si="15"/>
        <v>3.4238935109874844E-7</v>
      </c>
      <c r="AC90" s="126">
        <f t="shared" si="18"/>
        <v>1.5386479239770781E-8</v>
      </c>
      <c r="AD90" s="126">
        <f t="shared" si="19"/>
        <v>1.9032149072651941E-8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17</v>
      </c>
      <c r="N91">
        <f t="shared" si="0"/>
        <v>2400</v>
      </c>
      <c r="O91">
        <f t="shared" si="1"/>
        <v>2280</v>
      </c>
      <c r="P91">
        <f t="shared" si="2"/>
        <v>2520</v>
      </c>
      <c r="Q91">
        <f t="shared" si="10"/>
        <v>0</v>
      </c>
      <c r="R91" s="126">
        <f t="shared" si="16"/>
        <v>3.6229574146513466E-7</v>
      </c>
      <c r="S91" s="126">
        <f t="shared" si="17"/>
        <v>7.0019285013990558E-7</v>
      </c>
      <c r="AA91" s="126">
        <f t="shared" si="14"/>
        <v>2.562464454166958E-7</v>
      </c>
      <c r="AB91" s="126">
        <f t="shared" si="15"/>
        <v>3.7322872379682072E-7</v>
      </c>
      <c r="AC91" s="126">
        <f t="shared" si="18"/>
        <v>1.533220012098408E-8</v>
      </c>
      <c r="AD91" s="126">
        <f t="shared" si="19"/>
        <v>1.893727764775068E-8</v>
      </c>
      <c r="AE91" s="128"/>
    </row>
    <row r="92" spans="1:31" x14ac:dyDescent="0.35">
      <c r="A92" t="s">
        <v>324</v>
      </c>
      <c r="B92" s="1">
        <f>K21-B93</f>
        <v>21.49240538481077</v>
      </c>
      <c r="C92" s="1">
        <f>K21-C93</f>
        <v>0</v>
      </c>
      <c r="D92" s="1">
        <f>K21-D93</f>
        <v>21.49240538481077</v>
      </c>
      <c r="E92" s="1">
        <f>K21-E93</f>
        <v>0</v>
      </c>
      <c r="F92" s="1">
        <f>K21-F93</f>
        <v>0</v>
      </c>
      <c r="G92" s="1">
        <f>K22-G93</f>
        <v>0</v>
      </c>
      <c r="H92" s="1">
        <f>K22-H93</f>
        <v>15.682405384810767</v>
      </c>
      <c r="K92">
        <v>100</v>
      </c>
      <c r="L92">
        <v>27</v>
      </c>
      <c r="M92">
        <f t="shared" si="21"/>
        <v>17</v>
      </c>
      <c r="N92">
        <f t="shared" si="0"/>
        <v>2700</v>
      </c>
      <c r="O92">
        <f t="shared" si="1"/>
        <v>2565</v>
      </c>
      <c r="P92">
        <f t="shared" si="2"/>
        <v>2835</v>
      </c>
      <c r="Q92">
        <f t="shared" si="10"/>
        <v>0</v>
      </c>
      <c r="R92" s="126">
        <f t="shared" si="16"/>
        <v>4.0758270876107306E-7</v>
      </c>
      <c r="S92" s="126">
        <f t="shared" si="17"/>
        <v>7.8697679866108322E-7</v>
      </c>
      <c r="AA92" s="126">
        <f t="shared" si="14"/>
        <v>2.8827725081991944E-7</v>
      </c>
      <c r="AB92" s="126">
        <f t="shared" si="15"/>
        <v>4.1948778277769463E-7</v>
      </c>
      <c r="AC92" s="126">
        <f t="shared" si="18"/>
        <v>1.5267004586160827E-8</v>
      </c>
      <c r="AD92" s="126">
        <f t="shared" si="19"/>
        <v>1.882347634040557E-8</v>
      </c>
      <c r="AE92" s="128"/>
    </row>
    <row r="93" spans="1:31" x14ac:dyDescent="0.35">
      <c r="A93" t="s">
        <v>327</v>
      </c>
      <c r="B93" s="1">
        <f>K21*(1-MAX(K25,K24))</f>
        <v>0</v>
      </c>
      <c r="C93" s="1">
        <f>K21*(1-MIN(K25,K24))</f>
        <v>21.49240538481077</v>
      </c>
      <c r="D93" s="1">
        <f>K21*(1-MAX(K25,K24))</f>
        <v>0</v>
      </c>
      <c r="E93" s="1">
        <f>K21*(1-MIN(K25,K24))</f>
        <v>21.49240538481077</v>
      </c>
      <c r="F93" s="125">
        <f>K21*(1-MIN(K25,K24))</f>
        <v>21.49240538481077</v>
      </c>
      <c r="G93" s="125">
        <f>K22*(1-MIN(K25,K24))</f>
        <v>15.682405384810767</v>
      </c>
      <c r="H93" s="1">
        <f>K22*(1-MAX(K25,K24))</f>
        <v>0</v>
      </c>
      <c r="K93">
        <v>100</v>
      </c>
      <c r="L93">
        <v>30</v>
      </c>
      <c r="M93">
        <f t="shared" si="21"/>
        <v>17</v>
      </c>
      <c r="N93">
        <f t="shared" si="0"/>
        <v>3000</v>
      </c>
      <c r="O93">
        <f t="shared" si="1"/>
        <v>2850</v>
      </c>
      <c r="P93">
        <f t="shared" si="2"/>
        <v>3150</v>
      </c>
      <c r="Q93">
        <f t="shared" si="10"/>
        <v>0</v>
      </c>
      <c r="R93" s="126">
        <f t="shared" si="16"/>
        <v>4.5286967597096598E-7</v>
      </c>
      <c r="S93" s="126">
        <f t="shared" si="17"/>
        <v>8.7376074703315024E-7</v>
      </c>
      <c r="AA93" s="126">
        <f t="shared" si="14"/>
        <v>3.2030805616228445E-7</v>
      </c>
      <c r="AB93" s="126">
        <f t="shared" si="15"/>
        <v>4.6574684167908704E-7</v>
      </c>
      <c r="AC93" s="126">
        <f t="shared" si="18"/>
        <v>1.5215745002869364E-8</v>
      </c>
      <c r="AD93" s="126">
        <f t="shared" si="19"/>
        <v>1.8734109217892644E-8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17</v>
      </c>
      <c r="N94">
        <f t="shared" si="0"/>
        <v>3300</v>
      </c>
      <c r="O94">
        <f t="shared" si="1"/>
        <v>3135</v>
      </c>
      <c r="P94">
        <f t="shared" si="2"/>
        <v>3465</v>
      </c>
      <c r="Q94">
        <f t="shared" si="10"/>
        <v>0</v>
      </c>
      <c r="R94" s="126">
        <f t="shared" si="16"/>
        <v>4.981566430948138E-7</v>
      </c>
      <c r="S94" s="126">
        <f t="shared" si="17"/>
        <v>9.6054469525610653E-7</v>
      </c>
      <c r="AA94" s="126">
        <f t="shared" si="14"/>
        <v>3.5233886144379104E-7</v>
      </c>
      <c r="AB94" s="126">
        <f t="shared" si="15"/>
        <v>5.1200590050099801E-7</v>
      </c>
      <c r="AC94" s="126">
        <f t="shared" si="18"/>
        <v>1.5174391962289895E-8</v>
      </c>
      <c r="AD94" s="126">
        <f t="shared" si="19"/>
        <v>1.866207878178013E-8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17</v>
      </c>
      <c r="N95">
        <f t="shared" si="0"/>
        <v>3600</v>
      </c>
      <c r="O95">
        <f t="shared" si="1"/>
        <v>3420</v>
      </c>
      <c r="P95">
        <f t="shared" si="2"/>
        <v>3780</v>
      </c>
      <c r="Q95">
        <f t="shared" si="10"/>
        <v>0</v>
      </c>
      <c r="R95" s="126">
        <f t="shared" si="16"/>
        <v>5.4344361013261632E-7</v>
      </c>
      <c r="S95" s="126">
        <f t="shared" si="17"/>
        <v>1.0473286433299523E-6</v>
      </c>
      <c r="AA95" s="126">
        <f t="shared" si="14"/>
        <v>3.8436966666443901E-7</v>
      </c>
      <c r="AB95" s="126">
        <f t="shared" si="15"/>
        <v>5.5826495924342749E-7</v>
      </c>
      <c r="AC95" s="126">
        <f t="shared" si="18"/>
        <v>1.514033092505767E-8</v>
      </c>
      <c r="AD95" s="126">
        <f t="shared" si="19"/>
        <v>1.8602791371066715E-8</v>
      </c>
      <c r="AE95" s="128"/>
    </row>
    <row r="96" spans="1:31" x14ac:dyDescent="0.35">
      <c r="A96" t="s">
        <v>333</v>
      </c>
      <c r="B96" s="11">
        <f>F3*(1-G3)</f>
        <v>900000000000</v>
      </c>
      <c r="C96" s="11">
        <f>1/(1/(F3*(1+H3))+1/(N3*(1+P3)))</f>
        <v>66.699999995955551</v>
      </c>
      <c r="D96" s="11">
        <f>1/(1/(F3*(1-G3))+1/(N3*(1-O3)))</f>
        <v>33.349999998764197</v>
      </c>
      <c r="E96" s="11">
        <f>1/(1/(F3*(1+H3))+1/(N3*(1+P3)))</f>
        <v>66.699999995955551</v>
      </c>
      <c r="F96" s="11">
        <f>1/(1/(F3*(1+H3))+1/(N3*(1+P3)))</f>
        <v>66.699999995955551</v>
      </c>
      <c r="G96">
        <f>1/(1/(F3*(1+H3))+1/(N3*(1+P3)))</f>
        <v>66.699999995955551</v>
      </c>
      <c r="H96">
        <f>1/(1/(F3*(1-G3))+1/(N3*(1-O3)))</f>
        <v>33.349999998764197</v>
      </c>
      <c r="K96">
        <v>100</v>
      </c>
      <c r="L96">
        <v>39</v>
      </c>
      <c r="M96">
        <f t="shared" si="21"/>
        <v>17</v>
      </c>
      <c r="N96">
        <f t="shared" si="0"/>
        <v>3900</v>
      </c>
      <c r="O96">
        <f t="shared" si="1"/>
        <v>3705</v>
      </c>
      <c r="P96">
        <f t="shared" si="2"/>
        <v>4095</v>
      </c>
      <c r="Q96">
        <f t="shared" si="10"/>
        <v>0</v>
      </c>
      <c r="R96" s="126">
        <f t="shared" si="16"/>
        <v>5.8873057708437373E-7</v>
      </c>
      <c r="S96" s="126">
        <f t="shared" si="17"/>
        <v>1.1341125912546877E-6</v>
      </c>
      <c r="AA96" s="126">
        <f t="shared" si="14"/>
        <v>4.164004718242285E-7</v>
      </c>
      <c r="AB96" s="126">
        <f t="shared" si="15"/>
        <v>6.0452401790637552E-7</v>
      </c>
      <c r="AC96" s="126">
        <f t="shared" si="18"/>
        <v>1.5111791940760358E-8</v>
      </c>
      <c r="AD96" s="126">
        <f t="shared" si="19"/>
        <v>1.8553143253683363E-8</v>
      </c>
      <c r="AE96" s="128"/>
    </row>
    <row r="97" spans="1:31" x14ac:dyDescent="0.35">
      <c r="K97">
        <v>100</v>
      </c>
      <c r="L97">
        <v>43</v>
      </c>
      <c r="M97">
        <f t="shared" si="21"/>
        <v>17</v>
      </c>
      <c r="N97">
        <f t="shared" si="0"/>
        <v>4300</v>
      </c>
      <c r="O97">
        <f t="shared" si="1"/>
        <v>4085</v>
      </c>
      <c r="P97">
        <f t="shared" si="2"/>
        <v>4515</v>
      </c>
      <c r="Q97">
        <f t="shared" si="10"/>
        <v>0</v>
      </c>
      <c r="R97" s="126">
        <f t="shared" si="16"/>
        <v>6.4911319955286855E-7</v>
      </c>
      <c r="S97" s="126">
        <f t="shared" si="17"/>
        <v>1.2498245215890513E-6</v>
      </c>
      <c r="AA97" s="126">
        <f t="shared" si="14"/>
        <v>4.5910821194261226E-7</v>
      </c>
      <c r="AB97" s="126">
        <f t="shared" si="15"/>
        <v>6.6620276266666833E-7</v>
      </c>
      <c r="AC97" s="126">
        <f t="shared" si="18"/>
        <v>1.5080237728197351E-8</v>
      </c>
      <c r="AD97" s="126">
        <f t="shared" si="19"/>
        <v>1.8498277456422109E-8</v>
      </c>
      <c r="AE97" s="128"/>
    </row>
    <row r="98" spans="1:31" x14ac:dyDescent="0.35">
      <c r="A98" t="s">
        <v>344</v>
      </c>
      <c r="B98">
        <v>1</v>
      </c>
      <c r="C98">
        <v>1</v>
      </c>
      <c r="D98">
        <v>1</v>
      </c>
      <c r="E98">
        <v>1</v>
      </c>
      <c r="F98">
        <v>1</v>
      </c>
      <c r="G98">
        <v>1</v>
      </c>
      <c r="H98">
        <v>1</v>
      </c>
      <c r="K98">
        <v>100</v>
      </c>
      <c r="L98">
        <v>47</v>
      </c>
      <c r="M98">
        <f t="shared" si="21"/>
        <v>17</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7.0949582186839419E-7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1.3655364516583298E-6</v>
      </c>
      <c r="AA98" s="126">
        <f t="shared" si="14"/>
        <v>5.0181595195280307E-7</v>
      </c>
      <c r="AB98" s="126">
        <f t="shared" si="15"/>
        <v>7.278815072856609E-7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1.5054295890952888E-8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1.8453191177802636E-8</v>
      </c>
      <c r="AE98" s="128"/>
    </row>
    <row r="99" spans="1:31" x14ac:dyDescent="0.35">
      <c r="A99" t="s">
        <v>345</v>
      </c>
      <c r="B99">
        <v>1</v>
      </c>
      <c r="C99">
        <v>1</v>
      </c>
      <c r="D99">
        <v>1</v>
      </c>
      <c r="E99">
        <v>1</v>
      </c>
      <c r="F99">
        <v>1</v>
      </c>
      <c r="G99">
        <v>1</v>
      </c>
      <c r="H99">
        <v>1</v>
      </c>
      <c r="K99">
        <v>100</v>
      </c>
      <c r="L99">
        <v>51</v>
      </c>
      <c r="M99">
        <f t="shared" si="21"/>
        <v>17</v>
      </c>
      <c r="N99">
        <f t="shared" si="23"/>
        <v>5100</v>
      </c>
      <c r="O99">
        <f t="shared" si="24"/>
        <v>4845</v>
      </c>
      <c r="P99">
        <f t="shared" si="25"/>
        <v>5355</v>
      </c>
      <c r="Q99">
        <f t="shared" ref="Q99:Q129" si="30">IF($Q$2="N/A",IF(AND((O99&gt;=MAX($H$7:$I$7)),(P99&lt;=MIN($F$7:$G$7)),(P99&lt;=MIN($B$7:$C$7)),(O99&gt;=MAX($D$7:$E$7))),1,0),IF(AND((O99&gt;=MAX($I$7)),(P99&lt;=MIN($G$7)),(P99&lt;=MIN($C$7)),(O99&gt;=MAX($E$7))),1,0))</f>
        <v>0</v>
      </c>
      <c r="R99" s="126">
        <f t="shared" si="26"/>
        <v>7.6987844403095077E-7</v>
      </c>
      <c r="S99" s="126">
        <f t="shared" si="27"/>
        <v>1.4812483814625225E-6</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7.8956025176335292E-7</v>
      </c>
      <c r="AC99" s="126">
        <f t="shared" si="28"/>
        <v>1.5032592593634434E-8</v>
      </c>
      <c r="AD99" s="126">
        <f t="shared" si="29"/>
        <v>1.841548515535539E-8</v>
      </c>
      <c r="AE99" s="128"/>
    </row>
    <row r="100" spans="1:31" x14ac:dyDescent="0.35">
      <c r="A100" t="s">
        <v>346</v>
      </c>
      <c r="B100">
        <v>1</v>
      </c>
      <c r="C100">
        <v>1</v>
      </c>
      <c r="D100">
        <v>1</v>
      </c>
      <c r="E100">
        <v>1</v>
      </c>
      <c r="F100">
        <v>1</v>
      </c>
      <c r="G100">
        <v>1</v>
      </c>
      <c r="H100">
        <v>1</v>
      </c>
      <c r="K100">
        <v>100</v>
      </c>
      <c r="L100">
        <v>56</v>
      </c>
      <c r="M100">
        <f t="shared" si="21"/>
        <v>17</v>
      </c>
      <c r="N100">
        <f t="shared" si="23"/>
        <v>5600</v>
      </c>
      <c r="O100">
        <f t="shared" si="24"/>
        <v>5320</v>
      </c>
      <c r="P100">
        <f t="shared" si="25"/>
        <v>5880</v>
      </c>
      <c r="Q100">
        <f t="shared" si="30"/>
        <v>0</v>
      </c>
      <c r="R100" s="126">
        <f t="shared" si="26"/>
        <v>8.4535672151903279E-7</v>
      </c>
      <c r="S100" s="126">
        <f t="shared" si="27"/>
        <v>1.6258882933449869E-6</v>
      </c>
      <c r="AA100" s="126">
        <f t="shared" si="31"/>
        <v>5.9790836658015212E-7</v>
      </c>
      <c r="AB100" s="126">
        <f t="shared" si="32"/>
        <v>8.6665868216176428E-7</v>
      </c>
      <c r="AC100" s="126">
        <f t="shared" si="28"/>
        <v>1.5009989129549788E-8</v>
      </c>
      <c r="AD100" s="126">
        <f t="shared" si="29"/>
        <v>1.8376227989130713E-8</v>
      </c>
      <c r="AE100" s="128"/>
    </row>
    <row r="101" spans="1:31" x14ac:dyDescent="0.35">
      <c r="K101">
        <v>100</v>
      </c>
      <c r="L101">
        <v>62</v>
      </c>
      <c r="M101">
        <f t="shared" si="21"/>
        <v>17</v>
      </c>
      <c r="N101">
        <f t="shared" si="23"/>
        <v>6200</v>
      </c>
      <c r="O101">
        <f t="shared" si="24"/>
        <v>5890</v>
      </c>
      <c r="P101">
        <f t="shared" si="25"/>
        <v>6510</v>
      </c>
      <c r="Q101">
        <f t="shared" si="30"/>
        <v>0</v>
      </c>
      <c r="R101" s="126">
        <f t="shared" si="26"/>
        <v>9.3593065418923249E-7</v>
      </c>
      <c r="S101" s="126">
        <f t="shared" si="27"/>
        <v>1.7994561870572055E-6</v>
      </c>
      <c r="AA101" s="126">
        <f t="shared" si="31"/>
        <v>6.6196997602742545E-7</v>
      </c>
      <c r="AB101" s="126">
        <f t="shared" si="32"/>
        <v>9.5917679834842591E-7</v>
      </c>
      <c r="AC101" s="126">
        <f t="shared" si="28"/>
        <v>1.4987842886109953E-8</v>
      </c>
      <c r="AD101" s="126">
        <f t="shared" si="29"/>
        <v>1.8337776965606691E-8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0.99999934533654922</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0.14220167584142657</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5.3673451178065705E-2</v>
      </c>
      <c r="E102" s="12">
        <f>IF(Summary!S50="absolute",(R2-N7)/(J3+J3*Summary!S18),R2-N7)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0.14220167589816191</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0.1340897776756346</v>
      </c>
      <c r="H102" s="12">
        <f t="shared" si="33"/>
        <v>5.3673451173413864E-2</v>
      </c>
      <c r="K102">
        <v>100</v>
      </c>
      <c r="L102">
        <v>68</v>
      </c>
      <c r="M102">
        <f t="shared" si="21"/>
        <v>17</v>
      </c>
      <c r="N102">
        <f t="shared" si="23"/>
        <v>6800</v>
      </c>
      <c r="O102">
        <f t="shared" si="24"/>
        <v>6460</v>
      </c>
      <c r="P102">
        <f t="shared" si="25"/>
        <v>7140</v>
      </c>
      <c r="Q102">
        <f t="shared" si="30"/>
        <v>0</v>
      </c>
      <c r="R102" s="126">
        <f t="shared" si="26"/>
        <v>1.0265045865152511E-6</v>
      </c>
      <c r="S102" s="126">
        <f t="shared" si="27"/>
        <v>1.9730240801729816E-6</v>
      </c>
      <c r="AA102" s="126">
        <f t="shared" si="31"/>
        <v>7.2603158523126469E-7</v>
      </c>
      <c r="AB102" s="126">
        <f t="shared" si="32"/>
        <v>1.0516949142171617E-6</v>
      </c>
      <c r="AC102" s="126">
        <f t="shared" si="28"/>
        <v>1.4969727778764692E-8</v>
      </c>
      <c r="AD102" s="126">
        <f t="shared" si="29"/>
        <v>1.8306333396831067E-8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0.99999934536042956</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0.14220167584142657</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5.3673451160857602E-2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0.14220167589816191</v>
      </c>
      <c r="K103">
        <v>100</v>
      </c>
      <c r="L103">
        <v>75</v>
      </c>
      <c r="M103">
        <f t="shared" si="21"/>
        <v>17</v>
      </c>
      <c r="N103">
        <f t="shared" si="23"/>
        <v>7500</v>
      </c>
      <c r="O103">
        <f t="shared" si="24"/>
        <v>7125</v>
      </c>
      <c r="P103">
        <f t="shared" si="25"/>
        <v>7875</v>
      </c>
      <c r="Q103">
        <f t="shared" si="30"/>
        <v>0</v>
      </c>
      <c r="R103" s="126">
        <f t="shared" si="26"/>
        <v>1.1321741737939332E-6</v>
      </c>
      <c r="S103" s="126">
        <f t="shared" si="27"/>
        <v>2.1755199547208834E-6</v>
      </c>
      <c r="AA103" s="126">
        <f t="shared" si="31"/>
        <v>8.0077012899473694E-7</v>
      </c>
      <c r="AB103" s="126">
        <f t="shared" si="32"/>
        <v>1.1596327156621971E-6</v>
      </c>
      <c r="AC103" s="126">
        <f t="shared" si="28"/>
        <v>1.495236156854202E-8</v>
      </c>
      <c r="AD103" s="126">
        <f t="shared" si="29"/>
        <v>1.8276196569976005E-8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0.99999934536042956</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0.10754726258479028</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5.3673451160857602E-2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0.75630095027309652</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0.1075472626438177</v>
      </c>
      <c r="K104">
        <v>100</v>
      </c>
      <c r="L104">
        <v>82</v>
      </c>
      <c r="M104">
        <f t="shared" si="21"/>
        <v>17</v>
      </c>
      <c r="N104">
        <f t="shared" si="23"/>
        <v>8200</v>
      </c>
      <c r="O104">
        <f t="shared" si="24"/>
        <v>7790</v>
      </c>
      <c r="P104">
        <f t="shared" si="25"/>
        <v>8610</v>
      </c>
      <c r="Q104">
        <f t="shared" si="30"/>
        <v>0</v>
      </c>
      <c r="R104" s="126">
        <f t="shared" si="26"/>
        <v>1.2378437606041464E-6</v>
      </c>
      <c r="S104" s="126">
        <f t="shared" si="27"/>
        <v>2.3780158284569609E-6</v>
      </c>
      <c r="AA104" s="126">
        <f t="shared" si="31"/>
        <v>8.7550867242686811E-7</v>
      </c>
      <c r="AB104" s="126">
        <f t="shared" si="32"/>
        <v>1.2675705166744999E-6</v>
      </c>
      <c r="AC104" s="126">
        <f t="shared" si="28"/>
        <v>1.4938038106773986E-8</v>
      </c>
      <c r="AD104" s="126">
        <f t="shared" si="29"/>
        <v>1.8251344867486672E-8</v>
      </c>
      <c r="AE104" s="128"/>
    </row>
    <row r="105" spans="1:31" x14ac:dyDescent="0.35">
      <c r="K105">
        <v>100</v>
      </c>
      <c r="L105">
        <v>91</v>
      </c>
      <c r="M105">
        <f t="shared" si="21"/>
        <v>17</v>
      </c>
      <c r="N105">
        <f t="shared" si="23"/>
        <v>9100</v>
      </c>
      <c r="O105">
        <f t="shared" si="24"/>
        <v>8645</v>
      </c>
      <c r="P105">
        <f t="shared" si="25"/>
        <v>9555</v>
      </c>
      <c r="Q105">
        <f t="shared" si="30"/>
        <v>0</v>
      </c>
      <c r="R105" s="126">
        <f t="shared" si="26"/>
        <v>1.3737046572432021E-6</v>
      </c>
      <c r="S105" s="126">
        <f t="shared" si="27"/>
        <v>2.6383676649247474E-6</v>
      </c>
      <c r="AA105" s="126">
        <f t="shared" si="31"/>
        <v>9.7160108492416891E-7</v>
      </c>
      <c r="AB105" s="126">
        <f t="shared" si="32"/>
        <v>1.4063476887687518E-6</v>
      </c>
      <c r="AC105" s="126">
        <f t="shared" si="28"/>
        <v>1.4922936898409387E-8</v>
      </c>
      <c r="AD105" s="126">
        <f t="shared" si="29"/>
        <v>1.8225148276626409E-8</v>
      </c>
      <c r="AE105" s="128"/>
    </row>
    <row r="106" spans="1:31" x14ac:dyDescent="0.35">
      <c r="K106">
        <v>1000</v>
      </c>
      <c r="L106">
        <v>10</v>
      </c>
      <c r="M106">
        <f t="shared" si="21"/>
        <v>17</v>
      </c>
      <c r="N106">
        <f t="shared" si="23"/>
        <v>10000</v>
      </c>
      <c r="O106">
        <f t="shared" si="24"/>
        <v>9500</v>
      </c>
      <c r="P106">
        <f t="shared" si="25"/>
        <v>10500</v>
      </c>
      <c r="Q106">
        <f t="shared" si="30"/>
        <v>0</v>
      </c>
      <c r="R106" s="126">
        <f t="shared" si="26"/>
        <v>1.5095655531078508E-6</v>
      </c>
      <c r="S106" s="126">
        <f t="shared" si="27"/>
        <v>2.8987195000505381E-6</v>
      </c>
      <c r="AA106" s="126">
        <f t="shared" si="31"/>
        <v>1.0676934968737427E-6</v>
      </c>
      <c r="AB106" s="126">
        <f t="shared" si="32"/>
        <v>1.5451248601476705E-6</v>
      </c>
      <c r="AC106" s="126">
        <f t="shared" si="28"/>
        <v>1.4910612640375985E-8</v>
      </c>
      <c r="AD106" s="126">
        <f t="shared" si="29"/>
        <v>1.8203772268462572E-8</v>
      </c>
      <c r="AE106" s="128"/>
    </row>
    <row r="107" spans="1:31" x14ac:dyDescent="0.35">
      <c r="K107">
        <v>1000</v>
      </c>
      <c r="L107">
        <v>11</v>
      </c>
      <c r="M107">
        <f t="shared" si="21"/>
        <v>17</v>
      </c>
      <c r="N107">
        <f t="shared" si="23"/>
        <v>11000</v>
      </c>
      <c r="O107">
        <f t="shared" si="24"/>
        <v>10450</v>
      </c>
      <c r="P107">
        <f t="shared" si="25"/>
        <v>11550</v>
      </c>
      <c r="Q107">
        <f t="shared" si="30"/>
        <v>0</v>
      </c>
      <c r="R107" s="126">
        <f t="shared" si="26"/>
        <v>1.6605221031603159E-6</v>
      </c>
      <c r="S107" s="126">
        <f t="shared" si="27"/>
        <v>3.1879993152830276E-6</v>
      </c>
      <c r="AA107" s="126">
        <f t="shared" si="31"/>
        <v>1.1744628428419847E-6</v>
      </c>
      <c r="AB107" s="126">
        <f t="shared" si="32"/>
        <v>1.699321716396387E-6</v>
      </c>
      <c r="AC107" s="126">
        <f t="shared" si="28"/>
        <v>1.4899330839347856E-8</v>
      </c>
      <c r="AD107" s="126">
        <f t="shared" si="29"/>
        <v>1.818420687526056E-8</v>
      </c>
      <c r="AE107" s="128"/>
    </row>
    <row r="108" spans="1:31" x14ac:dyDescent="0.35">
      <c r="K108">
        <v>1000</v>
      </c>
      <c r="L108">
        <v>12</v>
      </c>
      <c r="M108">
        <f t="shared" si="21"/>
        <v>17</v>
      </c>
      <c r="N108">
        <f t="shared" si="23"/>
        <v>12000</v>
      </c>
      <c r="O108">
        <f t="shared" si="24"/>
        <v>11400</v>
      </c>
      <c r="P108">
        <f t="shared" si="25"/>
        <v>12600</v>
      </c>
      <c r="Q108">
        <f t="shared" si="30"/>
        <v>0</v>
      </c>
      <c r="R108" s="126">
        <f t="shared" si="26"/>
        <v>1.8114786522567234E-6</v>
      </c>
      <c r="S108" s="126">
        <f t="shared" si="27"/>
        <v>3.4772791288587324E-6</v>
      </c>
      <c r="AA108" s="126">
        <f t="shared" si="31"/>
        <v>1.2812321881340211E-6</v>
      </c>
      <c r="AB108" s="126">
        <f t="shared" si="32"/>
        <v>1.8535185717619759E-6</v>
      </c>
      <c r="AC108" s="126">
        <f t="shared" si="28"/>
        <v>1.4889963328250375E-8</v>
      </c>
      <c r="AD108" s="126">
        <f t="shared" si="29"/>
        <v>1.8167963086832222E-8</v>
      </c>
      <c r="AE108" s="128"/>
    </row>
    <row r="109" spans="1:31" x14ac:dyDescent="0.35">
      <c r="K109">
        <v>1000</v>
      </c>
      <c r="L109">
        <v>13</v>
      </c>
      <c r="M109">
        <f t="shared" si="21"/>
        <v>17</v>
      </c>
      <c r="N109">
        <f t="shared" si="23"/>
        <v>13000</v>
      </c>
      <c r="O109">
        <f t="shared" si="24"/>
        <v>12350</v>
      </c>
      <c r="P109">
        <f t="shared" si="25"/>
        <v>13650</v>
      </c>
      <c r="Q109">
        <f t="shared" si="30"/>
        <v>0</v>
      </c>
      <c r="R109" s="126">
        <f t="shared" si="26"/>
        <v>1.9624352003970719E-6</v>
      </c>
      <c r="S109" s="126">
        <f t="shared" si="27"/>
        <v>3.7665589407776535E-6</v>
      </c>
      <c r="AA109" s="126">
        <f t="shared" si="31"/>
        <v>1.3880015327498513E-6</v>
      </c>
      <c r="AB109" s="126">
        <f t="shared" si="32"/>
        <v>2.0077154262444377E-6</v>
      </c>
      <c r="AC109" s="126">
        <f t="shared" si="28"/>
        <v>1.4882061059920406E-8</v>
      </c>
      <c r="AD109" s="126">
        <f t="shared" si="29"/>
        <v>1.815426131387088E-8</v>
      </c>
      <c r="AE109" s="128"/>
    </row>
    <row r="110" spans="1:31" x14ac:dyDescent="0.35">
      <c r="K110">
        <v>1000</v>
      </c>
      <c r="L110">
        <v>15</v>
      </c>
      <c r="M110">
        <f t="shared" si="21"/>
        <v>17</v>
      </c>
      <c r="N110">
        <f t="shared" si="23"/>
        <v>15000</v>
      </c>
      <c r="O110">
        <f t="shared" si="24"/>
        <v>14250</v>
      </c>
      <c r="P110">
        <f t="shared" si="25"/>
        <v>15750</v>
      </c>
      <c r="Q110">
        <f t="shared" si="30"/>
        <v>0</v>
      </c>
      <c r="R110" s="126">
        <f t="shared" si="26"/>
        <v>2.264348293809596E-6</v>
      </c>
      <c r="S110" s="126">
        <f t="shared" si="27"/>
        <v>4.3451185596451412E-6</v>
      </c>
      <c r="AA110" s="126">
        <f t="shared" si="31"/>
        <v>1.6015402199528948E-6</v>
      </c>
      <c r="AB110" s="126">
        <f t="shared" si="32"/>
        <v>2.3161091325599784E-6</v>
      </c>
      <c r="AC110" s="126">
        <f t="shared" si="28"/>
        <v>1.4869463262197174E-8</v>
      </c>
      <c r="AD110" s="126">
        <f t="shared" si="29"/>
        <v>1.8132420142656546E-8</v>
      </c>
      <c r="AE110" s="128"/>
    </row>
    <row r="111" spans="1:31" x14ac:dyDescent="0.35">
      <c r="K111">
        <v>1000</v>
      </c>
      <c r="L111">
        <v>16</v>
      </c>
      <c r="M111">
        <f t="shared" si="21"/>
        <v>17</v>
      </c>
      <c r="N111">
        <f t="shared" si="23"/>
        <v>16000</v>
      </c>
      <c r="O111">
        <f t="shared" si="24"/>
        <v>15200</v>
      </c>
      <c r="P111">
        <f t="shared" si="25"/>
        <v>16800</v>
      </c>
      <c r="Q111">
        <f t="shared" si="30"/>
        <v>0</v>
      </c>
      <c r="R111" s="126">
        <f t="shared" si="26"/>
        <v>2.4153048390817707E-6</v>
      </c>
      <c r="S111" s="126">
        <f t="shared" si="27"/>
        <v>4.6343983665937102E-6</v>
      </c>
      <c r="AA111" s="126">
        <f t="shared" si="31"/>
        <v>1.7083095625401078E-6</v>
      </c>
      <c r="AB111" s="126">
        <f t="shared" si="32"/>
        <v>2.4703059843930584E-6</v>
      </c>
      <c r="AC111" s="126">
        <f t="shared" si="28"/>
        <v>1.4864361491070176E-8</v>
      </c>
      <c r="AD111" s="126">
        <f t="shared" si="29"/>
        <v>1.8123575797461374E-8</v>
      </c>
      <c r="AE111" s="128"/>
    </row>
    <row r="112" spans="1:31" x14ac:dyDescent="0.35">
      <c r="K112">
        <v>1000</v>
      </c>
      <c r="L112">
        <v>18</v>
      </c>
      <c r="M112">
        <f t="shared" si="21"/>
        <v>17</v>
      </c>
      <c r="N112">
        <f t="shared" si="23"/>
        <v>18000</v>
      </c>
      <c r="O112">
        <f t="shared" si="24"/>
        <v>17100</v>
      </c>
      <c r="P112">
        <f t="shared" si="25"/>
        <v>18900</v>
      </c>
      <c r="Q112">
        <f t="shared" si="30"/>
        <v>0</v>
      </c>
      <c r="R112" s="126">
        <f t="shared" si="26"/>
        <v>2.7172179267579459E-6</v>
      </c>
      <c r="S112" s="126">
        <f t="shared" si="27"/>
        <v>5.212957975520492E-6</v>
      </c>
      <c r="AA112" s="126">
        <f t="shared" si="31"/>
        <v>1.9218482456859162E-6</v>
      </c>
      <c r="AB112" s="126">
        <f t="shared" si="32"/>
        <v>2.778699685409835E-6</v>
      </c>
      <c r="AC112" s="126">
        <f t="shared" si="28"/>
        <v>1.4855879153176773E-8</v>
      </c>
      <c r="AD112" s="126">
        <f t="shared" si="29"/>
        <v>1.8108871877748528E-8</v>
      </c>
      <c r="AE112" s="128"/>
    </row>
    <row r="113" spans="11:31" x14ac:dyDescent="0.35">
      <c r="K113">
        <v>1000</v>
      </c>
      <c r="L113">
        <v>20</v>
      </c>
      <c r="M113">
        <f t="shared" si="21"/>
        <v>17</v>
      </c>
      <c r="N113">
        <f t="shared" si="23"/>
        <v>20000</v>
      </c>
      <c r="O113">
        <f t="shared" si="24"/>
        <v>19000</v>
      </c>
      <c r="P113">
        <f t="shared" si="25"/>
        <v>21000</v>
      </c>
      <c r="Q113">
        <f t="shared" si="30"/>
        <v>0</v>
      </c>
      <c r="R113" s="126">
        <f t="shared" si="26"/>
        <v>3.0191310106098896E-6</v>
      </c>
      <c r="S113" s="126">
        <f t="shared" si="27"/>
        <v>5.791517577820138E-6</v>
      </c>
      <c r="AA113" s="126">
        <f t="shared" si="31"/>
        <v>2.1353869261269018E-6</v>
      </c>
      <c r="AB113" s="126">
        <f t="shared" si="32"/>
        <v>3.0870933828941021E-6</v>
      </c>
      <c r="AC113" s="126">
        <f t="shared" si="28"/>
        <v>1.4849111809355486E-8</v>
      </c>
      <c r="AD113" s="126">
        <f t="shared" si="29"/>
        <v>1.8097141658933325E-8</v>
      </c>
      <c r="AE113" s="128"/>
    </row>
    <row r="114" spans="11:31" x14ac:dyDescent="0.35">
      <c r="K114">
        <v>1000</v>
      </c>
      <c r="L114">
        <v>22</v>
      </c>
      <c r="M114">
        <f t="shared" si="21"/>
        <v>17</v>
      </c>
      <c r="N114">
        <f t="shared" si="23"/>
        <v>22000</v>
      </c>
      <c r="O114">
        <f t="shared" si="24"/>
        <v>20900</v>
      </c>
      <c r="P114">
        <f t="shared" si="25"/>
        <v>23100</v>
      </c>
      <c r="Q114">
        <f t="shared" si="30"/>
        <v>0</v>
      </c>
      <c r="R114" s="126">
        <f t="shared" si="26"/>
        <v>3.3210440906375999E-6</v>
      </c>
      <c r="S114" s="126">
        <f t="shared" si="27"/>
        <v>6.3700771734926465E-6</v>
      </c>
      <c r="AA114" s="126">
        <f t="shared" si="31"/>
        <v>2.3489256038630638E-6</v>
      </c>
      <c r="AB114" s="126">
        <f t="shared" si="32"/>
        <v>3.3954870768458599E-6</v>
      </c>
      <c r="AC114" s="126">
        <f t="shared" si="28"/>
        <v>1.4843587123021351E-8</v>
      </c>
      <c r="AD114" s="126">
        <f t="shared" si="29"/>
        <v>1.8087565921230446E-8</v>
      </c>
      <c r="AE114" s="128"/>
    </row>
    <row r="115" spans="11:31" x14ac:dyDescent="0.35">
      <c r="K115">
        <v>1000</v>
      </c>
      <c r="L115">
        <v>24</v>
      </c>
      <c r="M115">
        <f t="shared" si="21"/>
        <v>17</v>
      </c>
      <c r="N115">
        <f t="shared" si="23"/>
        <v>24000</v>
      </c>
      <c r="O115">
        <f t="shared" si="24"/>
        <v>22800</v>
      </c>
      <c r="P115">
        <f t="shared" si="25"/>
        <v>25200</v>
      </c>
      <c r="Q115">
        <f t="shared" si="30"/>
        <v>0</v>
      </c>
      <c r="R115" s="126">
        <f t="shared" si="26"/>
        <v>3.6229571668410793E-6</v>
      </c>
      <c r="S115" s="126">
        <f t="shared" si="27"/>
        <v>6.9486367625380201E-6</v>
      </c>
      <c r="AA115" s="126">
        <f t="shared" si="31"/>
        <v>2.5624642788944031E-6</v>
      </c>
      <c r="AB115" s="126">
        <f t="shared" si="32"/>
        <v>3.7038807672651091E-6</v>
      </c>
      <c r="AC115" s="126">
        <f t="shared" si="28"/>
        <v>1.4838991616970673E-8</v>
      </c>
      <c r="AD115" s="126">
        <f t="shared" si="29"/>
        <v>1.8079601040763701E-8</v>
      </c>
      <c r="AE115" s="128"/>
    </row>
    <row r="116" spans="11:31" x14ac:dyDescent="0.35">
      <c r="K116">
        <v>1000</v>
      </c>
      <c r="L116">
        <v>27</v>
      </c>
      <c r="M116">
        <f t="shared" si="21"/>
        <v>17</v>
      </c>
      <c r="N116">
        <f t="shared" si="23"/>
        <v>27000</v>
      </c>
      <c r="O116">
        <f t="shared" si="24"/>
        <v>25650</v>
      </c>
      <c r="P116">
        <f t="shared" si="25"/>
        <v>28350</v>
      </c>
      <c r="Q116">
        <f t="shared" si="30"/>
        <v>0</v>
      </c>
      <c r="R116" s="126">
        <f t="shared" si="26"/>
        <v>4.075826773975862E-6</v>
      </c>
      <c r="S116" s="126">
        <f t="shared" si="27"/>
        <v>7.8164761336801981E-6</v>
      </c>
      <c r="AA116" s="126">
        <f t="shared" si="31"/>
        <v>2.8827722863698686E-6</v>
      </c>
      <c r="AB116" s="126">
        <f t="shared" si="32"/>
        <v>4.166471296270527E-6</v>
      </c>
      <c r="AC116" s="126">
        <f t="shared" si="28"/>
        <v>1.48333852454921E-8</v>
      </c>
      <c r="AD116" s="126">
        <f t="shared" si="29"/>
        <v>1.8069884551570235E-8</v>
      </c>
      <c r="AE116" s="128"/>
    </row>
    <row r="117" spans="11:31" x14ac:dyDescent="0.35">
      <c r="K117">
        <v>1000</v>
      </c>
      <c r="L117">
        <v>30</v>
      </c>
      <c r="M117">
        <f t="shared" si="21"/>
        <v>17</v>
      </c>
      <c r="N117">
        <f t="shared" si="23"/>
        <v>30000</v>
      </c>
      <c r="O117">
        <f t="shared" si="24"/>
        <v>28500</v>
      </c>
      <c r="P117">
        <f t="shared" si="25"/>
        <v>31500</v>
      </c>
      <c r="Q117">
        <f t="shared" si="30"/>
        <v>0</v>
      </c>
      <c r="R117" s="126">
        <f t="shared" si="26"/>
        <v>4.5286963725061245E-6</v>
      </c>
      <c r="S117" s="126">
        <f t="shared" si="27"/>
        <v>8.6843154899113191E-6</v>
      </c>
      <c r="AA117" s="126">
        <f t="shared" si="31"/>
        <v>3.2030802877594832E-6</v>
      </c>
      <c r="AB117" s="126">
        <f t="shared" si="32"/>
        <v>4.6290618173278002E-6</v>
      </c>
      <c r="AC117" s="126">
        <f t="shared" si="28"/>
        <v>1.4828908343625458E-8</v>
      </c>
      <c r="AD117" s="126">
        <f t="shared" si="29"/>
        <v>1.8062125881794035E-8</v>
      </c>
      <c r="AE117" s="128"/>
    </row>
    <row r="118" spans="11:31" x14ac:dyDescent="0.35">
      <c r="K118">
        <v>1000</v>
      </c>
      <c r="L118">
        <v>33</v>
      </c>
      <c r="M118">
        <f t="shared" si="21"/>
        <v>17</v>
      </c>
      <c r="N118">
        <f t="shared" si="23"/>
        <v>33000</v>
      </c>
      <c r="O118">
        <f t="shared" si="24"/>
        <v>31350</v>
      </c>
      <c r="P118">
        <f t="shared" si="25"/>
        <v>34650</v>
      </c>
      <c r="Q118">
        <f t="shared" si="30"/>
        <v>0</v>
      </c>
      <c r="R118" s="126">
        <f t="shared" si="26"/>
        <v>4.9815659624318638E-6</v>
      </c>
      <c r="S118" s="126">
        <f t="shared" si="27"/>
        <v>9.5521548312313789E-6</v>
      </c>
      <c r="AA118" s="126">
        <f t="shared" si="31"/>
        <v>3.5233882830632454E-6</v>
      </c>
      <c r="AB118" s="126">
        <f t="shared" si="32"/>
        <v>5.0916523304369246E-6</v>
      </c>
      <c r="AC118" s="126">
        <f t="shared" si="28"/>
        <v>1.4825250837156747E-8</v>
      </c>
      <c r="AD118" s="126">
        <f t="shared" si="29"/>
        <v>1.8055787465911453E-8</v>
      </c>
      <c r="AE118" s="128"/>
    </row>
    <row r="119" spans="11:31" x14ac:dyDescent="0.35">
      <c r="K119">
        <v>1000</v>
      </c>
      <c r="L119">
        <v>36</v>
      </c>
      <c r="M119">
        <f t="shared" si="21"/>
        <v>17</v>
      </c>
      <c r="N119">
        <f t="shared" si="23"/>
        <v>36000</v>
      </c>
      <c r="O119">
        <f t="shared" si="24"/>
        <v>34200</v>
      </c>
      <c r="P119">
        <f t="shared" si="25"/>
        <v>37800</v>
      </c>
      <c r="Q119">
        <f t="shared" si="30"/>
        <v>0</v>
      </c>
      <c r="R119" s="126">
        <f t="shared" si="26"/>
        <v>5.4344355437530825E-6</v>
      </c>
      <c r="S119" s="126">
        <f t="shared" si="27"/>
        <v>1.0419994157640386E-5</v>
      </c>
      <c r="AA119" s="126">
        <f t="shared" si="31"/>
        <v>3.8436962722811567E-6</v>
      </c>
      <c r="AB119" s="126">
        <f t="shared" si="32"/>
        <v>5.5542428355979059E-6</v>
      </c>
      <c r="AC119" s="126">
        <f t="shared" si="28"/>
        <v>1.482220663382343E-8</v>
      </c>
      <c r="AD119" s="126">
        <f t="shared" si="29"/>
        <v>1.8050512035471031E-8</v>
      </c>
      <c r="AE119" s="128"/>
    </row>
    <row r="120" spans="11:31" x14ac:dyDescent="0.35">
      <c r="K120">
        <v>1000</v>
      </c>
      <c r="L120">
        <v>39</v>
      </c>
      <c r="M120">
        <f t="shared" si="21"/>
        <v>17</v>
      </c>
      <c r="N120">
        <f t="shared" si="23"/>
        <v>39000</v>
      </c>
      <c r="O120">
        <f t="shared" si="24"/>
        <v>37050</v>
      </c>
      <c r="P120">
        <f t="shared" si="25"/>
        <v>40950</v>
      </c>
      <c r="Q120">
        <f t="shared" si="30"/>
        <v>0</v>
      </c>
      <c r="R120" s="126">
        <f t="shared" si="26"/>
        <v>5.8873051164697804E-6</v>
      </c>
      <c r="S120" s="126">
        <f t="shared" si="27"/>
        <v>1.128783346913834E-5</v>
      </c>
      <c r="AA120" s="126">
        <f t="shared" si="31"/>
        <v>4.1640042554132176E-6</v>
      </c>
      <c r="AB120" s="126">
        <f t="shared" si="32"/>
        <v>6.0168333328107434E-6</v>
      </c>
      <c r="AC120" s="126">
        <f t="shared" si="28"/>
        <v>1.4819633408283437E-8</v>
      </c>
      <c r="AD120" s="126">
        <f t="shared" si="29"/>
        <v>1.8046052879158629E-8</v>
      </c>
      <c r="AE120" s="128"/>
    </row>
    <row r="121" spans="11:31" x14ac:dyDescent="0.35">
      <c r="K121">
        <v>1000</v>
      </c>
      <c r="L121">
        <v>43</v>
      </c>
      <c r="M121">
        <f t="shared" si="21"/>
        <v>17</v>
      </c>
      <c r="N121">
        <f t="shared" si="23"/>
        <v>43000</v>
      </c>
      <c r="O121">
        <f t="shared" si="24"/>
        <v>40850</v>
      </c>
      <c r="P121">
        <f t="shared" si="25"/>
        <v>45150</v>
      </c>
      <c r="Q121">
        <f t="shared" si="30"/>
        <v>0</v>
      </c>
      <c r="R121" s="126">
        <f t="shared" si="26"/>
        <v>6.4911312000405687E-6</v>
      </c>
      <c r="S121" s="126">
        <f t="shared" si="27"/>
        <v>1.2444952527940632E-5</v>
      </c>
      <c r="AA121" s="126">
        <f t="shared" si="31"/>
        <v>4.5910815567890853E-6</v>
      </c>
      <c r="AB121" s="126">
        <f t="shared" si="32"/>
        <v>6.6336206500640777E-6</v>
      </c>
      <c r="AC121" s="126">
        <f t="shared" si="28"/>
        <v>1.4816763825967117E-8</v>
      </c>
      <c r="AD121" s="126">
        <f t="shared" si="29"/>
        <v>1.8041080267445893E-8</v>
      </c>
      <c r="AE121" s="128"/>
    </row>
    <row r="122" spans="11:31" x14ac:dyDescent="0.35">
      <c r="K122">
        <v>1000</v>
      </c>
      <c r="L122">
        <v>47</v>
      </c>
      <c r="M122">
        <f t="shared" si="21"/>
        <v>17</v>
      </c>
      <c r="N122">
        <f t="shared" si="23"/>
        <v>47000</v>
      </c>
      <c r="O122">
        <f t="shared" si="24"/>
        <v>44650</v>
      </c>
      <c r="P122">
        <f t="shared" si="25"/>
        <v>49350</v>
      </c>
      <c r="Q122">
        <f t="shared" si="30"/>
        <v>0</v>
      </c>
      <c r="R122" s="126">
        <f t="shared" si="26"/>
        <v>7.094957268314429E-6</v>
      </c>
      <c r="S122" s="126">
        <f t="shared" si="27"/>
        <v>1.3602071560234385E-5</v>
      </c>
      <c r="AA122" s="126">
        <f t="shared" si="31"/>
        <v>5.0181588473456631E-6</v>
      </c>
      <c r="AB122" s="126">
        <f t="shared" si="32"/>
        <v>7.2504079531873768E-6</v>
      </c>
      <c r="AC122" s="126">
        <f t="shared" si="28"/>
        <v>1.48143849688636E-8</v>
      </c>
      <c r="AD122" s="126">
        <f t="shared" si="29"/>
        <v>1.8036958099634551E-8</v>
      </c>
      <c r="AE122" s="128"/>
    </row>
    <row r="123" spans="11:31" x14ac:dyDescent="0.35">
      <c r="K123">
        <v>1000</v>
      </c>
      <c r="L123">
        <v>51</v>
      </c>
      <c r="M123">
        <f t="shared" si="21"/>
        <v>17</v>
      </c>
      <c r="N123">
        <f t="shared" si="23"/>
        <v>51000</v>
      </c>
      <c r="O123">
        <f t="shared" si="24"/>
        <v>48450</v>
      </c>
      <c r="P123">
        <f t="shared" si="25"/>
        <v>53550</v>
      </c>
      <c r="Q123">
        <f t="shared" si="30"/>
        <v>0</v>
      </c>
      <c r="R123" s="126">
        <f t="shared" si="26"/>
        <v>7.6987833212913673E-6</v>
      </c>
      <c r="S123" s="126">
        <f t="shared" si="27"/>
        <v>1.4759190566019596E-5</v>
      </c>
      <c r="AA123" s="126">
        <f t="shared" si="31"/>
        <v>5.4452361270829519E-6</v>
      </c>
      <c r="AB123" s="126">
        <f t="shared" si="32"/>
        <v>7.8671952421806426E-6</v>
      </c>
      <c r="AC123" s="126">
        <f t="shared" si="28"/>
        <v>1.4812380875784196E-8</v>
      </c>
      <c r="AD123" s="126">
        <f t="shared" si="29"/>
        <v>1.8033485392576619E-8</v>
      </c>
      <c r="AE123" s="128"/>
    </row>
    <row r="124" spans="11:31" x14ac:dyDescent="0.35">
      <c r="K124">
        <v>1000</v>
      </c>
      <c r="L124">
        <v>56</v>
      </c>
      <c r="M124">
        <f t="shared" si="21"/>
        <v>17</v>
      </c>
      <c r="N124">
        <f t="shared" si="23"/>
        <v>56000</v>
      </c>
      <c r="O124">
        <f t="shared" si="24"/>
        <v>53200</v>
      </c>
      <c r="P124">
        <f t="shared" si="25"/>
        <v>58800</v>
      </c>
      <c r="Q124">
        <f t="shared" si="30"/>
        <v>0</v>
      </c>
      <c r="R124" s="126">
        <f t="shared" si="26"/>
        <v>8.4535658660012412E-6</v>
      </c>
      <c r="S124" s="126">
        <f t="shared" si="27"/>
        <v>1.6205589285973471E-5</v>
      </c>
      <c r="AA124" s="126">
        <f t="shared" si="31"/>
        <v>5.9790827115399383E-6</v>
      </c>
      <c r="AB124" s="126">
        <f t="shared" si="32"/>
        <v>8.6381793335518632E-6</v>
      </c>
      <c r="AC124" s="126">
        <f t="shared" si="28"/>
        <v>1.4810279949933358E-8</v>
      </c>
      <c r="AD124" s="126">
        <f t="shared" si="29"/>
        <v>1.8029844947731238E-8</v>
      </c>
      <c r="AE124" s="128"/>
    </row>
    <row r="125" spans="11:31" x14ac:dyDescent="0.35">
      <c r="K125">
        <v>1000</v>
      </c>
      <c r="L125">
        <v>62</v>
      </c>
      <c r="M125">
        <f t="shared" si="21"/>
        <v>17</v>
      </c>
      <c r="N125">
        <f t="shared" si="23"/>
        <v>62000</v>
      </c>
      <c r="O125">
        <f t="shared" si="24"/>
        <v>58900</v>
      </c>
      <c r="P125">
        <f t="shared" si="25"/>
        <v>65100</v>
      </c>
      <c r="Q125">
        <f t="shared" si="30"/>
        <v>0</v>
      </c>
      <c r="R125" s="126">
        <f t="shared" si="26"/>
        <v>9.3593048881031824E-6</v>
      </c>
      <c r="S125" s="126">
        <f t="shared" si="27"/>
        <v>1.7941267695244264E-5</v>
      </c>
      <c r="AA125" s="126">
        <f t="shared" si="31"/>
        <v>6.6196985905735367E-6</v>
      </c>
      <c r="AB125" s="126">
        <f t="shared" si="32"/>
        <v>9.5633602140541361E-6</v>
      </c>
      <c r="AC125" s="126">
        <f t="shared" si="28"/>
        <v>1.4808207721333695E-8</v>
      </c>
      <c r="AD125" s="126">
        <f t="shared" si="29"/>
        <v>1.8026254283243487E-8</v>
      </c>
      <c r="AE125" s="128"/>
    </row>
    <row r="126" spans="11:31" x14ac:dyDescent="0.35">
      <c r="K126">
        <v>1000</v>
      </c>
      <c r="L126">
        <v>68</v>
      </c>
      <c r="M126">
        <f t="shared" si="21"/>
        <v>17</v>
      </c>
      <c r="N126">
        <f t="shared" si="23"/>
        <v>68000</v>
      </c>
      <c r="O126">
        <f t="shared" si="24"/>
        <v>64600</v>
      </c>
      <c r="P126">
        <f t="shared" si="25"/>
        <v>71400</v>
      </c>
      <c r="Q126">
        <f t="shared" si="30"/>
        <v>0</v>
      </c>
      <c r="R126" s="126">
        <f t="shared" si="26"/>
        <v>1.0265043875787051E-5</v>
      </c>
      <c r="S126" s="126">
        <f t="shared" si="27"/>
        <v>1.9676946044870842E-5</v>
      </c>
      <c r="AA126" s="126">
        <f t="shared" si="31"/>
        <v>7.2603144452637376E-6</v>
      </c>
      <c r="AB126" s="126">
        <f t="shared" si="32"/>
        <v>1.0488541062763834E-5</v>
      </c>
      <c r="AC126" s="126">
        <f t="shared" si="28"/>
        <v>1.4806502364678253E-8</v>
      </c>
      <c r="AD126" s="126">
        <f t="shared" si="29"/>
        <v>1.8023299357985427E-8</v>
      </c>
      <c r="AE126" s="128"/>
    </row>
    <row r="127" spans="11:31" x14ac:dyDescent="0.35">
      <c r="K127">
        <v>1000</v>
      </c>
      <c r="L127">
        <v>75</v>
      </c>
      <c r="M127">
        <f t="shared" si="21"/>
        <v>17</v>
      </c>
      <c r="N127">
        <f t="shared" si="23"/>
        <v>75000</v>
      </c>
      <c r="O127">
        <f t="shared" si="24"/>
        <v>71250</v>
      </c>
      <c r="P127">
        <f t="shared" si="25"/>
        <v>78750</v>
      </c>
      <c r="Q127">
        <f t="shared" si="30"/>
        <v>0</v>
      </c>
      <c r="R127" s="126">
        <f t="shared" si="26"/>
        <v>1.132173931791761E-5</v>
      </c>
      <c r="S127" s="126">
        <f t="shared" si="27"/>
        <v>2.1701904044051538E-5</v>
      </c>
      <c r="AA127" s="126">
        <f t="shared" si="31"/>
        <v>8.0076995783016263E-6</v>
      </c>
      <c r="AB127" s="126">
        <f t="shared" si="32"/>
        <v>1.1567918679409537E-5</v>
      </c>
      <c r="AC127" s="126">
        <f t="shared" si="28"/>
        <v>1.4804858656070832E-8</v>
      </c>
      <c r="AD127" s="126">
        <f t="shared" si="29"/>
        <v>1.802045128611872E-8</v>
      </c>
      <c r="AE127" s="128"/>
    </row>
    <row r="128" spans="11:31" x14ac:dyDescent="0.35">
      <c r="K128">
        <v>1000</v>
      </c>
      <c r="L128">
        <v>82</v>
      </c>
      <c r="M128">
        <f t="shared" si="21"/>
        <v>17</v>
      </c>
      <c r="N128">
        <f t="shared" si="23"/>
        <v>82000</v>
      </c>
      <c r="O128">
        <f t="shared" si="24"/>
        <v>77900</v>
      </c>
      <c r="P128">
        <f t="shared" si="25"/>
        <v>86100</v>
      </c>
      <c r="Q128">
        <f t="shared" si="30"/>
        <v>0</v>
      </c>
      <c r="R128" s="126">
        <f t="shared" si="26"/>
        <v>1.237843471320135E-5</v>
      </c>
      <c r="S128" s="126">
        <f t="shared" si="27"/>
        <v>2.3726861962049848E-5</v>
      </c>
      <c r="AA128" s="126">
        <f t="shared" si="31"/>
        <v>8.7550846782054452E-6</v>
      </c>
      <c r="AB128" s="126">
        <f t="shared" si="32"/>
        <v>1.2647296252782025E-5</v>
      </c>
      <c r="AC128" s="126">
        <f t="shared" si="28"/>
        <v>1.4803496334932542E-8</v>
      </c>
      <c r="AD128" s="126">
        <f t="shared" si="29"/>
        <v>1.8018090802379331E-8</v>
      </c>
      <c r="AE128" s="128"/>
    </row>
    <row r="129" spans="11:31" x14ac:dyDescent="0.35">
      <c r="K129">
        <v>1000</v>
      </c>
      <c r="L129">
        <v>91</v>
      </c>
      <c r="M129">
        <f t="shared" si="21"/>
        <v>17</v>
      </c>
      <c r="N129">
        <f t="shared" si="23"/>
        <v>91000</v>
      </c>
      <c r="O129">
        <f t="shared" si="24"/>
        <v>86450</v>
      </c>
      <c r="P129">
        <f t="shared" si="25"/>
        <v>95550</v>
      </c>
      <c r="Q129">
        <f t="shared" si="30"/>
        <v>0</v>
      </c>
      <c r="R129" s="126">
        <f t="shared" si="26"/>
        <v>1.373704300973002E-5</v>
      </c>
      <c r="S129" s="126">
        <f t="shared" si="27"/>
        <v>2.6330379165902123E-5</v>
      </c>
      <c r="AA129" s="126">
        <f t="shared" si="31"/>
        <v>9.7160083293949993E-6</v>
      </c>
      <c r="AB129" s="126">
        <f t="shared" si="32"/>
        <v>1.403506735496151E-5</v>
      </c>
      <c r="AC129" s="126">
        <f t="shared" si="28"/>
        <v>1.480205349110377E-8</v>
      </c>
      <c r="AD129" s="126">
        <f t="shared" si="29"/>
        <v>1.8015590822062809E-8</v>
      </c>
      <c r="AE129" s="128"/>
    </row>
    <row r="130" spans="11:31" x14ac:dyDescent="0.35">
      <c r="M130">
        <f t="shared" si="21"/>
        <v>17</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347" priority="32" stopIfTrue="1">
      <formula>AND($B$11="need resistor",$C$11&gt;0)</formula>
    </cfRule>
    <cfRule type="containsText" dxfId="346" priority="36" operator="containsText" text="need resistor">
      <formula>NOT(ISERROR(SEARCH("need resistor",B11)))</formula>
    </cfRule>
  </conditionalFormatting>
  <conditionalFormatting sqref="B11:B12">
    <cfRule type="containsText" dxfId="345" priority="34" operator="containsText" text="no need">
      <formula>NOT(ISERROR(SEARCH("no need",B11)))</formula>
    </cfRule>
  </conditionalFormatting>
  <conditionalFormatting sqref="B12">
    <cfRule type="expression" dxfId="344" priority="31" stopIfTrue="1">
      <formula>AND($B$12="need resistor",$C$12&gt;0)</formula>
    </cfRule>
    <cfRule type="containsText" dxfId="343" priority="33" operator="containsText" text="need resistor">
      <formula>NOT(ISERROR(SEARCH("need resistor",B12)))</formula>
    </cfRule>
  </conditionalFormatting>
  <conditionalFormatting sqref="B42">
    <cfRule type="expression" dxfId="342" priority="59">
      <formula>AND($B$42&gt;$S$2,$B$2=1)</formula>
    </cfRule>
    <cfRule type="expression" dxfId="341" priority="58">
      <formula>AND($B$42&lt;$R$2,$B$2=0)</formula>
    </cfRule>
    <cfRule type="expression" dxfId="340" priority="57" stopIfTrue="1">
      <formula>AND($B$42&lt;=$S$2,$B$2=1)</formula>
    </cfRule>
    <cfRule type="expression" dxfId="339" priority="56" stopIfTrue="1">
      <formula>AND($B$42&gt;=$R$2,$B$2=0)</formula>
    </cfRule>
  </conditionalFormatting>
  <conditionalFormatting sqref="B62">
    <cfRule type="expression" dxfId="338" priority="67">
      <formula>AND($B$62&gt;$S$2,$B$2=1)</formula>
    </cfRule>
    <cfRule type="expression" dxfId="337" priority="66">
      <formula>AND($B$62&lt;$R$2,$B$2=0)</formula>
    </cfRule>
    <cfRule type="expression" dxfId="336" priority="65" stopIfTrue="1">
      <formula>AND($B$62&lt;=$S$2,$B$2=1)</formula>
    </cfRule>
    <cfRule type="expression" dxfId="335" priority="64" stopIfTrue="1">
      <formula>AND($B$62&gt;=$R$2,$B$2=0)</formula>
    </cfRule>
  </conditionalFormatting>
  <conditionalFormatting sqref="B84">
    <cfRule type="cellIs" dxfId="334" priority="45" operator="greaterThan">
      <formula>$S$3</formula>
    </cfRule>
    <cfRule type="cellIs" dxfId="333" priority="44" operator="lessThanOrEqual">
      <formula>$S$3</formula>
    </cfRule>
  </conditionalFormatting>
  <conditionalFormatting sqref="B102">
    <cfRule type="cellIs" dxfId="332" priority="48" operator="lessThanOrEqual">
      <formula>$S$2</formula>
    </cfRule>
    <cfRule type="cellIs" dxfId="331" priority="49" operator="greaterThan">
      <formula>$S$2</formula>
    </cfRule>
  </conditionalFormatting>
  <conditionalFormatting sqref="B18:C18">
    <cfRule type="expression" dxfId="330" priority="53">
      <formula>OR(AND($B$2=0,$C$18&lt;$R$2),AND($B$2=1,$C$18&gt;$S$2))</formula>
    </cfRule>
    <cfRule type="expression" dxfId="329" priority="52" stopIfTrue="1">
      <formula>OR(AND($B$2=0,$C$18&gt;=$R$2),AND($B$2=1,$C$18&lt;=$S$2))</formula>
    </cfRule>
  </conditionalFormatting>
  <conditionalFormatting sqref="B19:C19">
    <cfRule type="expression" dxfId="328" priority="55">
      <formula>OR(AND($B$3=0,$C$19&lt;$R$3),AND($B$3=1,$C$19&gt;$S$3))</formula>
    </cfRule>
    <cfRule type="expression" dxfId="327" priority="54" stopIfTrue="1">
      <formula>OR(AND($B$3=0,$C$19&gt;=$R$3),AND($B$3=1,$C$19&lt;=$S$3))</formula>
    </cfRule>
  </conditionalFormatting>
  <conditionalFormatting sqref="C14">
    <cfRule type="cellIs" dxfId="326" priority="26" operator="equal">
      <formula>"no solution"</formula>
    </cfRule>
  </conditionalFormatting>
  <conditionalFormatting sqref="C44">
    <cfRule type="expression" dxfId="325" priority="63">
      <formula>AND($B$44&gt;$S$3,$B$3=1)</formula>
    </cfRule>
    <cfRule type="expression" dxfId="324" priority="62">
      <formula>AND($B$44&lt;$R$3,$B$3=0)</formula>
    </cfRule>
    <cfRule type="expression" dxfId="323" priority="61" stopIfTrue="1">
      <formula>AND($C$44&lt;=$S$3,$B$3=1)</formula>
    </cfRule>
    <cfRule type="expression" dxfId="322" priority="60" stopIfTrue="1">
      <formula>AND($C$44&gt;=$R$3,$B$3=0)</formula>
    </cfRule>
  </conditionalFormatting>
  <conditionalFormatting sqref="C64">
    <cfRule type="expression" dxfId="321" priority="69" stopIfTrue="1">
      <formula>AND($C$64&lt;=$S$3,$B$3=1)</formula>
    </cfRule>
    <cfRule type="expression" dxfId="320" priority="70">
      <formula>AND($B$64&lt;$R$3,$B$3=0)</formula>
    </cfRule>
    <cfRule type="expression" dxfId="319" priority="71">
      <formula>AND($B$64&gt;$S$3,$B$3=1)</formula>
    </cfRule>
    <cfRule type="expression" dxfId="318" priority="68" stopIfTrue="1">
      <formula>AND($C$64&gt;=$R$3,$B$3=0)</formula>
    </cfRule>
  </conditionalFormatting>
  <conditionalFormatting sqref="C102:D102">
    <cfRule type="cellIs" dxfId="317" priority="28" operator="lessThan">
      <formula>$R$2</formula>
    </cfRule>
    <cfRule type="cellIs" dxfId="316" priority="27" operator="greaterThanOrEqual">
      <formula>$R$2</formula>
    </cfRule>
  </conditionalFormatting>
  <conditionalFormatting sqref="C84:H84">
    <cfRule type="cellIs" dxfId="315" priority="13" operator="lessThan">
      <formula>$R$3</formula>
    </cfRule>
    <cfRule type="cellIs" dxfId="314" priority="12" operator="greaterThanOrEqual">
      <formula>$R$3</formula>
    </cfRule>
  </conditionalFormatting>
  <conditionalFormatting sqref="D11">
    <cfRule type="containsText" dxfId="313" priority="39" stopIfTrue="1" operator="containsText" text="please remove resistor">
      <formula>NOT(ISERROR(SEARCH("please remove resistor",D11)))</formula>
    </cfRule>
    <cfRule type="cellIs" dxfId="312" priority="41" operator="greaterThan">
      <formula>$S$2</formula>
    </cfRule>
    <cfRule type="cellIs" dxfId="311" priority="40" operator="lessThan">
      <formula>$S$2</formula>
    </cfRule>
  </conditionalFormatting>
  <conditionalFormatting sqref="D11:D12">
    <cfRule type="cellIs" priority="24" stopIfTrue="1" operator="equal">
      <formula>""</formula>
    </cfRule>
  </conditionalFormatting>
  <conditionalFormatting sqref="D12 E18:E19">
    <cfRule type="cellIs" dxfId="310" priority="38" operator="lessThan">
      <formula>$R$2-$N$7</formula>
    </cfRule>
    <cfRule type="cellIs" dxfId="309" priority="37" operator="greaterThanOrEqual">
      <formula>$R$2-$N$7</formula>
    </cfRule>
  </conditionalFormatting>
  <conditionalFormatting sqref="D18:D19">
    <cfRule type="cellIs" dxfId="308" priority="42" operator="lessThanOrEqual">
      <formula>$S$2+$N$7</formula>
    </cfRule>
    <cfRule type="cellIs" dxfId="307" priority="43" operator="greaterThan">
      <formula>$S$2+$N$7</formula>
    </cfRule>
  </conditionalFormatting>
  <conditionalFormatting sqref="E102">
    <cfRule type="cellIs" dxfId="306" priority="11" operator="lessThan">
      <formula>$R$3</formula>
    </cfRule>
    <cfRule type="cellIs" dxfId="305" priority="10" operator="greaterThanOrEqual">
      <formula>$R$3</formula>
    </cfRule>
  </conditionalFormatting>
  <conditionalFormatting sqref="F21">
    <cfRule type="containsText" dxfId="304" priority="9" operator="containsText" text="failed">
      <formula>NOT(ISERROR(SEARCH("failed",F21)))</formula>
    </cfRule>
  </conditionalFormatting>
  <conditionalFormatting sqref="F22">
    <cfRule type="containsText" dxfId="303" priority="8" operator="containsText" text="fail">
      <formula>NOT(ISERROR(SEARCH("fail",F22)))</formula>
    </cfRule>
  </conditionalFormatting>
  <conditionalFormatting sqref="F23">
    <cfRule type="containsText" dxfId="302" priority="7" operator="containsText" text="failed">
      <formula>NOT(ISERROR(SEARCH("failed",F23)))</formula>
    </cfRule>
  </conditionalFormatting>
  <conditionalFormatting sqref="F102:H102">
    <cfRule type="cellIs" dxfId="301" priority="20" operator="greaterThanOrEqual">
      <formula>$R$2</formula>
    </cfRule>
    <cfRule type="cellIs" dxfId="300" priority="21" operator="lessThan">
      <formula>$R$2</formula>
    </cfRule>
  </conditionalFormatting>
  <conditionalFormatting sqref="G18">
    <cfRule type="cellIs" dxfId="299" priority="2" operator="lessThan">
      <formula>$V$2</formula>
    </cfRule>
    <cfRule type="cellIs" dxfId="298" priority="1" operator="greaterThan">
      <formula>$V$2</formula>
    </cfRule>
  </conditionalFormatting>
  <conditionalFormatting sqref="G19">
    <cfRule type="cellIs" dxfId="297" priority="3" operator="greaterThan">
      <formula>$V$3</formula>
    </cfRule>
    <cfRule type="cellIs" dxfId="296" priority="4" operator="lessThan">
      <formula>$V$3</formula>
    </cfRule>
  </conditionalFormatting>
  <conditionalFormatting sqref="I18:I19">
    <cfRule type="cellIs" dxfId="295" priority="6" operator="lessThan">
      <formula>$W$2</formula>
    </cfRule>
    <cfRule type="cellIs" dxfId="294" priority="5" operator="greaterThan">
      <formula>$W$2</formula>
    </cfRule>
  </conditionalFormatting>
  <conditionalFormatting sqref="K12">
    <cfRule type="expression" dxfId="293" priority="72">
      <formula>SEARCH("reduce",$F$23)</formula>
    </cfRule>
    <cfRule type="expression" dxfId="292" priority="73">
      <formula>SEARCH("reduce",$F$21)</formula>
    </cfRule>
  </conditionalFormatting>
  <conditionalFormatting sqref="N2">
    <cfRule type="expression" dxfId="291" priority="74">
      <formula>SEARCH("strength",$F$21)</formula>
    </cfRule>
    <cfRule type="expression" dxfId="290" priority="75">
      <formula>SEARCH("strength",$F$23)</formula>
    </cfRule>
  </conditionalFormatting>
  <hyperlinks>
    <hyperlink ref="N25" location="Summary!A1" display="Link to summary" xr:uid="{F32A8E38-207C-4D2D-A8C4-1B96E574BA41}"/>
  </hyperlinks>
  <pageMargins left="0.7" right="0.7" top="0.75" bottom="0.75" header="0.3" footer="0.3"/>
  <pageSetup paperSize="9" orientation="portrait" r:id="rId1"/>
  <drawing r:id="rId2"/>
  <legacyDrawing r:id="rId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021AD-66FB-4F40-85C0-E2D704E4444F}">
  <dimension ref="A1:AK130"/>
  <sheetViews>
    <sheetView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Summary!T16</f>
        <v>1.8</v>
      </c>
      <c r="K2" s="10">
        <v>1000000000000</v>
      </c>
      <c r="L2" s="15">
        <v>0.1</v>
      </c>
      <c r="M2" s="15">
        <v>0.1</v>
      </c>
      <c r="N2" s="17">
        <f>Summary!T26</f>
        <v>50</v>
      </c>
      <c r="O2" s="15">
        <f>Summary!T88</f>
        <v>0.25</v>
      </c>
      <c r="P2" s="15">
        <f>Summary!T89</f>
        <v>0.25</v>
      </c>
      <c r="Q2" s="5" t="str">
        <f>Summary!T27</f>
        <v>N/A</v>
      </c>
      <c r="R2" s="5">
        <f>Summary!T51</f>
        <v>0.3</v>
      </c>
      <c r="S2" s="5">
        <f>Summary!T52</f>
        <v>0.7</v>
      </c>
      <c r="T2" s="5">
        <f>Summary!T53</f>
        <v>0.3</v>
      </c>
      <c r="U2" s="5">
        <f>Summary!T54</f>
        <v>0.7</v>
      </c>
      <c r="V2" s="130">
        <f>Summary!T55</f>
        <v>1.1999999999999999E-7</v>
      </c>
      <c r="W2" s="130">
        <f>Summary!T56</f>
        <v>1.1999999999999999E-7</v>
      </c>
      <c r="X2" s="131">
        <f>V2</f>
        <v>1.1999999999999999E-7</v>
      </c>
      <c r="Y2" s="132" t="str">
        <f>IF(Summary!T57="","",Summary!T57)</f>
        <v/>
      </c>
      <c r="Z2" s="132" t="str">
        <f>IF(Summary!T58="","",Summary!T58)</f>
        <v/>
      </c>
      <c r="AA2" s="4">
        <f>Summary!T59</f>
        <v>1E-10</v>
      </c>
      <c r="AB2" s="41">
        <f>Summary!T81</f>
        <v>4.9999999999999997E-12</v>
      </c>
      <c r="AC2" s="41">
        <f>Summary!T83</f>
        <v>8.1900000000000013E-12</v>
      </c>
      <c r="AD2" s="3">
        <f>Summary!T84</f>
        <v>0.69</v>
      </c>
      <c r="AE2" s="41">
        <f>Summary!T86</f>
        <v>4.9999999999999997E-12</v>
      </c>
      <c r="AF2" s="5">
        <f>Summary!T87</f>
        <v>2.2999999999999998</v>
      </c>
      <c r="AG2" s="127" t="str">
        <f>Summary!T50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Summary!T16</f>
        <v>1.8</v>
      </c>
      <c r="K3" s="10">
        <v>1000000000000</v>
      </c>
      <c r="L3" s="15">
        <v>0.1</v>
      </c>
      <c r="M3" s="15">
        <v>0.1</v>
      </c>
      <c r="N3">
        <f>Summary!T97</f>
        <v>20</v>
      </c>
      <c r="O3" s="15">
        <f>Summary!T98</f>
        <v>0.5</v>
      </c>
      <c r="P3" s="15">
        <f>Summary!T99</f>
        <v>0</v>
      </c>
      <c r="Q3"/>
      <c r="R3" s="5">
        <f>Summary!T38</f>
        <v>0.8</v>
      </c>
      <c r="S3" s="5">
        <f>Summary!T39</f>
        <v>1.35</v>
      </c>
      <c r="T3" s="5">
        <f>Summary!T42</f>
        <v>0.65</v>
      </c>
      <c r="U3" s="5">
        <f>Summary!T43</f>
        <v>1.5</v>
      </c>
      <c r="V3" s="130">
        <f>Summary!T44</f>
        <v>1.1999999999999999E-7</v>
      </c>
      <c r="W3" s="130">
        <f>Summary!T45</f>
        <v>1.1999999999999999E-7</v>
      </c>
      <c r="X3" s="131">
        <f>V3</f>
        <v>1.1999999999999999E-7</v>
      </c>
      <c r="Y3" s="132" t="str">
        <f>IF(Summary!T46="","",Summary!T46)</f>
        <v/>
      </c>
      <c r="Z3" s="132" t="str">
        <f>IF(Summary!T47="","",Summary!T47)</f>
        <v/>
      </c>
      <c r="AA3" s="4">
        <f>Summary!T59</f>
        <v>1E-10</v>
      </c>
      <c r="AB3" s="41">
        <f>Summary!T96</f>
        <v>9.9999999999999994E-12</v>
      </c>
      <c r="AG3" s="127" t="str">
        <f>Summary!T37</f>
        <v>absolute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427329345.73263782</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272612855.71033394</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106.6947526942477</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119.52764470573604</v>
      </c>
      <c r="F7" s="123">
        <f>_xlfn.IFNA(_xlfn.XLOOKUP($X$2,AB34:AB129,P34:P129,,-1), "Out of support PU range")</f>
        <v>787.5</v>
      </c>
      <c r="G7" s="124">
        <f>_xlfn.IFNA(_xlfn.XLOOKUP($X$3,S34:S129,P34:P129,,-1), "Out of support PU range")</f>
        <v>409.5</v>
      </c>
      <c r="H7" s="124">
        <f>_xlfn.IFNA(MAX(_xlfn.XLOOKUP(MAX($Y$2:$AA$2),AA34:AA129,O34:O129,,1), _xlfn.XLOOKUP($W$2,AD34:AD129,O34:O129,,-1)), "Fail AC VIL")</f>
        <v>114</v>
      </c>
      <c r="I7" s="129">
        <f>_xlfn.IFNA(MAX(_xlfn.XLOOKUP(MAX($Y$3:$AA$3),R34:R129,O34:O129,,1), _xlfn.XLOOKUP($W$3,AC34:AC129,O34:O129,,-1)), "Fail AC VIL")</f>
        <v>171</v>
      </c>
      <c r="J7" s="21">
        <v>20000</v>
      </c>
      <c r="K7" s="2">
        <f>MIN(
MIN(FLOOR(B7,10^(LEN(ROUND(B7,0))-1))/10,
FLOOR(C7,10^(LEN(ROUND(C7,0))-1))/10,
IF(F7*10&gt;=J7,FLOOR(F7,10^(LEN(ROUND(F7,0))-1))/10,FLOOR(F7,10^(LEN(ROUND(F7,0))-1))),
FLOOR(G7,10^(LEN(ROUND(G7,0))-1))/10),
MAX(I7,J7)
)</f>
        <v>40</v>
      </c>
      <c r="L7" s="1"/>
      <c r="N7" s="71">
        <f>Summary!T62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109.92857138220145</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1026.0000013987431</v>
      </c>
      <c r="E8">
        <f>X2/(1.204*K18)</f>
        <v>621.87315038396935</v>
      </c>
      <c r="F8">
        <f>X3/(1.204*K18)</f>
        <v>621.87315038396935</v>
      </c>
      <c r="H8">
        <f>AA2/(1.204*K18)</f>
        <v>0.51822762531997457</v>
      </c>
      <c r="I8" s="2">
        <f>AA3/(1.204*K18)</f>
        <v>0.51822762531997457</v>
      </c>
      <c r="J8" s="8">
        <v>20000</v>
      </c>
      <c r="K8">
        <f>MIN(MIN(FLOOR(B8,10^(LEN(ROUND(B8,0))-1))/10,FLOOR(C8,10^(LEN(ROUND(C8,0))-1))/10,FLOOR(E8,10^(LEN(ROUND(E8,0))-1))/10,FLOOR(F8,10^(LEN(ROUND(F8,0))-1))/10),MAX(I8,J8))</f>
        <v>10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Summary!T24</f>
        <v>270</v>
      </c>
      <c r="D11" s="1">
        <f>IF(AND(B11="no need", C11=""), "",IF(AND(B11="no need", C11&gt;0), "please remove resistor",   IF(AND(B11="need resistor", ISBLANK(C11)), "please enter resistor",  (1/(1/F2+1/F3))/(1/(1/(1/(1/C2+1/C3))+1/C11)+(1/(1/F2+1/F3))) ) ))</f>
        <v>0.99999999945999996</v>
      </c>
      <c r="F11" s="7">
        <f>IF(B11="no need", 1000000000, C11)</f>
        <v>270</v>
      </c>
      <c r="G11" s="7" t="s">
        <v>281</v>
      </c>
      <c r="H11" s="62">
        <f>Summary!T25</f>
        <v>0.05</v>
      </c>
      <c r="K11" s="6" t="s">
        <v>282</v>
      </c>
      <c r="N11" s="19" t="s">
        <v>283</v>
      </c>
      <c r="P11" s="19" t="s">
        <v>284</v>
      </c>
      <c r="R11" s="127" t="s">
        <v>285</v>
      </c>
      <c r="S11" s="127">
        <f>($J$2+$J$2*Summary!$T$17)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Summary!T10</f>
        <v>25</v>
      </c>
      <c r="L12" t="s">
        <v>287</v>
      </c>
      <c r="N12" s="4">
        <f>SUM(AB2:AC3,AE2:AE3)</f>
        <v>2.8189999999999998E-11</v>
      </c>
      <c r="O12" t="s">
        <v>288</v>
      </c>
      <c r="P12" s="61">
        <f>Summary!T84+Summary!T87</f>
        <v>2.9899999999999998</v>
      </c>
      <c r="Q12" t="s">
        <v>289</v>
      </c>
      <c r="R12" s="127" t="s">
        <v>290</v>
      </c>
      <c r="S12" s="127">
        <f>($J$2-$J$2*Summary!$T$17)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($J$3+$J$3*Summary!$T$18)</f>
        <v>1.8900000000000001</v>
      </c>
    </row>
    <row r="14" spans="1:37" x14ac:dyDescent="0.35">
      <c r="K14" s="6" t="s">
        <v>293</v>
      </c>
      <c r="N14" s="6" t="s">
        <v>294</v>
      </c>
      <c r="R14" s="127" t="s">
        <v>295</v>
      </c>
      <c r="S14" s="127">
        <f>($J$3-$J$3*Summary!$T$18)</f>
        <v>1.71</v>
      </c>
    </row>
    <row r="15" spans="1:37" x14ac:dyDescent="0.35">
      <c r="B15" s="2"/>
      <c r="C15" s="2"/>
      <c r="K15" s="3">
        <f>Summary!T8</f>
        <v>19.988</v>
      </c>
      <c r="L15" t="s">
        <v>296</v>
      </c>
      <c r="N15" s="41">
        <f>Summary!T9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0.99999968434621944</v>
      </c>
      <c r="C18">
        <f>B42</f>
        <v>0.99999976633233445</v>
      </c>
      <c r="D18">
        <f>B102</f>
        <v>0.99999968434621955</v>
      </c>
      <c r="E18">
        <f>C102</f>
        <v>0.13923980377245687</v>
      </c>
      <c r="F18" s="126">
        <f>_xlfn.LET(
_xlpm.Rbus, (1/(1/((1/(1/($G$91+$G$93)+1/$G$90))+$G$92)+1/($G$89))),
_xlpm.VCC, IF($AG$2="absolute",$S$13,1),
_xlpm.Vspec_abs, $U$2-$N$7,
(LN(1-$T$2/_xlpm.VCC)-LN(1-_xlpm.Vspec_abs/_xlpm.VCC))*$K$19*_xlpm.Rbus
)</f>
        <v>2.8827725303821282E-8</v>
      </c>
      <c r="G18" s="128">
        <f>_xlfn.LET(
_xlpm.Rbus, (1/(1/((1/(1/($D$91+$D$93)+1/$D$90))+$D$92)+1/($D$89))),
_xlpm.VCC, IF($AG$2="absolute",$S$14,1),
_xlpm.Vspec_abs, $U$2+$N$7,
(LN(1-$T$2/_xlpm.VCC)-LN(1-_xlpm.Vspec_abs/_xlpm.VCC))*$K$18*_xlpm.Rbus
)</f>
        <v>4.478940274712614E-8</v>
      </c>
      <c r="H18" s="126">
        <f>_xlfn.LET(
_xlpm.Rbus, (1/(1/((1/(1/($H$96+$H$93)+1/$H$95))+$H$92)+1/($H$94))),
_xlpm.VCC, IF($AG$2="absolute",$S$14,1),
_xlpm.VL_rel, $H$102,
_xlpm.Vspec_abs, $T$2-$N$7,
_xlpm.Vspec_rel, (_xlpm.Vspec_abs/_xlpm.VCC-_xlpm.VL_rel)/(1-_xlpm.VL_rel),
IFERROR((LN($D$18-_xlpm.VL_rel)-LN(_xlpm.Vspec_rel))*$K$19*_xlpm.Rbus, "Vlow exceeds VIL spec")
)</f>
        <v>4.9168328903141989E-9</v>
      </c>
      <c r="I18" s="128">
        <f>_xlfn.LET(
_xlpm.Rbus, (1/(1/((1/(1/($F$96+$F$93)+1/$F$95))+$F$92)+1/($F$94))),
_xlpm.VCC, IF($AG$2="absolute",$S$13,1),
_xlpm.VL_rel, $F$102,
_xlpm.Vspec_abs, $T$2-$N$7,
_xlpm.Vspec_rel, (_xlpm.Vspec_abs/_xlpm.VCC-_xlpm.VL_rel)/(1-_xlpm.VL_rel),
IFERROR((LN($D$18-_xlpm.VL_rel)-LN(_xlpm.Vspec_rel))*$K$18*_xlpm.Rbus,"Vlow exceeds VIL spec")
)</f>
        <v>1.1044440858279584E-8</v>
      </c>
      <c r="J18" s="139" t="s">
        <v>307</v>
      </c>
      <c r="K18" s="4">
        <f>Summary!T102</f>
        <v>1.6027026416052833E-10</v>
      </c>
      <c r="L18" s="22" t="s">
        <v>288</v>
      </c>
      <c r="M18" s="10">
        <f>K18*1000000000000</f>
        <v>160.27026416052834</v>
      </c>
      <c r="N18" t="s">
        <v>308</v>
      </c>
      <c r="O18" s="49">
        <f>N12+K12/39.37*N15</f>
        <v>1.6027026416052833E-10</v>
      </c>
    </row>
    <row r="19" spans="1:26" x14ac:dyDescent="0.35">
      <c r="A19" t="s">
        <v>309</v>
      </c>
      <c r="B19">
        <f>C64</f>
        <v>0.99999968434621944</v>
      </c>
      <c r="C19">
        <f>C44</f>
        <v>0.99999976633233445</v>
      </c>
      <c r="D19">
        <f>B84</f>
        <v>0.99999968434621955</v>
      </c>
      <c r="E19">
        <f>C84</f>
        <v>0.2466792188319705</v>
      </c>
      <c r="F19" s="126">
        <f>_xlfn.LET(
_xlpm.Rbus,(1/(1/((1/(1/($G$77+$G$72)+1/$G$70))+$G$73)+1/($G$71))),
_xlpm.VCC,IF($AG$3="absolute",$S$11,1),
_xlpm.Vspec_abs,$U$3-$N$7,
(LN(1-($T$3/_xlpm.VCC))-LN(1-_xlpm.Vspec_abs/_xlpm.VCC))*$K$19*_xlpm.Rbus
)</f>
        <v>4.0758271189742187E-8</v>
      </c>
      <c r="G19" s="128">
        <f>_xlfn.LET(
_xlpm.Rbus, (1/(1/((1/(1/($D$77+$D$72)+1/$D$70))+$D$73)+1/($D$71))),
_xlpm.VCC, IF($AG$3="absolute",$S$12,1),
_xlpm.Vspec_abs, $U$3+$N$7,
(LN(1-$T$3/_xlpm.VCC)-LN(1-_xlpm.Vspec_abs/_xlpm.VCC))*$K$18*_xlpm.Rbus
)</f>
        <v>8.402681135186927E-8</v>
      </c>
      <c r="H19" s="126">
        <f>_xlfn.LET(
_xlpm.Rbus, (1/(1/((1/(1/($H$74+$H$72)+1/$H$75))+$H$73)+1/($H$76))),
_xlpm.VCC, IF($AG$3="absolute",$S$12,1),
_xlpm.VL_rel, $H$84,
_xlpm.Vspec_abs, $T$3-$N$7,
_xlpm.Vspec_rel, (_xlpm.Vspec_abs/_xlpm.VCC-_xlpm.VL_rel)/(1-_xlpm.VL_rel),
IFERROR((LN($D$19-_xlpm.VL_rel)-LN(_xlpm.Vspec_rel))*$K$19*_xlpm.Rbus, "Vlow exceeds VIL spec")
)</f>
        <v>8.6397789640701286E-9</v>
      </c>
      <c r="I19" s="128">
        <f>_xlfn.LET(
_xlpm.Rbus, (1/(1/((1/(1/($F$74+$F$72)+1/$F$75))+$F$73)+1/($F$76))),
_xlpm.VCC, IF($AG$3="absolute",$S$11,1),
_xlpm.VL_rel, $F$84,
_xlpm.Vspec_abs, $T$3-$N$7,
_xlpm.Vspec_rel, (_xlpm.Vspec_abs/_xlpm.VCC-_xlpm.VL_rel)/(1-_xlpm.VL_rel),
IFERROR((LN($D$19-_xlpm.VL_rel)-LN(_xlpm.Vspec_rel))*$K$18*_xlpm.Rbus,"Vlow exceeds VIL spec")
)</f>
        <v>2.5298194900764911E-8</v>
      </c>
      <c r="J19" s="139" t="s">
        <v>310</v>
      </c>
      <c r="K19" s="122">
        <f>Summary!T101</f>
        <v>1.4358026416052834E-10</v>
      </c>
      <c r="L19" t="s">
        <v>288</v>
      </c>
    </row>
    <row r="20" spans="1:26" x14ac:dyDescent="0.35">
      <c r="J20" s="139"/>
      <c r="K20" s="6" t="s">
        <v>311</v>
      </c>
    </row>
    <row r="21" spans="1:26" x14ac:dyDescent="0.35">
      <c r="E21" s="120" t="s">
        <v>137</v>
      </c>
      <c r="F21" t="str">
        <f>IF(OR(AND(E18&gt;(R2-N7), Summary!T50="relative"), AND(E18&gt;(R2-N7)/(J3+J3*Summary!T18), Summary!T50="absolute")),IF(U29="no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IF(OR(Summary!T24&gt;Summary!T22,Summary!T24&lt;Summary!T21), "- ensure board PU is within recommended range" &amp; CHAR(10),) &amp; "- reduce MB trace length",""))</f>
        <v/>
      </c>
      <c r="J21" s="139" t="s">
        <v>307</v>
      </c>
      <c r="K21" s="5">
        <f>Summary!T104</f>
        <v>21.49240538481077</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Summary!T103</f>
        <v>15.682405384810767</v>
      </c>
      <c r="L22" t="s">
        <v>289</v>
      </c>
    </row>
    <row r="23" spans="1:26" x14ac:dyDescent="0.35">
      <c r="B23" s="171" t="s">
        <v>313</v>
      </c>
      <c r="C23" s="171"/>
      <c r="D23" t="s">
        <v>314</v>
      </c>
      <c r="E23" s="175"/>
      <c r="F23" t="str">
        <f>IF(F22="",IF(OR(AND(E19&lt;=(R3-N7), Summary!T37="relative"),AND(E19&lt;=(R3-N7)/(J2+J2*Summary!T17), Summary!T37="absolute")),IF(OR(G19&gt;V3,I19&gt;W3), IF(N2=MIN(AH2:AH5), "failed max rise/fall time spec, recommendations:" &amp; CHAR(10) &amp; "-reduce MB trace length" &amp; CHAR(10) &amp; "-increase trace width (reduce MB trace resistance per length)", "failed max rise/fall time spec, recommendations:" &amp; CHAR(10) &amp; IF(OR(Summary!T24&gt;Summary!T22,Summary!T24&lt;Summary!T21),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Summary!T13</f>
        <v>0</v>
      </c>
      <c r="L24" t="s">
        <v>305</v>
      </c>
    </row>
    <row r="25" spans="1:26" x14ac:dyDescent="0.35">
      <c r="A25" t="s">
        <v>318</v>
      </c>
      <c r="B25" s="11">
        <f>C2*(1-D2)</f>
        <v>900000000000</v>
      </c>
      <c r="C25" s="11">
        <f>C2*(1-D2)</f>
        <v>900000000000</v>
      </c>
      <c r="K25" s="18">
        <f>Summary!T14</f>
        <v>1</v>
      </c>
      <c r="L25" t="s">
        <v>274</v>
      </c>
      <c r="N25" s="72" t="s">
        <v>319</v>
      </c>
    </row>
    <row r="26" spans="1:26" x14ac:dyDescent="0.35">
      <c r="A26" t="s">
        <v>320</v>
      </c>
      <c r="B26" s="11">
        <f>F11*(1-H11)</f>
        <v>256.5</v>
      </c>
      <c r="C26" s="11">
        <f>F11*(1-H11)</f>
        <v>256.5</v>
      </c>
      <c r="Q26" t="s">
        <v>321</v>
      </c>
    </row>
    <row r="27" spans="1:26" x14ac:dyDescent="0.35">
      <c r="A27" t="s">
        <v>322</v>
      </c>
      <c r="B27" s="11">
        <f>C3*(1-D3)</f>
        <v>900000000000</v>
      </c>
      <c r="C27" s="11">
        <f>C3*(1-D3)</f>
        <v>900000000000</v>
      </c>
      <c r="Q27" t="s">
        <v>323</v>
      </c>
    </row>
    <row r="28" spans="1:26" x14ac:dyDescent="0.35">
      <c r="A28" t="s">
        <v>324</v>
      </c>
      <c r="B28" s="1">
        <f>K21</f>
        <v>21.49240538481077</v>
      </c>
      <c r="C28">
        <v>0</v>
      </c>
      <c r="Q28" t="s">
        <v>325</v>
      </c>
      <c r="V28" t="s">
        <v>305</v>
      </c>
      <c r="W28" t="s">
        <v>274</v>
      </c>
      <c r="X28" t="s">
        <v>326</v>
      </c>
    </row>
    <row r="29" spans="1:26" x14ac:dyDescent="0.35">
      <c r="A29" t="s">
        <v>327</v>
      </c>
      <c r="B29">
        <v>0</v>
      </c>
      <c r="C29" s="1">
        <f>K21</f>
        <v>21.49240538481077</v>
      </c>
      <c r="F29" s="11"/>
      <c r="T29" t="s">
        <v>328</v>
      </c>
      <c r="U29">
        <f>IF(IF(ISBLANK(Summary!T25),IF(U30=W82,L30,U30),IF(Summary!T25=5%,L30,U30))=N130,"no solution",IF(ISBLANK(Summary!T25),IF(U30=W82,L30,U30),IF(Summary!T25=5%,L30,U30)))</f>
        <v>270</v>
      </c>
      <c r="V29">
        <f>IFERROR(IF(X29=5%,VLOOKUP(1,M34:N129,2,FALSE),VLOOKUP(1,V34:W81,2,FALSE)),"no solution")</f>
        <v>180</v>
      </c>
      <c r="W29">
        <f>IF(U29="no solution","no solution",IF(X29=5%,VLOOKUP(MAX(M34:M129)-1,M34:N129,2,FALSE),VLOOKUP(MAX(V34:V81)-1,V34:W81,2,FALSE)))</f>
        <v>390</v>
      </c>
      <c r="X29" s="64">
        <f>Summary!T25</f>
        <v>0.05</v>
      </c>
    </row>
    <row r="30" spans="1:26" x14ac:dyDescent="0.35">
      <c r="A30" t="s">
        <v>329</v>
      </c>
      <c r="B30" s="11">
        <f>F2*(1+H2)</f>
        <v>1100000000000</v>
      </c>
      <c r="C30" s="11">
        <f>F2*(1+H2)</f>
        <v>1100000000000</v>
      </c>
      <c r="K30" t="s">
        <v>330</v>
      </c>
      <c r="L30">
        <f>VLOOKUP(Q31,M34:Q154,2)</f>
        <v>270</v>
      </c>
      <c r="T30" t="s">
        <v>331</v>
      </c>
      <c r="U30">
        <f>VLOOKUP(Z31,V34:W82,2)</f>
        <v>270</v>
      </c>
    </row>
    <row r="31" spans="1:26" x14ac:dyDescent="0.35">
      <c r="A31" t="s">
        <v>332</v>
      </c>
      <c r="B31" s="11">
        <f>F12*(1+H12)</f>
        <v>1100000000</v>
      </c>
      <c r="C31" s="11">
        <f>F12*(1+H12)</f>
        <v>1100000000</v>
      </c>
      <c r="Q31" cm="1">
        <f t="array" ref="Q31">MAX(M34:M129+1)/2</f>
        <v>5.5</v>
      </c>
      <c r="Z31" cm="1">
        <f t="array" ref="Z31">MAX(V34:V81+1)/2</f>
        <v>2.5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1.5095656008629572E-9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8.8140549287075229E-9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4.6982177436677331E-9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1.6605221609439943E-9</v>
      </c>
      <c r="S35" s="126">
        <f t="shared" si="4"/>
        <v>9.1033347613188522E-9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4.8524146091800149E-9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1.8114787210240752E-9</v>
      </c>
      <c r="S36" s="126">
        <f t="shared" si="4"/>
        <v>9.3926145939285271E-9</v>
      </c>
      <c r="T36">
        <v>1</v>
      </c>
      <c r="U36">
        <v>15</v>
      </c>
      <c r="V36">
        <f t="shared" si="11"/>
        <v>0</v>
      </c>
      <c r="W36">
        <f t="shared" si="12"/>
        <v>15</v>
      </c>
      <c r="X36">
        <f t="shared" si="5"/>
        <v>13.5</v>
      </c>
      <c r="Y36">
        <f t="shared" si="6"/>
        <v>16.5</v>
      </c>
      <c r="Z36">
        <f t="shared" si="13"/>
        <v>0</v>
      </c>
      <c r="AA36" s="126">
        <f t="shared" si="14"/>
        <v>1.281232236772157E-9</v>
      </c>
      <c r="AB36" s="126">
        <f t="shared" si="15"/>
        <v>5.0066114746914149E-9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1.9624352811032006E-9</v>
      </c>
      <c r="S37" s="126">
        <f t="shared" si="4"/>
        <v>9.6818944265365427E-9</v>
      </c>
      <c r="T37">
        <v>1</v>
      </c>
      <c r="U37">
        <v>18</v>
      </c>
      <c r="V37">
        <f t="shared" si="11"/>
        <v>0</v>
      </c>
      <c r="W37">
        <f t="shared" si="12"/>
        <v>18</v>
      </c>
      <c r="X37">
        <f t="shared" si="5"/>
        <v>16.2</v>
      </c>
      <c r="Y37">
        <f t="shared" si="6"/>
        <v>19.8</v>
      </c>
      <c r="Z37">
        <f t="shared" si="13"/>
        <v>0</v>
      </c>
      <c r="AA37" s="126">
        <f t="shared" si="14"/>
        <v>1.3880015898321084E-9</v>
      </c>
      <c r="AB37" s="126">
        <f t="shared" si="15"/>
        <v>5.1608083402019298E-9</v>
      </c>
      <c r="AC37" s="126" t="str">
        <f t="shared" si="7"/>
        <v>Vlow exceeds VIL spec</v>
      </c>
      <c r="AD37" s="126" t="str">
        <f t="shared" si="8"/>
        <v>Vlow exceeds VIL spec</v>
      </c>
    </row>
    <row r="38" spans="1:30" x14ac:dyDescent="0.35">
      <c r="A38" t="s">
        <v>347</v>
      </c>
      <c r="B38" s="125">
        <f>IF(Summary!T50="absolute",(S2+N7)/(J3-J3*Summary!T18),S2+N7)</f>
        <v>0.72</v>
      </c>
      <c r="K38">
        <v>1</v>
      </c>
      <c r="L38">
        <v>15</v>
      </c>
      <c r="M38">
        <f t="shared" si="9"/>
        <v>0</v>
      </c>
      <c r="N38">
        <f t="shared" si="0"/>
        <v>15</v>
      </c>
      <c r="O38">
        <f t="shared" si="1"/>
        <v>14.25</v>
      </c>
      <c r="P38">
        <f t="shared" si="2"/>
        <v>15.75</v>
      </c>
      <c r="Q38">
        <f t="shared" si="10"/>
        <v>0</v>
      </c>
      <c r="R38" s="126">
        <f t="shared" si="3"/>
        <v>2.2643484012585833E-9</v>
      </c>
      <c r="S38" s="126">
        <f t="shared" si="4"/>
        <v>1.0260454091747604E-8</v>
      </c>
      <c r="T38">
        <v>1</v>
      </c>
      <c r="U38">
        <v>22</v>
      </c>
      <c r="V38">
        <f t="shared" si="11"/>
        <v>0</v>
      </c>
      <c r="W38">
        <f t="shared" si="12"/>
        <v>22</v>
      </c>
      <c r="X38">
        <f t="shared" si="5"/>
        <v>19.8</v>
      </c>
      <c r="Y38">
        <f t="shared" si="6"/>
        <v>24.200000000000003</v>
      </c>
      <c r="Z38">
        <f t="shared" si="13"/>
        <v>0</v>
      </c>
      <c r="AA38" s="126">
        <f t="shared" si="14"/>
        <v>1.601540295949982E-9</v>
      </c>
      <c r="AB38" s="126">
        <f t="shared" si="15"/>
        <v>5.4692020712203119E-9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2.4153049613348403E-9</v>
      </c>
      <c r="S39" s="126">
        <f t="shared" si="4"/>
        <v>1.054973392435065E-8</v>
      </c>
      <c r="T39">
        <v>1</v>
      </c>
      <c r="U39">
        <v>27</v>
      </c>
      <c r="V39">
        <f t="shared" si="11"/>
        <v>0</v>
      </c>
      <c r="W39">
        <f t="shared" si="12"/>
        <v>27</v>
      </c>
      <c r="X39">
        <f t="shared" si="5"/>
        <v>24.3</v>
      </c>
      <c r="Y39">
        <f t="shared" si="6"/>
        <v>29.700000000000003</v>
      </c>
      <c r="Z39">
        <f t="shared" si="13"/>
        <v>0</v>
      </c>
      <c r="AA39" s="126">
        <f t="shared" si="14"/>
        <v>1.7083096490079043E-9</v>
      </c>
      <c r="AB39" s="126">
        <f t="shared" si="15"/>
        <v>5.623398936728179E-9</v>
      </c>
      <c r="AC39" s="126" t="str">
        <f t="shared" si="7"/>
        <v>Vlow exceeds VIL spec</v>
      </c>
      <c r="AD39" s="126" t="str">
        <f t="shared" si="8"/>
        <v>Vlow exceeds VIL spec</v>
      </c>
    </row>
    <row r="40" spans="1:30" x14ac:dyDescent="0.35">
      <c r="A40" t="s">
        <v>349</v>
      </c>
      <c r="C40" s="125">
        <f>IF(Summary!T37="absolute",(S3+N7)/(J2-J2*Summary!T17),S3+N7)</f>
        <v>0.80116959064327498</v>
      </c>
      <c r="K40">
        <v>1</v>
      </c>
      <c r="L40">
        <v>18</v>
      </c>
      <c r="M40">
        <f t="shared" si="9"/>
        <v>0</v>
      </c>
      <c r="N40">
        <f t="shared" si="0"/>
        <v>18</v>
      </c>
      <c r="O40">
        <f t="shared" si="1"/>
        <v>17.099999999999998</v>
      </c>
      <c r="P40">
        <f t="shared" si="2"/>
        <v>18.900000000000002</v>
      </c>
      <c r="Q40">
        <f t="shared" si="10"/>
        <v>0</v>
      </c>
      <c r="R40" s="126">
        <f t="shared" si="3"/>
        <v>2.7172180814844856E-9</v>
      </c>
      <c r="S40" s="126">
        <f t="shared" si="4"/>
        <v>1.1128293589551767E-8</v>
      </c>
      <c r="T40">
        <v>1</v>
      </c>
      <c r="U40">
        <v>33</v>
      </c>
      <c r="V40">
        <f t="shared" si="11"/>
        <v>0</v>
      </c>
      <c r="W40">
        <f t="shared" si="12"/>
        <v>33</v>
      </c>
      <c r="X40">
        <f t="shared" si="5"/>
        <v>29.7</v>
      </c>
      <c r="Y40">
        <f t="shared" si="6"/>
        <v>36.300000000000004</v>
      </c>
      <c r="Z40">
        <f t="shared" si="13"/>
        <v>0</v>
      </c>
      <c r="AA40" s="126">
        <f t="shared" si="14"/>
        <v>1.9218483551217202E-9</v>
      </c>
      <c r="AB40" s="126">
        <f t="shared" si="15"/>
        <v>5.9317926677412604E-9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3.0191312016303081E-9</v>
      </c>
      <c r="S41" s="126">
        <f t="shared" si="4"/>
        <v>1.1706853254746262E-8</v>
      </c>
      <c r="T41">
        <v>1</v>
      </c>
      <c r="U41">
        <v>39</v>
      </c>
      <c r="V41">
        <f t="shared" si="11"/>
        <v>0</v>
      </c>
      <c r="W41">
        <f t="shared" si="12"/>
        <v>39</v>
      </c>
      <c r="X41">
        <f t="shared" si="5"/>
        <v>35.1</v>
      </c>
      <c r="Y41">
        <f t="shared" si="6"/>
        <v>42.900000000000006</v>
      </c>
      <c r="Z41">
        <f t="shared" si="13"/>
        <v>0</v>
      </c>
      <c r="AA41" s="126">
        <f t="shared" si="14"/>
        <v>2.1353870612328322E-9</v>
      </c>
      <c r="AB41" s="126">
        <f t="shared" si="15"/>
        <v>6.2401863987508115E-9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0.99999976633233445</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0.99999976635187293</v>
      </c>
      <c r="K42">
        <v>1</v>
      </c>
      <c r="L42">
        <v>22</v>
      </c>
      <c r="M42">
        <f t="shared" si="9"/>
        <v>0</v>
      </c>
      <c r="N42">
        <f t="shared" si="0"/>
        <v>22</v>
      </c>
      <c r="O42">
        <f t="shared" si="1"/>
        <v>20.9</v>
      </c>
      <c r="P42">
        <f t="shared" si="2"/>
        <v>23.1</v>
      </c>
      <c r="Q42">
        <f t="shared" si="10"/>
        <v>0</v>
      </c>
      <c r="R42" s="126">
        <f t="shared" si="3"/>
        <v>3.3210443217723049E-9</v>
      </c>
      <c r="S42" s="126">
        <f t="shared" si="4"/>
        <v>1.2285412919934131E-8</v>
      </c>
      <c r="T42">
        <v>1</v>
      </c>
      <c r="U42">
        <v>47</v>
      </c>
      <c r="V42">
        <f t="shared" si="11"/>
        <v>0</v>
      </c>
      <c r="W42">
        <f t="shared" si="12"/>
        <v>47</v>
      </c>
      <c r="X42">
        <f t="shared" si="5"/>
        <v>42.300000000000004</v>
      </c>
      <c r="Y42">
        <f t="shared" si="6"/>
        <v>51.7</v>
      </c>
      <c r="Z42">
        <f t="shared" si="13"/>
        <v>0</v>
      </c>
      <c r="AA42" s="126">
        <f t="shared" si="14"/>
        <v>2.3489257673412385E-9</v>
      </c>
      <c r="AB42" s="126">
        <f t="shared" si="15"/>
        <v>6.5485801297568305E-9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0.99999976635187293</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0.99999976635187293</v>
      </c>
      <c r="K43">
        <v>1</v>
      </c>
      <c r="L43">
        <v>24</v>
      </c>
      <c r="M43">
        <f t="shared" si="9"/>
        <v>0</v>
      </c>
      <c r="N43">
        <f t="shared" si="0"/>
        <v>24</v>
      </c>
      <c r="O43">
        <f t="shared" si="1"/>
        <v>22.799999999999997</v>
      </c>
      <c r="P43">
        <f t="shared" si="2"/>
        <v>25.200000000000003</v>
      </c>
      <c r="Q43">
        <f t="shared" si="10"/>
        <v>0</v>
      </c>
      <c r="R43" s="126">
        <f t="shared" si="3"/>
        <v>3.6229574419104781E-9</v>
      </c>
      <c r="S43" s="126">
        <f t="shared" si="4"/>
        <v>1.2863972585115371E-8</v>
      </c>
      <c r="T43">
        <v>1</v>
      </c>
      <c r="U43">
        <v>56</v>
      </c>
      <c r="V43">
        <f t="shared" si="11"/>
        <v>0</v>
      </c>
      <c r="W43">
        <f t="shared" si="12"/>
        <v>56</v>
      </c>
      <c r="X43">
        <f t="shared" si="5"/>
        <v>50.4</v>
      </c>
      <c r="Y43">
        <f t="shared" si="6"/>
        <v>61.600000000000009</v>
      </c>
      <c r="Z43">
        <f t="shared" si="13"/>
        <v>0</v>
      </c>
      <c r="AA43" s="126">
        <f t="shared" si="14"/>
        <v>2.5624644734469403E-9</v>
      </c>
      <c r="AB43" s="126">
        <f t="shared" si="15"/>
        <v>6.8569738607593166E-9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0.99999976635187293</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0.99999976633233445</v>
      </c>
      <c r="K44">
        <v>1</v>
      </c>
      <c r="L44">
        <v>27</v>
      </c>
      <c r="M44">
        <f t="shared" si="9"/>
        <v>0</v>
      </c>
      <c r="N44">
        <f t="shared" si="0"/>
        <v>27</v>
      </c>
      <c r="O44">
        <f t="shared" si="1"/>
        <v>25.65</v>
      </c>
      <c r="P44">
        <f t="shared" si="2"/>
        <v>28.35</v>
      </c>
      <c r="Q44">
        <f t="shared" si="10"/>
        <v>0</v>
      </c>
      <c r="R44" s="126">
        <f t="shared" si="3"/>
        <v>4.0758271221105674E-9</v>
      </c>
      <c r="S44" s="126">
        <f t="shared" si="4"/>
        <v>1.3731812082874802E-8</v>
      </c>
      <c r="T44">
        <v>1</v>
      </c>
      <c r="U44">
        <v>68</v>
      </c>
      <c r="V44">
        <f t="shared" si="11"/>
        <v>0</v>
      </c>
      <c r="W44">
        <f t="shared" si="12"/>
        <v>68</v>
      </c>
      <c r="X44">
        <f t="shared" si="5"/>
        <v>61.2</v>
      </c>
      <c r="Y44">
        <f t="shared" si="6"/>
        <v>74.800000000000011</v>
      </c>
      <c r="Z44">
        <f t="shared" si="13"/>
        <v>0</v>
      </c>
      <c r="AA44" s="126">
        <f t="shared" si="14"/>
        <v>2.8827725326004216E-9</v>
      </c>
      <c r="AB44" s="126">
        <f t="shared" si="15"/>
        <v>7.3195644572564209E-9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4.5286968023020533E-9</v>
      </c>
      <c r="S45" s="126">
        <f t="shared" si="4"/>
        <v>1.4599651580619324E-8</v>
      </c>
      <c r="T45">
        <v>1</v>
      </c>
      <c r="U45">
        <v>82</v>
      </c>
      <c r="V45">
        <f t="shared" si="11"/>
        <v>0</v>
      </c>
      <c r="W45">
        <f t="shared" si="12"/>
        <v>82</v>
      </c>
      <c r="X45">
        <f t="shared" si="5"/>
        <v>73.8</v>
      </c>
      <c r="Y45">
        <f t="shared" si="6"/>
        <v>90.2</v>
      </c>
      <c r="Z45">
        <f t="shared" si="13"/>
        <v>0</v>
      </c>
      <c r="AA45" s="126">
        <f t="shared" si="14"/>
        <v>3.2030805917478173E-9</v>
      </c>
      <c r="AB45" s="126">
        <f t="shared" si="15"/>
        <v>7.7821550537455768E-9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4.9815664824849323E-9</v>
      </c>
      <c r="S46" s="126">
        <f t="shared" si="4"/>
        <v>1.5467491078348933E-8</v>
      </c>
      <c r="T46">
        <v>10</v>
      </c>
      <c r="U46">
        <v>10</v>
      </c>
      <c r="V46">
        <f t="shared" si="11"/>
        <v>0</v>
      </c>
      <c r="W46">
        <f t="shared" si="12"/>
        <v>100</v>
      </c>
      <c r="X46">
        <f t="shared" si="5"/>
        <v>90</v>
      </c>
      <c r="Y46">
        <f t="shared" si="6"/>
        <v>110.00000000000001</v>
      </c>
      <c r="Z46">
        <f t="shared" si="13"/>
        <v>0</v>
      </c>
      <c r="AA46" s="126">
        <f t="shared" si="14"/>
        <v>3.5233886508891263E-9</v>
      </c>
      <c r="AB46" s="126">
        <f t="shared" si="15"/>
        <v>8.244745650226786E-9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5.4344361626592078E-9</v>
      </c>
      <c r="S47" s="126">
        <f t="shared" si="4"/>
        <v>1.6335330576063636E-8</v>
      </c>
      <c r="T47">
        <v>10</v>
      </c>
      <c r="U47">
        <v>12</v>
      </c>
      <c r="V47">
        <f t="shared" si="11"/>
        <v>0</v>
      </c>
      <c r="W47">
        <f>U47*T47</f>
        <v>120</v>
      </c>
      <c r="X47">
        <f t="shared" si="5"/>
        <v>108</v>
      </c>
      <c r="Y47">
        <f t="shared" si="6"/>
        <v>132</v>
      </c>
      <c r="Z47">
        <f t="shared" si="13"/>
        <v>0</v>
      </c>
      <c r="AA47" s="126">
        <f t="shared" si="14"/>
        <v>3.8436967100243492E-9</v>
      </c>
      <c r="AB47" s="126">
        <f t="shared" si="15"/>
        <v>8.7073362467000476E-9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5.887305842824879E-9</v>
      </c>
      <c r="S48" s="126">
        <f t="shared" si="4"/>
        <v>1.7203170073763424E-8</v>
      </c>
      <c r="T48">
        <v>10</v>
      </c>
      <c r="U48">
        <v>15</v>
      </c>
      <c r="V48">
        <f t="shared" si="11"/>
        <v>0</v>
      </c>
      <c r="W48">
        <f t="shared" si="12"/>
        <v>150</v>
      </c>
      <c r="X48">
        <f t="shared" si="5"/>
        <v>135</v>
      </c>
      <c r="Y48">
        <f t="shared" si="6"/>
        <v>165</v>
      </c>
      <c r="Z48">
        <f t="shared" si="13"/>
        <v>0</v>
      </c>
      <c r="AA48" s="126">
        <f t="shared" si="14"/>
        <v>4.164004769153487E-9</v>
      </c>
      <c r="AB48" s="126">
        <f t="shared" si="15"/>
        <v>9.16992684316536E-9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6.4911320830323915E-9</v>
      </c>
      <c r="S49" s="126">
        <f t="shared" si="4"/>
        <v>1.8360289404006618E-8</v>
      </c>
      <c r="T49">
        <v>10</v>
      </c>
      <c r="U49">
        <v>18</v>
      </c>
      <c r="V49">
        <f t="shared" si="11"/>
        <v>0</v>
      </c>
      <c r="W49">
        <f t="shared" si="12"/>
        <v>180</v>
      </c>
      <c r="X49">
        <f t="shared" si="5"/>
        <v>162</v>
      </c>
      <c r="Y49">
        <f t="shared" si="6"/>
        <v>198.00000000000003</v>
      </c>
      <c r="Z49">
        <f t="shared" si="13"/>
        <v>0</v>
      </c>
      <c r="AA49" s="126">
        <f t="shared" si="14"/>
        <v>4.5910821813162061E-9</v>
      </c>
      <c r="AB49" s="126">
        <f t="shared" si="15"/>
        <v>9.7867143051067485E-9</v>
      </c>
      <c r="AC49" s="126" t="str">
        <f t="shared" si="7"/>
        <v>Vlow exceeds VIL spec</v>
      </c>
      <c r="AD49" s="126" t="str">
        <f t="shared" si="8"/>
        <v>Vlow exceeds VIL spec</v>
      </c>
    </row>
    <row r="50" spans="1:30" x14ac:dyDescent="0.35">
      <c r="A50" t="s">
        <v>320</v>
      </c>
      <c r="B50" s="11">
        <f>F11*(1+H11)</f>
        <v>283.5</v>
      </c>
      <c r="C50" s="11">
        <f>F11*(1+H11)</f>
        <v>283.5</v>
      </c>
      <c r="K50">
        <v>1</v>
      </c>
      <c r="L50">
        <v>47</v>
      </c>
      <c r="M50">
        <f t="shared" si="9"/>
        <v>0</v>
      </c>
      <c r="N50">
        <f t="shared" si="0"/>
        <v>47</v>
      </c>
      <c r="O50">
        <f t="shared" si="1"/>
        <v>44.65</v>
      </c>
      <c r="P50">
        <f t="shared" si="2"/>
        <v>49.35</v>
      </c>
      <c r="Q50">
        <f t="shared" si="10"/>
        <v>0</v>
      </c>
      <c r="R50" s="126">
        <f t="shared" si="3"/>
        <v>7.0949583232246044E-9</v>
      </c>
      <c r="S50" s="126">
        <f t="shared" si="4"/>
        <v>1.9517408734223299E-8</v>
      </c>
      <c r="T50">
        <v>10</v>
      </c>
      <c r="U50">
        <v>22</v>
      </c>
      <c r="V50">
        <f t="shared" si="11"/>
        <v>1</v>
      </c>
      <c r="W50">
        <f t="shared" si="12"/>
        <v>220</v>
      </c>
      <c r="X50">
        <f t="shared" si="5"/>
        <v>198</v>
      </c>
      <c r="Y50">
        <f t="shared" si="6"/>
        <v>242.00000000000003</v>
      </c>
      <c r="Z50">
        <f t="shared" si="13"/>
        <v>1</v>
      </c>
      <c r="AA50" s="126">
        <f t="shared" si="14"/>
        <v>5.0181595934681032E-9</v>
      </c>
      <c r="AB50" s="126">
        <f t="shared" si="15"/>
        <v>1.0403501767034002E-8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7.6987845634015187E-9</v>
      </c>
      <c r="S51" s="126">
        <f t="shared" si="4"/>
        <v>2.0674528064413474E-8</v>
      </c>
      <c r="T51">
        <v>10</v>
      </c>
      <c r="U51">
        <v>27</v>
      </c>
      <c r="V51">
        <f t="shared" si="11"/>
        <v>2</v>
      </c>
      <c r="W51">
        <f t="shared" si="12"/>
        <v>270</v>
      </c>
      <c r="X51">
        <f t="shared" si="5"/>
        <v>243</v>
      </c>
      <c r="Y51">
        <f t="shared" si="6"/>
        <v>297</v>
      </c>
      <c r="Z51">
        <f t="shared" si="13"/>
        <v>1</v>
      </c>
      <c r="AA51" s="126">
        <f t="shared" si="14"/>
        <v>5.44523700560918E-9</v>
      </c>
      <c r="AB51" s="126">
        <f t="shared" si="15"/>
        <v>1.1020289228947131E-8</v>
      </c>
      <c r="AC51" s="126" t="str">
        <f t="shared" si="7"/>
        <v>Vlow exceeds VIL spec</v>
      </c>
      <c r="AD51" s="126" t="str">
        <f t="shared" si="8"/>
        <v>Vlow exceeds VIL spec</v>
      </c>
    </row>
    <row r="52" spans="1:30" x14ac:dyDescent="0.35">
      <c r="A52" t="s">
        <v>324</v>
      </c>
      <c r="B52" s="1">
        <f>K21</f>
        <v>21.49240538481077</v>
      </c>
      <c r="C52">
        <v>0</v>
      </c>
      <c r="K52">
        <v>1</v>
      </c>
      <c r="L52">
        <v>56</v>
      </c>
      <c r="M52">
        <f t="shared" si="9"/>
        <v>0</v>
      </c>
      <c r="N52">
        <f t="shared" si="0"/>
        <v>56</v>
      </c>
      <c r="O52">
        <f t="shared" si="1"/>
        <v>53.199999999999996</v>
      </c>
      <c r="P52">
        <f t="shared" si="2"/>
        <v>58.800000000000004</v>
      </c>
      <c r="Q52">
        <f t="shared" si="10"/>
        <v>0</v>
      </c>
      <c r="R52" s="126">
        <f t="shared" si="3"/>
        <v>8.4535673636011532E-9</v>
      </c>
      <c r="S52" s="126">
        <f t="shared" si="4"/>
        <v>2.2120927227113915E-8</v>
      </c>
      <c r="T52">
        <v>10</v>
      </c>
      <c r="U52">
        <v>33</v>
      </c>
      <c r="V52">
        <f t="shared" si="11"/>
        <v>3</v>
      </c>
      <c r="W52">
        <f t="shared" si="12"/>
        <v>330</v>
      </c>
      <c r="X52">
        <f t="shared" si="5"/>
        <v>297</v>
      </c>
      <c r="Y52">
        <f t="shared" si="6"/>
        <v>363.00000000000006</v>
      </c>
      <c r="Z52">
        <f t="shared" si="13"/>
        <v>1</v>
      </c>
      <c r="AA52" s="126">
        <f t="shared" si="14"/>
        <v>5.9790837707703136E-9</v>
      </c>
      <c r="AB52" s="126">
        <f t="shared" si="15"/>
        <v>1.1791273556318669E-8</v>
      </c>
      <c r="AC52" s="126" t="str">
        <f t="shared" si="7"/>
        <v>Vlow exceeds VIL spec</v>
      </c>
      <c r="AD52" s="126" t="str">
        <f t="shared" si="8"/>
        <v>Vlow exceeds VIL spec</v>
      </c>
    </row>
    <row r="53" spans="1:30" x14ac:dyDescent="0.35">
      <c r="A53" t="s">
        <v>327</v>
      </c>
      <c r="B53">
        <v>0</v>
      </c>
      <c r="C53" s="1">
        <f>K21</f>
        <v>21.49240538481077</v>
      </c>
      <c r="K53">
        <v>1</v>
      </c>
      <c r="L53">
        <v>62</v>
      </c>
      <c r="M53">
        <f t="shared" si="9"/>
        <v>0</v>
      </c>
      <c r="N53">
        <f t="shared" si="0"/>
        <v>62</v>
      </c>
      <c r="O53">
        <f t="shared" si="1"/>
        <v>58.9</v>
      </c>
      <c r="P53">
        <f t="shared" si="2"/>
        <v>65.100000000000009</v>
      </c>
      <c r="Q53">
        <f t="shared" si="10"/>
        <v>0</v>
      </c>
      <c r="R53" s="126">
        <f t="shared" si="3"/>
        <v>9.3593067238091662E-9</v>
      </c>
      <c r="S53" s="126">
        <f t="shared" si="4"/>
        <v>2.385660622229977E-8</v>
      </c>
      <c r="T53">
        <v>10</v>
      </c>
      <c r="U53">
        <v>39</v>
      </c>
      <c r="V53">
        <f t="shared" si="11"/>
        <v>4</v>
      </c>
      <c r="W53">
        <f t="shared" si="12"/>
        <v>390</v>
      </c>
      <c r="X53">
        <f t="shared" si="5"/>
        <v>351</v>
      </c>
      <c r="Y53">
        <f t="shared" si="6"/>
        <v>429.00000000000006</v>
      </c>
      <c r="Z53">
        <f t="shared" si="13"/>
        <v>0</v>
      </c>
      <c r="AA53" s="126">
        <f t="shared" si="14"/>
        <v>6.6196998889413597E-9</v>
      </c>
      <c r="AB53" s="126">
        <f t="shared" si="15"/>
        <v>1.2716454749135371E-8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1.0265046083982759E-8</v>
      </c>
      <c r="S54" s="126">
        <f t="shared" si="4"/>
        <v>2.5592285217425972E-8</v>
      </c>
      <c r="T54">
        <v>10</v>
      </c>
      <c r="U54">
        <v>47</v>
      </c>
      <c r="V54">
        <f t="shared" si="11"/>
        <v>4</v>
      </c>
      <c r="W54">
        <f t="shared" si="12"/>
        <v>470</v>
      </c>
      <c r="X54">
        <f t="shared" si="5"/>
        <v>423</v>
      </c>
      <c r="Y54">
        <f t="shared" si="6"/>
        <v>517</v>
      </c>
      <c r="Z54">
        <f t="shared" si="13"/>
        <v>0</v>
      </c>
      <c r="AA54" s="126">
        <f t="shared" si="14"/>
        <v>7.2603160070880602E-9</v>
      </c>
      <c r="AB54" s="126">
        <f t="shared" si="15"/>
        <v>1.3641635941920278E-8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1.1321742004141782E-8</v>
      </c>
      <c r="S55" s="126">
        <f t="shared" si="4"/>
        <v>2.7617244044997835E-8</v>
      </c>
      <c r="T55">
        <v>10</v>
      </c>
      <c r="U55">
        <v>56</v>
      </c>
      <c r="V55">
        <f t="shared" si="11"/>
        <v>4</v>
      </c>
      <c r="W55">
        <f t="shared" si="12"/>
        <v>560</v>
      </c>
      <c r="X55">
        <f t="shared" si="5"/>
        <v>504</v>
      </c>
      <c r="Y55">
        <f t="shared" si="6"/>
        <v>616</v>
      </c>
      <c r="Z55">
        <f t="shared" si="13"/>
        <v>0</v>
      </c>
      <c r="AA55" s="126">
        <f t="shared" si="14"/>
        <v>8.0077014782284446E-9</v>
      </c>
      <c r="AB55" s="126">
        <f t="shared" si="15"/>
        <v>1.4721014000129157E-8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1.2378437924253962E-8</v>
      </c>
      <c r="S56" s="126">
        <f t="shared" si="4"/>
        <v>2.9642202872488517E-8</v>
      </c>
      <c r="T56">
        <v>10</v>
      </c>
      <c r="U56">
        <v>68</v>
      </c>
      <c r="V56">
        <f t="shared" si="11"/>
        <v>4</v>
      </c>
      <c r="W56">
        <f t="shared" si="12"/>
        <v>680</v>
      </c>
      <c r="X56">
        <f t="shared" si="5"/>
        <v>612</v>
      </c>
      <c r="Y56">
        <f t="shared" si="6"/>
        <v>748.00000000000011</v>
      </c>
      <c r="Z56">
        <f t="shared" si="13"/>
        <v>0</v>
      </c>
      <c r="AA56" s="126">
        <f t="shared" si="14"/>
        <v>8.7550869493356963E-9</v>
      </c>
      <c r="AB56" s="126">
        <f t="shared" si="15"/>
        <v>1.5800392058294765E-8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1.3737046964329354E-8</v>
      </c>
      <c r="S57" s="126">
        <f t="shared" si="4"/>
        <v>3.2245721364857235E-8</v>
      </c>
      <c r="T57">
        <v>10</v>
      </c>
      <c r="U57">
        <v>82</v>
      </c>
      <c r="V57">
        <f t="shared" si="11"/>
        <v>4</v>
      </c>
      <c r="W57">
        <f t="shared" si="12"/>
        <v>820</v>
      </c>
      <c r="X57">
        <f t="shared" si="5"/>
        <v>738</v>
      </c>
      <c r="Y57">
        <f t="shared" si="6"/>
        <v>902.00000000000011</v>
      </c>
      <c r="Z57">
        <f t="shared" si="13"/>
        <v>0</v>
      </c>
      <c r="AA57" s="126">
        <f t="shared" si="14"/>
        <v>9.7160111264249028E-9</v>
      </c>
      <c r="AB57" s="126">
        <f t="shared" si="15"/>
        <v>1.7188163847301242E-8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1.5095656004327307E-8</v>
      </c>
      <c r="S58" s="126">
        <f t="shared" si="4"/>
        <v>3.4849239857091765E-8</v>
      </c>
      <c r="T58">
        <v>100</v>
      </c>
      <c r="U58">
        <v>10</v>
      </c>
      <c r="V58">
        <f t="shared" si="11"/>
        <v>4</v>
      </c>
      <c r="W58">
        <f t="shared" si="12"/>
        <v>1000</v>
      </c>
      <c r="X58">
        <f t="shared" si="5"/>
        <v>900</v>
      </c>
      <c r="Y58">
        <f t="shared" si="6"/>
        <v>1100</v>
      </c>
      <c r="Z58">
        <f t="shared" si="13"/>
        <v>0</v>
      </c>
      <c r="AA58" s="126">
        <f t="shared" si="14"/>
        <v>1.0676935303459338E-8</v>
      </c>
      <c r="AB58" s="126">
        <f t="shared" si="15"/>
        <v>1.8575935636236185E-8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1.6605221604234205E-8</v>
      </c>
      <c r="S59" s="126">
        <f t="shared" si="4"/>
        <v>3.77420381816394E-8</v>
      </c>
      <c r="T59">
        <v>100</v>
      </c>
      <c r="U59">
        <v>12</v>
      </c>
      <c r="V59">
        <f t="shared" si="11"/>
        <v>4</v>
      </c>
      <c r="W59">
        <f t="shared" si="12"/>
        <v>1200</v>
      </c>
      <c r="X59">
        <f t="shared" si="5"/>
        <v>1080</v>
      </c>
      <c r="Y59">
        <f t="shared" si="6"/>
        <v>1320</v>
      </c>
      <c r="Z59">
        <f t="shared" si="13"/>
        <v>0</v>
      </c>
      <c r="AA59" s="126">
        <f t="shared" si="14"/>
        <v>1.1744628833433358E-8</v>
      </c>
      <c r="AB59" s="126">
        <f t="shared" si="15"/>
        <v>2.0117904290524454E-8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1.8114787204045498E-8</v>
      </c>
      <c r="S60" s="126">
        <f t="shared" si="4"/>
        <v>4.0634836506021361E-8</v>
      </c>
      <c r="T60">
        <v>100</v>
      </c>
      <c r="U60">
        <v>15</v>
      </c>
      <c r="V60">
        <f t="shared" si="11"/>
        <v>4</v>
      </c>
      <c r="W60">
        <f t="shared" si="12"/>
        <v>1500</v>
      </c>
      <c r="X60">
        <f t="shared" si="5"/>
        <v>1350</v>
      </c>
      <c r="Y60">
        <f t="shared" si="6"/>
        <v>1650.0000000000002</v>
      </c>
      <c r="Z60">
        <f t="shared" si="13"/>
        <v>0</v>
      </c>
      <c r="AA60" s="126">
        <f t="shared" si="14"/>
        <v>1.2812322363339758E-8</v>
      </c>
      <c r="AB60" s="126">
        <f t="shared" si="15"/>
        <v>2.1659872944724406E-8</v>
      </c>
      <c r="AC60" s="126" t="str">
        <f t="shared" si="7"/>
        <v>Vlow exceeds VIL spec</v>
      </c>
      <c r="AD60" s="126">
        <f t="shared" si="8"/>
        <v>2.4672640730854616E-8</v>
      </c>
    </row>
    <row r="61" spans="1:30" x14ac:dyDescent="0.35">
      <c r="K61">
        <v>10</v>
      </c>
      <c r="L61">
        <v>13</v>
      </c>
      <c r="M61">
        <f t="shared" si="9"/>
        <v>0</v>
      </c>
      <c r="N61">
        <f t="shared" si="0"/>
        <v>130</v>
      </c>
      <c r="O61">
        <f t="shared" si="1"/>
        <v>123.5</v>
      </c>
      <c r="P61">
        <f t="shared" si="2"/>
        <v>136.5</v>
      </c>
      <c r="Q61">
        <f t="shared" si="10"/>
        <v>0</v>
      </c>
      <c r="R61" s="126">
        <f t="shared" si="3"/>
        <v>1.9624352803761184E-8</v>
      </c>
      <c r="S61" s="126">
        <f t="shared" si="4"/>
        <v>4.3527634830237627E-8</v>
      </c>
      <c r="T61">
        <v>100</v>
      </c>
      <c r="U61">
        <v>18</v>
      </c>
      <c r="V61">
        <f t="shared" si="11"/>
        <v>4</v>
      </c>
      <c r="W61">
        <f t="shared" si="12"/>
        <v>1800</v>
      </c>
      <c r="X61">
        <f t="shared" si="5"/>
        <v>1620</v>
      </c>
      <c r="Y61">
        <f t="shared" si="6"/>
        <v>1980.0000000000002</v>
      </c>
      <c r="Z61">
        <f t="shared" si="13"/>
        <v>0</v>
      </c>
      <c r="AA61" s="126">
        <f t="shared" si="14"/>
        <v>1.3880015893178537E-8</v>
      </c>
      <c r="AB61" s="126">
        <f t="shared" si="15"/>
        <v>2.3201841598836042E-8</v>
      </c>
      <c r="AC61" s="126" t="str">
        <f t="shared" si="7"/>
        <v>Vlow exceeds VIL spec</v>
      </c>
      <c r="AD61" s="126">
        <f t="shared" si="8"/>
        <v>1.9802744339762908E-8</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0.99999968434621944</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0.99999968437009978</v>
      </c>
      <c r="K62">
        <v>10</v>
      </c>
      <c r="L62">
        <v>15</v>
      </c>
      <c r="M62">
        <f t="shared" si="9"/>
        <v>0</v>
      </c>
      <c r="N62">
        <f t="shared" si="0"/>
        <v>150</v>
      </c>
      <c r="O62">
        <f t="shared" si="1"/>
        <v>142.5</v>
      </c>
      <c r="P62">
        <f t="shared" si="2"/>
        <v>157.5</v>
      </c>
      <c r="Q62">
        <f t="shared" si="10"/>
        <v>0</v>
      </c>
      <c r="R62" s="126">
        <f t="shared" si="3"/>
        <v>2.2643484002905742E-8</v>
      </c>
      <c r="S62" s="126">
        <f t="shared" si="4"/>
        <v>4.9313231478173158E-8</v>
      </c>
      <c r="T62">
        <v>100</v>
      </c>
      <c r="U62">
        <v>22</v>
      </c>
      <c r="V62">
        <f t="shared" si="11"/>
        <v>4</v>
      </c>
      <c r="W62">
        <f t="shared" si="12"/>
        <v>2200</v>
      </c>
      <c r="X62">
        <f t="shared" si="5"/>
        <v>1980</v>
      </c>
      <c r="Y62">
        <f t="shared" si="6"/>
        <v>2420</v>
      </c>
      <c r="Z62">
        <f t="shared" si="13"/>
        <v>0</v>
      </c>
      <c r="AA62" s="126">
        <f t="shared" si="14"/>
        <v>1.6015402952653235E-8</v>
      </c>
      <c r="AB62" s="126">
        <f t="shared" si="15"/>
        <v>2.6285778906794384E-8</v>
      </c>
      <c r="AC62" s="126" t="str">
        <f t="shared" si="7"/>
        <v>Vlow exceeds VIL spec</v>
      </c>
      <c r="AD62" s="126">
        <f t="shared" si="8"/>
        <v>1.5951087708383884E-8</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0.99999968437009978</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0.99999968437009978</v>
      </c>
      <c r="K63">
        <v>10</v>
      </c>
      <c r="L63">
        <v>16</v>
      </c>
      <c r="M63">
        <f t="shared" si="9"/>
        <v>0</v>
      </c>
      <c r="N63">
        <f t="shared" si="0"/>
        <v>160</v>
      </c>
      <c r="O63">
        <f t="shared" si="1"/>
        <v>152</v>
      </c>
      <c r="P63">
        <f t="shared" si="2"/>
        <v>168</v>
      </c>
      <c r="Q63">
        <f t="shared" si="10"/>
        <v>0</v>
      </c>
      <c r="R63" s="126">
        <f t="shared" si="3"/>
        <v>2.4153049602334609E-8</v>
      </c>
      <c r="S63" s="126">
        <f t="shared" si="4"/>
        <v>5.2206029801892395E-8</v>
      </c>
      <c r="T63">
        <v>100</v>
      </c>
      <c r="U63">
        <v>27</v>
      </c>
      <c r="V63">
        <f t="shared" si="11"/>
        <v>4</v>
      </c>
      <c r="W63">
        <f t="shared" si="12"/>
        <v>2700</v>
      </c>
      <c r="X63">
        <f t="shared" si="5"/>
        <v>2430</v>
      </c>
      <c r="Y63">
        <f t="shared" si="6"/>
        <v>2970.0000000000005</v>
      </c>
      <c r="Z63">
        <f t="shared" si="13"/>
        <v>0</v>
      </c>
      <c r="AA63" s="126">
        <f t="shared" si="14"/>
        <v>1.7083096482289151E-8</v>
      </c>
      <c r="AB63" s="126">
        <f t="shared" si="15"/>
        <v>2.7827747560641084E-8</v>
      </c>
      <c r="AC63" s="126" t="str">
        <f t="shared" si="7"/>
        <v>Vlow exceeds VIL spec</v>
      </c>
      <c r="AD63" s="126">
        <f t="shared" si="8"/>
        <v>1.490973026769075E-8</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0.99999968437009978</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0.99999968434621944</v>
      </c>
      <c r="K64">
        <v>10</v>
      </c>
      <c r="L64">
        <v>18</v>
      </c>
      <c r="M64">
        <f t="shared" si="9"/>
        <v>1</v>
      </c>
      <c r="N64">
        <f t="shared" si="0"/>
        <v>180</v>
      </c>
      <c r="O64">
        <f t="shared" si="1"/>
        <v>171</v>
      </c>
      <c r="P64">
        <f t="shared" si="2"/>
        <v>189</v>
      </c>
      <c r="Q64">
        <f t="shared" si="10"/>
        <v>1</v>
      </c>
      <c r="R64" s="126">
        <f t="shared" si="3"/>
        <v>2.7172180800905533E-8</v>
      </c>
      <c r="S64" s="126">
        <f t="shared" si="4"/>
        <v>5.7991626448833846E-8</v>
      </c>
      <c r="T64">
        <v>100</v>
      </c>
      <c r="U64">
        <v>33</v>
      </c>
      <c r="V64">
        <f t="shared" si="11"/>
        <v>4</v>
      </c>
      <c r="W64">
        <f t="shared" si="12"/>
        <v>3300</v>
      </c>
      <c r="X64">
        <f t="shared" si="5"/>
        <v>2970</v>
      </c>
      <c r="Y64">
        <f t="shared" si="6"/>
        <v>3630.0000000000005</v>
      </c>
      <c r="Z64">
        <f t="shared" si="13"/>
        <v>0</v>
      </c>
      <c r="AA64" s="126">
        <f t="shared" si="14"/>
        <v>1.9218483541358125E-8</v>
      </c>
      <c r="AB64" s="126">
        <f t="shared" si="15"/>
        <v>3.0911684868069551E-8</v>
      </c>
      <c r="AC64" s="126">
        <f t="shared" si="7"/>
        <v>6.3767566086075494E-8</v>
      </c>
      <c r="AD64" s="126">
        <f t="shared" si="8"/>
        <v>1.3524400717918343E-8</v>
      </c>
    </row>
    <row r="65" spans="1:31" x14ac:dyDescent="0.35">
      <c r="K65">
        <v>10</v>
      </c>
      <c r="L65">
        <v>20</v>
      </c>
      <c r="M65">
        <f t="shared" si="9"/>
        <v>2</v>
      </c>
      <c r="N65">
        <f t="shared" si="0"/>
        <v>200</v>
      </c>
      <c r="O65">
        <f t="shared" si="1"/>
        <v>190</v>
      </c>
      <c r="P65">
        <f t="shared" si="2"/>
        <v>210</v>
      </c>
      <c r="Q65">
        <f t="shared" si="10"/>
        <v>1</v>
      </c>
      <c r="R65" s="126">
        <f t="shared" si="3"/>
        <v>3.0191311999094028E-8</v>
      </c>
      <c r="S65" s="126">
        <f t="shared" si="4"/>
        <v>6.3777223095112566E-8</v>
      </c>
      <c r="T65">
        <v>100</v>
      </c>
      <c r="U65">
        <v>39</v>
      </c>
      <c r="V65">
        <f t="shared" si="11"/>
        <v>4</v>
      </c>
      <c r="W65">
        <f t="shared" si="12"/>
        <v>3900</v>
      </c>
      <c r="X65">
        <f t="shared" si="5"/>
        <v>3510</v>
      </c>
      <c r="Y65">
        <f t="shared" si="6"/>
        <v>4290</v>
      </c>
      <c r="Z65">
        <f t="shared" si="13"/>
        <v>0</v>
      </c>
      <c r="AA65" s="126">
        <f t="shared" si="14"/>
        <v>2.1353870600156614E-8</v>
      </c>
      <c r="AB65" s="126">
        <f t="shared" si="15"/>
        <v>3.3995622175144755E-8</v>
      </c>
      <c r="AC65" s="126">
        <f t="shared" si="7"/>
        <v>3.8874428771273188E-8</v>
      </c>
      <c r="AD65" s="126">
        <f t="shared" si="8"/>
        <v>1.2634696846004804E-8</v>
      </c>
    </row>
    <row r="66" spans="1:31" x14ac:dyDescent="0.35">
      <c r="I66" s="128"/>
      <c r="J66" s="128"/>
      <c r="K66">
        <v>10</v>
      </c>
      <c r="L66">
        <v>22</v>
      </c>
      <c r="M66">
        <f t="shared" si="9"/>
        <v>3</v>
      </c>
      <c r="N66">
        <f t="shared" si="0"/>
        <v>220</v>
      </c>
      <c r="O66">
        <f t="shared" si="1"/>
        <v>209</v>
      </c>
      <c r="P66">
        <f t="shared" si="2"/>
        <v>231</v>
      </c>
      <c r="Q66">
        <f t="shared" si="10"/>
        <v>1</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3.3210443196900104E-8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6.9562819740728596E-8</v>
      </c>
      <c r="T66">
        <v>100</v>
      </c>
      <c r="U66">
        <v>47</v>
      </c>
      <c r="V66">
        <f t="shared" si="11"/>
        <v>4</v>
      </c>
      <c r="W66">
        <f t="shared" si="12"/>
        <v>4700</v>
      </c>
      <c r="X66">
        <f t="shared" si="5"/>
        <v>4230</v>
      </c>
      <c r="Y66">
        <f t="shared" si="6"/>
        <v>5170</v>
      </c>
      <c r="Z66">
        <f t="shared" si="13"/>
        <v>0</v>
      </c>
      <c r="AA66" s="126">
        <f t="shared" si="14"/>
        <v>2.3489257658684622E-8</v>
      </c>
      <c r="AB66" s="126">
        <f t="shared" si="15"/>
        <v>3.7079559481866714E-8</v>
      </c>
      <c r="AC66" s="126">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3.2162055073437401E-8</v>
      </c>
      <c r="AD66" s="126">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1.2011521528434793E-8</v>
      </c>
    </row>
    <row r="67" spans="1:31" x14ac:dyDescent="0.35">
      <c r="B67" s="171" t="s">
        <v>354</v>
      </c>
      <c r="C67" s="171"/>
      <c r="I67" s="128"/>
      <c r="K67">
        <v>10</v>
      </c>
      <c r="L67">
        <v>24</v>
      </c>
      <c r="M67">
        <f t="shared" si="9"/>
        <v>4</v>
      </c>
      <c r="N67">
        <f t="shared" si="0"/>
        <v>240</v>
      </c>
      <c r="O67">
        <f t="shared" si="1"/>
        <v>228</v>
      </c>
      <c r="P67">
        <f t="shared" si="2"/>
        <v>252</v>
      </c>
      <c r="Q67">
        <f t="shared" si="10"/>
        <v>1</v>
      </c>
      <c r="R67" s="126">
        <f t="shared" si="16"/>
        <v>3.6229574394323758E-8</v>
      </c>
      <c r="S67" s="126">
        <f t="shared" si="17"/>
        <v>7.5348416385681902E-8</v>
      </c>
      <c r="T67">
        <v>100</v>
      </c>
      <c r="U67">
        <v>56</v>
      </c>
      <c r="V67">
        <f t="shared" si="11"/>
        <v>4</v>
      </c>
      <c r="W67">
        <f t="shared" si="12"/>
        <v>5600</v>
      </c>
      <c r="X67">
        <f t="shared" si="5"/>
        <v>5040</v>
      </c>
      <c r="Y67">
        <f t="shared" si="6"/>
        <v>6160.0000000000009</v>
      </c>
      <c r="Z67">
        <f t="shared" si="13"/>
        <v>0</v>
      </c>
      <c r="AA67" s="126">
        <f t="shared" si="14"/>
        <v>2.5624644716942152E-8</v>
      </c>
      <c r="AB67" s="126">
        <f t="shared" si="15"/>
        <v>4.0163496788235427E-8</v>
      </c>
      <c r="AC67" s="126">
        <f t="shared" si="18"/>
        <v>2.8534662858554867E-8</v>
      </c>
      <c r="AD67" s="126">
        <f t="shared" si="19"/>
        <v>1.1549759213500671E-8</v>
      </c>
    </row>
    <row r="68" spans="1:31" ht="28.4" customHeight="1" x14ac:dyDescent="0.35">
      <c r="B68" s="32" t="s">
        <v>355</v>
      </c>
      <c r="C68" s="32" t="s">
        <v>356</v>
      </c>
      <c r="D68" s="32" t="s">
        <v>357</v>
      </c>
      <c r="E68" s="32" t="str">
        <f>IF(Summary!T37="absolute","find min R2, so that max (Vz) = " &amp; TRUNC(R3/J2,3),"find min R2, so that max (Vz) = " &amp; R3)</f>
        <v>find min R2, so that max (Vz) = 0.444</v>
      </c>
      <c r="F68" s="32" t="s">
        <v>358</v>
      </c>
      <c r="G68" s="32" t="s">
        <v>359</v>
      </c>
      <c r="H68" s="32" t="s">
        <v>360</v>
      </c>
      <c r="I68" s="49"/>
      <c r="J68" s="49"/>
      <c r="K68">
        <v>10</v>
      </c>
      <c r="L68">
        <v>27</v>
      </c>
      <c r="M68">
        <f t="shared" si="9"/>
        <v>5</v>
      </c>
      <c r="N68">
        <f t="shared" si="0"/>
        <v>270</v>
      </c>
      <c r="O68">
        <f t="shared" si="1"/>
        <v>256.5</v>
      </c>
      <c r="P68">
        <f t="shared" si="2"/>
        <v>283.5</v>
      </c>
      <c r="Q68">
        <f t="shared" si="10"/>
        <v>1</v>
      </c>
      <c r="R68" s="126">
        <f t="shared" si="16"/>
        <v>4.0758271189742187E-8</v>
      </c>
      <c r="S68" s="126">
        <f t="shared" si="17"/>
        <v>8.402681135186927E-8</v>
      </c>
      <c r="T68">
        <v>100</v>
      </c>
      <c r="U68">
        <v>68</v>
      </c>
      <c r="V68">
        <f t="shared" si="11"/>
        <v>4</v>
      </c>
      <c r="W68">
        <f t="shared" si="12"/>
        <v>6800</v>
      </c>
      <c r="X68">
        <f t="shared" si="5"/>
        <v>6120</v>
      </c>
      <c r="Y68">
        <f t="shared" si="6"/>
        <v>7480.0000000000009</v>
      </c>
      <c r="Z68">
        <f t="shared" si="13"/>
        <v>0</v>
      </c>
      <c r="AA68" s="126">
        <f t="shared" si="14"/>
        <v>2.8827725303821282E-8</v>
      </c>
      <c r="AB68" s="126">
        <f t="shared" si="15"/>
        <v>4.478940274712614E-8</v>
      </c>
      <c r="AC68" s="126">
        <f t="shared" si="18"/>
        <v>2.5298194900764911E-8</v>
      </c>
      <c r="AD68" s="126">
        <f t="shared" si="19"/>
        <v>1.1044440858279584E-8</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6</v>
      </c>
      <c r="N69">
        <f t="shared" si="0"/>
        <v>300</v>
      </c>
      <c r="O69">
        <f t="shared" si="1"/>
        <v>285</v>
      </c>
      <c r="P69">
        <f t="shared" si="2"/>
        <v>315</v>
      </c>
      <c r="Q69">
        <f t="shared" si="10"/>
        <v>1</v>
      </c>
      <c r="R69" s="126">
        <f t="shared" si="16"/>
        <v>4.5286967984300168E-8</v>
      </c>
      <c r="S69" s="126">
        <f t="shared" si="17"/>
        <v>9.2705206316565529E-8</v>
      </c>
      <c r="T69">
        <v>100</v>
      </c>
      <c r="U69">
        <v>82</v>
      </c>
      <c r="V69">
        <f t="shared" si="11"/>
        <v>4</v>
      </c>
      <c r="W69">
        <f t="shared" si="12"/>
        <v>8200</v>
      </c>
      <c r="X69">
        <f t="shared" si="5"/>
        <v>7380</v>
      </c>
      <c r="Y69">
        <f t="shared" si="6"/>
        <v>9020</v>
      </c>
      <c r="Z69">
        <f t="shared" si="13"/>
        <v>0</v>
      </c>
      <c r="AA69" s="126">
        <f t="shared" si="14"/>
        <v>3.2030805890091832E-8</v>
      </c>
      <c r="AB69" s="126">
        <f t="shared" si="15"/>
        <v>4.9415308705222044E-8</v>
      </c>
      <c r="AC69" s="126">
        <f t="shared" si="18"/>
        <v>2.3295237174196062E-8</v>
      </c>
      <c r="AD69" s="126">
        <f t="shared" si="19"/>
        <v>1.0680163875914299E-8</v>
      </c>
    </row>
    <row r="70" spans="1:31" x14ac:dyDescent="0.35">
      <c r="A70" t="s">
        <v>320</v>
      </c>
      <c r="B70" s="11">
        <f>F11*(1+H11)</f>
        <v>283.5</v>
      </c>
      <c r="C70" s="11">
        <f>F11*(1-H11)</f>
        <v>256.5</v>
      </c>
      <c r="D70" s="11">
        <f>F11*(1+H11)</f>
        <v>283.5</v>
      </c>
      <c r="E70" s="11"/>
      <c r="F70" s="11">
        <f>F11*(1-H11)</f>
        <v>256.5</v>
      </c>
      <c r="G70" s="11">
        <f>F11*(1-H11)</f>
        <v>256.5</v>
      </c>
      <c r="H70" s="11">
        <f>F11*(1+H11)</f>
        <v>283.5</v>
      </c>
      <c r="K70">
        <v>10</v>
      </c>
      <c r="L70">
        <v>33</v>
      </c>
      <c r="M70">
        <f t="shared" si="9"/>
        <v>7</v>
      </c>
      <c r="N70">
        <f t="shared" si="0"/>
        <v>330</v>
      </c>
      <c r="O70">
        <f t="shared" si="1"/>
        <v>313.5</v>
      </c>
      <c r="P70">
        <f t="shared" si="2"/>
        <v>346.5</v>
      </c>
      <c r="Q70">
        <f t="shared" si="10"/>
        <v>1</v>
      </c>
      <c r="R70" s="126">
        <f t="shared" si="16"/>
        <v>4.981566477799769E-8</v>
      </c>
      <c r="S70" s="126">
        <f t="shared" si="17"/>
        <v>1.0138360127977071E-7</v>
      </c>
      <c r="T70">
        <v>1000</v>
      </c>
      <c r="U70">
        <v>10</v>
      </c>
      <c r="V70">
        <f t="shared" si="11"/>
        <v>4</v>
      </c>
      <c r="W70">
        <f t="shared" si="12"/>
        <v>10000</v>
      </c>
      <c r="X70">
        <f t="shared" si="5"/>
        <v>9000</v>
      </c>
      <c r="Y70">
        <f t="shared" si="6"/>
        <v>11000</v>
      </c>
      <c r="Z70">
        <f t="shared" si="13"/>
        <v>0</v>
      </c>
      <c r="AA70" s="126">
        <f t="shared" si="14"/>
        <v>3.5233886475753796E-8</v>
      </c>
      <c r="AB70" s="126">
        <f t="shared" si="15"/>
        <v>5.4041214662523141E-8</v>
      </c>
      <c r="AC70" s="126">
        <f t="shared" si="18"/>
        <v>2.1925449022011055E-8</v>
      </c>
      <c r="AD70" s="126">
        <f t="shared" si="19"/>
        <v>1.0405187056448985E-8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8</v>
      </c>
      <c r="N71">
        <f t="shared" si="0"/>
        <v>360</v>
      </c>
      <c r="O71">
        <f t="shared" si="1"/>
        <v>342</v>
      </c>
      <c r="P71">
        <f t="shared" si="2"/>
        <v>378</v>
      </c>
      <c r="Q71">
        <f t="shared" si="10"/>
        <v>1</v>
      </c>
      <c r="R71" s="126">
        <f t="shared" si="16"/>
        <v>5.4344361570834773E-8</v>
      </c>
      <c r="S71" s="126">
        <f t="shared" si="17"/>
        <v>1.1006199624148475E-7</v>
      </c>
      <c r="T71">
        <v>1000</v>
      </c>
      <c r="U71">
        <v>12</v>
      </c>
      <c r="V71">
        <f t="shared" si="11"/>
        <v>4</v>
      </c>
      <c r="W71">
        <f t="shared" si="12"/>
        <v>12000</v>
      </c>
      <c r="X71">
        <f t="shared" si="5"/>
        <v>10800</v>
      </c>
      <c r="Y71">
        <f t="shared" si="6"/>
        <v>13200.000000000002</v>
      </c>
      <c r="Z71">
        <f t="shared" si="13"/>
        <v>0</v>
      </c>
      <c r="AA71" s="126">
        <f t="shared" si="14"/>
        <v>3.8436967060807173E-8</v>
      </c>
      <c r="AB71" s="126">
        <f t="shared" si="15"/>
        <v>5.866712061902941E-8</v>
      </c>
      <c r="AC71" s="126">
        <f t="shared" si="18"/>
        <v>2.0928154558944872E-8</v>
      </c>
      <c r="AD71" s="126">
        <f t="shared" si="19"/>
        <v>1.019034725707834E-8</v>
      </c>
    </row>
    <row r="72" spans="1:31" x14ac:dyDescent="0.35">
      <c r="A72" t="s">
        <v>324</v>
      </c>
      <c r="B72" s="1">
        <f>K21*MIN(K25,K24)</f>
        <v>0</v>
      </c>
      <c r="C72" s="1">
        <f>K21*MAX(K25,K24)</f>
        <v>21.49240538481077</v>
      </c>
      <c r="D72" s="1">
        <f>K21*MIN(K25,K24)</f>
        <v>0</v>
      </c>
      <c r="E72" s="1">
        <f>K21*MAX(K25,K24)</f>
        <v>21.49240538481077</v>
      </c>
      <c r="F72" s="125">
        <f>K21*MAX(K25,K24)</f>
        <v>21.49240538481077</v>
      </c>
      <c r="G72" s="125">
        <f>K22*MAX(K25,K24)</f>
        <v>15.682405384810767</v>
      </c>
      <c r="H72" s="1">
        <f>K22*MIN(K25,K24)</f>
        <v>0</v>
      </c>
      <c r="K72">
        <v>10</v>
      </c>
      <c r="L72">
        <v>39</v>
      </c>
      <c r="M72">
        <f t="shared" si="9"/>
        <v>9</v>
      </c>
      <c r="N72">
        <f t="shared" si="0"/>
        <v>390</v>
      </c>
      <c r="O72">
        <f t="shared" si="1"/>
        <v>370.5</v>
      </c>
      <c r="P72">
        <f t="shared" si="2"/>
        <v>409.5</v>
      </c>
      <c r="Q72">
        <f t="shared" si="10"/>
        <v>1</v>
      </c>
      <c r="R72" s="126">
        <f t="shared" si="16"/>
        <v>5.8873058362811402E-8</v>
      </c>
      <c r="S72" s="126">
        <f t="shared" si="17"/>
        <v>1.1874039120170768E-7</v>
      </c>
      <c r="T72">
        <v>1000</v>
      </c>
      <c r="U72">
        <v>15</v>
      </c>
      <c r="V72">
        <f t="shared" si="11"/>
        <v>4</v>
      </c>
      <c r="W72">
        <f t="shared" si="12"/>
        <v>15000</v>
      </c>
      <c r="X72">
        <f t="shared" si="5"/>
        <v>13500</v>
      </c>
      <c r="Y72">
        <f t="shared" si="6"/>
        <v>16500</v>
      </c>
      <c r="Z72">
        <f t="shared" si="13"/>
        <v>0</v>
      </c>
      <c r="AA72" s="126">
        <f t="shared" si="14"/>
        <v>4.164004764525197E-8</v>
      </c>
      <c r="AB72" s="126">
        <f t="shared" si="15"/>
        <v>6.3293026574740864E-8</v>
      </c>
      <c r="AC72" s="126">
        <f t="shared" si="18"/>
        <v>2.016964628462701E-8</v>
      </c>
      <c r="AD72" s="126">
        <f t="shared" si="19"/>
        <v>1.0017931310396809E-8</v>
      </c>
    </row>
    <row r="73" spans="1:31" x14ac:dyDescent="0.35">
      <c r="A73" t="s">
        <v>327</v>
      </c>
      <c r="B73" s="1">
        <f>K21-B72</f>
        <v>21.49240538481077</v>
      </c>
      <c r="C73" s="1">
        <f>K21-C72</f>
        <v>0</v>
      </c>
      <c r="D73" s="1">
        <f>K21-D72</f>
        <v>21.49240538481077</v>
      </c>
      <c r="E73" s="1">
        <f>K21-E72</f>
        <v>0</v>
      </c>
      <c r="F73" s="1">
        <f>K21-F72</f>
        <v>0</v>
      </c>
      <c r="G73" s="1">
        <f>K22-G72</f>
        <v>0</v>
      </c>
      <c r="H73" s="1">
        <f>K22-H72</f>
        <v>15.682405384810767</v>
      </c>
      <c r="K73">
        <v>10</v>
      </c>
      <c r="L73">
        <v>43</v>
      </c>
      <c r="M73">
        <f t="shared" si="9"/>
        <v>10</v>
      </c>
      <c r="N73">
        <f t="shared" si="0"/>
        <v>430</v>
      </c>
      <c r="O73">
        <f t="shared" si="1"/>
        <v>408.5</v>
      </c>
      <c r="P73">
        <f t="shared" si="2"/>
        <v>451.5</v>
      </c>
      <c r="Q73">
        <f t="shared" si="10"/>
        <v>0</v>
      </c>
      <c r="R73" s="126">
        <f t="shared" si="16"/>
        <v>6.4911320750775092E-8</v>
      </c>
      <c r="S73" s="126">
        <f t="shared" si="17"/>
        <v>1.3031158447968543E-7</v>
      </c>
      <c r="T73">
        <v>1000</v>
      </c>
      <c r="U73">
        <v>18</v>
      </c>
      <c r="V73">
        <f t="shared" si="11"/>
        <v>4</v>
      </c>
      <c r="W73">
        <f t="shared" si="12"/>
        <v>18000</v>
      </c>
      <c r="X73">
        <f t="shared" si="5"/>
        <v>16200</v>
      </c>
      <c r="Y73">
        <f t="shared" si="6"/>
        <v>19800</v>
      </c>
      <c r="Z73">
        <f t="shared" si="13"/>
        <v>0</v>
      </c>
      <c r="AA73" s="126">
        <f t="shared" si="14"/>
        <v>4.5910821756898344E-8</v>
      </c>
      <c r="AB73" s="126">
        <f t="shared" si="15"/>
        <v>6.9460901181119772E-8</v>
      </c>
      <c r="AC73" s="126">
        <f t="shared" si="18"/>
        <v>1.940248662729931E-8</v>
      </c>
      <c r="AD73" s="126">
        <f t="shared" si="19"/>
        <v>9.8349256817390164E-9</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10</v>
      </c>
      <c r="N74">
        <f t="shared" si="0"/>
        <v>470</v>
      </c>
      <c r="O74">
        <f t="shared" si="1"/>
        <v>446.5</v>
      </c>
      <c r="P74">
        <f t="shared" si="2"/>
        <v>493.5</v>
      </c>
      <c r="Q74">
        <f t="shared" si="10"/>
        <v>0</v>
      </c>
      <c r="R74" s="126">
        <f t="shared" si="16"/>
        <v>7.0949583137209073E-8</v>
      </c>
      <c r="S74" s="126">
        <f t="shared" si="17"/>
        <v>1.4188277775501236E-7</v>
      </c>
      <c r="T74">
        <v>1000</v>
      </c>
      <c r="U74">
        <v>22</v>
      </c>
      <c r="V74">
        <f t="shared" si="11"/>
        <v>4</v>
      </c>
      <c r="W74">
        <f t="shared" si="12"/>
        <v>22000</v>
      </c>
      <c r="X74">
        <f t="shared" si="5"/>
        <v>19800</v>
      </c>
      <c r="Y74">
        <f t="shared" si="6"/>
        <v>24200.000000000004</v>
      </c>
      <c r="Z74">
        <f t="shared" si="13"/>
        <v>0</v>
      </c>
      <c r="AA74" s="126">
        <f t="shared" si="14"/>
        <v>5.0181595867462772E-8</v>
      </c>
      <c r="AB74" s="126">
        <f t="shared" si="15"/>
        <v>7.562877578608567E-8</v>
      </c>
      <c r="AC74" s="126">
        <f t="shared" si="18"/>
        <v>1.8822014366749708E-8</v>
      </c>
      <c r="AD74" s="126">
        <f t="shared" si="19"/>
        <v>9.6901892527467436E-9</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10</v>
      </c>
      <c r="N75">
        <f t="shared" si="0"/>
        <v>510</v>
      </c>
      <c r="O75">
        <f t="shared" si="1"/>
        <v>484.5</v>
      </c>
      <c r="P75">
        <f t="shared" si="2"/>
        <v>535.5</v>
      </c>
      <c r="Q75">
        <f t="shared" si="10"/>
        <v>0</v>
      </c>
      <c r="R75" s="126">
        <f t="shared" si="16"/>
        <v>7.698784552211338E-8</v>
      </c>
      <c r="S75" s="126">
        <f t="shared" si="17"/>
        <v>1.5345397102768844E-7</v>
      </c>
      <c r="T75">
        <v>1000</v>
      </c>
      <c r="U75">
        <v>27</v>
      </c>
      <c r="V75">
        <f t="shared" si="11"/>
        <v>4</v>
      </c>
      <c r="W75">
        <f t="shared" si="12"/>
        <v>27000</v>
      </c>
      <c r="X75">
        <f t="shared" si="5"/>
        <v>24300</v>
      </c>
      <c r="Y75">
        <f t="shared" si="6"/>
        <v>29700.000000000004</v>
      </c>
      <c r="Z75">
        <f t="shared" si="13"/>
        <v>0</v>
      </c>
      <c r="AA75" s="126">
        <f t="shared" si="14"/>
        <v>5.4452369976945294E-8</v>
      </c>
      <c r="AB75" s="126">
        <f t="shared" si="15"/>
        <v>8.1796650389638572E-8</v>
      </c>
      <c r="AC75" s="126">
        <f t="shared" si="18"/>
        <v>1.8368027501714064E-8</v>
      </c>
      <c r="AD75" s="126">
        <f t="shared" si="19"/>
        <v>9.572902831586826E-9</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10</v>
      </c>
      <c r="N76">
        <f t="shared" si="0"/>
        <v>560</v>
      </c>
      <c r="O76">
        <f t="shared" si="1"/>
        <v>532</v>
      </c>
      <c r="P76">
        <f t="shared" si="2"/>
        <v>588</v>
      </c>
      <c r="Q76">
        <f t="shared" si="10"/>
        <v>0</v>
      </c>
      <c r="R76" s="126">
        <f t="shared" si="16"/>
        <v>8.4535673501092623E-8</v>
      </c>
      <c r="S76" s="126">
        <f t="shared" si="17"/>
        <v>1.6791796261480574E-7</v>
      </c>
      <c r="T76">
        <v>1000</v>
      </c>
      <c r="U76">
        <v>33</v>
      </c>
      <c r="V76">
        <f t="shared" si="11"/>
        <v>4</v>
      </c>
      <c r="W76">
        <f t="shared" si="12"/>
        <v>33000</v>
      </c>
      <c r="X76">
        <f t="shared" si="5"/>
        <v>29700</v>
      </c>
      <c r="Y76">
        <f t="shared" si="6"/>
        <v>36300</v>
      </c>
      <c r="Z76">
        <f t="shared" si="13"/>
        <v>0</v>
      </c>
      <c r="AA76" s="126">
        <f t="shared" si="14"/>
        <v>5.9790837612276972E-8</v>
      </c>
      <c r="AB76" s="126">
        <f t="shared" si="15"/>
        <v>8.950649364209266E-8</v>
      </c>
      <c r="AC76" s="126">
        <f t="shared" si="18"/>
        <v>1.7923543853990508E-8</v>
      </c>
      <c r="AD76" s="126">
        <f t="shared" si="19"/>
        <v>9.4543061094822375E-9</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10</v>
      </c>
      <c r="N77">
        <f t="shared" si="0"/>
        <v>620</v>
      </c>
      <c r="O77">
        <f t="shared" si="1"/>
        <v>589</v>
      </c>
      <c r="P77">
        <f t="shared" si="2"/>
        <v>651</v>
      </c>
      <c r="Q77">
        <f t="shared" si="10"/>
        <v>0</v>
      </c>
      <c r="R77" s="126">
        <f t="shared" si="16"/>
        <v>9.3593067072712724E-8</v>
      </c>
      <c r="S77" s="126">
        <f t="shared" si="17"/>
        <v>1.8527475251387908E-7</v>
      </c>
      <c r="T77">
        <v>1000</v>
      </c>
      <c r="U77">
        <v>39</v>
      </c>
      <c r="V77">
        <f t="shared" si="11"/>
        <v>4</v>
      </c>
      <c r="W77">
        <f t="shared" si="12"/>
        <v>39000</v>
      </c>
      <c r="X77">
        <f t="shared" si="5"/>
        <v>35100</v>
      </c>
      <c r="Y77">
        <f t="shared" si="6"/>
        <v>42900</v>
      </c>
      <c r="Z77">
        <f t="shared" si="13"/>
        <v>0</v>
      </c>
      <c r="AA77" s="126">
        <f t="shared" si="14"/>
        <v>6.6196998772443504E-8</v>
      </c>
      <c r="AB77" s="126">
        <f t="shared" si="15"/>
        <v>9.8758305542123213E-8</v>
      </c>
      <c r="AC77" s="126">
        <f t="shared" si="18"/>
        <v>1.7514216074512016E-8</v>
      </c>
      <c r="AD77" s="126">
        <f t="shared" si="19"/>
        <v>9.3415148729113332E-9</v>
      </c>
    </row>
    <row r="78" spans="1:31" x14ac:dyDescent="0.35">
      <c r="A78" t="s">
        <v>344</v>
      </c>
      <c r="B78">
        <v>1</v>
      </c>
      <c r="C78">
        <v>1</v>
      </c>
      <c r="D78">
        <v>1</v>
      </c>
      <c r="E78">
        <v>1</v>
      </c>
      <c r="F78">
        <v>1</v>
      </c>
      <c r="G78">
        <v>1</v>
      </c>
      <c r="H78">
        <v>1</v>
      </c>
      <c r="K78">
        <v>10</v>
      </c>
      <c r="L78">
        <v>68</v>
      </c>
      <c r="M78">
        <f t="shared" si="9"/>
        <v>10</v>
      </c>
      <c r="N78">
        <f t="shared" si="0"/>
        <v>680</v>
      </c>
      <c r="O78">
        <f t="shared" si="1"/>
        <v>646</v>
      </c>
      <c r="P78">
        <f t="shared" si="2"/>
        <v>714</v>
      </c>
      <c r="Q78">
        <f t="shared" si="10"/>
        <v>0</v>
      </c>
      <c r="R78" s="126">
        <f t="shared" si="16"/>
        <v>1.02650460640891E-7</v>
      </c>
      <c r="S78" s="126">
        <f t="shared" si="17"/>
        <v>2.0263154240698805E-7</v>
      </c>
      <c r="T78">
        <v>1000</v>
      </c>
      <c r="U78">
        <v>47</v>
      </c>
      <c r="V78">
        <f t="shared" si="11"/>
        <v>4</v>
      </c>
      <c r="W78">
        <f t="shared" si="12"/>
        <v>47000</v>
      </c>
      <c r="X78">
        <f t="shared" si="5"/>
        <v>42300</v>
      </c>
      <c r="Y78">
        <f t="shared" si="6"/>
        <v>51700.000000000007</v>
      </c>
      <c r="Z78">
        <f t="shared" si="13"/>
        <v>0</v>
      </c>
      <c r="AA78" s="126">
        <f t="shared" si="14"/>
        <v>7.2603159930175676E-8</v>
      </c>
      <c r="AB78" s="126">
        <f t="shared" si="15"/>
        <v>1.0801011743897453E-7</v>
      </c>
      <c r="AC78" s="126">
        <f t="shared" si="18"/>
        <v>1.7197507267367873E-8</v>
      </c>
      <c r="AD78" s="126">
        <f t="shared" si="19"/>
        <v>9.2516896443376826E-9</v>
      </c>
    </row>
    <row r="79" spans="1:31" x14ac:dyDescent="0.35">
      <c r="A79" t="s">
        <v>345</v>
      </c>
      <c r="B79">
        <v>1</v>
      </c>
      <c r="C79">
        <v>1</v>
      </c>
      <c r="D79">
        <v>1</v>
      </c>
      <c r="E79">
        <v>1</v>
      </c>
      <c r="F79">
        <v>1</v>
      </c>
      <c r="G79">
        <v>1</v>
      </c>
      <c r="H79">
        <v>1</v>
      </c>
      <c r="K79">
        <v>10</v>
      </c>
      <c r="L79">
        <v>75</v>
      </c>
      <c r="M79">
        <f t="shared" si="9"/>
        <v>10</v>
      </c>
      <c r="N79">
        <f t="shared" si="0"/>
        <v>750</v>
      </c>
      <c r="O79">
        <f t="shared" si="1"/>
        <v>712.5</v>
      </c>
      <c r="P79">
        <f t="shared" si="2"/>
        <v>787.5</v>
      </c>
      <c r="Q79">
        <f t="shared" si="10"/>
        <v>0</v>
      </c>
      <c r="R79" s="126">
        <f t="shared" si="16"/>
        <v>1.1321741979941563E-7</v>
      </c>
      <c r="S79" s="126">
        <f t="shared" si="17"/>
        <v>2.2288113060807676E-7</v>
      </c>
      <c r="T79">
        <v>1000</v>
      </c>
      <c r="U79">
        <v>56</v>
      </c>
      <c r="V79">
        <f t="shared" si="11"/>
        <v>4</v>
      </c>
      <c r="W79">
        <f t="shared" si="12"/>
        <v>56000</v>
      </c>
      <c r="X79">
        <f t="shared" si="5"/>
        <v>50400</v>
      </c>
      <c r="Y79">
        <f t="shared" si="6"/>
        <v>61600.000000000007</v>
      </c>
      <c r="Z79">
        <f t="shared" si="13"/>
        <v>0</v>
      </c>
      <c r="AA79" s="126">
        <f t="shared" si="14"/>
        <v>8.0077014611119853E-8</v>
      </c>
      <c r="AB79" s="126">
        <f t="shared" si="15"/>
        <v>1.1880389798128283E-7</v>
      </c>
      <c r="AC79" s="126">
        <f t="shared" si="18"/>
        <v>1.6908408843595981E-8</v>
      </c>
      <c r="AD79" s="126">
        <f t="shared" si="19"/>
        <v>9.1675836381584498E-9</v>
      </c>
      <c r="AE79" s="128"/>
    </row>
    <row r="80" spans="1:31" x14ac:dyDescent="0.35">
      <c r="A80" t="s">
        <v>346</v>
      </c>
      <c r="B80">
        <v>1</v>
      </c>
      <c r="C80">
        <v>1</v>
      </c>
      <c r="D80">
        <v>1</v>
      </c>
      <c r="E80">
        <v>1</v>
      </c>
      <c r="F80">
        <v>1</v>
      </c>
      <c r="G80">
        <v>1</v>
      </c>
      <c r="H80">
        <v>1</v>
      </c>
      <c r="K80">
        <v>10</v>
      </c>
      <c r="L80">
        <v>82</v>
      </c>
      <c r="M80">
        <f t="shared" si="9"/>
        <v>10</v>
      </c>
      <c r="N80">
        <f t="shared" si="0"/>
        <v>820</v>
      </c>
      <c r="O80">
        <f t="shared" si="1"/>
        <v>779</v>
      </c>
      <c r="P80">
        <f t="shared" si="2"/>
        <v>861</v>
      </c>
      <c r="Q80">
        <f t="shared" si="10"/>
        <v>0</v>
      </c>
      <c r="R80" s="126">
        <f t="shared" si="16"/>
        <v>1.2378437895325552E-7</v>
      </c>
      <c r="S80" s="126">
        <f t="shared" si="17"/>
        <v>2.4313071880104731E-7</v>
      </c>
      <c r="T80">
        <v>1000</v>
      </c>
      <c r="U80">
        <v>68</v>
      </c>
      <c r="V80">
        <f t="shared" si="11"/>
        <v>4</v>
      </c>
      <c r="W80">
        <f>U80*T80</f>
        <v>68000</v>
      </c>
      <c r="X80">
        <f t="shared" si="5"/>
        <v>61200</v>
      </c>
      <c r="Y80">
        <f t="shared" si="6"/>
        <v>74800</v>
      </c>
      <c r="Z80">
        <f t="shared" si="13"/>
        <v>0</v>
      </c>
      <c r="AA80" s="126">
        <f t="shared" si="14"/>
        <v>8.7550869288750583E-8</v>
      </c>
      <c r="AB80" s="126">
        <f t="shared" si="15"/>
        <v>1.2959767851926382E-7</v>
      </c>
      <c r="AC80" s="126">
        <f t="shared" si="18"/>
        <v>1.6680209704381771E-8</v>
      </c>
      <c r="AD80" s="126">
        <f t="shared" si="19"/>
        <v>9.0996605257177464E-9</v>
      </c>
      <c r="AE80" s="128"/>
    </row>
    <row r="81" spans="1:31" x14ac:dyDescent="0.35">
      <c r="K81">
        <v>10</v>
      </c>
      <c r="L81">
        <v>91</v>
      </c>
      <c r="M81">
        <f t="shared" si="9"/>
        <v>10</v>
      </c>
      <c r="N81">
        <f t="shared" si="0"/>
        <v>910</v>
      </c>
      <c r="O81">
        <f t="shared" si="1"/>
        <v>864.5</v>
      </c>
      <c r="P81">
        <f t="shared" si="2"/>
        <v>955.5</v>
      </c>
      <c r="Q81">
        <f t="shared" si="10"/>
        <v>0</v>
      </c>
      <c r="R81" s="126">
        <f t="shared" si="16"/>
        <v>1.3737046928702323E-7</v>
      </c>
      <c r="S81" s="126">
        <f t="shared" si="17"/>
        <v>2.6916590360865186E-7</v>
      </c>
      <c r="T81">
        <v>1000</v>
      </c>
      <c r="U81">
        <v>82</v>
      </c>
      <c r="V81">
        <f t="shared" si="11"/>
        <v>4</v>
      </c>
      <c r="W81">
        <f t="shared" ref="W81" si="20">U81*T81</f>
        <v>82000</v>
      </c>
      <c r="X81">
        <f t="shared" si="5"/>
        <v>73800</v>
      </c>
      <c r="Y81">
        <f t="shared" si="6"/>
        <v>90200.000000000015</v>
      </c>
      <c r="Z81">
        <f t="shared" si="13"/>
        <v>0</v>
      </c>
      <c r="AA81" s="126">
        <f t="shared" si="14"/>
        <v>9.716011101226428E-8</v>
      </c>
      <c r="AB81" s="126">
        <f t="shared" si="15"/>
        <v>1.4347539634745224E-7</v>
      </c>
      <c r="AC81" s="126">
        <f t="shared" si="18"/>
        <v>1.6449275924355778E-8</v>
      </c>
      <c r="AD81" s="126">
        <f t="shared" si="19"/>
        <v>9.0294385526836843E-9</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0.99999968437009989</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0.18355768128508276</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0.11682242567876101</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0.74411489602101288</v>
      </c>
      <c r="F82" s="13"/>
      <c r="K82">
        <v>100</v>
      </c>
      <c r="L82">
        <v>10</v>
      </c>
      <c r="M82">
        <f>IF(AND(Q81=1,Q82=0),Q82+M81+1, Q82+M81)</f>
        <v>10</v>
      </c>
      <c r="N82">
        <f t="shared" si="0"/>
        <v>1000</v>
      </c>
      <c r="O82">
        <f t="shared" si="1"/>
        <v>950</v>
      </c>
      <c r="P82">
        <f t="shared" si="2"/>
        <v>1050</v>
      </c>
      <c r="Q82">
        <f t="shared" si="10"/>
        <v>0</v>
      </c>
      <c r="R82" s="126">
        <f t="shared" si="16"/>
        <v>1.5095655961304685E-7</v>
      </c>
      <c r="S82" s="126">
        <f t="shared" si="17"/>
        <v>2.9520108840283661E-7</v>
      </c>
      <c r="V82">
        <f t="shared" si="11"/>
        <v>4</v>
      </c>
      <c r="W82">
        <v>9999999</v>
      </c>
      <c r="AA82" s="126">
        <f t="shared" si="14"/>
        <v>1.0676935273030072E-7</v>
      </c>
      <c r="AB82" s="126">
        <f t="shared" si="15"/>
        <v>1.5735311416848741E-7</v>
      </c>
      <c r="AC82" s="126">
        <f t="shared" si="18"/>
        <v>1.6267921094076252E-8</v>
      </c>
      <c r="AD82" s="126">
        <f t="shared" si="19"/>
        <v>8.9731691208713861E-9</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0.99999968437009989</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0.2466792188319705</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0.11682242567876101</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10</v>
      </c>
      <c r="N83">
        <f t="shared" si="0"/>
        <v>1100</v>
      </c>
      <c r="O83">
        <f t="shared" si="1"/>
        <v>1045</v>
      </c>
      <c r="P83">
        <f t="shared" si="2"/>
        <v>1155</v>
      </c>
      <c r="Q83">
        <f t="shared" si="10"/>
        <v>0</v>
      </c>
      <c r="R83" s="126">
        <f t="shared" si="16"/>
        <v>1.6605221552176835E-7</v>
      </c>
      <c r="S83" s="126">
        <f t="shared" si="17"/>
        <v>3.2412907149174683E-7</v>
      </c>
      <c r="AA83" s="126">
        <f t="shared" si="14"/>
        <v>1.1744628796613945E-7</v>
      </c>
      <c r="AB83" s="126">
        <f t="shared" si="15"/>
        <v>1.7277280062791452E-7</v>
      </c>
      <c r="AC83" s="126">
        <f t="shared" si="18"/>
        <v>1.6107353703774434E-8</v>
      </c>
      <c r="AD83" s="126">
        <f t="shared" si="19"/>
        <v>8.922466263773349E-9</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0.99999968434621955</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0.2466792188319705</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0.11682242569322726</v>
      </c>
      <c r="E84" s="12">
        <f>IF(Summary!T37="absolute",(R3-N7)/(J2+J2*Summary!T17),R3-N7)</f>
        <v>0.41269841269841268</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0.2466792188746818</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0.23360176665175972</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0.11682242568931663</v>
      </c>
      <c r="K84">
        <v>100</v>
      </c>
      <c r="L84">
        <v>12</v>
      </c>
      <c r="M84">
        <f t="shared" si="21"/>
        <v>10</v>
      </c>
      <c r="N84">
        <f t="shared" si="0"/>
        <v>1200</v>
      </c>
      <c r="O84">
        <f t="shared" si="1"/>
        <v>1140</v>
      </c>
      <c r="P84">
        <f t="shared" si="2"/>
        <v>1260</v>
      </c>
      <c r="Q84">
        <f t="shared" si="10"/>
        <v>0</v>
      </c>
      <c r="R84" s="126">
        <f t="shared" si="16"/>
        <v>1.8114787142092927E-7</v>
      </c>
      <c r="S84" s="126">
        <f t="shared" si="17"/>
        <v>3.5305705456408918E-7</v>
      </c>
      <c r="AA84" s="126">
        <f t="shared" si="14"/>
        <v>1.2812322319521616E-7</v>
      </c>
      <c r="AB84" s="126">
        <f t="shared" si="15"/>
        <v>1.8819248707851031E-7</v>
      </c>
      <c r="AC84" s="126">
        <f t="shared" si="18"/>
        <v>1.5977897529322307E-8</v>
      </c>
      <c r="AD84" s="126">
        <f t="shared" si="19"/>
        <v>8.8809456291717083E-9</v>
      </c>
      <c r="AE84" s="128"/>
    </row>
    <row r="85" spans="1:31" x14ac:dyDescent="0.35">
      <c r="E85" s="73"/>
      <c r="K85">
        <v>100</v>
      </c>
      <c r="L85">
        <v>13</v>
      </c>
      <c r="M85">
        <f t="shared" si="21"/>
        <v>10</v>
      </c>
      <c r="N85">
        <f t="shared" si="0"/>
        <v>1300</v>
      </c>
      <c r="O85">
        <f t="shared" si="1"/>
        <v>1235</v>
      </c>
      <c r="P85">
        <f t="shared" si="2"/>
        <v>1365</v>
      </c>
      <c r="Q85">
        <f t="shared" si="10"/>
        <v>0</v>
      </c>
      <c r="R85" s="126">
        <f t="shared" si="16"/>
        <v>1.9624352731052961E-7</v>
      </c>
      <c r="S85" s="126">
        <f t="shared" si="17"/>
        <v>3.8198503761986373E-7</v>
      </c>
      <c r="AA85" s="126">
        <f t="shared" si="14"/>
        <v>1.388001584175308E-7</v>
      </c>
      <c r="AB85" s="126">
        <f t="shared" si="15"/>
        <v>2.0361217352027488E-7</v>
      </c>
      <c r="AC85" s="126">
        <f t="shared" si="18"/>
        <v>1.5871366385454573E-8</v>
      </c>
      <c r="AD85" s="126">
        <f t="shared" si="19"/>
        <v>8.8463238372175616E-9</v>
      </c>
      <c r="AE85" s="128"/>
    </row>
    <row r="86" spans="1:31" x14ac:dyDescent="0.35">
      <c r="K86">
        <v>100</v>
      </c>
      <c r="L86">
        <v>15</v>
      </c>
      <c r="M86">
        <f t="shared" si="21"/>
        <v>10</v>
      </c>
      <c r="N86">
        <f t="shared" si="0"/>
        <v>1500</v>
      </c>
      <c r="O86">
        <f t="shared" si="1"/>
        <v>1425</v>
      </c>
      <c r="P86">
        <f t="shared" si="2"/>
        <v>1575</v>
      </c>
      <c r="Q86">
        <f t="shared" si="10"/>
        <v>0</v>
      </c>
      <c r="R86" s="126">
        <f t="shared" si="16"/>
        <v>2.2643483906104852E-7</v>
      </c>
      <c r="S86" s="126">
        <f t="shared" si="17"/>
        <v>4.398410036817092E-7</v>
      </c>
      <c r="AA86" s="126">
        <f t="shared" si="14"/>
        <v>1.601540288418739E-7</v>
      </c>
      <c r="AB86" s="126">
        <f t="shared" si="15"/>
        <v>2.3445154637731012E-7</v>
      </c>
      <c r="AC86" s="126">
        <f t="shared" si="18"/>
        <v>1.570650163568473E-8</v>
      </c>
      <c r="AD86" s="126">
        <f t="shared" si="19"/>
        <v>8.7918868403899378E-9</v>
      </c>
      <c r="AE86" s="128"/>
    </row>
    <row r="87" spans="1:31" x14ac:dyDescent="0.35">
      <c r="B87" s="171" t="s">
        <v>362</v>
      </c>
      <c r="C87" s="171"/>
      <c r="K87">
        <v>100</v>
      </c>
      <c r="L87">
        <v>16</v>
      </c>
      <c r="M87">
        <f t="shared" si="21"/>
        <v>10</v>
      </c>
      <c r="N87">
        <f t="shared" si="0"/>
        <v>1600</v>
      </c>
      <c r="O87">
        <f t="shared" si="1"/>
        <v>1520</v>
      </c>
      <c r="P87">
        <f t="shared" si="2"/>
        <v>1680</v>
      </c>
      <c r="Q87">
        <f t="shared" si="10"/>
        <v>0</v>
      </c>
      <c r="R87" s="126">
        <f t="shared" si="16"/>
        <v>2.415304949219671E-7</v>
      </c>
      <c r="S87" s="126">
        <f t="shared" si="17"/>
        <v>4.6876898668778017E-7</v>
      </c>
      <c r="AA87" s="126">
        <f t="shared" si="14"/>
        <v>1.7083096404390233E-7</v>
      </c>
      <c r="AB87" s="126">
        <f t="shared" si="15"/>
        <v>2.4987123279258082E-7</v>
      </c>
      <c r="AC87" s="126">
        <f t="shared" si="18"/>
        <v>1.5641445207653251E-8</v>
      </c>
      <c r="AD87" s="126">
        <f t="shared" si="19"/>
        <v>8.7701037019194429E-9</v>
      </c>
      <c r="AE87" s="128"/>
    </row>
    <row r="88" spans="1:31" ht="29" x14ac:dyDescent="0.35">
      <c r="B88" t="s">
        <v>355</v>
      </c>
      <c r="C88" t="s">
        <v>363</v>
      </c>
      <c r="D88" t="s">
        <v>364</v>
      </c>
      <c r="E88" s="32" t="str">
        <f>IF(Summary!T37="absolute","find min R2, so that max (Vx) = " &amp; TRUNC(R2/J3,3),"find min R2, so that max (Vx) = " &amp; R2)</f>
        <v>find min R2, so that max (Vx) = 0.166</v>
      </c>
      <c r="F88" s="32" t="s">
        <v>365</v>
      </c>
      <c r="G88" s="32" t="s">
        <v>366</v>
      </c>
      <c r="H88" s="32" t="s">
        <v>367</v>
      </c>
      <c r="K88">
        <v>100</v>
      </c>
      <c r="L88">
        <v>18</v>
      </c>
      <c r="M88">
        <f t="shared" si="21"/>
        <v>10</v>
      </c>
      <c r="N88">
        <f t="shared" si="0"/>
        <v>1800</v>
      </c>
      <c r="O88">
        <f t="shared" si="1"/>
        <v>1710</v>
      </c>
      <c r="P88">
        <f t="shared" si="2"/>
        <v>1890</v>
      </c>
      <c r="Q88">
        <f t="shared" si="10"/>
        <v>0</v>
      </c>
      <c r="R88" s="126">
        <f t="shared" si="16"/>
        <v>2.7172180661512246E-7</v>
      </c>
      <c r="S88" s="126">
        <f t="shared" si="17"/>
        <v>5.2662495265021855E-7</v>
      </c>
      <c r="AA88" s="126">
        <f t="shared" si="14"/>
        <v>1.9218483442767305E-7</v>
      </c>
      <c r="AB88" s="126">
        <f t="shared" si="15"/>
        <v>2.8071060559662841E-7</v>
      </c>
      <c r="AC88" s="126">
        <f t="shared" si="18"/>
        <v>1.5535428013125838E-8</v>
      </c>
      <c r="AD88" s="126">
        <f t="shared" si="19"/>
        <v>8.7342183734659112E-9</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10</v>
      </c>
      <c r="N89">
        <f t="shared" si="0"/>
        <v>2000</v>
      </c>
      <c r="O89">
        <f t="shared" si="1"/>
        <v>1900</v>
      </c>
      <c r="P89">
        <f t="shared" si="2"/>
        <v>2100</v>
      </c>
      <c r="Q89">
        <f t="shared" si="10"/>
        <v>0</v>
      </c>
      <c r="R89" s="126">
        <f t="shared" si="16"/>
        <v>3.019131182700356E-7</v>
      </c>
      <c r="S89" s="126">
        <f t="shared" si="17"/>
        <v>5.844809185463858E-7</v>
      </c>
      <c r="AA89" s="126">
        <f t="shared" si="14"/>
        <v>2.1353870478439558E-7</v>
      </c>
      <c r="AB89" s="126">
        <f t="shared" si="15"/>
        <v>3.1154997836535102E-7</v>
      </c>
      <c r="AC89" s="126">
        <f t="shared" si="18"/>
        <v>1.5452746614248839E-8</v>
      </c>
      <c r="AD89" s="126">
        <f t="shared" si="19"/>
        <v>8.7058837612742704E-9</v>
      </c>
      <c r="AE89" s="128"/>
    </row>
    <row r="90" spans="1:31" x14ac:dyDescent="0.35">
      <c r="A90" t="s">
        <v>320</v>
      </c>
      <c r="B90" s="11">
        <f>F11*(1+H11)</f>
        <v>283.5</v>
      </c>
      <c r="C90" s="11">
        <f>F11*(1-H11)</f>
        <v>256.5</v>
      </c>
      <c r="D90" s="11">
        <f>F11*(1+H11)</f>
        <v>283.5</v>
      </c>
      <c r="E90" s="11"/>
      <c r="F90" s="11">
        <f>F11*(1-H11)</f>
        <v>256.5</v>
      </c>
      <c r="G90">
        <f>F11*(1-H11)</f>
        <v>256.5</v>
      </c>
      <c r="H90">
        <f>F11*(1+H11)</f>
        <v>283.5</v>
      </c>
      <c r="K90">
        <v>100</v>
      </c>
      <c r="L90">
        <v>22</v>
      </c>
      <c r="M90">
        <f t="shared" si="21"/>
        <v>10</v>
      </c>
      <c r="N90">
        <f t="shared" si="0"/>
        <v>2200</v>
      </c>
      <c r="O90">
        <f t="shared" si="1"/>
        <v>2090</v>
      </c>
      <c r="P90">
        <f t="shared" si="2"/>
        <v>2310</v>
      </c>
      <c r="Q90">
        <f t="shared" si="10"/>
        <v>0</v>
      </c>
      <c r="R90" s="126">
        <f t="shared" si="16"/>
        <v>3.3210442988670621E-7</v>
      </c>
      <c r="S90" s="126">
        <f t="shared" si="17"/>
        <v>6.4233688437628141E-7</v>
      </c>
      <c r="AA90" s="126">
        <f t="shared" si="14"/>
        <v>2.3489257511406977E-7</v>
      </c>
      <c r="AB90" s="126">
        <f t="shared" si="15"/>
        <v>3.4238935109874844E-7</v>
      </c>
      <c r="AC90" s="126">
        <f t="shared" si="18"/>
        <v>1.5386483986746166E-8</v>
      </c>
      <c r="AD90" s="126">
        <f t="shared" si="19"/>
        <v>8.6829451147506037E-9</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10</v>
      </c>
      <c r="N91">
        <f t="shared" si="0"/>
        <v>2400</v>
      </c>
      <c r="O91">
        <f t="shared" si="1"/>
        <v>2280</v>
      </c>
      <c r="P91">
        <f t="shared" si="2"/>
        <v>2520</v>
      </c>
      <c r="Q91">
        <f t="shared" si="10"/>
        <v>0</v>
      </c>
      <c r="R91" s="126">
        <f t="shared" si="16"/>
        <v>3.6229574146513466E-7</v>
      </c>
      <c r="S91" s="126">
        <f t="shared" si="17"/>
        <v>7.0019285013990558E-7</v>
      </c>
      <c r="AA91" s="126">
        <f t="shared" si="14"/>
        <v>2.562464454166958E-7</v>
      </c>
      <c r="AB91" s="126">
        <f t="shared" si="15"/>
        <v>3.7322872379682072E-7</v>
      </c>
      <c r="AC91" s="126">
        <f t="shared" si="18"/>
        <v>1.5332204852676136E-8</v>
      </c>
      <c r="AD91" s="126">
        <f t="shared" si="19"/>
        <v>8.6639959251596572E-9</v>
      </c>
      <c r="AE91" s="128"/>
    </row>
    <row r="92" spans="1:31" x14ac:dyDescent="0.35">
      <c r="A92" t="s">
        <v>324</v>
      </c>
      <c r="B92" s="1">
        <f>K21-B93</f>
        <v>21.49240538481077</v>
      </c>
      <c r="C92" s="1">
        <f>K21-C93</f>
        <v>0</v>
      </c>
      <c r="D92" s="1">
        <f>K21-D93</f>
        <v>21.49240538481077</v>
      </c>
      <c r="E92" s="1">
        <f>K21-E93</f>
        <v>0</v>
      </c>
      <c r="F92" s="1">
        <f>K21-F93</f>
        <v>0</v>
      </c>
      <c r="G92" s="1">
        <f>K22-G93</f>
        <v>0</v>
      </c>
      <c r="H92" s="1">
        <f>K22-H93</f>
        <v>15.682405384810767</v>
      </c>
      <c r="K92">
        <v>100</v>
      </c>
      <c r="L92">
        <v>27</v>
      </c>
      <c r="M92">
        <f t="shared" si="21"/>
        <v>10</v>
      </c>
      <c r="N92">
        <f t="shared" si="0"/>
        <v>2700</v>
      </c>
      <c r="O92">
        <f t="shared" si="1"/>
        <v>2565</v>
      </c>
      <c r="P92">
        <f t="shared" si="2"/>
        <v>2835</v>
      </c>
      <c r="Q92">
        <f t="shared" si="10"/>
        <v>0</v>
      </c>
      <c r="R92" s="126">
        <f t="shared" si="16"/>
        <v>4.0758270876107306E-7</v>
      </c>
      <c r="S92" s="126">
        <f t="shared" si="17"/>
        <v>7.8697679866108322E-7</v>
      </c>
      <c r="AA92" s="126">
        <f t="shared" si="14"/>
        <v>2.8827725081991944E-7</v>
      </c>
      <c r="AB92" s="126">
        <f t="shared" si="15"/>
        <v>4.1948778277769463E-7</v>
      </c>
      <c r="AC92" s="126">
        <f t="shared" si="18"/>
        <v>1.5267009299173258E-8</v>
      </c>
      <c r="AD92" s="126">
        <f t="shared" si="19"/>
        <v>8.6410394182079513E-9</v>
      </c>
      <c r="AE92" s="128"/>
    </row>
    <row r="93" spans="1:31" x14ac:dyDescent="0.35">
      <c r="A93" t="s">
        <v>327</v>
      </c>
      <c r="B93" s="1">
        <f>K21*(1-MAX(K25,K24))</f>
        <v>0</v>
      </c>
      <c r="C93" s="1">
        <f>K21*(1-MIN(K25,K24))</f>
        <v>21.49240538481077</v>
      </c>
      <c r="D93" s="1">
        <f>K21*(1-MAX(K25,K24))</f>
        <v>0</v>
      </c>
      <c r="E93" s="1">
        <f>K21*(1-MIN(K25,K24))</f>
        <v>21.49240538481077</v>
      </c>
      <c r="F93" s="125">
        <f>K21*(1-MIN(K25,K24))</f>
        <v>21.49240538481077</v>
      </c>
      <c r="G93" s="125">
        <f>K22*(1-MIN(K25,K24))</f>
        <v>15.682405384810767</v>
      </c>
      <c r="H93" s="1">
        <f>K22*(1-MAX(K25,K24))</f>
        <v>0</v>
      </c>
      <c r="K93">
        <v>100</v>
      </c>
      <c r="L93">
        <v>30</v>
      </c>
      <c r="M93">
        <f t="shared" si="21"/>
        <v>10</v>
      </c>
      <c r="N93">
        <f t="shared" si="0"/>
        <v>3000</v>
      </c>
      <c r="O93">
        <f t="shared" si="1"/>
        <v>2850</v>
      </c>
      <c r="P93">
        <f t="shared" si="2"/>
        <v>3150</v>
      </c>
      <c r="Q93">
        <f t="shared" si="10"/>
        <v>0</v>
      </c>
      <c r="R93" s="126">
        <f t="shared" si="16"/>
        <v>4.5286967597096598E-7</v>
      </c>
      <c r="S93" s="126">
        <f t="shared" si="17"/>
        <v>8.7376074703315024E-7</v>
      </c>
      <c r="AA93" s="126">
        <f t="shared" si="14"/>
        <v>3.2030805616228445E-7</v>
      </c>
      <c r="AB93" s="126">
        <f t="shared" si="15"/>
        <v>4.6574684167908704E-7</v>
      </c>
      <c r="AC93" s="126">
        <f t="shared" si="18"/>
        <v>1.5215749700938102E-8</v>
      </c>
      <c r="AD93" s="126">
        <f t="shared" si="19"/>
        <v>8.6228341947603359E-9</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10</v>
      </c>
      <c r="N94">
        <f t="shared" si="0"/>
        <v>3300</v>
      </c>
      <c r="O94">
        <f t="shared" si="1"/>
        <v>3135</v>
      </c>
      <c r="P94">
        <f t="shared" si="2"/>
        <v>3465</v>
      </c>
      <c r="Q94">
        <f t="shared" si="10"/>
        <v>0</v>
      </c>
      <c r="R94" s="126">
        <f t="shared" si="16"/>
        <v>4.981566430948138E-7</v>
      </c>
      <c r="S94" s="126">
        <f t="shared" si="17"/>
        <v>9.6054469525610653E-7</v>
      </c>
      <c r="AA94" s="126">
        <f t="shared" si="14"/>
        <v>3.5233886144379104E-7</v>
      </c>
      <c r="AB94" s="126">
        <f t="shared" si="15"/>
        <v>5.1200590050099801E-7</v>
      </c>
      <c r="AC94" s="126">
        <f t="shared" si="18"/>
        <v>1.5174396648131967E-8</v>
      </c>
      <c r="AD94" s="126">
        <f t="shared" si="19"/>
        <v>8.6080440031504075E-9</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10</v>
      </c>
      <c r="N95">
        <f t="shared" si="0"/>
        <v>3600</v>
      </c>
      <c r="O95">
        <f t="shared" si="1"/>
        <v>3420</v>
      </c>
      <c r="P95">
        <f t="shared" si="2"/>
        <v>3780</v>
      </c>
      <c r="Q95">
        <f t="shared" si="10"/>
        <v>0</v>
      </c>
      <c r="R95" s="126">
        <f t="shared" si="16"/>
        <v>5.4344361013261632E-7</v>
      </c>
      <c r="S95" s="126">
        <f t="shared" si="17"/>
        <v>1.0473286433299523E-6</v>
      </c>
      <c r="AA95" s="126">
        <f t="shared" si="14"/>
        <v>3.8436966666443901E-7</v>
      </c>
      <c r="AB95" s="126">
        <f t="shared" si="15"/>
        <v>5.5826495924342749E-7</v>
      </c>
      <c r="AC95" s="126">
        <f t="shared" si="18"/>
        <v>1.5140335600710859E-8</v>
      </c>
      <c r="AD95" s="126">
        <f t="shared" si="19"/>
        <v>8.5957905924992593E-9</v>
      </c>
      <c r="AE95" s="128"/>
    </row>
    <row r="96" spans="1:31" x14ac:dyDescent="0.35">
      <c r="A96" t="s">
        <v>333</v>
      </c>
      <c r="B96" s="11">
        <f>F3*(1-G3)</f>
        <v>900000000000</v>
      </c>
      <c r="C96" s="11">
        <f>1/(1/(F3*(1+H3))+1/(N3*(1+P3)))</f>
        <v>19.999999999636362</v>
      </c>
      <c r="D96" s="11">
        <f>1/(1/(F3*(1-G3))+1/(N3*(1-O3)))</f>
        <v>9.9999999998888889</v>
      </c>
      <c r="E96" s="11">
        <f>1/(1/(F3*(1+H3))+1/(N3*(1+P3)))</f>
        <v>19.999999999636362</v>
      </c>
      <c r="F96" s="11">
        <f>1/(1/(F3*(1+H3))+1/(N3*(1+P3)))</f>
        <v>19.999999999636362</v>
      </c>
      <c r="G96">
        <f>1/(1/(F3*(1+H3))+1/(N3*(1+P3)))</f>
        <v>19.999999999636362</v>
      </c>
      <c r="H96">
        <f>1/(1/(F3*(1-G3))+1/(N3*(1-O3)))</f>
        <v>9.9999999998888889</v>
      </c>
      <c r="K96">
        <v>100</v>
      </c>
      <c r="L96">
        <v>39</v>
      </c>
      <c r="M96">
        <f t="shared" si="21"/>
        <v>10</v>
      </c>
      <c r="N96">
        <f t="shared" si="0"/>
        <v>3900</v>
      </c>
      <c r="O96">
        <f t="shared" si="1"/>
        <v>3705</v>
      </c>
      <c r="P96">
        <f t="shared" si="2"/>
        <v>4095</v>
      </c>
      <c r="Q96">
        <f t="shared" si="10"/>
        <v>0</v>
      </c>
      <c r="R96" s="126">
        <f t="shared" si="16"/>
        <v>5.8873057708437373E-7</v>
      </c>
      <c r="S96" s="126">
        <f t="shared" si="17"/>
        <v>1.1341125912546877E-6</v>
      </c>
      <c r="AA96" s="126">
        <f t="shared" si="14"/>
        <v>4.164004718242285E-7</v>
      </c>
      <c r="AB96" s="126">
        <f t="shared" si="15"/>
        <v>6.0452401790637552E-7</v>
      </c>
      <c r="AC96" s="126">
        <f t="shared" si="18"/>
        <v>1.5111796607792182E-8</v>
      </c>
      <c r="AD96" s="126">
        <f t="shared" si="19"/>
        <v>8.5854730156195827E-9</v>
      </c>
      <c r="AE96" s="128"/>
    </row>
    <row r="97" spans="1:31" x14ac:dyDescent="0.35">
      <c r="K97">
        <v>100</v>
      </c>
      <c r="L97">
        <v>43</v>
      </c>
      <c r="M97">
        <f t="shared" si="21"/>
        <v>10</v>
      </c>
      <c r="N97">
        <f t="shared" si="0"/>
        <v>4300</v>
      </c>
      <c r="O97">
        <f t="shared" si="1"/>
        <v>4085</v>
      </c>
      <c r="P97">
        <f t="shared" si="2"/>
        <v>4515</v>
      </c>
      <c r="Q97">
        <f t="shared" si="10"/>
        <v>0</v>
      </c>
      <c r="R97" s="126">
        <f t="shared" si="16"/>
        <v>6.4911319955286855E-7</v>
      </c>
      <c r="S97" s="126">
        <f t="shared" si="17"/>
        <v>1.2498245215890513E-6</v>
      </c>
      <c r="AA97" s="126">
        <f t="shared" si="14"/>
        <v>4.5910821194261226E-7</v>
      </c>
      <c r="AB97" s="126">
        <f t="shared" si="15"/>
        <v>6.6620276266666833E-7</v>
      </c>
      <c r="AC97" s="126">
        <f t="shared" si="18"/>
        <v>1.5080242385605321E-8</v>
      </c>
      <c r="AD97" s="126">
        <f t="shared" si="19"/>
        <v>8.5740103609391827E-9</v>
      </c>
      <c r="AE97" s="128"/>
    </row>
    <row r="98" spans="1:31" x14ac:dyDescent="0.35">
      <c r="A98" t="s">
        <v>344</v>
      </c>
      <c r="B98">
        <v>1</v>
      </c>
      <c r="C98">
        <v>1</v>
      </c>
      <c r="D98">
        <v>1</v>
      </c>
      <c r="E98">
        <v>1</v>
      </c>
      <c r="F98">
        <v>1</v>
      </c>
      <c r="G98">
        <v>1</v>
      </c>
      <c r="H98">
        <v>1</v>
      </c>
      <c r="K98">
        <v>100</v>
      </c>
      <c r="L98">
        <v>47</v>
      </c>
      <c r="M98">
        <f t="shared" si="21"/>
        <v>10</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7.0949582186839419E-7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1.3655364516583298E-6</v>
      </c>
      <c r="AA98" s="126">
        <f t="shared" si="14"/>
        <v>5.0181595195280307E-7</v>
      </c>
      <c r="AB98" s="126">
        <f t="shared" si="15"/>
        <v>7.278815072856609E-7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1.5054300540375118E-8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8.5645423751341391E-9</v>
      </c>
      <c r="AE98" s="128"/>
    </row>
    <row r="99" spans="1:31" x14ac:dyDescent="0.35">
      <c r="A99" t="s">
        <v>345</v>
      </c>
      <c r="B99">
        <v>1</v>
      </c>
      <c r="C99">
        <v>1</v>
      </c>
      <c r="D99">
        <v>1</v>
      </c>
      <c r="E99">
        <v>1</v>
      </c>
      <c r="F99">
        <v>1</v>
      </c>
      <c r="G99">
        <v>1</v>
      </c>
      <c r="H99">
        <v>1</v>
      </c>
      <c r="K99">
        <v>100</v>
      </c>
      <c r="L99">
        <v>51</v>
      </c>
      <c r="M99">
        <f t="shared" si="21"/>
        <v>10</v>
      </c>
      <c r="N99">
        <f t="shared" si="23"/>
        <v>5100</v>
      </c>
      <c r="O99">
        <f t="shared" si="24"/>
        <v>4845</v>
      </c>
      <c r="P99">
        <f t="shared" si="25"/>
        <v>5355</v>
      </c>
      <c r="Q99">
        <f t="shared" ref="Q99:Q129" si="30">IF($Q$2="N/A",IF(AND((O99&gt;=MAX($H$7:$I$7)),(P99&lt;=MIN($F$7:$G$7)),(P99&lt;=MIN($B$7:$C$7)),(O99&gt;=MAX($D$7:$E$7))),1,0),IF(AND((O99&gt;=MAX($I$7)),(P99&lt;=MIN($G$7)),(P99&lt;=MIN($C$7)),(O99&gt;=MAX($E$7))),1,0))</f>
        <v>0</v>
      </c>
      <c r="R99" s="126">
        <f t="shared" si="26"/>
        <v>7.6987844403095077E-7</v>
      </c>
      <c r="S99" s="126">
        <f t="shared" si="27"/>
        <v>1.4812483814625225E-6</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7.8956025176335292E-7</v>
      </c>
      <c r="AC99" s="126">
        <f t="shared" si="28"/>
        <v>1.5032597236323582E-8</v>
      </c>
      <c r="AD99" s="126">
        <f t="shared" si="29"/>
        <v>8.5565901568303804E-9</v>
      </c>
      <c r="AE99" s="128"/>
    </row>
    <row r="100" spans="1:31" x14ac:dyDescent="0.35">
      <c r="A100" t="s">
        <v>346</v>
      </c>
      <c r="B100">
        <v>1</v>
      </c>
      <c r="C100">
        <v>1</v>
      </c>
      <c r="D100">
        <v>1</v>
      </c>
      <c r="E100">
        <v>1</v>
      </c>
      <c r="F100">
        <v>1</v>
      </c>
      <c r="G100">
        <v>1</v>
      </c>
      <c r="H100">
        <v>1</v>
      </c>
      <c r="K100">
        <v>100</v>
      </c>
      <c r="L100">
        <v>56</v>
      </c>
      <c r="M100">
        <f t="shared" si="21"/>
        <v>10</v>
      </c>
      <c r="N100">
        <f t="shared" si="23"/>
        <v>5600</v>
      </c>
      <c r="O100">
        <f t="shared" si="24"/>
        <v>5320</v>
      </c>
      <c r="P100">
        <f t="shared" si="25"/>
        <v>5880</v>
      </c>
      <c r="Q100">
        <f t="shared" si="30"/>
        <v>0</v>
      </c>
      <c r="R100" s="126">
        <f t="shared" si="26"/>
        <v>8.4535672151903279E-7</v>
      </c>
      <c r="S100" s="126">
        <f t="shared" si="27"/>
        <v>1.6258882933449869E-6</v>
      </c>
      <c r="AA100" s="126">
        <f t="shared" si="31"/>
        <v>5.9790836658015212E-7</v>
      </c>
      <c r="AB100" s="126">
        <f t="shared" si="32"/>
        <v>8.6665868216176428E-7</v>
      </c>
      <c r="AC100" s="126">
        <f t="shared" si="28"/>
        <v>1.5009993765175215E-8</v>
      </c>
      <c r="AD100" s="126">
        <f t="shared" si="29"/>
        <v>8.5482774098405978E-9</v>
      </c>
      <c r="AE100" s="128"/>
    </row>
    <row r="101" spans="1:31" x14ac:dyDescent="0.35">
      <c r="K101">
        <v>100</v>
      </c>
      <c r="L101">
        <v>62</v>
      </c>
      <c r="M101">
        <f t="shared" si="21"/>
        <v>10</v>
      </c>
      <c r="N101">
        <f t="shared" si="23"/>
        <v>6200</v>
      </c>
      <c r="O101">
        <f t="shared" si="24"/>
        <v>5890</v>
      </c>
      <c r="P101">
        <f t="shared" si="25"/>
        <v>6510</v>
      </c>
      <c r="Q101">
        <f t="shared" si="30"/>
        <v>0</v>
      </c>
      <c r="R101" s="126">
        <f t="shared" si="26"/>
        <v>9.3593065418923249E-7</v>
      </c>
      <c r="S101" s="126">
        <f t="shared" si="27"/>
        <v>1.7994561870572055E-6</v>
      </c>
      <c r="AA101" s="126">
        <f t="shared" si="31"/>
        <v>6.6196997602742545E-7</v>
      </c>
      <c r="AB101" s="126">
        <f t="shared" si="32"/>
        <v>9.5917679834842591E-7</v>
      </c>
      <c r="AC101" s="126">
        <f t="shared" si="28"/>
        <v>1.4987847514762803E-8</v>
      </c>
      <c r="AD101" s="126">
        <f t="shared" si="29"/>
        <v>8.5401019350160841E-9</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0.99999968434621955</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0.13923980377245687</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3.4071549932636204E-2</v>
      </c>
      <c r="E102" s="12">
        <f>IF(Summary!T50="absolute",(R2-N7)/(J3+J3*Summary!T18),R2-N7)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0.13923980379030113</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0.12212372726516191</v>
      </c>
      <c r="H102" s="12">
        <f t="shared" si="33"/>
        <v>3.4071549927754304E-2</v>
      </c>
      <c r="K102">
        <v>100</v>
      </c>
      <c r="L102">
        <v>68</v>
      </c>
      <c r="M102">
        <f t="shared" si="21"/>
        <v>10</v>
      </c>
      <c r="N102">
        <f t="shared" si="23"/>
        <v>6800</v>
      </c>
      <c r="O102">
        <f t="shared" si="24"/>
        <v>6460</v>
      </c>
      <c r="P102">
        <f t="shared" si="25"/>
        <v>7140</v>
      </c>
      <c r="Q102">
        <f t="shared" si="30"/>
        <v>0</v>
      </c>
      <c r="R102" s="126">
        <f t="shared" si="26"/>
        <v>1.0265045865152511E-6</v>
      </c>
      <c r="S102" s="126">
        <f t="shared" si="27"/>
        <v>1.9730240801729816E-6</v>
      </c>
      <c r="AA102" s="126">
        <f t="shared" si="31"/>
        <v>7.2603158523126469E-7</v>
      </c>
      <c r="AB102" s="126">
        <f t="shared" si="32"/>
        <v>1.0516949142171617E-6</v>
      </c>
      <c r="AC102" s="126">
        <f t="shared" si="28"/>
        <v>1.4969732401675423E-8</v>
      </c>
      <c r="AD102" s="126">
        <f t="shared" si="29"/>
        <v>8.5333915096709177E-9</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0.99999968437009989</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0.13923980377245687</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3.4071549914577004E-2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0.13923980379030113</v>
      </c>
      <c r="K103">
        <v>100</v>
      </c>
      <c r="L103">
        <v>75</v>
      </c>
      <c r="M103">
        <f t="shared" si="21"/>
        <v>10</v>
      </c>
      <c r="N103">
        <f t="shared" si="23"/>
        <v>7500</v>
      </c>
      <c r="O103">
        <f t="shared" si="24"/>
        <v>7125</v>
      </c>
      <c r="P103">
        <f t="shared" si="25"/>
        <v>7875</v>
      </c>
      <c r="Q103">
        <f t="shared" si="30"/>
        <v>0</v>
      </c>
      <c r="R103" s="126">
        <f t="shared" si="26"/>
        <v>1.1321741737939332E-6</v>
      </c>
      <c r="S103" s="126">
        <f t="shared" si="27"/>
        <v>2.1755199547208834E-6</v>
      </c>
      <c r="AA103" s="126">
        <f t="shared" si="31"/>
        <v>8.0077012899473694E-7</v>
      </c>
      <c r="AB103" s="126">
        <f t="shared" si="32"/>
        <v>1.1596327156621971E-6</v>
      </c>
      <c r="AC103" s="126">
        <f t="shared" si="28"/>
        <v>1.495236618591479E-8</v>
      </c>
      <c r="AD103" s="126">
        <f t="shared" si="29"/>
        <v>8.5269387192767919E-9</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0.99999968437009989</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6.7115802278551476E-2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3.4071549914577004E-2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0.48201592109626129</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6.7115802297890881E-2</v>
      </c>
      <c r="K104">
        <v>100</v>
      </c>
      <c r="L104">
        <v>82</v>
      </c>
      <c r="M104">
        <f t="shared" si="21"/>
        <v>10</v>
      </c>
      <c r="N104">
        <f t="shared" si="23"/>
        <v>8200</v>
      </c>
      <c r="O104">
        <f t="shared" si="24"/>
        <v>7790</v>
      </c>
      <c r="P104">
        <f t="shared" si="25"/>
        <v>8610</v>
      </c>
      <c r="Q104">
        <f t="shared" si="30"/>
        <v>0</v>
      </c>
      <c r="R104" s="126">
        <f t="shared" si="26"/>
        <v>1.2378437606041464E-6</v>
      </c>
      <c r="S104" s="126">
        <f t="shared" si="27"/>
        <v>2.3780158284569609E-6</v>
      </c>
      <c r="AA104" s="126">
        <f t="shared" si="31"/>
        <v>8.7550867242686811E-7</v>
      </c>
      <c r="AB104" s="126">
        <f t="shared" si="32"/>
        <v>1.2675705166744999E-6</v>
      </c>
      <c r="AC104" s="126">
        <f t="shared" si="28"/>
        <v>1.4938042719554301E-8</v>
      </c>
      <c r="AD104" s="126">
        <f t="shared" si="29"/>
        <v>8.5216017713560843E-9</v>
      </c>
      <c r="AE104" s="128"/>
    </row>
    <row r="105" spans="1:31" x14ac:dyDescent="0.35">
      <c r="K105">
        <v>100</v>
      </c>
      <c r="L105">
        <v>91</v>
      </c>
      <c r="M105">
        <f t="shared" si="21"/>
        <v>10</v>
      </c>
      <c r="N105">
        <f t="shared" si="23"/>
        <v>9100</v>
      </c>
      <c r="O105">
        <f t="shared" si="24"/>
        <v>8645</v>
      </c>
      <c r="P105">
        <f t="shared" si="25"/>
        <v>9555</v>
      </c>
      <c r="Q105">
        <f t="shared" si="30"/>
        <v>0</v>
      </c>
      <c r="R105" s="126">
        <f t="shared" si="26"/>
        <v>1.3737046572432021E-6</v>
      </c>
      <c r="S105" s="126">
        <f t="shared" si="27"/>
        <v>2.6383676649247474E-6</v>
      </c>
      <c r="AA105" s="126">
        <f t="shared" si="31"/>
        <v>9.7160108492416891E-7</v>
      </c>
      <c r="AB105" s="126">
        <f t="shared" si="32"/>
        <v>1.4063476887687518E-6</v>
      </c>
      <c r="AC105" s="126">
        <f t="shared" si="28"/>
        <v>1.4922941506323283E-8</v>
      </c>
      <c r="AD105" s="126">
        <f t="shared" si="29"/>
        <v>8.5159604139605329E-9</v>
      </c>
      <c r="AE105" s="128"/>
    </row>
    <row r="106" spans="1:31" x14ac:dyDescent="0.35">
      <c r="K106">
        <v>1000</v>
      </c>
      <c r="L106">
        <v>10</v>
      </c>
      <c r="M106">
        <f t="shared" si="21"/>
        <v>10</v>
      </c>
      <c r="N106">
        <f t="shared" si="23"/>
        <v>10000</v>
      </c>
      <c r="O106">
        <f t="shared" si="24"/>
        <v>9500</v>
      </c>
      <c r="P106">
        <f t="shared" si="25"/>
        <v>10500</v>
      </c>
      <c r="Q106">
        <f t="shared" si="30"/>
        <v>0</v>
      </c>
      <c r="R106" s="126">
        <f t="shared" si="26"/>
        <v>1.5095655531078508E-6</v>
      </c>
      <c r="S106" s="126">
        <f t="shared" si="27"/>
        <v>2.8987195000505381E-6</v>
      </c>
      <c r="AA106" s="126">
        <f t="shared" si="31"/>
        <v>1.0676934968737427E-6</v>
      </c>
      <c r="AB106" s="126">
        <f t="shared" si="32"/>
        <v>1.5451248601476705E-6</v>
      </c>
      <c r="AC106" s="126">
        <f t="shared" si="28"/>
        <v>1.4910617244299423E-8</v>
      </c>
      <c r="AD106" s="126">
        <f t="shared" si="29"/>
        <v>8.5113452004490235E-9</v>
      </c>
      <c r="AE106" s="128"/>
    </row>
    <row r="107" spans="1:31" x14ac:dyDescent="0.35">
      <c r="K107">
        <v>1000</v>
      </c>
      <c r="L107">
        <v>11</v>
      </c>
      <c r="M107">
        <f t="shared" si="21"/>
        <v>10</v>
      </c>
      <c r="N107">
        <f t="shared" si="23"/>
        <v>11000</v>
      </c>
      <c r="O107">
        <f t="shared" si="24"/>
        <v>10450</v>
      </c>
      <c r="P107">
        <f t="shared" si="25"/>
        <v>11550</v>
      </c>
      <c r="Q107">
        <f t="shared" si="30"/>
        <v>0</v>
      </c>
      <c r="R107" s="126">
        <f t="shared" si="26"/>
        <v>1.6605221031603159E-6</v>
      </c>
      <c r="S107" s="126">
        <f t="shared" si="27"/>
        <v>3.1879993152830276E-6</v>
      </c>
      <c r="AA107" s="126">
        <f t="shared" si="31"/>
        <v>1.1744628428419847E-6</v>
      </c>
      <c r="AB107" s="126">
        <f t="shared" si="32"/>
        <v>1.699321716396387E-6</v>
      </c>
      <c r="AC107" s="126">
        <f t="shared" si="28"/>
        <v>1.4899335439603301E-8</v>
      </c>
      <c r="AD107" s="126">
        <f t="shared" si="29"/>
        <v>8.5071114212106021E-9</v>
      </c>
      <c r="AE107" s="128"/>
    </row>
    <row r="108" spans="1:31" x14ac:dyDescent="0.35">
      <c r="K108">
        <v>1000</v>
      </c>
      <c r="L108">
        <v>12</v>
      </c>
      <c r="M108">
        <f t="shared" si="21"/>
        <v>10</v>
      </c>
      <c r="N108">
        <f t="shared" si="23"/>
        <v>12000</v>
      </c>
      <c r="O108">
        <f t="shared" si="24"/>
        <v>11400</v>
      </c>
      <c r="P108">
        <f t="shared" si="25"/>
        <v>12600</v>
      </c>
      <c r="Q108">
        <f t="shared" si="30"/>
        <v>0</v>
      </c>
      <c r="R108" s="126">
        <f t="shared" si="26"/>
        <v>1.8114786522567234E-6</v>
      </c>
      <c r="S108" s="126">
        <f t="shared" si="27"/>
        <v>3.4772791288587324E-6</v>
      </c>
      <c r="AA108" s="126">
        <f t="shared" si="31"/>
        <v>1.2812321881340211E-6</v>
      </c>
      <c r="AB108" s="126">
        <f t="shared" si="32"/>
        <v>1.8535185717619759E-6</v>
      </c>
      <c r="AC108" s="126">
        <f t="shared" si="28"/>
        <v>1.4889967925449154E-8</v>
      </c>
      <c r="AD108" s="126">
        <f t="shared" si="29"/>
        <v>8.5035894722621453E-9</v>
      </c>
      <c r="AE108" s="128"/>
    </row>
    <row r="109" spans="1:31" x14ac:dyDescent="0.35">
      <c r="K109">
        <v>1000</v>
      </c>
      <c r="L109">
        <v>13</v>
      </c>
      <c r="M109">
        <f t="shared" si="21"/>
        <v>10</v>
      </c>
      <c r="N109">
        <f t="shared" si="23"/>
        <v>13000</v>
      </c>
      <c r="O109">
        <f t="shared" si="24"/>
        <v>12350</v>
      </c>
      <c r="P109">
        <f t="shared" si="25"/>
        <v>13650</v>
      </c>
      <c r="Q109">
        <f t="shared" si="30"/>
        <v>0</v>
      </c>
      <c r="R109" s="126">
        <f t="shared" si="26"/>
        <v>1.9624352003970719E-6</v>
      </c>
      <c r="S109" s="126">
        <f t="shared" si="27"/>
        <v>3.7665589407776535E-6</v>
      </c>
      <c r="AA109" s="126">
        <f t="shared" si="31"/>
        <v>1.3880015327498513E-6</v>
      </c>
      <c r="AB109" s="126">
        <f t="shared" si="32"/>
        <v>2.0077154262444377E-6</v>
      </c>
      <c r="AC109" s="126">
        <f t="shared" si="28"/>
        <v>1.4882065654532775E-8</v>
      </c>
      <c r="AD109" s="126">
        <f t="shared" si="29"/>
        <v>8.5006137579611415E-9</v>
      </c>
      <c r="AE109" s="128"/>
    </row>
    <row r="110" spans="1:31" x14ac:dyDescent="0.35">
      <c r="K110">
        <v>1000</v>
      </c>
      <c r="L110">
        <v>15</v>
      </c>
      <c r="M110">
        <f t="shared" si="21"/>
        <v>10</v>
      </c>
      <c r="N110">
        <f t="shared" si="23"/>
        <v>15000</v>
      </c>
      <c r="O110">
        <f t="shared" si="24"/>
        <v>14250</v>
      </c>
      <c r="P110">
        <f t="shared" si="25"/>
        <v>15750</v>
      </c>
      <c r="Q110">
        <f t="shared" si="30"/>
        <v>0</v>
      </c>
      <c r="R110" s="126">
        <f t="shared" si="26"/>
        <v>2.264348293809596E-6</v>
      </c>
      <c r="S110" s="126">
        <f t="shared" si="27"/>
        <v>4.3451185596451412E-6</v>
      </c>
      <c r="AA110" s="126">
        <f t="shared" si="31"/>
        <v>1.6015402199528948E-6</v>
      </c>
      <c r="AB110" s="126">
        <f t="shared" si="32"/>
        <v>2.3161091325599784E-6</v>
      </c>
      <c r="AC110" s="126">
        <f t="shared" si="28"/>
        <v>1.4869467852671287E-8</v>
      </c>
      <c r="AD110" s="126">
        <f t="shared" si="29"/>
        <v>8.4958609848388042E-9</v>
      </c>
      <c r="AE110" s="128"/>
    </row>
    <row r="111" spans="1:31" x14ac:dyDescent="0.35">
      <c r="K111">
        <v>1000</v>
      </c>
      <c r="L111">
        <v>16</v>
      </c>
      <c r="M111">
        <f t="shared" si="21"/>
        <v>10</v>
      </c>
      <c r="N111">
        <f t="shared" si="23"/>
        <v>16000</v>
      </c>
      <c r="O111">
        <f t="shared" si="24"/>
        <v>15200</v>
      </c>
      <c r="P111">
        <f t="shared" si="25"/>
        <v>16800</v>
      </c>
      <c r="Q111">
        <f t="shared" si="30"/>
        <v>0</v>
      </c>
      <c r="R111" s="126">
        <f t="shared" si="26"/>
        <v>2.4153048390817707E-6</v>
      </c>
      <c r="S111" s="126">
        <f t="shared" si="27"/>
        <v>4.6343983665937102E-6</v>
      </c>
      <c r="AA111" s="126">
        <f t="shared" si="31"/>
        <v>1.7083095625401078E-6</v>
      </c>
      <c r="AB111" s="126">
        <f t="shared" si="32"/>
        <v>2.4703059843930584E-6</v>
      </c>
      <c r="AC111" s="126">
        <f t="shared" si="28"/>
        <v>1.4864366079863124E-8</v>
      </c>
      <c r="AD111" s="126">
        <f t="shared" si="29"/>
        <v>8.4939331094514186E-9</v>
      </c>
      <c r="AE111" s="128"/>
    </row>
    <row r="112" spans="1:31" x14ac:dyDescent="0.35">
      <c r="K112">
        <v>1000</v>
      </c>
      <c r="L112">
        <v>18</v>
      </c>
      <c r="M112">
        <f t="shared" si="21"/>
        <v>10</v>
      </c>
      <c r="N112">
        <f t="shared" si="23"/>
        <v>18000</v>
      </c>
      <c r="O112">
        <f t="shared" si="24"/>
        <v>17100</v>
      </c>
      <c r="P112">
        <f t="shared" si="25"/>
        <v>18900</v>
      </c>
      <c r="Q112">
        <f t="shared" si="30"/>
        <v>0</v>
      </c>
      <c r="R112" s="126">
        <f t="shared" si="26"/>
        <v>2.7172179267579459E-6</v>
      </c>
      <c r="S112" s="126">
        <f t="shared" si="27"/>
        <v>5.212957975520492E-6</v>
      </c>
      <c r="AA112" s="126">
        <f t="shared" si="31"/>
        <v>1.9218482456859162E-6</v>
      </c>
      <c r="AB112" s="126">
        <f t="shared" si="32"/>
        <v>2.778699685409835E-6</v>
      </c>
      <c r="AC112" s="126">
        <f t="shared" si="28"/>
        <v>1.4855883739167776E-8</v>
      </c>
      <c r="AD112" s="126">
        <f t="shared" si="29"/>
        <v>8.4907237519519297E-9</v>
      </c>
      <c r="AE112" s="128"/>
    </row>
    <row r="113" spans="11:31" x14ac:dyDescent="0.35">
      <c r="K113">
        <v>1000</v>
      </c>
      <c r="L113">
        <v>20</v>
      </c>
      <c r="M113">
        <f t="shared" si="21"/>
        <v>10</v>
      </c>
      <c r="N113">
        <f t="shared" si="23"/>
        <v>20000</v>
      </c>
      <c r="O113">
        <f t="shared" si="24"/>
        <v>19000</v>
      </c>
      <c r="P113">
        <f t="shared" si="25"/>
        <v>21000</v>
      </c>
      <c r="Q113">
        <f t="shared" si="30"/>
        <v>0</v>
      </c>
      <c r="R113" s="126">
        <f t="shared" si="26"/>
        <v>3.0191310106098896E-6</v>
      </c>
      <c r="S113" s="126">
        <f t="shared" si="27"/>
        <v>5.791517577820138E-6</v>
      </c>
      <c r="AA113" s="126">
        <f t="shared" si="31"/>
        <v>2.1353869261269018E-6</v>
      </c>
      <c r="AB113" s="126">
        <f t="shared" si="32"/>
        <v>3.0870933828941021E-6</v>
      </c>
      <c r="AC113" s="126">
        <f t="shared" si="28"/>
        <v>1.4849116393104935E-8</v>
      </c>
      <c r="AD113" s="126">
        <f t="shared" si="29"/>
        <v>8.4881596537886775E-9</v>
      </c>
      <c r="AE113" s="128"/>
    </row>
    <row r="114" spans="11:31" x14ac:dyDescent="0.35">
      <c r="K114">
        <v>1000</v>
      </c>
      <c r="L114">
        <v>22</v>
      </c>
      <c r="M114">
        <f t="shared" si="21"/>
        <v>10</v>
      </c>
      <c r="N114">
        <f t="shared" si="23"/>
        <v>22000</v>
      </c>
      <c r="O114">
        <f t="shared" si="24"/>
        <v>20900</v>
      </c>
      <c r="P114">
        <f t="shared" si="25"/>
        <v>23100</v>
      </c>
      <c r="Q114">
        <f t="shared" si="30"/>
        <v>0</v>
      </c>
      <c r="R114" s="126">
        <f t="shared" si="26"/>
        <v>3.3210440906375999E-6</v>
      </c>
      <c r="S114" s="126">
        <f t="shared" si="27"/>
        <v>6.3700771734926465E-6</v>
      </c>
      <c r="AA114" s="126">
        <f t="shared" si="31"/>
        <v>2.3489256038630638E-6</v>
      </c>
      <c r="AB114" s="126">
        <f t="shared" si="32"/>
        <v>3.3954870768458599E-6</v>
      </c>
      <c r="AC114" s="126">
        <f t="shared" si="28"/>
        <v>1.4843591704936802E-8</v>
      </c>
      <c r="AD114" s="126">
        <f t="shared" si="29"/>
        <v>8.4860639928244774E-9</v>
      </c>
      <c r="AE114" s="128"/>
    </row>
    <row r="115" spans="11:31" x14ac:dyDescent="0.35">
      <c r="K115">
        <v>1000</v>
      </c>
      <c r="L115">
        <v>24</v>
      </c>
      <c r="M115">
        <f t="shared" si="21"/>
        <v>10</v>
      </c>
      <c r="N115">
        <f t="shared" si="23"/>
        <v>24000</v>
      </c>
      <c r="O115">
        <f t="shared" si="24"/>
        <v>22800</v>
      </c>
      <c r="P115">
        <f t="shared" si="25"/>
        <v>25200</v>
      </c>
      <c r="Q115">
        <f t="shared" si="30"/>
        <v>0</v>
      </c>
      <c r="R115" s="126">
        <f t="shared" si="26"/>
        <v>3.6229571668410793E-6</v>
      </c>
      <c r="S115" s="126">
        <f t="shared" si="27"/>
        <v>6.9486367625380201E-6</v>
      </c>
      <c r="AA115" s="126">
        <f t="shared" si="31"/>
        <v>2.5624642788944031E-6</v>
      </c>
      <c r="AB115" s="126">
        <f t="shared" si="32"/>
        <v>3.7038807672651091E-6</v>
      </c>
      <c r="AC115" s="126">
        <f t="shared" si="28"/>
        <v>1.483899619735779E-8</v>
      </c>
      <c r="AD115" s="126">
        <f t="shared" si="29"/>
        <v>8.4843191456727503E-9</v>
      </c>
      <c r="AE115" s="128"/>
    </row>
    <row r="116" spans="11:31" x14ac:dyDescent="0.35">
      <c r="K116">
        <v>1000</v>
      </c>
      <c r="L116">
        <v>27</v>
      </c>
      <c r="M116">
        <f t="shared" si="21"/>
        <v>10</v>
      </c>
      <c r="N116">
        <f t="shared" si="23"/>
        <v>27000</v>
      </c>
      <c r="O116">
        <f t="shared" si="24"/>
        <v>25650</v>
      </c>
      <c r="P116">
        <f t="shared" si="25"/>
        <v>28350</v>
      </c>
      <c r="Q116">
        <f t="shared" si="30"/>
        <v>0</v>
      </c>
      <c r="R116" s="126">
        <f t="shared" si="26"/>
        <v>4.075826773975862E-6</v>
      </c>
      <c r="S116" s="126">
        <f t="shared" si="27"/>
        <v>7.8164761336801981E-6</v>
      </c>
      <c r="AA116" s="126">
        <f t="shared" si="31"/>
        <v>2.8827722863698686E-6</v>
      </c>
      <c r="AB116" s="126">
        <f t="shared" si="32"/>
        <v>4.166471296270527E-6</v>
      </c>
      <c r="AC116" s="126">
        <f t="shared" si="28"/>
        <v>1.4833389824011251E-8</v>
      </c>
      <c r="AD116" s="126">
        <f t="shared" si="29"/>
        <v>8.482188450704944E-9</v>
      </c>
      <c r="AE116" s="128"/>
    </row>
    <row r="117" spans="11:31" x14ac:dyDescent="0.35">
      <c r="K117">
        <v>1000</v>
      </c>
      <c r="L117">
        <v>30</v>
      </c>
      <c r="M117">
        <f t="shared" si="21"/>
        <v>10</v>
      </c>
      <c r="N117">
        <f t="shared" si="23"/>
        <v>30000</v>
      </c>
      <c r="O117">
        <f t="shared" si="24"/>
        <v>28500</v>
      </c>
      <c r="P117">
        <f t="shared" si="25"/>
        <v>31500</v>
      </c>
      <c r="Q117">
        <f t="shared" si="30"/>
        <v>0</v>
      </c>
      <c r="R117" s="126">
        <f t="shared" si="26"/>
        <v>4.5286963725061245E-6</v>
      </c>
      <c r="S117" s="126">
        <f t="shared" si="27"/>
        <v>8.6843154899113191E-6</v>
      </c>
      <c r="AA117" s="126">
        <f t="shared" si="31"/>
        <v>3.2030802877594832E-6</v>
      </c>
      <c r="AB117" s="126">
        <f t="shared" si="32"/>
        <v>4.6290618173278002E-6</v>
      </c>
      <c r="AC117" s="126">
        <f t="shared" si="28"/>
        <v>1.4828912920650243E-8</v>
      </c>
      <c r="AD117" s="126">
        <f t="shared" si="29"/>
        <v>8.4804853952372939E-9</v>
      </c>
      <c r="AE117" s="128"/>
    </row>
    <row r="118" spans="11:31" x14ac:dyDescent="0.35">
      <c r="K118">
        <v>1000</v>
      </c>
      <c r="L118">
        <v>33</v>
      </c>
      <c r="M118">
        <f t="shared" si="21"/>
        <v>10</v>
      </c>
      <c r="N118">
        <f t="shared" si="23"/>
        <v>33000</v>
      </c>
      <c r="O118">
        <f t="shared" si="24"/>
        <v>31350</v>
      </c>
      <c r="P118">
        <f t="shared" si="25"/>
        <v>34650</v>
      </c>
      <c r="Q118">
        <f t="shared" si="30"/>
        <v>0</v>
      </c>
      <c r="R118" s="126">
        <f t="shared" si="26"/>
        <v>4.9815659624318638E-6</v>
      </c>
      <c r="S118" s="126">
        <f t="shared" si="27"/>
        <v>9.5521548312313789E-6</v>
      </c>
      <c r="AA118" s="126">
        <f t="shared" si="31"/>
        <v>3.5233882830632454E-6</v>
      </c>
      <c r="AB118" s="126">
        <f t="shared" si="32"/>
        <v>5.0916523304369246E-6</v>
      </c>
      <c r="AC118" s="126">
        <f t="shared" si="28"/>
        <v>1.4825255412958867E-8</v>
      </c>
      <c r="AD118" s="126">
        <f t="shared" si="29"/>
        <v>8.4790929775944376E-9</v>
      </c>
      <c r="AE118" s="128"/>
    </row>
    <row r="119" spans="11:31" x14ac:dyDescent="0.35">
      <c r="K119">
        <v>1000</v>
      </c>
      <c r="L119">
        <v>36</v>
      </c>
      <c r="M119">
        <f t="shared" si="21"/>
        <v>10</v>
      </c>
      <c r="N119">
        <f t="shared" si="23"/>
        <v>36000</v>
      </c>
      <c r="O119">
        <f t="shared" si="24"/>
        <v>34200</v>
      </c>
      <c r="P119">
        <f t="shared" si="25"/>
        <v>37800</v>
      </c>
      <c r="Q119">
        <f t="shared" si="30"/>
        <v>0</v>
      </c>
      <c r="R119" s="126">
        <f t="shared" si="26"/>
        <v>5.4344355437530825E-6</v>
      </c>
      <c r="S119" s="126">
        <f t="shared" si="27"/>
        <v>1.0419994157640386E-5</v>
      </c>
      <c r="AA119" s="126">
        <f t="shared" si="31"/>
        <v>3.8436962722811567E-6</v>
      </c>
      <c r="AB119" s="126">
        <f t="shared" si="32"/>
        <v>5.5542428355979059E-6</v>
      </c>
      <c r="AC119" s="126">
        <f t="shared" si="28"/>
        <v>1.4822211208606662E-8</v>
      </c>
      <c r="AD119" s="126">
        <f t="shared" si="29"/>
        <v>8.4779333107413407E-9</v>
      </c>
      <c r="AE119" s="128"/>
    </row>
    <row r="120" spans="11:31" x14ac:dyDescent="0.35">
      <c r="K120">
        <v>1000</v>
      </c>
      <c r="L120">
        <v>39</v>
      </c>
      <c r="M120">
        <f t="shared" si="21"/>
        <v>10</v>
      </c>
      <c r="N120">
        <f t="shared" si="23"/>
        <v>39000</v>
      </c>
      <c r="O120">
        <f t="shared" si="24"/>
        <v>37050</v>
      </c>
      <c r="P120">
        <f t="shared" si="25"/>
        <v>40950</v>
      </c>
      <c r="Q120">
        <f t="shared" si="30"/>
        <v>0</v>
      </c>
      <c r="R120" s="126">
        <f t="shared" si="26"/>
        <v>5.8873051164697804E-6</v>
      </c>
      <c r="S120" s="126">
        <f t="shared" si="27"/>
        <v>1.128783346913834E-5</v>
      </c>
      <c r="AA120" s="126">
        <f t="shared" si="31"/>
        <v>4.1640042554132176E-6</v>
      </c>
      <c r="AB120" s="126">
        <f t="shared" si="32"/>
        <v>6.0168333328107434E-6</v>
      </c>
      <c r="AC120" s="126">
        <f t="shared" si="28"/>
        <v>1.4819637982204533E-8</v>
      </c>
      <c r="AD120" s="126">
        <f t="shared" si="29"/>
        <v>8.4769525376243897E-9</v>
      </c>
      <c r="AE120" s="128"/>
    </row>
    <row r="121" spans="11:31" x14ac:dyDescent="0.35">
      <c r="K121">
        <v>1000</v>
      </c>
      <c r="L121">
        <v>43</v>
      </c>
      <c r="M121">
        <f t="shared" si="21"/>
        <v>10</v>
      </c>
      <c r="N121">
        <f t="shared" si="23"/>
        <v>43000</v>
      </c>
      <c r="O121">
        <f t="shared" si="24"/>
        <v>40850</v>
      </c>
      <c r="P121">
        <f t="shared" si="25"/>
        <v>45150</v>
      </c>
      <c r="Q121">
        <f t="shared" si="30"/>
        <v>0</v>
      </c>
      <c r="R121" s="126">
        <f t="shared" si="26"/>
        <v>6.4911312000405687E-6</v>
      </c>
      <c r="S121" s="126">
        <f t="shared" si="27"/>
        <v>1.2444952527940632E-5</v>
      </c>
      <c r="AA121" s="126">
        <f t="shared" si="31"/>
        <v>4.5910815567890853E-6</v>
      </c>
      <c r="AB121" s="126">
        <f t="shared" si="32"/>
        <v>6.6336206500640777E-6</v>
      </c>
      <c r="AC121" s="126">
        <f t="shared" si="28"/>
        <v>1.4816768398925827E-8</v>
      </c>
      <c r="AD121" s="126">
        <f t="shared" si="29"/>
        <v>8.4758582443502633E-9</v>
      </c>
      <c r="AE121" s="128"/>
    </row>
    <row r="122" spans="11:31" x14ac:dyDescent="0.35">
      <c r="K122">
        <v>1000</v>
      </c>
      <c r="L122">
        <v>47</v>
      </c>
      <c r="M122">
        <f t="shared" si="21"/>
        <v>10</v>
      </c>
      <c r="N122">
        <f t="shared" si="23"/>
        <v>47000</v>
      </c>
      <c r="O122">
        <f t="shared" si="24"/>
        <v>44650</v>
      </c>
      <c r="P122">
        <f t="shared" si="25"/>
        <v>49350</v>
      </c>
      <c r="Q122">
        <f t="shared" si="30"/>
        <v>0</v>
      </c>
      <c r="R122" s="126">
        <f t="shared" si="26"/>
        <v>7.094957268314429E-6</v>
      </c>
      <c r="S122" s="126">
        <f t="shared" si="27"/>
        <v>1.3602071560234385E-5</v>
      </c>
      <c r="AA122" s="126">
        <f t="shared" si="31"/>
        <v>5.0181588473456631E-6</v>
      </c>
      <c r="AB122" s="126">
        <f t="shared" si="32"/>
        <v>7.2504079531873768E-6</v>
      </c>
      <c r="AC122" s="126">
        <f t="shared" si="28"/>
        <v>1.4814389541023734E-8</v>
      </c>
      <c r="AD122" s="126">
        <f t="shared" si="29"/>
        <v>8.47495063263663E-9</v>
      </c>
      <c r="AE122" s="128"/>
    </row>
    <row r="123" spans="11:31" x14ac:dyDescent="0.35">
      <c r="K123">
        <v>1000</v>
      </c>
      <c r="L123">
        <v>51</v>
      </c>
      <c r="M123">
        <f t="shared" si="21"/>
        <v>10</v>
      </c>
      <c r="N123">
        <f t="shared" si="23"/>
        <v>51000</v>
      </c>
      <c r="O123">
        <f t="shared" si="24"/>
        <v>48450</v>
      </c>
      <c r="P123">
        <f t="shared" si="25"/>
        <v>53550</v>
      </c>
      <c r="Q123">
        <f t="shared" si="30"/>
        <v>0</v>
      </c>
      <c r="R123" s="126">
        <f t="shared" si="26"/>
        <v>7.6987833212913673E-6</v>
      </c>
      <c r="S123" s="126">
        <f t="shared" si="27"/>
        <v>1.4759190566019596E-5</v>
      </c>
      <c r="AA123" s="126">
        <f t="shared" si="31"/>
        <v>5.4452361270829519E-6</v>
      </c>
      <c r="AB123" s="126">
        <f t="shared" si="32"/>
        <v>7.8671952421806426E-6</v>
      </c>
      <c r="AC123" s="126">
        <f t="shared" si="28"/>
        <v>1.4812385447271022E-8</v>
      </c>
      <c r="AD123" s="126">
        <f t="shared" si="29"/>
        <v>8.4741856864721476E-9</v>
      </c>
      <c r="AE123" s="128"/>
    </row>
    <row r="124" spans="11:31" x14ac:dyDescent="0.35">
      <c r="K124">
        <v>1000</v>
      </c>
      <c r="L124">
        <v>56</v>
      </c>
      <c r="M124">
        <f t="shared" si="21"/>
        <v>10</v>
      </c>
      <c r="N124">
        <f t="shared" si="23"/>
        <v>56000</v>
      </c>
      <c r="O124">
        <f t="shared" si="24"/>
        <v>53200</v>
      </c>
      <c r="P124">
        <f t="shared" si="25"/>
        <v>58800</v>
      </c>
      <c r="Q124">
        <f t="shared" si="30"/>
        <v>0</v>
      </c>
      <c r="R124" s="126">
        <f t="shared" si="26"/>
        <v>8.4535658660012412E-6</v>
      </c>
      <c r="S124" s="126">
        <f t="shared" si="27"/>
        <v>1.6205589285973471E-5</v>
      </c>
      <c r="AA124" s="126">
        <f t="shared" si="31"/>
        <v>5.9790827115399383E-6</v>
      </c>
      <c r="AB124" s="126">
        <f t="shared" si="32"/>
        <v>8.6381793335518632E-6</v>
      </c>
      <c r="AC124" s="126">
        <f t="shared" si="28"/>
        <v>1.4810284520713815E-8</v>
      </c>
      <c r="AD124" s="126">
        <f t="shared" si="29"/>
        <v>8.4733834660733169E-9</v>
      </c>
      <c r="AE124" s="128"/>
    </row>
    <row r="125" spans="11:31" x14ac:dyDescent="0.35">
      <c r="K125">
        <v>1000</v>
      </c>
      <c r="L125">
        <v>62</v>
      </c>
      <c r="M125">
        <f t="shared" si="21"/>
        <v>10</v>
      </c>
      <c r="N125">
        <f t="shared" si="23"/>
        <v>62000</v>
      </c>
      <c r="O125">
        <f t="shared" si="24"/>
        <v>58900</v>
      </c>
      <c r="P125">
        <f t="shared" si="25"/>
        <v>65100</v>
      </c>
      <c r="Q125">
        <f t="shared" si="30"/>
        <v>0</v>
      </c>
      <c r="R125" s="126">
        <f t="shared" si="26"/>
        <v>9.3593048881031824E-6</v>
      </c>
      <c r="S125" s="126">
        <f t="shared" si="27"/>
        <v>1.7941267695244264E-5</v>
      </c>
      <c r="AA125" s="126">
        <f t="shared" si="31"/>
        <v>6.6196985905735367E-6</v>
      </c>
      <c r="AB125" s="126">
        <f t="shared" si="32"/>
        <v>9.5633602140541361E-6</v>
      </c>
      <c r="AC125" s="126">
        <f t="shared" si="28"/>
        <v>1.4808212291416892E-8</v>
      </c>
      <c r="AD125" s="126">
        <f t="shared" si="29"/>
        <v>8.472591888127139E-9</v>
      </c>
      <c r="AE125" s="128"/>
    </row>
    <row r="126" spans="11:31" x14ac:dyDescent="0.35">
      <c r="K126">
        <v>1000</v>
      </c>
      <c r="L126">
        <v>68</v>
      </c>
      <c r="M126">
        <f t="shared" si="21"/>
        <v>10</v>
      </c>
      <c r="N126">
        <f t="shared" si="23"/>
        <v>68000</v>
      </c>
      <c r="O126">
        <f t="shared" si="24"/>
        <v>64600</v>
      </c>
      <c r="P126">
        <f t="shared" si="25"/>
        <v>71400</v>
      </c>
      <c r="Q126">
        <f t="shared" si="30"/>
        <v>0</v>
      </c>
      <c r="R126" s="126">
        <f t="shared" si="26"/>
        <v>1.0265043875787051E-5</v>
      </c>
      <c r="S126" s="126">
        <f t="shared" si="27"/>
        <v>1.9676946044870842E-5</v>
      </c>
      <c r="AA126" s="126">
        <f t="shared" si="31"/>
        <v>7.2603144452637376E-6</v>
      </c>
      <c r="AB126" s="126">
        <f t="shared" si="32"/>
        <v>1.0488541062763834E-5</v>
      </c>
      <c r="AC126" s="126">
        <f t="shared" si="28"/>
        <v>1.4806506934187236E-8</v>
      </c>
      <c r="AD126" s="126">
        <f t="shared" si="29"/>
        <v>8.4719402175896455E-9</v>
      </c>
      <c r="AE126" s="128"/>
    </row>
    <row r="127" spans="11:31" x14ac:dyDescent="0.35">
      <c r="K127">
        <v>1000</v>
      </c>
      <c r="L127">
        <v>75</v>
      </c>
      <c r="M127">
        <f t="shared" si="21"/>
        <v>10</v>
      </c>
      <c r="N127">
        <f t="shared" si="23"/>
        <v>75000</v>
      </c>
      <c r="O127">
        <f t="shared" si="24"/>
        <v>71250</v>
      </c>
      <c r="P127">
        <f t="shared" si="25"/>
        <v>78750</v>
      </c>
      <c r="Q127">
        <f t="shared" si="30"/>
        <v>0</v>
      </c>
      <c r="R127" s="126">
        <f t="shared" si="26"/>
        <v>1.132173931791761E-5</v>
      </c>
      <c r="S127" s="126">
        <f t="shared" si="27"/>
        <v>2.1701904044051538E-5</v>
      </c>
      <c r="AA127" s="126">
        <f t="shared" si="31"/>
        <v>8.0076995783016263E-6</v>
      </c>
      <c r="AB127" s="126">
        <f t="shared" si="32"/>
        <v>1.1567918679409537E-5</v>
      </c>
      <c r="AC127" s="126">
        <f t="shared" si="28"/>
        <v>1.4804863225026022E-8</v>
      </c>
      <c r="AD127" s="126">
        <f t="shared" si="29"/>
        <v>8.4713119033355979E-9</v>
      </c>
      <c r="AE127" s="128"/>
    </row>
    <row r="128" spans="11:31" x14ac:dyDescent="0.35">
      <c r="K128">
        <v>1000</v>
      </c>
      <c r="L128">
        <v>82</v>
      </c>
      <c r="M128">
        <f t="shared" si="21"/>
        <v>10</v>
      </c>
      <c r="N128">
        <f t="shared" si="23"/>
        <v>82000</v>
      </c>
      <c r="O128">
        <f t="shared" si="24"/>
        <v>77900</v>
      </c>
      <c r="P128">
        <f t="shared" si="25"/>
        <v>86100</v>
      </c>
      <c r="Q128">
        <f t="shared" si="30"/>
        <v>0</v>
      </c>
      <c r="R128" s="126">
        <f t="shared" si="26"/>
        <v>1.237843471320135E-5</v>
      </c>
      <c r="S128" s="126">
        <f t="shared" si="27"/>
        <v>2.3726861962049848E-5</v>
      </c>
      <c r="AA128" s="126">
        <f t="shared" si="31"/>
        <v>8.7550846782054452E-6</v>
      </c>
      <c r="AB128" s="126">
        <f t="shared" si="32"/>
        <v>1.2647296252782025E-5</v>
      </c>
      <c r="AC128" s="126">
        <f t="shared" si="28"/>
        <v>1.4803500903428486E-8</v>
      </c>
      <c r="AD128" s="126">
        <f t="shared" si="29"/>
        <v>8.470791000569555E-9</v>
      </c>
      <c r="AE128" s="128"/>
    </row>
    <row r="129" spans="11:31" x14ac:dyDescent="0.35">
      <c r="K129">
        <v>1000</v>
      </c>
      <c r="L129">
        <v>91</v>
      </c>
      <c r="M129">
        <f t="shared" si="21"/>
        <v>10</v>
      </c>
      <c r="N129">
        <f t="shared" si="23"/>
        <v>91000</v>
      </c>
      <c r="O129">
        <f t="shared" si="24"/>
        <v>86450</v>
      </c>
      <c r="P129">
        <f t="shared" si="25"/>
        <v>95550</v>
      </c>
      <c r="Q129">
        <f t="shared" si="30"/>
        <v>0</v>
      </c>
      <c r="R129" s="126">
        <f t="shared" si="26"/>
        <v>1.373704300973002E-5</v>
      </c>
      <c r="S129" s="126">
        <f t="shared" si="27"/>
        <v>2.6330379165902123E-5</v>
      </c>
      <c r="AA129" s="126">
        <f t="shared" si="31"/>
        <v>9.7160083293949993E-6</v>
      </c>
      <c r="AB129" s="126">
        <f t="shared" si="32"/>
        <v>1.403506735496151E-5</v>
      </c>
      <c r="AC129" s="126">
        <f t="shared" si="28"/>
        <v>1.4802058059113074E-8</v>
      </c>
      <c r="AD129" s="126">
        <f t="shared" si="29"/>
        <v>8.4702391603678421E-9</v>
      </c>
      <c r="AE129" s="128"/>
    </row>
    <row r="130" spans="11:31" x14ac:dyDescent="0.35">
      <c r="M130">
        <f t="shared" si="21"/>
        <v>10</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289" priority="32" stopIfTrue="1">
      <formula>AND($B$11="need resistor",$C$11&gt;0)</formula>
    </cfRule>
    <cfRule type="containsText" dxfId="288" priority="36" operator="containsText" text="need resistor">
      <formula>NOT(ISERROR(SEARCH("need resistor",B11)))</formula>
    </cfRule>
  </conditionalFormatting>
  <conditionalFormatting sqref="B11:B12">
    <cfRule type="containsText" dxfId="287" priority="34" operator="containsText" text="no need">
      <formula>NOT(ISERROR(SEARCH("no need",B11)))</formula>
    </cfRule>
  </conditionalFormatting>
  <conditionalFormatting sqref="B12">
    <cfRule type="expression" dxfId="286" priority="31" stopIfTrue="1">
      <formula>AND($B$12="need resistor",$C$12&gt;0)</formula>
    </cfRule>
    <cfRule type="containsText" dxfId="285" priority="33" operator="containsText" text="need resistor">
      <formula>NOT(ISERROR(SEARCH("need resistor",B12)))</formula>
    </cfRule>
  </conditionalFormatting>
  <conditionalFormatting sqref="B42">
    <cfRule type="expression" dxfId="284" priority="59">
      <formula>AND($B$42&gt;$S$2,$B$2=1)</formula>
    </cfRule>
    <cfRule type="expression" dxfId="283" priority="58">
      <formula>AND($B$42&lt;$R$2,$B$2=0)</formula>
    </cfRule>
    <cfRule type="expression" dxfId="282" priority="57" stopIfTrue="1">
      <formula>AND($B$42&lt;=$S$2,$B$2=1)</formula>
    </cfRule>
    <cfRule type="expression" dxfId="281" priority="56" stopIfTrue="1">
      <formula>AND($B$42&gt;=$R$2,$B$2=0)</formula>
    </cfRule>
  </conditionalFormatting>
  <conditionalFormatting sqref="B62">
    <cfRule type="expression" dxfId="280" priority="67">
      <formula>AND($B$62&gt;$S$2,$B$2=1)</formula>
    </cfRule>
    <cfRule type="expression" dxfId="279" priority="66">
      <formula>AND($B$62&lt;$R$2,$B$2=0)</formula>
    </cfRule>
    <cfRule type="expression" dxfId="278" priority="65" stopIfTrue="1">
      <formula>AND($B$62&lt;=$S$2,$B$2=1)</formula>
    </cfRule>
    <cfRule type="expression" dxfId="277" priority="64" stopIfTrue="1">
      <formula>AND($B$62&gt;=$R$2,$B$2=0)</formula>
    </cfRule>
  </conditionalFormatting>
  <conditionalFormatting sqref="B84">
    <cfRule type="cellIs" dxfId="276" priority="45" operator="greaterThan">
      <formula>$S$3</formula>
    </cfRule>
    <cfRule type="cellIs" dxfId="275" priority="44" operator="lessThanOrEqual">
      <formula>$S$3</formula>
    </cfRule>
  </conditionalFormatting>
  <conditionalFormatting sqref="B102">
    <cfRule type="cellIs" dxfId="274" priority="48" operator="lessThanOrEqual">
      <formula>$S$2</formula>
    </cfRule>
    <cfRule type="cellIs" dxfId="273" priority="49" operator="greaterThan">
      <formula>$S$2</formula>
    </cfRule>
  </conditionalFormatting>
  <conditionalFormatting sqref="B18:C18">
    <cfRule type="expression" dxfId="272" priority="53">
      <formula>OR(AND($B$2=0,$C$18&lt;$R$2),AND($B$2=1,$C$18&gt;$S$2))</formula>
    </cfRule>
    <cfRule type="expression" dxfId="271" priority="52" stopIfTrue="1">
      <formula>OR(AND($B$2=0,$C$18&gt;=$R$2),AND($B$2=1,$C$18&lt;=$S$2))</formula>
    </cfRule>
  </conditionalFormatting>
  <conditionalFormatting sqref="B19:C19">
    <cfRule type="expression" dxfId="270" priority="55">
      <formula>OR(AND($B$3=0,$C$19&lt;$R$3),AND($B$3=1,$C$19&gt;$S$3))</formula>
    </cfRule>
    <cfRule type="expression" dxfId="269" priority="54" stopIfTrue="1">
      <formula>OR(AND($B$3=0,$C$19&gt;=$R$3),AND($B$3=1,$C$19&lt;=$S$3))</formula>
    </cfRule>
  </conditionalFormatting>
  <conditionalFormatting sqref="C14">
    <cfRule type="cellIs" dxfId="268" priority="26" operator="equal">
      <formula>"no solution"</formula>
    </cfRule>
  </conditionalFormatting>
  <conditionalFormatting sqref="C44">
    <cfRule type="expression" dxfId="267" priority="63">
      <formula>AND($B$44&gt;$S$3,$B$3=1)</formula>
    </cfRule>
    <cfRule type="expression" dxfId="266" priority="62">
      <formula>AND($B$44&lt;$R$3,$B$3=0)</formula>
    </cfRule>
    <cfRule type="expression" dxfId="265" priority="61" stopIfTrue="1">
      <formula>AND($C$44&lt;=$S$3,$B$3=1)</formula>
    </cfRule>
    <cfRule type="expression" dxfId="264" priority="60" stopIfTrue="1">
      <formula>AND($C$44&gt;=$R$3,$B$3=0)</formula>
    </cfRule>
  </conditionalFormatting>
  <conditionalFormatting sqref="C64">
    <cfRule type="expression" dxfId="263" priority="69" stopIfTrue="1">
      <formula>AND($C$64&lt;=$S$3,$B$3=1)</formula>
    </cfRule>
    <cfRule type="expression" dxfId="262" priority="70">
      <formula>AND($B$64&lt;$R$3,$B$3=0)</formula>
    </cfRule>
    <cfRule type="expression" dxfId="261" priority="71">
      <formula>AND($B$64&gt;$S$3,$B$3=1)</formula>
    </cfRule>
    <cfRule type="expression" dxfId="260" priority="68" stopIfTrue="1">
      <formula>AND($C$64&gt;=$R$3,$B$3=0)</formula>
    </cfRule>
  </conditionalFormatting>
  <conditionalFormatting sqref="C102:D102">
    <cfRule type="cellIs" dxfId="259" priority="28" operator="lessThan">
      <formula>$R$2</formula>
    </cfRule>
    <cfRule type="cellIs" dxfId="258" priority="27" operator="greaterThanOrEqual">
      <formula>$R$2</formula>
    </cfRule>
  </conditionalFormatting>
  <conditionalFormatting sqref="C84:H84">
    <cfRule type="cellIs" dxfId="257" priority="13" operator="lessThan">
      <formula>$R$3</formula>
    </cfRule>
    <cfRule type="cellIs" dxfId="256" priority="12" operator="greaterThanOrEqual">
      <formula>$R$3</formula>
    </cfRule>
  </conditionalFormatting>
  <conditionalFormatting sqref="D11">
    <cfRule type="containsText" dxfId="255" priority="39" stopIfTrue="1" operator="containsText" text="please remove resistor">
      <formula>NOT(ISERROR(SEARCH("please remove resistor",D11)))</formula>
    </cfRule>
    <cfRule type="cellIs" dxfId="254" priority="41" operator="greaterThan">
      <formula>$S$2</formula>
    </cfRule>
    <cfRule type="cellIs" dxfId="253" priority="40" operator="lessThan">
      <formula>$S$2</formula>
    </cfRule>
  </conditionalFormatting>
  <conditionalFormatting sqref="D11:D12">
    <cfRule type="cellIs" priority="24" stopIfTrue="1" operator="equal">
      <formula>""</formula>
    </cfRule>
  </conditionalFormatting>
  <conditionalFormatting sqref="D12 E18:E19">
    <cfRule type="cellIs" dxfId="252" priority="38" operator="lessThan">
      <formula>$R$2-$N$7</formula>
    </cfRule>
    <cfRule type="cellIs" dxfId="251" priority="37" operator="greaterThanOrEqual">
      <formula>$R$2-$N$7</formula>
    </cfRule>
  </conditionalFormatting>
  <conditionalFormatting sqref="D18:D19">
    <cfRule type="cellIs" dxfId="250" priority="42" operator="lessThanOrEqual">
      <formula>$S$2+$N$7</formula>
    </cfRule>
    <cfRule type="cellIs" dxfId="249" priority="43" operator="greaterThan">
      <formula>$S$2+$N$7</formula>
    </cfRule>
  </conditionalFormatting>
  <conditionalFormatting sqref="E102">
    <cfRule type="cellIs" dxfId="248" priority="11" operator="lessThan">
      <formula>$R$3</formula>
    </cfRule>
    <cfRule type="cellIs" dxfId="247" priority="10" operator="greaterThanOrEqual">
      <formula>$R$3</formula>
    </cfRule>
  </conditionalFormatting>
  <conditionalFormatting sqref="F21">
    <cfRule type="containsText" dxfId="246" priority="9" operator="containsText" text="failed">
      <formula>NOT(ISERROR(SEARCH("failed",F21)))</formula>
    </cfRule>
  </conditionalFormatting>
  <conditionalFormatting sqref="F22">
    <cfRule type="containsText" dxfId="245" priority="8" operator="containsText" text="fail">
      <formula>NOT(ISERROR(SEARCH("fail",F22)))</formula>
    </cfRule>
  </conditionalFormatting>
  <conditionalFormatting sqref="F23">
    <cfRule type="containsText" dxfId="244" priority="7" operator="containsText" text="failed">
      <formula>NOT(ISERROR(SEARCH("failed",F23)))</formula>
    </cfRule>
  </conditionalFormatting>
  <conditionalFormatting sqref="F102:H102">
    <cfRule type="cellIs" dxfId="243" priority="20" operator="greaterThanOrEqual">
      <formula>$R$2</formula>
    </cfRule>
    <cfRule type="cellIs" dxfId="242" priority="21" operator="lessThan">
      <formula>$R$2</formula>
    </cfRule>
  </conditionalFormatting>
  <conditionalFormatting sqref="G18">
    <cfRule type="cellIs" dxfId="241" priority="2" operator="lessThan">
      <formula>$V$2</formula>
    </cfRule>
    <cfRule type="cellIs" dxfId="240" priority="1" operator="greaterThan">
      <formula>$V$2</formula>
    </cfRule>
  </conditionalFormatting>
  <conditionalFormatting sqref="G19">
    <cfRule type="cellIs" dxfId="239" priority="3" operator="greaterThan">
      <formula>$V$3</formula>
    </cfRule>
    <cfRule type="cellIs" dxfId="238" priority="4" operator="lessThan">
      <formula>$V$3</formula>
    </cfRule>
  </conditionalFormatting>
  <conditionalFormatting sqref="I18:I19">
    <cfRule type="cellIs" dxfId="237" priority="6" operator="lessThan">
      <formula>$W$2</formula>
    </cfRule>
    <cfRule type="cellIs" dxfId="236" priority="5" operator="greaterThan">
      <formula>$W$2</formula>
    </cfRule>
  </conditionalFormatting>
  <conditionalFormatting sqref="K12">
    <cfRule type="expression" dxfId="235" priority="72">
      <formula>SEARCH("reduce",$F$23)</formula>
    </cfRule>
    <cfRule type="expression" dxfId="234" priority="73">
      <formula>SEARCH("reduce",$F$21)</formula>
    </cfRule>
  </conditionalFormatting>
  <conditionalFormatting sqref="N2">
    <cfRule type="expression" dxfId="233" priority="74">
      <formula>SEARCH("strength",$F$21)</formula>
    </cfRule>
    <cfRule type="expression" dxfId="232" priority="75">
      <formula>SEARCH("strength",$F$23)</formula>
    </cfRule>
  </conditionalFormatting>
  <hyperlinks>
    <hyperlink ref="N25" location="Summary!A1" display="Link to summary" xr:uid="{E7D5AD54-E34B-47EF-AAB6-082A157ABD99}"/>
  </hyperlinks>
  <pageMargins left="0.7" right="0.7" top="0.75" bottom="0.75" header="0.3" footer="0.3"/>
  <pageSetup paperSize="9" orientation="portrait" r:id="rId1"/>
  <drawing r:id="rId2"/>
  <legacyDrawing r:id="rId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C9961-691A-4F17-8814-73874D527488}">
  <dimension ref="A1:AK130"/>
  <sheetViews>
    <sheetView topLeftCell="K22"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Summary!U16</f>
        <v>1.8</v>
      </c>
      <c r="K2" s="10">
        <v>1000000000000</v>
      </c>
      <c r="L2" s="15">
        <v>0.1</v>
      </c>
      <c r="M2" s="15">
        <v>0.1</v>
      </c>
      <c r="N2" s="17">
        <f>Summary!U26</f>
        <v>50</v>
      </c>
      <c r="O2" s="15">
        <f>Summary!U88</f>
        <v>0.25</v>
      </c>
      <c r="P2" s="15">
        <f>Summary!U89</f>
        <v>0.25</v>
      </c>
      <c r="Q2" s="5" t="str">
        <f>Summary!U27</f>
        <v>N/A</v>
      </c>
      <c r="R2" s="5">
        <f>Summary!U51</f>
        <v>0.3</v>
      </c>
      <c r="S2" s="5">
        <f>Summary!U52</f>
        <v>0.7</v>
      </c>
      <c r="T2" s="5">
        <f>Summary!U53</f>
        <v>0.3</v>
      </c>
      <c r="U2" s="5">
        <f>Summary!U54</f>
        <v>0.7</v>
      </c>
      <c r="V2" s="130">
        <f>Summary!U55</f>
        <v>9.9999999999999995E-7</v>
      </c>
      <c r="W2" s="130">
        <f>Summary!U56</f>
        <v>2.9999999999999999E-7</v>
      </c>
      <c r="X2" s="131">
        <f>V2</f>
        <v>9.9999999999999995E-7</v>
      </c>
      <c r="Y2" s="132" t="str">
        <f>IF(Summary!U57="","",Summary!U57)</f>
        <v/>
      </c>
      <c r="Z2" s="132" t="str">
        <f>IF(Summary!U58="","",Summary!U58)</f>
        <v/>
      </c>
      <c r="AA2" s="4">
        <f>Summary!U59</f>
        <v>1E-10</v>
      </c>
      <c r="AB2" s="41">
        <f>Summary!U81</f>
        <v>4.9999999999999997E-12</v>
      </c>
      <c r="AC2" s="41">
        <f>Summary!U83</f>
        <v>8.1900000000000013E-12</v>
      </c>
      <c r="AD2" s="3">
        <f>Summary!U84</f>
        <v>0.69</v>
      </c>
      <c r="AE2" s="41">
        <f>Summary!U86</f>
        <v>4.9999999999999997E-12</v>
      </c>
      <c r="AF2" s="5">
        <f>Summary!U87</f>
        <v>2.2999999999999998</v>
      </c>
      <c r="AG2" s="127" t="str">
        <f>Summary!U50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Summary!U16</f>
        <v>1.8</v>
      </c>
      <c r="K3" s="10">
        <v>1000000000000</v>
      </c>
      <c r="L3" s="15">
        <v>0.1</v>
      </c>
      <c r="M3" s="15">
        <v>0.1</v>
      </c>
      <c r="N3">
        <f>Summary!U97</f>
        <v>100</v>
      </c>
      <c r="O3" s="15">
        <f>Summary!U98</f>
        <v>0.6</v>
      </c>
      <c r="P3" s="15">
        <f>Summary!U99</f>
        <v>0</v>
      </c>
      <c r="Q3"/>
      <c r="R3" s="5">
        <f>Summary!U38</f>
        <v>0.3</v>
      </c>
      <c r="S3" s="5">
        <f>Summary!U39</f>
        <v>0.7</v>
      </c>
      <c r="T3" s="5">
        <f>Summary!U42</f>
        <v>0.3</v>
      </c>
      <c r="U3" s="5">
        <f>Summary!U43</f>
        <v>0.7</v>
      </c>
      <c r="V3" s="130">
        <f>Summary!U44</f>
        <v>9.9999999999999995E-7</v>
      </c>
      <c r="W3" s="130">
        <f>Summary!U45</f>
        <v>2.9999999999999999E-7</v>
      </c>
      <c r="X3" s="131">
        <f>V3</f>
        <v>9.9999999999999995E-7</v>
      </c>
      <c r="Y3" s="132" t="str">
        <f>IF(Summary!U46="","",Summary!U46)</f>
        <v/>
      </c>
      <c r="Z3" s="132" t="str">
        <f>IF(Summary!U47="","",Summary!U47)</f>
        <v/>
      </c>
      <c r="AA3" s="4">
        <f>Summary!U59</f>
        <v>1E-10</v>
      </c>
      <c r="AB3" s="41">
        <f>Summary!U96</f>
        <v>9.9999999999999994E-12</v>
      </c>
      <c r="AG3" s="127" t="str">
        <f>Summary!U37</f>
        <v>absolute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427329345.73263782</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1514561486.5025508</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312.40900805920944</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482.95629448899388</v>
      </c>
      <c r="F7" s="123">
        <f>_xlfn.IFNA(_xlfn.XLOOKUP($X$2,AB34:AB129,P34:P129,,-1), "Out of support PU range")</f>
        <v>6510</v>
      </c>
      <c r="G7" s="124">
        <f>_xlfn.IFNA(_xlfn.XLOOKUP($X$3,S34:S129,P34:P129,,-1), "Out of support PU range")</f>
        <v>16800</v>
      </c>
      <c r="H7" s="124">
        <f>_xlfn.IFNA(MAX(_xlfn.XLOOKUP(MAX($Y$2:$AA$2),AA34:AA129,O34:O129,,1), _xlfn.XLOOKUP($W$2,AD34:AD129,O34:O129,,-1)), "Fail AC VIL")</f>
        <v>313.5</v>
      </c>
      <c r="I7" s="129">
        <f>_xlfn.IFNA(MAX(_xlfn.XLOOKUP(MAX($Y$3:$AA$3),R34:R129,O34:O129,,1), _xlfn.XLOOKUP($W$3,AC34:AC129,O34:O129,,-1)), "Fail AC VIL")</f>
        <v>484.5</v>
      </c>
      <c r="J7" s="21">
        <v>20000</v>
      </c>
      <c r="K7" s="2">
        <f>MIN(
MIN(FLOOR(B7,10^(LEN(ROUND(B7,0))-1))/10,
FLOOR(C7,10^(LEN(ROUND(C7,0))-1))/10,
IF(F7*10&gt;=J7,FLOOR(F7,10^(LEN(ROUND(F7,0))-1))/10,FLOOR(F7,10^(LEN(ROUND(F7,0))-1))),
FLOOR(G7,10^(LEN(ROUND(G7,0))-1))/10),
MAX(I7,J7)
)</f>
        <v>600</v>
      </c>
      <c r="L7" s="1"/>
      <c r="N7" s="71">
        <f>Summary!U62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1099.2857101601082</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1099.2857101601082</v>
      </c>
      <c r="E8">
        <f>X2/(1.204*K18)</f>
        <v>5182.276253199745</v>
      </c>
      <c r="F8">
        <f>X3/(1.204*K18)</f>
        <v>5182.276253199745</v>
      </c>
      <c r="H8">
        <f>AA2/(1.204*K18)</f>
        <v>0.51822762531997457</v>
      </c>
      <c r="I8" s="2">
        <f>AA3/(1.204*K18)</f>
        <v>0.51822762531997457</v>
      </c>
      <c r="J8" s="8">
        <v>20000</v>
      </c>
      <c r="K8">
        <f>MIN(MIN(FLOOR(B8,10^(LEN(ROUND(B8,0))-1))/10,FLOOR(C8,10^(LEN(ROUND(C8,0))-1))/10,FLOOR(E8,10^(LEN(ROUND(E8,0))-1))/10,FLOOR(F8,10^(LEN(ROUND(F8,0))-1))/10),MAX(I8,J8))</f>
        <v>100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Summary!U24</f>
        <v>2700</v>
      </c>
      <c r="D11" s="1">
        <f>IF(AND(B11="no need", C11=""), "",IF(AND(B11="no need", C11&gt;0), "please remove resistor",   IF(AND(B11="need resistor", ISBLANK(C11)), "please enter resistor",  (1/(1/F2+1/F3))/(1/(1/(1/(1/C2+1/C3))+1/C11)+(1/(1/F2+1/F3))) ) ))</f>
        <v>0.9999999946</v>
      </c>
      <c r="F11" s="7">
        <f>IF(B11="no need", 1000000000, C11)</f>
        <v>2700</v>
      </c>
      <c r="G11" s="7" t="s">
        <v>281</v>
      </c>
      <c r="H11" s="62">
        <f>Summary!U25</f>
        <v>0.05</v>
      </c>
      <c r="K11" s="6" t="s">
        <v>282</v>
      </c>
      <c r="N11" s="19" t="s">
        <v>283</v>
      </c>
      <c r="P11" s="19" t="s">
        <v>284</v>
      </c>
      <c r="R11" s="127" t="s">
        <v>285</v>
      </c>
      <c r="S11" s="127">
        <f>($J$2+$J$2*Summary!$U$17)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Summary!U10</f>
        <v>25</v>
      </c>
      <c r="L12" t="s">
        <v>287</v>
      </c>
      <c r="N12" s="4">
        <f>SUM(AB2:AC3,AE2:AE3)</f>
        <v>2.8189999999999998E-11</v>
      </c>
      <c r="O12" t="s">
        <v>288</v>
      </c>
      <c r="P12" s="61">
        <f>Summary!U84+Summary!U87</f>
        <v>2.9899999999999998</v>
      </c>
      <c r="Q12" t="s">
        <v>289</v>
      </c>
      <c r="R12" s="127" t="s">
        <v>290</v>
      </c>
      <c r="S12" s="127">
        <f>($J$2-$J$2*Summary!$U$17)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($J$3+$J$3*Summary!$U$18)</f>
        <v>1.8900000000000001</v>
      </c>
    </row>
    <row r="14" spans="1:37" x14ac:dyDescent="0.35">
      <c r="K14" s="6" t="s">
        <v>293</v>
      </c>
      <c r="N14" s="6" t="s">
        <v>294</v>
      </c>
      <c r="R14" s="127" t="s">
        <v>295</v>
      </c>
      <c r="S14" s="127">
        <f>($J$3-$J$3*Summary!$U$18)</f>
        <v>1.71</v>
      </c>
    </row>
    <row r="15" spans="1:37" x14ac:dyDescent="0.35">
      <c r="B15" s="2"/>
      <c r="C15" s="2"/>
      <c r="K15" s="3">
        <f>Summary!U8</f>
        <v>19.988</v>
      </c>
      <c r="L15" t="s">
        <v>296</v>
      </c>
      <c r="N15" s="41">
        <f>Summary!U9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0.9999968436860982</v>
      </c>
      <c r="C18">
        <f>B42</f>
        <v>0.9999976635041159</v>
      </c>
      <c r="D18">
        <f>B102</f>
        <v>0.99999684368610631</v>
      </c>
      <c r="E18">
        <f>C102</f>
        <v>4.5223426990923257E-2</v>
      </c>
      <c r="F18" s="126">
        <f>_xlfn.LET(
_xlpm.Rbus, (1/(1/((1/(1/($G$91+$G$93)+1/$G$90))+$G$92)+1/($G$89))),
_xlpm.VCC, IF($AG$2="absolute",$S$13,1),
_xlpm.Vspec_abs, $U$2-$N$7,
(LN(1-$T$2/_xlpm.VCC)-LN(1-_xlpm.Vspec_abs/_xlpm.VCC))*$K$19*_xlpm.Rbus
)</f>
        <v>2.8827725081991944E-7</v>
      </c>
      <c r="G18" s="128">
        <f>_xlfn.LET(
_xlpm.Rbus, (1/(1/((1/(1/($D$91+$D$93)+1/$D$90))+$D$92)+1/($D$89))),
_xlpm.VCC, IF($AG$2="absolute",$S$14,1),
_xlpm.Vspec_abs, $U$2+$N$7,
(LN(1-$T$2/_xlpm.VCC)-LN(1-_xlpm.Vspec_abs/_xlpm.VCC))*$K$18*_xlpm.Rbus
)</f>
        <v>4.1948778277769463E-7</v>
      </c>
      <c r="H18" s="126">
        <f>_xlfn.LET(
_xlpm.Rbus, (1/(1/((1/(1/($H$96+$H$93)+1/$H$95))+$H$92)+1/($H$94))),
_xlpm.VCC, IF($AG$2="absolute",$S$14,1),
_xlpm.VL_rel, $H$102,
_xlpm.Vspec_abs, $T$2-$N$7,
_xlpm.Vspec_rel, (_xlpm.Vspec_abs/_xlpm.VCC-_xlpm.VL_rel)/(1-_xlpm.VL_rel),
IFERROR((LN($D$18-_xlpm.VL_rel)-LN(_xlpm.Vspec_rel))*$K$19*_xlpm.Rbus, "Vlow exceeds VIL spec")
)</f>
        <v>1.0360642927922411E-8</v>
      </c>
      <c r="I18" s="128">
        <f>_xlfn.LET(
_xlpm.Rbus, (1/(1/((1/(1/($F$96+$F$93)+1/$F$95))+$F$92)+1/($F$94))),
_xlpm.VCC, IF($AG$2="absolute",$S$13,1),
_xlpm.VL_rel, $F$102,
_xlpm.Vspec_abs, $T$2-$N$7,
_xlpm.Vspec_rel, (_xlpm.Vspec_abs/_xlpm.VCC-_xlpm.VL_rel)/(1-_xlpm.VL_rel),
IFERROR((LN($D$18-_xlpm.VL_rel)-LN(_xlpm.Vspec_rel))*$K$18*_xlpm.Rbus,"Vlow exceeds VIL spec")
)</f>
        <v>2.6414453271546342E-8</v>
      </c>
      <c r="J18" s="139" t="s">
        <v>307</v>
      </c>
      <c r="K18" s="4">
        <f>Summary!U102</f>
        <v>1.6027026416052833E-10</v>
      </c>
      <c r="L18" s="22" t="s">
        <v>288</v>
      </c>
      <c r="M18" s="10">
        <f>K18*1000000000000</f>
        <v>160.27026416052834</v>
      </c>
      <c r="N18" t="s">
        <v>308</v>
      </c>
      <c r="O18" s="49">
        <f>N12+K12/39.37*N15</f>
        <v>1.6027026416052833E-10</v>
      </c>
    </row>
    <row r="19" spans="1:26" x14ac:dyDescent="0.35">
      <c r="A19" t="s">
        <v>309</v>
      </c>
      <c r="B19">
        <f>C64</f>
        <v>0.9999968436860982</v>
      </c>
      <c r="C19">
        <f>C44</f>
        <v>0.9999976635041159</v>
      </c>
      <c r="D19">
        <f>B84</f>
        <v>0.99999684368610631</v>
      </c>
      <c r="E19">
        <f>C84</f>
        <v>3.1707301010037256E-2</v>
      </c>
      <c r="F19" s="126">
        <f>_xlfn.LET(
_xlpm.Rbus,(1/(1/((1/(1/($G$77+$G$72)+1/$G$70))+$G$73)+1/($G$71))),
_xlpm.VCC,IF($AG$3="absolute",$S$11,1),
_xlpm.Vspec_abs,$U$3-$N$7,
(LN(1-($T$3/_xlpm.VCC))-LN(1-_xlpm.Vspec_abs/_xlpm.VCC))*$K$19*_xlpm.Rbus
)</f>
        <v>1.0058321906228511E-7</v>
      </c>
      <c r="G19" s="128">
        <f>_xlfn.LET(
_xlpm.Rbus, (1/(1/((1/(1/($D$77+$D$72)+1/$D$70))+$D$73)+1/($D$71))),
_xlpm.VCC, IF($AG$3="absolute",$S$12,1),
_xlpm.Vspec_abs, $U$3+$N$7,
(LN(1-$T$3/_xlpm.VCC)-LN(1-_xlpm.Vspec_abs/_xlpm.VCC))*$K$18*_xlpm.Rbus
)</f>
        <v>1.6190022579380159E-7</v>
      </c>
      <c r="H19" s="126">
        <f>_xlfn.LET(
_xlpm.Rbus, (1/(1/((1/(1/($H$74+$H$72)+1/$H$75))+$H$73)+1/($H$76))),
_xlpm.VCC, IF($AG$3="absolute",$S$12,1),
_xlpm.VL_rel, $H$84,
_xlpm.Vspec_abs, $T$3-$N$7,
_xlpm.Vspec_rel, (_xlpm.Vspec_abs/_xlpm.VCC-_xlpm.VL_rel)/(1-_xlpm.VL_rel),
IFERROR((LN($D$19-_xlpm.VL_rel)-LN(_xlpm.Vspec_rel))*$K$19*_xlpm.Rbus, "Vlow exceeds VIL spec")
)</f>
        <v>1.4250655687783387E-8</v>
      </c>
      <c r="I19" s="128">
        <f>_xlfn.LET(
_xlpm.Rbus, (1/(1/((1/(1/($F$74+$F$72)+1/$F$75))+$F$73)+1/($F$76))),
_xlpm.VCC, IF($AG$3="absolute",$S$11,1),
_xlpm.VL_rel, $F$84,
_xlpm.Vspec_abs, $T$3-$N$7,
_xlpm.Vspec_rel, (_xlpm.Vspec_abs/_xlpm.VCC-_xlpm.VL_rel)/(1-_xlpm.VL_rel),
IFERROR((LN($D$19-_xlpm.VL_rel)-LN(_xlpm.Vspec_rel))*$K$18*_xlpm.Rbus,"Vlow exceeds VIL spec")
)</f>
        <v>2.8079671534639058E-8</v>
      </c>
      <c r="J19" s="139" t="s">
        <v>310</v>
      </c>
      <c r="K19" s="122">
        <f>Summary!U101</f>
        <v>1.4358026416052834E-10</v>
      </c>
      <c r="L19" t="s">
        <v>288</v>
      </c>
    </row>
    <row r="20" spans="1:26" x14ac:dyDescent="0.35">
      <c r="J20" s="139"/>
      <c r="K20" s="6" t="s">
        <v>311</v>
      </c>
    </row>
    <row r="21" spans="1:26" x14ac:dyDescent="0.35">
      <c r="E21" s="120" t="s">
        <v>137</v>
      </c>
      <c r="F21" t="str">
        <f>IF(OR(AND(E18&gt;(R2-N7), Summary!U50="relative"), AND(E18&gt;(R2-N7)/(J3+J3*Summary!U18), Summary!U50="absolute")),IF(U29="no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IF(OR(Summary!U24&gt;Summary!U22,Summary!U24&lt;Summary!U21), "- ensure board PU is within recommended range" &amp; CHAR(10),) &amp; "- reduce MB trace length",""))</f>
        <v/>
      </c>
      <c r="J21" s="139" t="s">
        <v>307</v>
      </c>
      <c r="K21" s="5">
        <f>Summary!U104</f>
        <v>21.49240538481077</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Summary!U103</f>
        <v>15.682405384810767</v>
      </c>
      <c r="L22" t="s">
        <v>289</v>
      </c>
    </row>
    <row r="23" spans="1:26" x14ac:dyDescent="0.35">
      <c r="B23" s="171" t="s">
        <v>313</v>
      </c>
      <c r="C23" s="171"/>
      <c r="D23" t="s">
        <v>314</v>
      </c>
      <c r="E23" s="175"/>
      <c r="F23" t="str">
        <f>IF(F22="",IF(OR(AND(E19&lt;=(R3-N7), Summary!U37="relative"),AND(E19&lt;=(R3-N7)/(J2+J2*Summary!U17), Summary!U37="absolute")),IF(OR(G19&gt;V3,I19&gt;W3), IF(N2=MIN(AH2:AH5), "failed max rise/fall time spec, recommendations:" &amp; CHAR(10) &amp; "-reduce MB trace length" &amp; CHAR(10) &amp; "-increase trace width (reduce MB trace resistance per length)", "failed max rise/fall time spec, recommendations:" &amp; CHAR(10) &amp; IF(OR(Summary!U24&gt;Summary!U22,Summary!U24&lt;Summary!U21),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Summary!U13</f>
        <v>0</v>
      </c>
      <c r="L24" t="s">
        <v>305</v>
      </c>
    </row>
    <row r="25" spans="1:26" x14ac:dyDescent="0.35">
      <c r="A25" t="s">
        <v>318</v>
      </c>
      <c r="B25" s="11">
        <f>C2*(1-D2)</f>
        <v>900000000000</v>
      </c>
      <c r="C25" s="11">
        <f>C2*(1-D2)</f>
        <v>900000000000</v>
      </c>
      <c r="K25" s="18">
        <f>Summary!U14</f>
        <v>1</v>
      </c>
      <c r="L25" t="s">
        <v>274</v>
      </c>
      <c r="N25" s="72" t="s">
        <v>319</v>
      </c>
    </row>
    <row r="26" spans="1:26" x14ac:dyDescent="0.35">
      <c r="A26" t="s">
        <v>320</v>
      </c>
      <c r="B26" s="11">
        <f>F11*(1-H11)</f>
        <v>2565</v>
      </c>
      <c r="C26" s="11">
        <f>F11*(1-H11)</f>
        <v>2565</v>
      </c>
      <c r="Q26" t="s">
        <v>321</v>
      </c>
    </row>
    <row r="27" spans="1:26" x14ac:dyDescent="0.35">
      <c r="A27" t="s">
        <v>322</v>
      </c>
      <c r="B27" s="11">
        <f>C3*(1-D3)</f>
        <v>900000000000</v>
      </c>
      <c r="C27" s="11">
        <f>C3*(1-D3)</f>
        <v>900000000000</v>
      </c>
      <c r="Q27" t="s">
        <v>323</v>
      </c>
    </row>
    <row r="28" spans="1:26" x14ac:dyDescent="0.35">
      <c r="A28" t="s">
        <v>324</v>
      </c>
      <c r="B28" s="1">
        <f>K21</f>
        <v>21.49240538481077</v>
      </c>
      <c r="C28">
        <v>0</v>
      </c>
      <c r="Q28" t="s">
        <v>325</v>
      </c>
      <c r="V28" t="s">
        <v>305</v>
      </c>
      <c r="W28" t="s">
        <v>274</v>
      </c>
      <c r="X28" t="s">
        <v>326</v>
      </c>
    </row>
    <row r="29" spans="1:26" x14ac:dyDescent="0.35">
      <c r="A29" t="s">
        <v>327</v>
      </c>
      <c r="B29">
        <v>0</v>
      </c>
      <c r="C29" s="1">
        <f>K21</f>
        <v>21.49240538481077</v>
      </c>
      <c r="F29" s="11"/>
      <c r="T29" t="s">
        <v>328</v>
      </c>
      <c r="U29">
        <f>IF(IF(ISBLANK(Summary!U25),IF(U30=W82,L30,U30),IF(Summary!U25=5%,L30,U30))=N130,"no solution",IF(ISBLANK(Summary!U25),IF(U30=W82,L30,U30),IF(Summary!U25=5%,L30,U30)))</f>
        <v>1800</v>
      </c>
      <c r="V29">
        <f>IFERROR(IF(X29=5%,VLOOKUP(1,M34:N129,2,FALSE),VLOOKUP(1,V34:W81,2,FALSE)),"no solution")</f>
        <v>510</v>
      </c>
      <c r="W29">
        <f>IF(U29="no solution","no solution",IF(X29=5%,VLOOKUP(MAX(M34:M129)-1,M34:N129,2,FALSE),VLOOKUP(MAX(V34:V81)-1,V34:W81,2,FALSE)))</f>
        <v>6200</v>
      </c>
      <c r="X29" s="64">
        <f>Summary!U25</f>
        <v>0.05</v>
      </c>
    </row>
    <row r="30" spans="1:26" x14ac:dyDescent="0.35">
      <c r="A30" t="s">
        <v>329</v>
      </c>
      <c r="B30" s="11">
        <f>F2*(1+H2)</f>
        <v>1100000000000</v>
      </c>
      <c r="C30" s="11">
        <f>F2*(1+H2)</f>
        <v>1100000000000</v>
      </c>
      <c r="K30" t="s">
        <v>330</v>
      </c>
      <c r="L30">
        <f>VLOOKUP(Q31,M34:Q154,2)</f>
        <v>1800</v>
      </c>
      <c r="T30" t="s">
        <v>331</v>
      </c>
      <c r="U30">
        <f>VLOOKUP(Z31,V34:W82,2)</f>
        <v>1800</v>
      </c>
    </row>
    <row r="31" spans="1:26" x14ac:dyDescent="0.35">
      <c r="A31" t="s">
        <v>332</v>
      </c>
      <c r="B31" s="11">
        <f>F12*(1+H12)</f>
        <v>1100000000</v>
      </c>
      <c r="C31" s="11">
        <f>F12*(1+H12)</f>
        <v>1100000000</v>
      </c>
      <c r="Q31" cm="1">
        <f t="array" ref="Q31">MAX(M34:M129+1)/2</f>
        <v>14.5</v>
      </c>
      <c r="Z31" cm="1">
        <f t="array" ref="Z31">MAX(V34:V81+1)/2</f>
        <v>7.5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3.725304441447648E-10</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1.813264997830341E-9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4.6982177436677331E-9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4.0978348855794356E-10</v>
      </c>
      <c r="S35" s="126">
        <f t="shared" si="4"/>
        <v>1.8727768796253939E-9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4.8524146091800149E-9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4.4703653297088642E-10</v>
      </c>
      <c r="S36" s="126">
        <f t="shared" si="4"/>
        <v>1.9322887614201062E-9</v>
      </c>
      <c r="T36">
        <v>1</v>
      </c>
      <c r="U36">
        <v>15</v>
      </c>
      <c r="V36">
        <f t="shared" si="11"/>
        <v>0</v>
      </c>
      <c r="W36">
        <f t="shared" si="12"/>
        <v>15</v>
      </c>
      <c r="X36">
        <f t="shared" si="5"/>
        <v>13.5</v>
      </c>
      <c r="Y36">
        <f t="shared" si="6"/>
        <v>16.5</v>
      </c>
      <c r="Z36">
        <f t="shared" si="13"/>
        <v>0</v>
      </c>
      <c r="AA36" s="126">
        <f t="shared" si="14"/>
        <v>1.281232236772157E-9</v>
      </c>
      <c r="AB36" s="126">
        <f t="shared" si="15"/>
        <v>5.0066114746914149E-9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4.8428957738359348E-10</v>
      </c>
      <c r="S37" s="126">
        <f t="shared" si="4"/>
        <v>1.9918006432144768E-9</v>
      </c>
      <c r="T37">
        <v>1</v>
      </c>
      <c r="U37">
        <v>18</v>
      </c>
      <c r="V37">
        <f t="shared" si="11"/>
        <v>0</v>
      </c>
      <c r="W37">
        <f t="shared" si="12"/>
        <v>18</v>
      </c>
      <c r="X37">
        <f t="shared" si="5"/>
        <v>16.2</v>
      </c>
      <c r="Y37">
        <f t="shared" si="6"/>
        <v>19.8</v>
      </c>
      <c r="Z37">
        <f t="shared" si="13"/>
        <v>0</v>
      </c>
      <c r="AA37" s="126">
        <f t="shared" si="14"/>
        <v>1.3880015898321084E-9</v>
      </c>
      <c r="AB37" s="126">
        <f t="shared" si="15"/>
        <v>5.1608083402019298E-9</v>
      </c>
      <c r="AC37" s="126" t="str">
        <f t="shared" si="7"/>
        <v>Vlow exceeds VIL spec</v>
      </c>
      <c r="AD37" s="126" t="str">
        <f t="shared" si="8"/>
        <v>Vlow exceeds VIL spec</v>
      </c>
    </row>
    <row r="38" spans="1:30" x14ac:dyDescent="0.35">
      <c r="A38" t="s">
        <v>347</v>
      </c>
      <c r="B38" s="125">
        <f>IF(Summary!U50="absolute",(S2+N7)/(J3-J3*Summary!U18),S2+N7)</f>
        <v>0.72</v>
      </c>
      <c r="K38">
        <v>1</v>
      </c>
      <c r="L38">
        <v>15</v>
      </c>
      <c r="M38">
        <f t="shared" si="9"/>
        <v>0</v>
      </c>
      <c r="N38">
        <f t="shared" si="0"/>
        <v>15</v>
      </c>
      <c r="O38">
        <f t="shared" si="1"/>
        <v>14.25</v>
      </c>
      <c r="P38">
        <f t="shared" si="2"/>
        <v>15.75</v>
      </c>
      <c r="Q38">
        <f t="shared" si="10"/>
        <v>0</v>
      </c>
      <c r="R38" s="126">
        <f t="shared" si="3"/>
        <v>5.5879566620829953E-10</v>
      </c>
      <c r="S38" s="126">
        <f t="shared" si="4"/>
        <v>2.1108244068021962E-9</v>
      </c>
      <c r="T38">
        <v>1</v>
      </c>
      <c r="U38">
        <v>22</v>
      </c>
      <c r="V38">
        <f t="shared" si="11"/>
        <v>0</v>
      </c>
      <c r="W38">
        <f t="shared" si="12"/>
        <v>22</v>
      </c>
      <c r="X38">
        <f t="shared" si="5"/>
        <v>19.8</v>
      </c>
      <c r="Y38">
        <f t="shared" si="6"/>
        <v>24.200000000000003</v>
      </c>
      <c r="Z38">
        <f t="shared" si="13"/>
        <v>0</v>
      </c>
      <c r="AA38" s="126">
        <f t="shared" si="14"/>
        <v>1.601540295949982E-9</v>
      </c>
      <c r="AB38" s="126">
        <f t="shared" si="15"/>
        <v>5.4692020712203119E-9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5.9604871062029867E-10</v>
      </c>
      <c r="S39" s="126">
        <f t="shared" si="4"/>
        <v>2.1703362885955449E-9</v>
      </c>
      <c r="T39">
        <v>1</v>
      </c>
      <c r="U39">
        <v>27</v>
      </c>
      <c r="V39">
        <f t="shared" si="11"/>
        <v>0</v>
      </c>
      <c r="W39">
        <f t="shared" si="12"/>
        <v>27</v>
      </c>
      <c r="X39">
        <f t="shared" si="5"/>
        <v>24.3</v>
      </c>
      <c r="Y39">
        <f t="shared" si="6"/>
        <v>29.700000000000003</v>
      </c>
      <c r="Z39">
        <f t="shared" si="13"/>
        <v>0</v>
      </c>
      <c r="AA39" s="126">
        <f t="shared" si="14"/>
        <v>1.7083096490079043E-9</v>
      </c>
      <c r="AB39" s="126">
        <f t="shared" si="15"/>
        <v>5.623398936728179E-9</v>
      </c>
      <c r="AC39" s="126" t="str">
        <f t="shared" si="7"/>
        <v>Vlow exceeds VIL spec</v>
      </c>
      <c r="AD39" s="126" t="str">
        <f t="shared" si="8"/>
        <v>Vlow exceeds VIL spec</v>
      </c>
    </row>
    <row r="40" spans="1:30" x14ac:dyDescent="0.35">
      <c r="A40" t="s">
        <v>349</v>
      </c>
      <c r="C40" s="125">
        <f>IF(Summary!U37="absolute",(S3+N7)/(J2-J2*Summary!U17),S3+N7)</f>
        <v>0.42105263157894735</v>
      </c>
      <c r="K40">
        <v>1</v>
      </c>
      <c r="L40">
        <v>18</v>
      </c>
      <c r="M40">
        <f t="shared" si="9"/>
        <v>0</v>
      </c>
      <c r="N40">
        <f t="shared" si="0"/>
        <v>18</v>
      </c>
      <c r="O40">
        <f t="shared" si="1"/>
        <v>17.099999999999998</v>
      </c>
      <c r="P40">
        <f t="shared" si="2"/>
        <v>18.900000000000002</v>
      </c>
      <c r="Q40">
        <f t="shared" si="10"/>
        <v>0</v>
      </c>
      <c r="R40" s="126">
        <f t="shared" si="3"/>
        <v>6.70554799443589E-10</v>
      </c>
      <c r="S40" s="126">
        <f t="shared" si="4"/>
        <v>2.2893600521812187E-9</v>
      </c>
      <c r="T40">
        <v>1</v>
      </c>
      <c r="U40">
        <v>33</v>
      </c>
      <c r="V40">
        <f t="shared" si="11"/>
        <v>0</v>
      </c>
      <c r="W40">
        <f t="shared" si="12"/>
        <v>33</v>
      </c>
      <c r="X40">
        <f t="shared" si="5"/>
        <v>29.7</v>
      </c>
      <c r="Y40">
        <f t="shared" si="6"/>
        <v>36.300000000000004</v>
      </c>
      <c r="Z40">
        <f t="shared" si="13"/>
        <v>0</v>
      </c>
      <c r="AA40" s="126">
        <f t="shared" si="14"/>
        <v>1.9218483551217202E-9</v>
      </c>
      <c r="AB40" s="126">
        <f t="shared" si="15"/>
        <v>5.9317926677412604E-9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7.4506088826593594E-10</v>
      </c>
      <c r="S41" s="126">
        <f t="shared" si="4"/>
        <v>2.4083838157655301E-9</v>
      </c>
      <c r="T41">
        <v>1</v>
      </c>
      <c r="U41">
        <v>39</v>
      </c>
      <c r="V41">
        <f t="shared" si="11"/>
        <v>0</v>
      </c>
      <c r="W41">
        <f t="shared" si="12"/>
        <v>39</v>
      </c>
      <c r="X41">
        <f t="shared" si="5"/>
        <v>35.1</v>
      </c>
      <c r="Y41">
        <f t="shared" si="6"/>
        <v>42.900000000000006</v>
      </c>
      <c r="Z41">
        <f t="shared" si="13"/>
        <v>0</v>
      </c>
      <c r="AA41" s="126">
        <f t="shared" si="14"/>
        <v>2.1353870612328322E-9</v>
      </c>
      <c r="AB41" s="126">
        <f t="shared" si="15"/>
        <v>6.2401863987508115E-9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0.9999976635041159</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0.99999766352365427</v>
      </c>
      <c r="K42">
        <v>1</v>
      </c>
      <c r="L42">
        <v>22</v>
      </c>
      <c r="M42">
        <f t="shared" si="9"/>
        <v>0</v>
      </c>
      <c r="N42">
        <f t="shared" si="0"/>
        <v>22</v>
      </c>
      <c r="O42">
        <f t="shared" si="1"/>
        <v>20.9</v>
      </c>
      <c r="P42">
        <f t="shared" si="2"/>
        <v>23.1</v>
      </c>
      <c r="Q42">
        <f t="shared" si="10"/>
        <v>0</v>
      </c>
      <c r="R42" s="126">
        <f t="shared" si="3"/>
        <v>8.1956697708733885E-10</v>
      </c>
      <c r="S42" s="126">
        <f t="shared" si="4"/>
        <v>2.5274075793484783E-9</v>
      </c>
      <c r="T42">
        <v>1</v>
      </c>
      <c r="U42">
        <v>47</v>
      </c>
      <c r="V42">
        <f t="shared" si="11"/>
        <v>0</v>
      </c>
      <c r="W42">
        <f t="shared" si="12"/>
        <v>47</v>
      </c>
      <c r="X42">
        <f t="shared" si="5"/>
        <v>42.300000000000004</v>
      </c>
      <c r="Y42">
        <f t="shared" si="6"/>
        <v>51.7</v>
      </c>
      <c r="Z42">
        <f t="shared" si="13"/>
        <v>0</v>
      </c>
      <c r="AA42" s="126">
        <f t="shared" si="14"/>
        <v>2.3489257673412385E-9</v>
      </c>
      <c r="AB42" s="126">
        <f t="shared" si="15"/>
        <v>6.5485801297568305E-9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0.99999766352365427</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0.99999766352365427</v>
      </c>
      <c r="K43">
        <v>1</v>
      </c>
      <c r="L43">
        <v>24</v>
      </c>
      <c r="M43">
        <f t="shared" si="9"/>
        <v>0</v>
      </c>
      <c r="N43">
        <f t="shared" si="0"/>
        <v>24</v>
      </c>
      <c r="O43">
        <f t="shared" si="1"/>
        <v>22.799999999999997</v>
      </c>
      <c r="P43">
        <f t="shared" si="2"/>
        <v>25.200000000000003</v>
      </c>
      <c r="Q43">
        <f t="shared" si="10"/>
        <v>0</v>
      </c>
      <c r="R43" s="126">
        <f t="shared" si="3"/>
        <v>8.9407306590779805E-10</v>
      </c>
      <c r="S43" s="126">
        <f t="shared" si="4"/>
        <v>2.6464313429300628E-9</v>
      </c>
      <c r="T43">
        <v>1</v>
      </c>
      <c r="U43">
        <v>56</v>
      </c>
      <c r="V43">
        <f t="shared" si="11"/>
        <v>0</v>
      </c>
      <c r="W43">
        <f t="shared" si="12"/>
        <v>56</v>
      </c>
      <c r="X43">
        <f t="shared" si="5"/>
        <v>50.4</v>
      </c>
      <c r="Y43">
        <f t="shared" si="6"/>
        <v>61.600000000000009</v>
      </c>
      <c r="Z43">
        <f t="shared" si="13"/>
        <v>0</v>
      </c>
      <c r="AA43" s="126">
        <f t="shared" si="14"/>
        <v>2.5624644734469403E-9</v>
      </c>
      <c r="AB43" s="126">
        <f t="shared" si="15"/>
        <v>6.8569738607593166E-9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0.99999766352365427</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0.9999976635041159</v>
      </c>
      <c r="K44">
        <v>1</v>
      </c>
      <c r="L44">
        <v>27</v>
      </c>
      <c r="M44">
        <f t="shared" si="9"/>
        <v>0</v>
      </c>
      <c r="N44">
        <f t="shared" si="0"/>
        <v>27</v>
      </c>
      <c r="O44">
        <f t="shared" si="1"/>
        <v>25.65</v>
      </c>
      <c r="P44">
        <f t="shared" si="2"/>
        <v>28.35</v>
      </c>
      <c r="Q44">
        <f t="shared" si="10"/>
        <v>0</v>
      </c>
      <c r="R44" s="126">
        <f t="shared" si="3"/>
        <v>1.0058321991367174E-9</v>
      </c>
      <c r="S44" s="126">
        <f t="shared" si="4"/>
        <v>2.8249669882998825E-9</v>
      </c>
      <c r="T44">
        <v>1</v>
      </c>
      <c r="U44">
        <v>68</v>
      </c>
      <c r="V44">
        <f t="shared" si="11"/>
        <v>0</v>
      </c>
      <c r="W44">
        <f t="shared" si="12"/>
        <v>68</v>
      </c>
      <c r="X44">
        <f t="shared" si="5"/>
        <v>61.2</v>
      </c>
      <c r="Y44">
        <f t="shared" si="6"/>
        <v>74.800000000000011</v>
      </c>
      <c r="Z44">
        <f t="shared" si="13"/>
        <v>0</v>
      </c>
      <c r="AA44" s="126">
        <f t="shared" si="14"/>
        <v>2.8827725326004216E-9</v>
      </c>
      <c r="AB44" s="126">
        <f t="shared" si="15"/>
        <v>7.3195644572564209E-9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1.1175913323635135E-9</v>
      </c>
      <c r="S45" s="126">
        <f t="shared" si="4"/>
        <v>3.0035026336666354E-9</v>
      </c>
      <c r="T45">
        <v>1</v>
      </c>
      <c r="U45">
        <v>82</v>
      </c>
      <c r="V45">
        <f t="shared" si="11"/>
        <v>0</v>
      </c>
      <c r="W45">
        <f t="shared" si="12"/>
        <v>82</v>
      </c>
      <c r="X45">
        <f t="shared" si="5"/>
        <v>73.8</v>
      </c>
      <c r="Y45">
        <f t="shared" si="6"/>
        <v>90.2</v>
      </c>
      <c r="Z45">
        <f t="shared" si="13"/>
        <v>0</v>
      </c>
      <c r="AA45" s="126">
        <f t="shared" si="14"/>
        <v>3.2030805917478173E-9</v>
      </c>
      <c r="AB45" s="126">
        <f t="shared" si="15"/>
        <v>7.7821550537455768E-9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1.2293504655881858E-9</v>
      </c>
      <c r="S46" s="126">
        <f t="shared" si="4"/>
        <v>3.1820382790303198E-9</v>
      </c>
      <c r="T46">
        <v>10</v>
      </c>
      <c r="U46">
        <v>10</v>
      </c>
      <c r="V46">
        <f t="shared" si="11"/>
        <v>0</v>
      </c>
      <c r="W46">
        <f t="shared" si="12"/>
        <v>100</v>
      </c>
      <c r="X46">
        <f t="shared" si="5"/>
        <v>90</v>
      </c>
      <c r="Y46">
        <f t="shared" si="6"/>
        <v>110.00000000000001</v>
      </c>
      <c r="Z46">
        <f t="shared" si="13"/>
        <v>0</v>
      </c>
      <c r="AA46" s="126">
        <f t="shared" si="14"/>
        <v>3.5233886508891263E-9</v>
      </c>
      <c r="AB46" s="126">
        <f t="shared" si="15"/>
        <v>8.244745650226786E-9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1.3411095988107347E-9</v>
      </c>
      <c r="S47" s="126">
        <f t="shared" si="4"/>
        <v>3.3605739243909379E-9</v>
      </c>
      <c r="T47">
        <v>10</v>
      </c>
      <c r="U47">
        <v>12</v>
      </c>
      <c r="V47">
        <f t="shared" si="11"/>
        <v>0</v>
      </c>
      <c r="W47">
        <f>U47*T47</f>
        <v>120</v>
      </c>
      <c r="X47">
        <f t="shared" si="5"/>
        <v>108</v>
      </c>
      <c r="Y47">
        <f t="shared" si="6"/>
        <v>132</v>
      </c>
      <c r="Z47">
        <f t="shared" si="13"/>
        <v>0</v>
      </c>
      <c r="AA47" s="126">
        <f t="shared" si="14"/>
        <v>3.8436967100243492E-9</v>
      </c>
      <c r="AB47" s="126">
        <f t="shared" si="15"/>
        <v>8.7073362467000476E-9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1.4528687320311603E-9</v>
      </c>
      <c r="S48" s="126">
        <f t="shared" si="4"/>
        <v>3.539109569748488E-9</v>
      </c>
      <c r="T48">
        <v>10</v>
      </c>
      <c r="U48">
        <v>15</v>
      </c>
      <c r="V48">
        <f t="shared" si="11"/>
        <v>0</v>
      </c>
      <c r="W48">
        <f t="shared" si="12"/>
        <v>150</v>
      </c>
      <c r="X48">
        <f t="shared" si="5"/>
        <v>135</v>
      </c>
      <c r="Y48">
        <f t="shared" si="6"/>
        <v>165</v>
      </c>
      <c r="Z48">
        <f t="shared" si="13"/>
        <v>0</v>
      </c>
      <c r="AA48" s="126">
        <f t="shared" si="14"/>
        <v>4.164004769153487E-9</v>
      </c>
      <c r="AB48" s="126">
        <f t="shared" si="15"/>
        <v>9.16992684316536E-9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1.6018809096550919E-9</v>
      </c>
      <c r="S49" s="126">
        <f t="shared" si="4"/>
        <v>3.7771570968871168E-9</v>
      </c>
      <c r="T49">
        <v>10</v>
      </c>
      <c r="U49">
        <v>18</v>
      </c>
      <c r="V49">
        <f t="shared" si="11"/>
        <v>0</v>
      </c>
      <c r="W49">
        <f t="shared" si="12"/>
        <v>180</v>
      </c>
      <c r="X49">
        <f t="shared" si="5"/>
        <v>162</v>
      </c>
      <c r="Y49">
        <f t="shared" si="6"/>
        <v>198.00000000000003</v>
      </c>
      <c r="Z49">
        <f t="shared" si="13"/>
        <v>0</v>
      </c>
      <c r="AA49" s="126">
        <f t="shared" si="14"/>
        <v>4.5910821813162061E-9</v>
      </c>
      <c r="AB49" s="126">
        <f t="shared" si="15"/>
        <v>9.7867143051067485E-9</v>
      </c>
      <c r="AC49" s="126" t="str">
        <f t="shared" si="7"/>
        <v>Vlow exceeds VIL spec</v>
      </c>
      <c r="AD49" s="126" t="str">
        <f t="shared" si="8"/>
        <v>Vlow exceeds VIL spec</v>
      </c>
    </row>
    <row r="50" spans="1:30" x14ac:dyDescent="0.35">
      <c r="A50" t="s">
        <v>320</v>
      </c>
      <c r="B50" s="11">
        <f>F11*(1+H11)</f>
        <v>2835</v>
      </c>
      <c r="C50" s="11">
        <f>F11*(1+H11)</f>
        <v>2835</v>
      </c>
      <c r="K50">
        <v>1</v>
      </c>
      <c r="L50">
        <v>47</v>
      </c>
      <c r="M50">
        <f t="shared" si="9"/>
        <v>0</v>
      </c>
      <c r="N50">
        <f t="shared" si="0"/>
        <v>47</v>
      </c>
      <c r="O50">
        <f t="shared" si="1"/>
        <v>44.65</v>
      </c>
      <c r="P50">
        <f t="shared" si="2"/>
        <v>49.35</v>
      </c>
      <c r="Q50">
        <f t="shared" si="10"/>
        <v>0</v>
      </c>
      <c r="R50" s="126">
        <f t="shared" si="3"/>
        <v>1.7508930872752479E-9</v>
      </c>
      <c r="S50" s="126">
        <f t="shared" si="4"/>
        <v>4.0152046240202916E-9</v>
      </c>
      <c r="T50">
        <v>10</v>
      </c>
      <c r="U50">
        <v>22</v>
      </c>
      <c r="V50">
        <f t="shared" si="11"/>
        <v>0</v>
      </c>
      <c r="W50">
        <f t="shared" si="12"/>
        <v>220</v>
      </c>
      <c r="X50">
        <f t="shared" si="5"/>
        <v>198</v>
      </c>
      <c r="Y50">
        <f t="shared" si="6"/>
        <v>242.00000000000003</v>
      </c>
      <c r="Z50">
        <f t="shared" si="13"/>
        <v>0</v>
      </c>
      <c r="AA50" s="126">
        <f t="shared" si="14"/>
        <v>5.0181595934681032E-9</v>
      </c>
      <c r="AB50" s="126">
        <f t="shared" si="15"/>
        <v>1.0403501767034002E-8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1.8999052648916288E-9</v>
      </c>
      <c r="S51" s="126">
        <f t="shared" si="4"/>
        <v>4.2532521511480136E-9</v>
      </c>
      <c r="T51">
        <v>10</v>
      </c>
      <c r="U51">
        <v>27</v>
      </c>
      <c r="V51">
        <f t="shared" si="11"/>
        <v>0</v>
      </c>
      <c r="W51">
        <f t="shared" si="12"/>
        <v>270</v>
      </c>
      <c r="X51">
        <f t="shared" si="5"/>
        <v>243</v>
      </c>
      <c r="Y51">
        <f t="shared" si="6"/>
        <v>297</v>
      </c>
      <c r="Z51">
        <f t="shared" si="13"/>
        <v>0</v>
      </c>
      <c r="AA51" s="126">
        <f t="shared" si="14"/>
        <v>5.44523700560918E-9</v>
      </c>
      <c r="AB51" s="126">
        <f t="shared" si="15"/>
        <v>1.1020289228947131E-8</v>
      </c>
      <c r="AC51" s="126" t="str">
        <f t="shared" si="7"/>
        <v>Vlow exceeds VIL spec</v>
      </c>
      <c r="AD51" s="126" t="str">
        <f t="shared" si="8"/>
        <v>Vlow exceeds VIL spec</v>
      </c>
    </row>
    <row r="52" spans="1:30" x14ac:dyDescent="0.35">
      <c r="A52" t="s">
        <v>324</v>
      </c>
      <c r="B52" s="1">
        <f>K21</f>
        <v>21.49240538481077</v>
      </c>
      <c r="C52">
        <v>0</v>
      </c>
      <c r="K52">
        <v>1</v>
      </c>
      <c r="L52">
        <v>56</v>
      </c>
      <c r="M52">
        <f t="shared" si="9"/>
        <v>0</v>
      </c>
      <c r="N52">
        <f t="shared" si="0"/>
        <v>56</v>
      </c>
      <c r="O52">
        <f t="shared" si="1"/>
        <v>53.199999999999996</v>
      </c>
      <c r="P52">
        <f t="shared" si="2"/>
        <v>58.800000000000004</v>
      </c>
      <c r="Q52">
        <f t="shared" si="10"/>
        <v>0</v>
      </c>
      <c r="R52" s="126">
        <f t="shared" si="3"/>
        <v>2.0861704869067965E-9</v>
      </c>
      <c r="S52" s="126">
        <f t="shared" si="4"/>
        <v>4.5508115600499963E-9</v>
      </c>
      <c r="T52">
        <v>10</v>
      </c>
      <c r="U52">
        <v>33</v>
      </c>
      <c r="V52">
        <f t="shared" si="11"/>
        <v>0</v>
      </c>
      <c r="W52">
        <f t="shared" si="12"/>
        <v>330</v>
      </c>
      <c r="X52">
        <f t="shared" si="5"/>
        <v>297</v>
      </c>
      <c r="Y52">
        <f t="shared" si="6"/>
        <v>363.00000000000006</v>
      </c>
      <c r="Z52">
        <f t="shared" si="13"/>
        <v>0</v>
      </c>
      <c r="AA52" s="126">
        <f t="shared" si="14"/>
        <v>5.9790837707703136E-9</v>
      </c>
      <c r="AB52" s="126">
        <f t="shared" si="15"/>
        <v>1.1791273556318669E-8</v>
      </c>
      <c r="AC52" s="126" t="str">
        <f t="shared" si="7"/>
        <v>Vlow exceeds VIL spec</v>
      </c>
      <c r="AD52" s="126" t="str">
        <f t="shared" si="8"/>
        <v>Vlow exceeds VIL spec</v>
      </c>
    </row>
    <row r="53" spans="1:30" x14ac:dyDescent="0.35">
      <c r="A53" t="s">
        <v>327</v>
      </c>
      <c r="B53">
        <v>0</v>
      </c>
      <c r="C53" s="1">
        <f>K21</f>
        <v>21.49240538481077</v>
      </c>
      <c r="K53">
        <v>1</v>
      </c>
      <c r="L53">
        <v>62</v>
      </c>
      <c r="M53">
        <f t="shared" si="9"/>
        <v>0</v>
      </c>
      <c r="N53">
        <f t="shared" si="0"/>
        <v>62</v>
      </c>
      <c r="O53">
        <f t="shared" si="1"/>
        <v>58.9</v>
      </c>
      <c r="P53">
        <f t="shared" si="2"/>
        <v>65.100000000000009</v>
      </c>
      <c r="Q53">
        <f t="shared" si="10"/>
        <v>0</v>
      </c>
      <c r="R53" s="126">
        <f t="shared" si="3"/>
        <v>2.3096887533172128E-9</v>
      </c>
      <c r="S53" s="126">
        <f t="shared" si="4"/>
        <v>4.9078828507211285E-9</v>
      </c>
      <c r="T53">
        <v>10</v>
      </c>
      <c r="U53">
        <v>39</v>
      </c>
      <c r="V53">
        <f t="shared" si="11"/>
        <v>0</v>
      </c>
      <c r="W53">
        <f t="shared" si="12"/>
        <v>390</v>
      </c>
      <c r="X53">
        <f t="shared" si="5"/>
        <v>351</v>
      </c>
      <c r="Y53">
        <f t="shared" si="6"/>
        <v>429.00000000000006</v>
      </c>
      <c r="Z53">
        <f t="shared" si="13"/>
        <v>0</v>
      </c>
      <c r="AA53" s="126">
        <f t="shared" si="14"/>
        <v>6.6196998889413597E-9</v>
      </c>
      <c r="AB53" s="126">
        <f t="shared" si="15"/>
        <v>1.2716454749135371E-8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2.5332070197191343E-9</v>
      </c>
      <c r="S54" s="126">
        <f t="shared" si="4"/>
        <v>5.2649541413799887E-9</v>
      </c>
      <c r="T54">
        <v>10</v>
      </c>
      <c r="U54">
        <v>47</v>
      </c>
      <c r="V54">
        <f t="shared" si="11"/>
        <v>0</v>
      </c>
      <c r="W54">
        <f t="shared" si="12"/>
        <v>470</v>
      </c>
      <c r="X54">
        <f t="shared" si="5"/>
        <v>423</v>
      </c>
      <c r="Y54">
        <f t="shared" si="6"/>
        <v>517</v>
      </c>
      <c r="Z54">
        <f t="shared" si="13"/>
        <v>0</v>
      </c>
      <c r="AA54" s="126">
        <f t="shared" si="14"/>
        <v>7.2603160070880602E-9</v>
      </c>
      <c r="AB54" s="126">
        <f t="shared" si="15"/>
        <v>1.3641635941920278E-8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2.793978330510641E-9</v>
      </c>
      <c r="S55" s="126">
        <f t="shared" si="4"/>
        <v>5.6815373137998184E-9</v>
      </c>
      <c r="T55">
        <v>10</v>
      </c>
      <c r="U55">
        <v>56</v>
      </c>
      <c r="V55">
        <f t="shared" si="11"/>
        <v>1</v>
      </c>
      <c r="W55">
        <f t="shared" si="12"/>
        <v>560</v>
      </c>
      <c r="X55">
        <f t="shared" si="5"/>
        <v>504</v>
      </c>
      <c r="Y55">
        <f t="shared" si="6"/>
        <v>616</v>
      </c>
      <c r="Z55">
        <f t="shared" si="13"/>
        <v>1</v>
      </c>
      <c r="AA55" s="126">
        <f t="shared" si="14"/>
        <v>8.0077014782284446E-9</v>
      </c>
      <c r="AB55" s="126">
        <f t="shared" si="15"/>
        <v>1.4721014000129157E-8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3.0547496412905879E-9</v>
      </c>
      <c r="S56" s="126">
        <f t="shared" si="4"/>
        <v>6.0981204862029489E-9</v>
      </c>
      <c r="T56">
        <v>10</v>
      </c>
      <c r="U56">
        <v>68</v>
      </c>
      <c r="V56">
        <f t="shared" si="11"/>
        <v>2</v>
      </c>
      <c r="W56">
        <f t="shared" si="12"/>
        <v>680</v>
      </c>
      <c r="X56">
        <f t="shared" si="5"/>
        <v>612</v>
      </c>
      <c r="Y56">
        <f t="shared" si="6"/>
        <v>748.00000000000011</v>
      </c>
      <c r="Z56">
        <f t="shared" si="13"/>
        <v>1</v>
      </c>
      <c r="AA56" s="126">
        <f t="shared" si="14"/>
        <v>8.7550869493356963E-9</v>
      </c>
      <c r="AB56" s="126">
        <f t="shared" si="15"/>
        <v>1.5800392058294765E-8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3.3900270408478173E-9</v>
      </c>
      <c r="S57" s="126">
        <f t="shared" si="4"/>
        <v>6.6337274221252864E-9</v>
      </c>
      <c r="T57">
        <v>10</v>
      </c>
      <c r="U57">
        <v>82</v>
      </c>
      <c r="V57">
        <f t="shared" si="11"/>
        <v>3</v>
      </c>
      <c r="W57">
        <f t="shared" si="12"/>
        <v>820</v>
      </c>
      <c r="X57">
        <f t="shared" si="5"/>
        <v>738</v>
      </c>
      <c r="Y57">
        <f t="shared" si="6"/>
        <v>902.00000000000011</v>
      </c>
      <c r="Z57">
        <f t="shared" si="13"/>
        <v>1</v>
      </c>
      <c r="AA57" s="126">
        <f t="shared" si="14"/>
        <v>9.7160111264249028E-9</v>
      </c>
      <c r="AB57" s="126">
        <f t="shared" si="15"/>
        <v>1.7188163847301242E-8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3.7253044403859359E-9</v>
      </c>
      <c r="S58" s="126">
        <f t="shared" si="4"/>
        <v>7.1693343580200184E-9</v>
      </c>
      <c r="T58">
        <v>100</v>
      </c>
      <c r="U58">
        <v>10</v>
      </c>
      <c r="V58">
        <f t="shared" si="11"/>
        <v>4</v>
      </c>
      <c r="W58">
        <f t="shared" si="12"/>
        <v>1000</v>
      </c>
      <c r="X58">
        <f t="shared" si="5"/>
        <v>900</v>
      </c>
      <c r="Y58">
        <f t="shared" si="6"/>
        <v>1100</v>
      </c>
      <c r="Z58">
        <f t="shared" si="13"/>
        <v>1</v>
      </c>
      <c r="AA58" s="126">
        <f t="shared" si="14"/>
        <v>1.0676935303459338E-8</v>
      </c>
      <c r="AB58" s="126">
        <f t="shared" si="15"/>
        <v>1.8575935636236185E-8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4.0978348842947643E-9</v>
      </c>
      <c r="S59" s="126">
        <f t="shared" si="4"/>
        <v>7.7644531756484511E-9</v>
      </c>
      <c r="T59">
        <v>100</v>
      </c>
      <c r="U59">
        <v>12</v>
      </c>
      <c r="V59">
        <f t="shared" si="11"/>
        <v>5</v>
      </c>
      <c r="W59">
        <f t="shared" si="12"/>
        <v>1200</v>
      </c>
      <c r="X59">
        <f t="shared" si="5"/>
        <v>1080</v>
      </c>
      <c r="Y59">
        <f t="shared" si="6"/>
        <v>1320</v>
      </c>
      <c r="Z59">
        <f t="shared" si="13"/>
        <v>1</v>
      </c>
      <c r="AA59" s="126">
        <f t="shared" si="14"/>
        <v>1.1744628833433358E-8</v>
      </c>
      <c r="AB59" s="126">
        <f t="shared" si="15"/>
        <v>2.0117904290524454E-8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4.4703653281799998E-9</v>
      </c>
      <c r="S60" s="126">
        <f t="shared" si="4"/>
        <v>8.3595719932428006E-9</v>
      </c>
      <c r="T60">
        <v>100</v>
      </c>
      <c r="U60">
        <v>15</v>
      </c>
      <c r="V60">
        <f t="shared" si="11"/>
        <v>6</v>
      </c>
      <c r="W60">
        <f t="shared" si="12"/>
        <v>1500</v>
      </c>
      <c r="X60">
        <f t="shared" si="5"/>
        <v>1350</v>
      </c>
      <c r="Y60">
        <f t="shared" si="6"/>
        <v>1650.0000000000002</v>
      </c>
      <c r="Z60">
        <f t="shared" si="13"/>
        <v>1</v>
      </c>
      <c r="AA60" s="126">
        <f t="shared" si="14"/>
        <v>1.2812322363339758E-8</v>
      </c>
      <c r="AB60" s="126">
        <f t="shared" si="15"/>
        <v>2.1659872944724406E-8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4.8428957720416409E-9</v>
      </c>
      <c r="S61" s="126">
        <f t="shared" si="4"/>
        <v>8.9546908108030637E-9</v>
      </c>
      <c r="T61">
        <v>100</v>
      </c>
      <c r="U61">
        <v>18</v>
      </c>
      <c r="V61">
        <f t="shared" si="11"/>
        <v>7</v>
      </c>
      <c r="W61">
        <f t="shared" si="12"/>
        <v>1800</v>
      </c>
      <c r="X61">
        <f t="shared" si="5"/>
        <v>1620</v>
      </c>
      <c r="Y61">
        <f t="shared" si="6"/>
        <v>1980.0000000000002</v>
      </c>
      <c r="Z61">
        <f t="shared" si="13"/>
        <v>1</v>
      </c>
      <c r="AA61" s="126">
        <f t="shared" si="14"/>
        <v>1.3880015893178537E-8</v>
      </c>
      <c r="AB61" s="126">
        <f t="shared" si="15"/>
        <v>2.3201841598836042E-8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0.9999968436860982</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0.99999684370997854</v>
      </c>
      <c r="K62">
        <v>10</v>
      </c>
      <c r="L62">
        <v>15</v>
      </c>
      <c r="M62">
        <f t="shared" si="9"/>
        <v>0</v>
      </c>
      <c r="N62">
        <f t="shared" si="0"/>
        <v>150</v>
      </c>
      <c r="O62">
        <f t="shared" si="1"/>
        <v>142.5</v>
      </c>
      <c r="P62">
        <f t="shared" si="2"/>
        <v>157.5</v>
      </c>
      <c r="Q62">
        <f t="shared" si="10"/>
        <v>0</v>
      </c>
      <c r="R62" s="126">
        <f t="shared" si="3"/>
        <v>5.5879566596941436E-9</v>
      </c>
      <c r="S62" s="126">
        <f t="shared" si="4"/>
        <v>1.0144928445821342E-8</v>
      </c>
      <c r="T62">
        <v>100</v>
      </c>
      <c r="U62">
        <v>22</v>
      </c>
      <c r="V62">
        <f t="shared" si="11"/>
        <v>8</v>
      </c>
      <c r="W62">
        <f t="shared" si="12"/>
        <v>2200</v>
      </c>
      <c r="X62">
        <f t="shared" si="5"/>
        <v>1980</v>
      </c>
      <c r="Y62">
        <f t="shared" si="6"/>
        <v>2420</v>
      </c>
      <c r="Z62">
        <f t="shared" si="13"/>
        <v>1</v>
      </c>
      <c r="AA62" s="126">
        <f t="shared" si="14"/>
        <v>1.6015402952653235E-8</v>
      </c>
      <c r="AB62" s="126">
        <f t="shared" si="15"/>
        <v>2.6285778906794384E-8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0.99999684370997854</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0.99999684370997854</v>
      </c>
      <c r="K63">
        <v>10</v>
      </c>
      <c r="L63">
        <v>16</v>
      </c>
      <c r="M63">
        <f t="shared" si="9"/>
        <v>0</v>
      </c>
      <c r="N63">
        <f t="shared" si="0"/>
        <v>160</v>
      </c>
      <c r="O63">
        <f t="shared" si="1"/>
        <v>152</v>
      </c>
      <c r="P63">
        <f t="shared" si="2"/>
        <v>168</v>
      </c>
      <c r="Q63">
        <f t="shared" si="10"/>
        <v>0</v>
      </c>
      <c r="R63" s="126">
        <f t="shared" si="3"/>
        <v>5.9604871034850044E-9</v>
      </c>
      <c r="S63" s="126">
        <f t="shared" si="4"/>
        <v>1.0740047263279354E-8</v>
      </c>
      <c r="T63">
        <v>100</v>
      </c>
      <c r="U63">
        <v>27</v>
      </c>
      <c r="V63">
        <f t="shared" si="11"/>
        <v>9</v>
      </c>
      <c r="W63">
        <f t="shared" si="12"/>
        <v>2700</v>
      </c>
      <c r="X63">
        <f t="shared" si="5"/>
        <v>2430</v>
      </c>
      <c r="Y63">
        <f t="shared" si="6"/>
        <v>2970.0000000000005</v>
      </c>
      <c r="Z63">
        <f t="shared" si="13"/>
        <v>1</v>
      </c>
      <c r="AA63" s="126">
        <f t="shared" si="14"/>
        <v>1.7083096482289151E-8</v>
      </c>
      <c r="AB63" s="126">
        <f t="shared" si="15"/>
        <v>2.7827747560641084E-8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0.99999684370997854</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0.9999968436860982</v>
      </c>
      <c r="K64">
        <v>10</v>
      </c>
      <c r="L64">
        <v>18</v>
      </c>
      <c r="M64">
        <f t="shared" si="9"/>
        <v>0</v>
      </c>
      <c r="N64">
        <f t="shared" si="0"/>
        <v>180</v>
      </c>
      <c r="O64">
        <f t="shared" si="1"/>
        <v>171</v>
      </c>
      <c r="P64">
        <f t="shared" si="2"/>
        <v>189</v>
      </c>
      <c r="Q64">
        <f t="shared" si="10"/>
        <v>0</v>
      </c>
      <c r="R64" s="126">
        <f t="shared" si="3"/>
        <v>6.7055479909959451E-9</v>
      </c>
      <c r="S64" s="126">
        <f t="shared" si="4"/>
        <v>1.1930284898093127E-8</v>
      </c>
      <c r="T64">
        <v>100</v>
      </c>
      <c r="U64">
        <v>33</v>
      </c>
      <c r="V64">
        <f t="shared" si="11"/>
        <v>10</v>
      </c>
      <c r="W64">
        <f t="shared" si="12"/>
        <v>3300</v>
      </c>
      <c r="X64">
        <f t="shared" si="5"/>
        <v>2970</v>
      </c>
      <c r="Y64">
        <f t="shared" si="6"/>
        <v>3630.0000000000005</v>
      </c>
      <c r="Z64">
        <f t="shared" si="13"/>
        <v>1</v>
      </c>
      <c r="AA64" s="126">
        <f t="shared" si="14"/>
        <v>1.9218483541358125E-8</v>
      </c>
      <c r="AB64" s="126">
        <f t="shared" si="15"/>
        <v>3.0911684868069551E-8</v>
      </c>
      <c r="AC64" s="126" t="str">
        <f t="shared" si="7"/>
        <v>Vlow exceeds VIL spec</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7.4506088784125111E-9</v>
      </c>
      <c r="S65" s="126">
        <f t="shared" si="4"/>
        <v>1.312052253277056E-8</v>
      </c>
      <c r="T65">
        <v>100</v>
      </c>
      <c r="U65">
        <v>39</v>
      </c>
      <c r="V65">
        <f t="shared" si="11"/>
        <v>11</v>
      </c>
      <c r="W65">
        <f t="shared" si="12"/>
        <v>3900</v>
      </c>
      <c r="X65">
        <f t="shared" si="5"/>
        <v>3510</v>
      </c>
      <c r="Y65">
        <f t="shared" si="6"/>
        <v>4290</v>
      </c>
      <c r="Z65">
        <f t="shared" si="13"/>
        <v>1</v>
      </c>
      <c r="AA65" s="126">
        <f t="shared" si="14"/>
        <v>2.1353870600156614E-8</v>
      </c>
      <c r="AB65" s="126">
        <f t="shared" si="15"/>
        <v>3.3995622175144755E-8</v>
      </c>
      <c r="AC65" s="126" t="str">
        <f t="shared" si="7"/>
        <v>Vlow exceeds VIL spec</v>
      </c>
      <c r="AD65" s="126" t="str">
        <f t="shared" si="8"/>
        <v>Vlow exceeds VIL spec</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8.1956697657347032E-9</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1.431076016731166E-8</v>
      </c>
      <c r="T66">
        <v>100</v>
      </c>
      <c r="U66">
        <v>47</v>
      </c>
      <c r="V66">
        <f t="shared" si="11"/>
        <v>12</v>
      </c>
      <c r="W66">
        <f t="shared" si="12"/>
        <v>4700</v>
      </c>
      <c r="X66">
        <f t="shared" si="5"/>
        <v>4230</v>
      </c>
      <c r="Y66">
        <f t="shared" si="6"/>
        <v>5170</v>
      </c>
      <c r="Z66">
        <f t="shared" si="13"/>
        <v>1</v>
      </c>
      <c r="AA66" s="126">
        <f t="shared" si="14"/>
        <v>2.3489257658684622E-8</v>
      </c>
      <c r="AB66" s="126">
        <f t="shared" si="15"/>
        <v>3.7079559481866714E-8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t="str">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8.9407306529625223E-9</v>
      </c>
      <c r="S67" s="126">
        <f t="shared" si="17"/>
        <v>1.5500997801716423E-8</v>
      </c>
      <c r="T67">
        <v>100</v>
      </c>
      <c r="U67">
        <v>56</v>
      </c>
      <c r="V67">
        <f t="shared" si="11"/>
        <v>13</v>
      </c>
      <c r="W67">
        <f t="shared" si="12"/>
        <v>5600</v>
      </c>
      <c r="X67">
        <f t="shared" si="5"/>
        <v>5040</v>
      </c>
      <c r="Y67">
        <f t="shared" si="6"/>
        <v>6160.0000000000009</v>
      </c>
      <c r="Z67">
        <f t="shared" si="13"/>
        <v>1</v>
      </c>
      <c r="AA67" s="126">
        <f t="shared" si="14"/>
        <v>2.5624644716942152E-8</v>
      </c>
      <c r="AB67" s="126">
        <f t="shared" si="15"/>
        <v>4.0163496788235427E-8</v>
      </c>
      <c r="AC67" s="126" t="str">
        <f t="shared" si="18"/>
        <v>Vlow exceeds VIL spec</v>
      </c>
      <c r="AD67" s="126" t="str">
        <f t="shared" si="19"/>
        <v>Vlow exceeds VIL spec</v>
      </c>
    </row>
    <row r="68" spans="1:31" ht="28.4" customHeight="1" x14ac:dyDescent="0.35">
      <c r="B68" s="32" t="s">
        <v>355</v>
      </c>
      <c r="C68" s="32" t="s">
        <v>356</v>
      </c>
      <c r="D68" s="32" t="s">
        <v>357</v>
      </c>
      <c r="E68" s="32" t="str">
        <f>IF(Summary!U37="absolute","find min R2, so that max (Vz) = " &amp; TRUNC(R3/J2,3),"find min R2, so that max (Vz) = " &amp; R3)</f>
        <v>find min R2, so that max (Vz) = 0.166</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1.0058321983627295E-8</v>
      </c>
      <c r="S68" s="126">
        <f t="shared" si="17"/>
        <v>1.7286354253067935E-8</v>
      </c>
      <c r="T68">
        <v>100</v>
      </c>
      <c r="U68">
        <v>68</v>
      </c>
      <c r="V68">
        <f t="shared" si="11"/>
        <v>14</v>
      </c>
      <c r="W68">
        <f t="shared" si="12"/>
        <v>6800</v>
      </c>
      <c r="X68">
        <f t="shared" si="5"/>
        <v>6120</v>
      </c>
      <c r="Y68">
        <f t="shared" si="6"/>
        <v>7480.0000000000009</v>
      </c>
      <c r="Z68">
        <f t="shared" si="13"/>
        <v>0</v>
      </c>
      <c r="AA68" s="126">
        <f t="shared" si="14"/>
        <v>2.8827725303821282E-8</v>
      </c>
      <c r="AB68" s="126">
        <f t="shared" si="15"/>
        <v>4.478940274712614E-8</v>
      </c>
      <c r="AC68" s="126" t="str">
        <f t="shared" si="18"/>
        <v>Vlow exceeds VIL spec</v>
      </c>
      <c r="AD68" s="126" t="str">
        <f t="shared" si="19"/>
        <v>Vlow exceeds VIL spec</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1.1175913314079727E-8</v>
      </c>
      <c r="S69" s="126">
        <f t="shared" si="17"/>
        <v>1.9071710704112691E-8</v>
      </c>
      <c r="T69">
        <v>100</v>
      </c>
      <c r="U69">
        <v>82</v>
      </c>
      <c r="V69">
        <f t="shared" si="11"/>
        <v>14</v>
      </c>
      <c r="W69">
        <f t="shared" si="12"/>
        <v>8200</v>
      </c>
      <c r="X69">
        <f t="shared" si="5"/>
        <v>7380</v>
      </c>
      <c r="Y69">
        <f t="shared" si="6"/>
        <v>9020</v>
      </c>
      <c r="Z69">
        <f t="shared" si="13"/>
        <v>0</v>
      </c>
      <c r="AA69" s="126">
        <f t="shared" si="14"/>
        <v>3.2030805890091832E-8</v>
      </c>
      <c r="AB69" s="126">
        <f t="shared" si="15"/>
        <v>4.9415308705222044E-8</v>
      </c>
      <c r="AC69" s="126" t="str">
        <f t="shared" si="18"/>
        <v>Vlow exceeds VIL spec</v>
      </c>
      <c r="AD69" s="126" t="str">
        <f t="shared" si="19"/>
        <v>Vlow exceeds VIL spec</v>
      </c>
    </row>
    <row r="70" spans="1:31" x14ac:dyDescent="0.35">
      <c r="A70" t="s">
        <v>320</v>
      </c>
      <c r="B70" s="11">
        <f>F11*(1+H11)</f>
        <v>2835</v>
      </c>
      <c r="C70" s="11">
        <f>F11*(1-H11)</f>
        <v>2565</v>
      </c>
      <c r="D70" s="11">
        <f>F11*(1+H11)</f>
        <v>2835</v>
      </c>
      <c r="E70" s="11"/>
      <c r="F70" s="11">
        <f>F11*(1-H11)</f>
        <v>2565</v>
      </c>
      <c r="G70" s="11">
        <f>F11*(1-H11)</f>
        <v>2565</v>
      </c>
      <c r="H70" s="11">
        <f>F11*(1+H11)</f>
        <v>2835</v>
      </c>
      <c r="K70">
        <v>10</v>
      </c>
      <c r="L70">
        <v>33</v>
      </c>
      <c r="M70">
        <f t="shared" si="9"/>
        <v>0</v>
      </c>
      <c r="N70">
        <f t="shared" si="0"/>
        <v>330</v>
      </c>
      <c r="O70">
        <f t="shared" si="1"/>
        <v>313.5</v>
      </c>
      <c r="P70">
        <f t="shared" si="2"/>
        <v>346.5</v>
      </c>
      <c r="Q70">
        <f t="shared" si="10"/>
        <v>0</v>
      </c>
      <c r="R70" s="126">
        <f t="shared" si="16"/>
        <v>1.2293504644319816E-8</v>
      </c>
      <c r="S70" s="126">
        <f t="shared" si="17"/>
        <v>2.0857067154850696E-8</v>
      </c>
      <c r="T70">
        <v>1000</v>
      </c>
      <c r="U70">
        <v>10</v>
      </c>
      <c r="V70">
        <f t="shared" si="11"/>
        <v>14</v>
      </c>
      <c r="W70">
        <f t="shared" si="12"/>
        <v>10000</v>
      </c>
      <c r="X70">
        <f t="shared" si="5"/>
        <v>9000</v>
      </c>
      <c r="Y70">
        <f t="shared" si="6"/>
        <v>11000</v>
      </c>
      <c r="Z70">
        <f t="shared" si="13"/>
        <v>0</v>
      </c>
      <c r="AA70" s="126">
        <f t="shared" si="14"/>
        <v>3.5233886475753796E-8</v>
      </c>
      <c r="AB70" s="126">
        <f t="shared" si="15"/>
        <v>5.4041214662523141E-8</v>
      </c>
      <c r="AC70" s="126" t="str">
        <f t="shared" si="18"/>
        <v>Vlow exceeds VIL spec</v>
      </c>
      <c r="AD70" s="126">
        <f t="shared" si="19"/>
        <v>1.2863231551414833E-7</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1.3411095974347565E-8</v>
      </c>
      <c r="S71" s="126">
        <f t="shared" si="17"/>
        <v>2.2642423605281937E-8</v>
      </c>
      <c r="T71">
        <v>1000</v>
      </c>
      <c r="U71">
        <v>12</v>
      </c>
      <c r="V71">
        <f t="shared" si="11"/>
        <v>14</v>
      </c>
      <c r="W71">
        <f t="shared" si="12"/>
        <v>12000</v>
      </c>
      <c r="X71">
        <f t="shared" si="5"/>
        <v>10800</v>
      </c>
      <c r="Y71">
        <f t="shared" si="6"/>
        <v>13200.000000000002</v>
      </c>
      <c r="Z71">
        <f t="shared" si="13"/>
        <v>0</v>
      </c>
      <c r="AA71" s="126">
        <f t="shared" si="14"/>
        <v>3.8436967060807173E-8</v>
      </c>
      <c r="AB71" s="126">
        <f t="shared" si="15"/>
        <v>5.866712061902941E-8</v>
      </c>
      <c r="AC71" s="126" t="str">
        <f t="shared" si="18"/>
        <v>Vlow exceeds VIL spec</v>
      </c>
      <c r="AD71" s="126">
        <f t="shared" si="19"/>
        <v>6.6521333952119872E-8</v>
      </c>
    </row>
    <row r="72" spans="1:31" x14ac:dyDescent="0.35">
      <c r="A72" t="s">
        <v>324</v>
      </c>
      <c r="B72" s="1">
        <f>K21*MIN(K25,K24)</f>
        <v>0</v>
      </c>
      <c r="C72" s="1">
        <f>K21*MAX(K25,K24)</f>
        <v>21.49240538481077</v>
      </c>
      <c r="D72" s="1">
        <f>K21*MIN(K25,K24)</f>
        <v>0</v>
      </c>
      <c r="E72" s="1">
        <f>K21*MAX(K25,K24)</f>
        <v>21.49240538481077</v>
      </c>
      <c r="F72" s="125">
        <f>K21*MAX(K25,K24)</f>
        <v>21.49240538481077</v>
      </c>
      <c r="G72" s="125">
        <f>K22*MAX(K25,K24)</f>
        <v>15.682405384810767</v>
      </c>
      <c r="H72" s="1">
        <f>K22*MIN(K25,K24)</f>
        <v>0</v>
      </c>
      <c r="K72">
        <v>10</v>
      </c>
      <c r="L72">
        <v>39</v>
      </c>
      <c r="M72">
        <f t="shared" si="9"/>
        <v>0</v>
      </c>
      <c r="N72">
        <f t="shared" si="0"/>
        <v>390</v>
      </c>
      <c r="O72">
        <f t="shared" si="1"/>
        <v>370.5</v>
      </c>
      <c r="P72">
        <f t="shared" si="2"/>
        <v>409.5</v>
      </c>
      <c r="Q72">
        <f t="shared" si="10"/>
        <v>0</v>
      </c>
      <c r="R72" s="126">
        <f t="shared" si="16"/>
        <v>1.452868730416297E-8</v>
      </c>
      <c r="S72" s="126">
        <f t="shared" si="17"/>
        <v>2.4427780055406422E-8</v>
      </c>
      <c r="T72">
        <v>1000</v>
      </c>
      <c r="U72">
        <v>15</v>
      </c>
      <c r="V72">
        <f t="shared" si="11"/>
        <v>14</v>
      </c>
      <c r="W72">
        <f t="shared" si="12"/>
        <v>15000</v>
      </c>
      <c r="X72">
        <f t="shared" si="5"/>
        <v>13500</v>
      </c>
      <c r="Y72">
        <f t="shared" si="6"/>
        <v>16500</v>
      </c>
      <c r="Z72">
        <f t="shared" si="13"/>
        <v>0</v>
      </c>
      <c r="AA72" s="126">
        <f t="shared" si="14"/>
        <v>4.164004764525197E-8</v>
      </c>
      <c r="AB72" s="126">
        <f t="shared" si="15"/>
        <v>6.3293026574740864E-8</v>
      </c>
      <c r="AC72" s="126" t="str">
        <f t="shared" si="18"/>
        <v>Vlow exceeds VIL spec</v>
      </c>
      <c r="AD72" s="126">
        <f t="shared" si="19"/>
        <v>5.5342125180016607E-8</v>
      </c>
    </row>
    <row r="73" spans="1:31" x14ac:dyDescent="0.35">
      <c r="A73" t="s">
        <v>327</v>
      </c>
      <c r="B73" s="1">
        <f>K21-B72</f>
        <v>21.49240538481077</v>
      </c>
      <c r="C73" s="1">
        <f>K21-C72</f>
        <v>0</v>
      </c>
      <c r="D73" s="1">
        <f>K21-D72</f>
        <v>21.49240538481077</v>
      </c>
      <c r="E73" s="1">
        <f>K21-E72</f>
        <v>0</v>
      </c>
      <c r="F73" s="1">
        <f>K21-F72</f>
        <v>0</v>
      </c>
      <c r="G73" s="1">
        <f>K22-G72</f>
        <v>0</v>
      </c>
      <c r="H73" s="1">
        <f>K22-H72</f>
        <v>15.682405384810767</v>
      </c>
      <c r="K73">
        <v>10</v>
      </c>
      <c r="L73">
        <v>43</v>
      </c>
      <c r="M73">
        <f t="shared" si="9"/>
        <v>0</v>
      </c>
      <c r="N73">
        <f t="shared" si="0"/>
        <v>430</v>
      </c>
      <c r="O73">
        <f t="shared" si="1"/>
        <v>408.5</v>
      </c>
      <c r="P73">
        <f t="shared" si="2"/>
        <v>451.5</v>
      </c>
      <c r="Q73">
        <f t="shared" si="10"/>
        <v>0</v>
      </c>
      <c r="R73" s="126">
        <f t="shared" si="16"/>
        <v>1.6018809076919867E-8</v>
      </c>
      <c r="S73" s="126">
        <f t="shared" si="17"/>
        <v>2.6808255321761896E-8</v>
      </c>
      <c r="T73">
        <v>1000</v>
      </c>
      <c r="U73">
        <v>18</v>
      </c>
      <c r="V73">
        <f t="shared" si="11"/>
        <v>14</v>
      </c>
      <c r="W73">
        <f t="shared" si="12"/>
        <v>18000</v>
      </c>
      <c r="X73">
        <f t="shared" si="5"/>
        <v>16200</v>
      </c>
      <c r="Y73">
        <f t="shared" si="6"/>
        <v>19800</v>
      </c>
      <c r="Z73">
        <f t="shared" si="13"/>
        <v>0</v>
      </c>
      <c r="AA73" s="126">
        <f t="shared" si="14"/>
        <v>4.5910821756898344E-8</v>
      </c>
      <c r="AB73" s="126">
        <f t="shared" si="15"/>
        <v>6.9460901181119772E-8</v>
      </c>
      <c r="AC73" s="126" t="str">
        <f t="shared" si="18"/>
        <v>Vlow exceeds VIL spec</v>
      </c>
      <c r="AD73" s="126">
        <f t="shared" si="19"/>
        <v>4.7896035795943198E-8</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0</v>
      </c>
      <c r="N74">
        <f t="shared" si="0"/>
        <v>470</v>
      </c>
      <c r="O74">
        <f t="shared" si="1"/>
        <v>446.5</v>
      </c>
      <c r="P74">
        <f t="shared" si="2"/>
        <v>493.5</v>
      </c>
      <c r="Q74">
        <f t="shared" si="10"/>
        <v>0</v>
      </c>
      <c r="R74" s="126">
        <f t="shared" si="16"/>
        <v>1.7508930849299266E-8</v>
      </c>
      <c r="S74" s="126">
        <f t="shared" si="17"/>
        <v>2.9188730587572023E-8</v>
      </c>
      <c r="T74">
        <v>1000</v>
      </c>
      <c r="U74">
        <v>22</v>
      </c>
      <c r="V74">
        <f t="shared" si="11"/>
        <v>14</v>
      </c>
      <c r="W74">
        <f t="shared" si="12"/>
        <v>22000</v>
      </c>
      <c r="X74">
        <f t="shared" si="5"/>
        <v>19800</v>
      </c>
      <c r="Y74">
        <f t="shared" si="6"/>
        <v>24200.000000000004</v>
      </c>
      <c r="Z74">
        <f t="shared" si="13"/>
        <v>0</v>
      </c>
      <c r="AA74" s="126">
        <f t="shared" si="14"/>
        <v>5.0181595867462772E-8</v>
      </c>
      <c r="AB74" s="126">
        <f t="shared" si="15"/>
        <v>7.562877578608567E-8</v>
      </c>
      <c r="AC74" s="126" t="str">
        <f t="shared" si="18"/>
        <v>Vlow exceeds VIL spec</v>
      </c>
      <c r="AD74" s="126">
        <f t="shared" si="19"/>
        <v>4.3523229183397339E-8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1</v>
      </c>
      <c r="N75">
        <f t="shared" si="0"/>
        <v>510</v>
      </c>
      <c r="O75">
        <f t="shared" si="1"/>
        <v>484.5</v>
      </c>
      <c r="P75">
        <f t="shared" si="2"/>
        <v>535.5</v>
      </c>
      <c r="Q75">
        <f t="shared" si="10"/>
        <v>1</v>
      </c>
      <c r="R75" s="126">
        <f t="shared" si="16"/>
        <v>1.8999052621301168E-8</v>
      </c>
      <c r="S75" s="126">
        <f t="shared" si="17"/>
        <v>3.1569205852836809E-8</v>
      </c>
      <c r="T75">
        <v>1000</v>
      </c>
      <c r="U75">
        <v>27</v>
      </c>
      <c r="V75">
        <f t="shared" si="11"/>
        <v>14</v>
      </c>
      <c r="W75">
        <f t="shared" si="12"/>
        <v>27000</v>
      </c>
      <c r="X75">
        <f t="shared" si="5"/>
        <v>24300</v>
      </c>
      <c r="Y75">
        <f t="shared" si="6"/>
        <v>29700.000000000004</v>
      </c>
      <c r="Z75">
        <f t="shared" si="13"/>
        <v>0</v>
      </c>
      <c r="AA75" s="126">
        <f t="shared" si="14"/>
        <v>5.4452369976945294E-8</v>
      </c>
      <c r="AB75" s="126">
        <f t="shared" si="15"/>
        <v>8.1796650389638572E-8</v>
      </c>
      <c r="AC75" s="126">
        <f t="shared" si="18"/>
        <v>1.009422857189252E-7</v>
      </c>
      <c r="AD75" s="126">
        <f t="shared" si="19"/>
        <v>4.0584805823598182E-8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2</v>
      </c>
      <c r="N76">
        <f t="shared" si="0"/>
        <v>560</v>
      </c>
      <c r="O76">
        <f t="shared" si="1"/>
        <v>532</v>
      </c>
      <c r="P76">
        <f t="shared" si="2"/>
        <v>588</v>
      </c>
      <c r="Q76">
        <f t="shared" si="10"/>
        <v>1</v>
      </c>
      <c r="R76" s="126">
        <f t="shared" si="16"/>
        <v>2.0861704835772693E-8</v>
      </c>
      <c r="S76" s="126">
        <f t="shared" si="17"/>
        <v>3.4544799933650902E-8</v>
      </c>
      <c r="T76">
        <v>1000</v>
      </c>
      <c r="U76">
        <v>33</v>
      </c>
      <c r="V76">
        <f t="shared" si="11"/>
        <v>14</v>
      </c>
      <c r="W76">
        <f t="shared" si="12"/>
        <v>33000</v>
      </c>
      <c r="X76">
        <f t="shared" si="5"/>
        <v>29700</v>
      </c>
      <c r="Y76">
        <f t="shared" si="6"/>
        <v>36300</v>
      </c>
      <c r="Z76">
        <f t="shared" si="13"/>
        <v>0</v>
      </c>
      <c r="AA76" s="126">
        <f t="shared" si="14"/>
        <v>5.9790837612276972E-8</v>
      </c>
      <c r="AB76" s="126">
        <f t="shared" si="15"/>
        <v>8.950649364209266E-8</v>
      </c>
      <c r="AC76" s="126">
        <f t="shared" si="18"/>
        <v>5.5823150030047764E-8</v>
      </c>
      <c r="AD76" s="126">
        <f t="shared" si="19"/>
        <v>3.801154193687202E-8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3</v>
      </c>
      <c r="N77">
        <f t="shared" si="0"/>
        <v>620</v>
      </c>
      <c r="O77">
        <f t="shared" si="1"/>
        <v>589</v>
      </c>
      <c r="P77">
        <f t="shared" si="2"/>
        <v>651</v>
      </c>
      <c r="Q77">
        <f t="shared" si="10"/>
        <v>1</v>
      </c>
      <c r="R77" s="126">
        <f t="shared" si="16"/>
        <v>2.3096887492359929E-8</v>
      </c>
      <c r="S77" s="126">
        <f t="shared" si="17"/>
        <v>3.8115512829503023E-8</v>
      </c>
      <c r="T77">
        <v>1000</v>
      </c>
      <c r="U77">
        <v>39</v>
      </c>
      <c r="V77">
        <f t="shared" si="11"/>
        <v>14</v>
      </c>
      <c r="W77">
        <f t="shared" si="12"/>
        <v>39000</v>
      </c>
      <c r="X77">
        <f t="shared" si="5"/>
        <v>35100</v>
      </c>
      <c r="Y77">
        <f t="shared" si="6"/>
        <v>42900</v>
      </c>
      <c r="Z77">
        <f t="shared" si="13"/>
        <v>0</v>
      </c>
      <c r="AA77" s="126">
        <f t="shared" si="14"/>
        <v>6.6196998772443504E-8</v>
      </c>
      <c r="AB77" s="126">
        <f t="shared" si="15"/>
        <v>9.8758305542123213E-8</v>
      </c>
      <c r="AC77" s="126">
        <f t="shared" si="18"/>
        <v>4.699142777229943E-8</v>
      </c>
      <c r="AD77" s="126">
        <f t="shared" si="19"/>
        <v>3.5853404145683936E-8</v>
      </c>
    </row>
    <row r="78" spans="1:31" x14ac:dyDescent="0.35">
      <c r="A78" t="s">
        <v>344</v>
      </c>
      <c r="B78">
        <v>1</v>
      </c>
      <c r="C78">
        <v>1</v>
      </c>
      <c r="D78">
        <v>1</v>
      </c>
      <c r="E78">
        <v>1</v>
      </c>
      <c r="F78">
        <v>1</v>
      </c>
      <c r="G78">
        <v>1</v>
      </c>
      <c r="H78">
        <v>1</v>
      </c>
      <c r="K78">
        <v>10</v>
      </c>
      <c r="L78">
        <v>68</v>
      </c>
      <c r="M78">
        <f t="shared" si="9"/>
        <v>4</v>
      </c>
      <c r="N78">
        <f t="shared" si="0"/>
        <v>680</v>
      </c>
      <c r="O78">
        <f t="shared" si="1"/>
        <v>646</v>
      </c>
      <c r="P78">
        <f t="shared" si="2"/>
        <v>714</v>
      </c>
      <c r="Q78">
        <f t="shared" si="10"/>
        <v>1</v>
      </c>
      <c r="R78" s="126">
        <f t="shared" si="16"/>
        <v>2.5332070148097792E-8</v>
      </c>
      <c r="S78" s="126">
        <f t="shared" si="17"/>
        <v>4.1686225724128125E-8</v>
      </c>
      <c r="T78">
        <v>1000</v>
      </c>
      <c r="U78">
        <v>47</v>
      </c>
      <c r="V78">
        <f t="shared" si="11"/>
        <v>14</v>
      </c>
      <c r="W78">
        <f t="shared" si="12"/>
        <v>47000</v>
      </c>
      <c r="X78">
        <f t="shared" si="5"/>
        <v>42300</v>
      </c>
      <c r="Y78">
        <f t="shared" si="6"/>
        <v>51700.000000000007</v>
      </c>
      <c r="Z78">
        <f t="shared" si="13"/>
        <v>0</v>
      </c>
      <c r="AA78" s="126">
        <f t="shared" si="14"/>
        <v>7.2603159930175676E-8</v>
      </c>
      <c r="AB78" s="126">
        <f t="shared" si="15"/>
        <v>1.0801011743897453E-7</v>
      </c>
      <c r="AC78" s="126">
        <f t="shared" si="18"/>
        <v>4.2593286632908691E-8</v>
      </c>
      <c r="AD78" s="126">
        <f t="shared" si="19"/>
        <v>3.4299579846536246E-8</v>
      </c>
    </row>
    <row r="79" spans="1:31" x14ac:dyDescent="0.35">
      <c r="A79" t="s">
        <v>345</v>
      </c>
      <c r="B79">
        <v>1</v>
      </c>
      <c r="C79">
        <v>1</v>
      </c>
      <c r="D79">
        <v>1</v>
      </c>
      <c r="E79">
        <v>1</v>
      </c>
      <c r="F79">
        <v>1</v>
      </c>
      <c r="G79">
        <v>1</v>
      </c>
      <c r="H79">
        <v>1</v>
      </c>
      <c r="K79">
        <v>10</v>
      </c>
      <c r="L79">
        <v>75</v>
      </c>
      <c r="M79">
        <f t="shared" si="9"/>
        <v>5</v>
      </c>
      <c r="N79">
        <f t="shared" si="0"/>
        <v>750</v>
      </c>
      <c r="O79">
        <f t="shared" si="1"/>
        <v>712.5</v>
      </c>
      <c r="P79">
        <f t="shared" si="2"/>
        <v>787.5</v>
      </c>
      <c r="Q79">
        <f t="shared" si="10"/>
        <v>1</v>
      </c>
      <c r="R79" s="126">
        <f t="shared" si="16"/>
        <v>2.7939783245385132E-8</v>
      </c>
      <c r="S79" s="126">
        <f t="shared" si="17"/>
        <v>4.5852057432973247E-8</v>
      </c>
      <c r="T79">
        <v>1000</v>
      </c>
      <c r="U79">
        <v>56</v>
      </c>
      <c r="V79">
        <f t="shared" si="11"/>
        <v>14</v>
      </c>
      <c r="W79">
        <f t="shared" si="12"/>
        <v>56000</v>
      </c>
      <c r="X79">
        <f t="shared" si="5"/>
        <v>50400</v>
      </c>
      <c r="Y79">
        <f t="shared" si="6"/>
        <v>61600.000000000007</v>
      </c>
      <c r="Z79">
        <f t="shared" si="13"/>
        <v>0</v>
      </c>
      <c r="AA79" s="126">
        <f t="shared" si="14"/>
        <v>8.0077014611119853E-8</v>
      </c>
      <c r="AB79" s="126">
        <f t="shared" si="15"/>
        <v>1.1880389798128283E-7</v>
      </c>
      <c r="AC79" s="126">
        <f t="shared" si="18"/>
        <v>3.9452752544663457E-8</v>
      </c>
      <c r="AD79" s="126">
        <f t="shared" si="19"/>
        <v>3.2957767792378198E-8</v>
      </c>
      <c r="AE79" s="128"/>
    </row>
    <row r="80" spans="1:31" x14ac:dyDescent="0.35">
      <c r="A80" t="s">
        <v>346</v>
      </c>
      <c r="B80">
        <v>1</v>
      </c>
      <c r="C80">
        <v>1</v>
      </c>
      <c r="D80">
        <v>1</v>
      </c>
      <c r="E80">
        <v>1</v>
      </c>
      <c r="F80">
        <v>1</v>
      </c>
      <c r="G80">
        <v>1</v>
      </c>
      <c r="H80">
        <v>1</v>
      </c>
      <c r="K80">
        <v>10</v>
      </c>
      <c r="L80">
        <v>82</v>
      </c>
      <c r="M80">
        <f t="shared" si="9"/>
        <v>6</v>
      </c>
      <c r="N80">
        <f t="shared" si="0"/>
        <v>820</v>
      </c>
      <c r="O80">
        <f t="shared" si="1"/>
        <v>779</v>
      </c>
      <c r="P80">
        <f t="shared" si="2"/>
        <v>861</v>
      </c>
      <c r="Q80">
        <f t="shared" si="10"/>
        <v>1</v>
      </c>
      <c r="R80" s="126">
        <f t="shared" si="16"/>
        <v>3.054749634151638E-8</v>
      </c>
      <c r="S80" s="126">
        <f t="shared" si="17"/>
        <v>5.0017889140148264E-8</v>
      </c>
      <c r="T80">
        <v>1000</v>
      </c>
      <c r="U80">
        <v>68</v>
      </c>
      <c r="V80">
        <f t="shared" si="11"/>
        <v>14</v>
      </c>
      <c r="W80">
        <f>U80*T80</f>
        <v>68000</v>
      </c>
      <c r="X80">
        <f t="shared" si="5"/>
        <v>61200</v>
      </c>
      <c r="Y80">
        <f t="shared" si="6"/>
        <v>74800</v>
      </c>
      <c r="Z80">
        <f t="shared" si="13"/>
        <v>0</v>
      </c>
      <c r="AA80" s="126">
        <f t="shared" si="14"/>
        <v>8.7550869288750583E-8</v>
      </c>
      <c r="AB80" s="126">
        <f t="shared" si="15"/>
        <v>1.2959767851926382E-7</v>
      </c>
      <c r="AC80" s="126">
        <f t="shared" si="18"/>
        <v>3.7350881204070691E-8</v>
      </c>
      <c r="AD80" s="126">
        <f t="shared" si="19"/>
        <v>3.1944928713282748E-8</v>
      </c>
      <c r="AE80" s="128"/>
    </row>
    <row r="81" spans="1:31" x14ac:dyDescent="0.35">
      <c r="K81">
        <v>10</v>
      </c>
      <c r="L81">
        <v>91</v>
      </c>
      <c r="M81">
        <f t="shared" si="9"/>
        <v>7</v>
      </c>
      <c r="N81">
        <f t="shared" si="0"/>
        <v>910</v>
      </c>
      <c r="O81">
        <f t="shared" si="1"/>
        <v>864.5</v>
      </c>
      <c r="P81">
        <f t="shared" si="2"/>
        <v>955.5</v>
      </c>
      <c r="Q81">
        <f t="shared" si="10"/>
        <v>1</v>
      </c>
      <c r="R81" s="126">
        <f t="shared" si="16"/>
        <v>3.3900270320557825E-8</v>
      </c>
      <c r="S81" s="126">
        <f t="shared" si="17"/>
        <v>5.537395847549063E-8</v>
      </c>
      <c r="T81">
        <v>1000</v>
      </c>
      <c r="U81">
        <v>82</v>
      </c>
      <c r="V81">
        <f t="shared" si="11"/>
        <v>14</v>
      </c>
      <c r="W81">
        <f t="shared" ref="W81" si="20">U81*T81</f>
        <v>82000</v>
      </c>
      <c r="X81">
        <f t="shared" si="5"/>
        <v>73800</v>
      </c>
      <c r="Y81">
        <f t="shared" si="6"/>
        <v>90200.000000000015</v>
      </c>
      <c r="Z81">
        <f t="shared" si="13"/>
        <v>0</v>
      </c>
      <c r="AA81" s="126">
        <f t="shared" si="14"/>
        <v>9.716011101226428E-8</v>
      </c>
      <c r="AB81" s="126">
        <f t="shared" si="15"/>
        <v>1.4347539634745224E-7</v>
      </c>
      <c r="AC81" s="126">
        <f t="shared" si="18"/>
        <v>3.54675435461011E-8</v>
      </c>
      <c r="AD81" s="126">
        <f t="shared" si="19"/>
        <v>3.0957986889150357E-8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0.99999684370998665</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2.3593875011397199E-2</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1.3054829848902362E-2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0.74411489602101288</v>
      </c>
      <c r="F82" s="13"/>
      <c r="K82">
        <v>100</v>
      </c>
      <c r="L82">
        <v>10</v>
      </c>
      <c r="M82">
        <f>IF(AND(Q81=1,Q82=0),Q82+M81+1, Q82+M81)</f>
        <v>8</v>
      </c>
      <c r="N82">
        <f t="shared" si="0"/>
        <v>1000</v>
      </c>
      <c r="O82">
        <f t="shared" si="1"/>
        <v>950</v>
      </c>
      <c r="P82">
        <f t="shared" si="2"/>
        <v>1050</v>
      </c>
      <c r="Q82">
        <f t="shared" si="10"/>
        <v>1</v>
      </c>
      <c r="R82" s="126">
        <f t="shared" si="16"/>
        <v>3.7253044297688178E-8</v>
      </c>
      <c r="S82" s="126">
        <f t="shared" si="17"/>
        <v>6.0730027808072218E-8</v>
      </c>
      <c r="V82">
        <f t="shared" si="11"/>
        <v>14</v>
      </c>
      <c r="W82">
        <v>9999999</v>
      </c>
      <c r="AA82" s="126">
        <f t="shared" si="14"/>
        <v>1.0676935273030072E-7</v>
      </c>
      <c r="AB82" s="126">
        <f t="shared" si="15"/>
        <v>1.5735311416848741E-7</v>
      </c>
      <c r="AC82" s="126">
        <f t="shared" si="18"/>
        <v>3.4122943535365109E-8</v>
      </c>
      <c r="AD82" s="126">
        <f t="shared" si="19"/>
        <v>3.0207905059878454E-8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0.99999684370998665</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3.1707301010037256E-2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1.3054829848902362E-2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9</v>
      </c>
      <c r="N83">
        <f t="shared" si="0"/>
        <v>1100</v>
      </c>
      <c r="O83">
        <f t="shared" si="1"/>
        <v>1045</v>
      </c>
      <c r="P83">
        <f t="shared" si="2"/>
        <v>1155</v>
      </c>
      <c r="Q83">
        <f t="shared" si="10"/>
        <v>1</v>
      </c>
      <c r="R83" s="126">
        <f t="shared" si="16"/>
        <v>4.097834871448052E-8</v>
      </c>
      <c r="S83" s="126">
        <f t="shared" si="17"/>
        <v>6.6681215952147088E-8</v>
      </c>
      <c r="AA83" s="126">
        <f t="shared" si="14"/>
        <v>1.1744628796613945E-7</v>
      </c>
      <c r="AB83" s="126">
        <f t="shared" si="15"/>
        <v>1.7277280062791452E-7</v>
      </c>
      <c r="AC83" s="126">
        <f t="shared" si="18"/>
        <v>3.3013252615459387E-8</v>
      </c>
      <c r="AD83" s="126">
        <f t="shared" si="19"/>
        <v>2.9561077127377331E-8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0.99999684368610631</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3.1707301010037256E-2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1.3054829867874086E-2</v>
      </c>
      <c r="E84" s="12">
        <f>IF(Summary!U37="absolute",(R3-N7)/(J2+J2*Summary!U17),R3-N7)</f>
        <v>0.14814814814814811</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3.1707301075693292E-2</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2.9578889594720215E-2</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1.3054829862745495E-2</v>
      </c>
      <c r="K84">
        <v>100</v>
      </c>
      <c r="L84">
        <v>12</v>
      </c>
      <c r="M84">
        <f t="shared" si="21"/>
        <v>10</v>
      </c>
      <c r="N84">
        <f t="shared" si="0"/>
        <v>1200</v>
      </c>
      <c r="O84">
        <f t="shared" si="1"/>
        <v>1140</v>
      </c>
      <c r="P84">
        <f t="shared" si="2"/>
        <v>1260</v>
      </c>
      <c r="Q84">
        <f t="shared" si="10"/>
        <v>1</v>
      </c>
      <c r="R84" s="126">
        <f t="shared" si="16"/>
        <v>4.4703653128913504E-8</v>
      </c>
      <c r="S84" s="126">
        <f t="shared" si="17"/>
        <v>7.263240409281355E-8</v>
      </c>
      <c r="AA84" s="126">
        <f t="shared" si="14"/>
        <v>1.2812322319521616E-7</v>
      </c>
      <c r="AB84" s="126">
        <f t="shared" si="15"/>
        <v>1.8819248707851031E-7</v>
      </c>
      <c r="AC84" s="126">
        <f t="shared" si="18"/>
        <v>3.2165979130129025E-8</v>
      </c>
      <c r="AD84" s="126">
        <f t="shared" si="19"/>
        <v>2.9050864464608639E-8</v>
      </c>
      <c r="AE84" s="128"/>
    </row>
    <row r="85" spans="1:31" x14ac:dyDescent="0.35">
      <c r="E85" s="73"/>
      <c r="K85">
        <v>100</v>
      </c>
      <c r="L85">
        <v>13</v>
      </c>
      <c r="M85">
        <f t="shared" si="21"/>
        <v>11</v>
      </c>
      <c r="N85">
        <f t="shared" si="0"/>
        <v>1300</v>
      </c>
      <c r="O85">
        <f t="shared" si="1"/>
        <v>1235</v>
      </c>
      <c r="P85">
        <f t="shared" si="2"/>
        <v>1365</v>
      </c>
      <c r="Q85">
        <f t="shared" si="10"/>
        <v>1</v>
      </c>
      <c r="R85" s="126">
        <f t="shared" si="16"/>
        <v>4.8428957540987131E-8</v>
      </c>
      <c r="S85" s="126">
        <f t="shared" si="17"/>
        <v>7.8583592230071605E-8</v>
      </c>
      <c r="AA85" s="126">
        <f t="shared" si="14"/>
        <v>1.388001584175308E-7</v>
      </c>
      <c r="AB85" s="126">
        <f t="shared" si="15"/>
        <v>2.0361217352027488E-7</v>
      </c>
      <c r="AC85" s="126">
        <f t="shared" si="18"/>
        <v>3.1496827528761947E-8</v>
      </c>
      <c r="AD85" s="126">
        <f t="shared" si="19"/>
        <v>2.8638294157098839E-8</v>
      </c>
      <c r="AE85" s="128"/>
    </row>
    <row r="86" spans="1:31" x14ac:dyDescent="0.35">
      <c r="K86">
        <v>100</v>
      </c>
      <c r="L86">
        <v>15</v>
      </c>
      <c r="M86">
        <f t="shared" si="21"/>
        <v>12</v>
      </c>
      <c r="N86">
        <f t="shared" si="0"/>
        <v>1500</v>
      </c>
      <c r="O86">
        <f t="shared" si="1"/>
        <v>1425</v>
      </c>
      <c r="P86">
        <f t="shared" si="2"/>
        <v>1575</v>
      </c>
      <c r="Q86">
        <f t="shared" si="10"/>
        <v>1</v>
      </c>
      <c r="R86" s="126">
        <f t="shared" si="16"/>
        <v>5.58795663580563E-8</v>
      </c>
      <c r="S86" s="126">
        <f t="shared" si="17"/>
        <v>9.0485968494362491E-8</v>
      </c>
      <c r="AA86" s="126">
        <f t="shared" si="14"/>
        <v>1.601540288418739E-7</v>
      </c>
      <c r="AB86" s="126">
        <f t="shared" si="15"/>
        <v>2.3445154637731012E-7</v>
      </c>
      <c r="AC86" s="126">
        <f t="shared" si="18"/>
        <v>3.0505664595610818E-8</v>
      </c>
      <c r="AD86" s="126">
        <f t="shared" si="19"/>
        <v>2.8012355359468776E-8</v>
      </c>
      <c r="AE86" s="128"/>
    </row>
    <row r="87" spans="1:31" x14ac:dyDescent="0.35">
      <c r="B87" s="171" t="s">
        <v>362</v>
      </c>
      <c r="C87" s="171"/>
      <c r="K87">
        <v>100</v>
      </c>
      <c r="L87">
        <v>16</v>
      </c>
      <c r="M87">
        <f t="shared" si="21"/>
        <v>13</v>
      </c>
      <c r="N87">
        <f t="shared" si="0"/>
        <v>1600</v>
      </c>
      <c r="O87">
        <f t="shared" si="1"/>
        <v>1520</v>
      </c>
      <c r="P87">
        <f t="shared" si="2"/>
        <v>1680</v>
      </c>
      <c r="Q87">
        <f t="shared" si="10"/>
        <v>1</v>
      </c>
      <c r="R87" s="126">
        <f t="shared" si="16"/>
        <v>5.9604870763051842E-8</v>
      </c>
      <c r="S87" s="126">
        <f t="shared" si="17"/>
        <v>9.6437156621395323E-8</v>
      </c>
      <c r="AA87" s="126">
        <f t="shared" si="14"/>
        <v>1.7083096404390233E-7</v>
      </c>
      <c r="AB87" s="126">
        <f t="shared" si="15"/>
        <v>2.4987123279258082E-7</v>
      </c>
      <c r="AC87" s="126">
        <f t="shared" si="18"/>
        <v>3.0128012657342189E-8</v>
      </c>
      <c r="AD87" s="126">
        <f t="shared" si="19"/>
        <v>2.7769440939100343E-8</v>
      </c>
      <c r="AE87" s="128"/>
    </row>
    <row r="88" spans="1:31" ht="29" x14ac:dyDescent="0.35">
      <c r="B88" t="s">
        <v>355</v>
      </c>
      <c r="C88" t="s">
        <v>363</v>
      </c>
      <c r="D88" t="s">
        <v>364</v>
      </c>
      <c r="E88" s="32" t="str">
        <f>IF(Summary!U37="absolute","find min R2, so that max (Vx) = " &amp; TRUNC(R2/J3,3),"find min R2, so that max (Vx) = " &amp; R2)</f>
        <v>find min R2, so that max (Vx) = 0.166</v>
      </c>
      <c r="F88" s="32" t="s">
        <v>365</v>
      </c>
      <c r="G88" s="32" t="s">
        <v>366</v>
      </c>
      <c r="H88" s="32" t="s">
        <v>367</v>
      </c>
      <c r="K88">
        <v>100</v>
      </c>
      <c r="L88">
        <v>18</v>
      </c>
      <c r="M88">
        <f t="shared" si="21"/>
        <v>14</v>
      </c>
      <c r="N88">
        <f t="shared" si="0"/>
        <v>1800</v>
      </c>
      <c r="O88">
        <f t="shared" si="1"/>
        <v>1710</v>
      </c>
      <c r="P88">
        <f t="shared" si="2"/>
        <v>1890</v>
      </c>
      <c r="Q88">
        <f t="shared" si="10"/>
        <v>1</v>
      </c>
      <c r="R88" s="126">
        <f t="shared" si="16"/>
        <v>6.7055479565964841E-8</v>
      </c>
      <c r="S88" s="126">
        <f t="shared" si="17"/>
        <v>1.0833953286523575E-7</v>
      </c>
      <c r="AA88" s="126">
        <f t="shared" si="14"/>
        <v>1.9218483442767305E-7</v>
      </c>
      <c r="AB88" s="126">
        <f t="shared" si="15"/>
        <v>2.8071060559662841E-7</v>
      </c>
      <c r="AC88" s="126">
        <f t="shared" si="18"/>
        <v>2.9527423490471516E-8</v>
      </c>
      <c r="AD88" s="126">
        <f t="shared" si="19"/>
        <v>2.7378415769648241E-8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15</v>
      </c>
      <c r="N89">
        <f t="shared" si="0"/>
        <v>2000</v>
      </c>
      <c r="O89">
        <f t="shared" si="1"/>
        <v>1900</v>
      </c>
      <c r="P89">
        <f t="shared" si="2"/>
        <v>2100</v>
      </c>
      <c r="Q89">
        <f t="shared" si="10"/>
        <v>1</v>
      </c>
      <c r="R89" s="126">
        <f t="shared" si="16"/>
        <v>7.4506088359440424E-8</v>
      </c>
      <c r="S89" s="126">
        <f t="shared" si="17"/>
        <v>1.202419090954426E-7</v>
      </c>
      <c r="AA89" s="126">
        <f t="shared" si="14"/>
        <v>2.1353870478439558E-7</v>
      </c>
      <c r="AB89" s="126">
        <f t="shared" si="15"/>
        <v>3.1154997836535102E-7</v>
      </c>
      <c r="AC89" s="126">
        <f t="shared" si="18"/>
        <v>2.9070922718374454E-8</v>
      </c>
      <c r="AD89" s="126">
        <f t="shared" si="19"/>
        <v>2.707754856815096E-8</v>
      </c>
      <c r="AE89" s="128"/>
    </row>
    <row r="90" spans="1:31" x14ac:dyDescent="0.35">
      <c r="A90" t="s">
        <v>320</v>
      </c>
      <c r="B90" s="11">
        <f>F11*(1+H11)</f>
        <v>2835</v>
      </c>
      <c r="C90" s="11">
        <f>F11*(1-H11)</f>
        <v>2565</v>
      </c>
      <c r="D90" s="11">
        <f>F11*(1+H11)</f>
        <v>2835</v>
      </c>
      <c r="E90" s="11"/>
      <c r="F90" s="11">
        <f>F11*(1-H11)</f>
        <v>2565</v>
      </c>
      <c r="G90">
        <f>F11*(1-H11)</f>
        <v>2565</v>
      </c>
      <c r="H90">
        <f>F11*(1+H11)</f>
        <v>2835</v>
      </c>
      <c r="K90">
        <v>100</v>
      </c>
      <c r="L90">
        <v>22</v>
      </c>
      <c r="M90">
        <f t="shared" si="21"/>
        <v>16</v>
      </c>
      <c r="N90">
        <f t="shared" si="0"/>
        <v>2200</v>
      </c>
      <c r="O90">
        <f t="shared" si="1"/>
        <v>2090</v>
      </c>
      <c r="P90">
        <f t="shared" si="2"/>
        <v>2310</v>
      </c>
      <c r="Q90">
        <f t="shared" si="10"/>
        <v>1</v>
      </c>
      <c r="R90" s="126">
        <f t="shared" si="16"/>
        <v>8.1956697143478537E-8</v>
      </c>
      <c r="S90" s="126">
        <f t="shared" si="17"/>
        <v>1.3214428531201578E-7</v>
      </c>
      <c r="AA90" s="126">
        <f t="shared" si="14"/>
        <v>2.3489257511406977E-7</v>
      </c>
      <c r="AB90" s="126">
        <f t="shared" si="15"/>
        <v>3.4238935109874844E-7</v>
      </c>
      <c r="AC90" s="126">
        <f t="shared" si="18"/>
        <v>2.8712076954301746E-8</v>
      </c>
      <c r="AD90" s="126">
        <f t="shared" si="19"/>
        <v>2.683897338799497E-8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17</v>
      </c>
      <c r="N91">
        <f t="shared" si="0"/>
        <v>2400</v>
      </c>
      <c r="O91">
        <f t="shared" si="1"/>
        <v>2280</v>
      </c>
      <c r="P91">
        <f t="shared" si="2"/>
        <v>2520</v>
      </c>
      <c r="Q91">
        <f t="shared" si="10"/>
        <v>1</v>
      </c>
      <c r="R91" s="126">
        <f t="shared" si="16"/>
        <v>8.9407305918079234E-8</v>
      </c>
      <c r="S91" s="126">
        <f t="shared" si="17"/>
        <v>1.4404666151495533E-7</v>
      </c>
      <c r="AA91" s="126">
        <f t="shared" si="14"/>
        <v>2.562464454166958E-7</v>
      </c>
      <c r="AB91" s="126">
        <f t="shared" si="15"/>
        <v>3.7322872379682072E-7</v>
      </c>
      <c r="AC91" s="126">
        <f t="shared" si="18"/>
        <v>2.8422514068784984E-8</v>
      </c>
      <c r="AD91" s="126">
        <f t="shared" si="19"/>
        <v>2.6645213226077891E-8</v>
      </c>
      <c r="AE91" s="128"/>
    </row>
    <row r="92" spans="1:31" x14ac:dyDescent="0.35">
      <c r="A92" t="s">
        <v>324</v>
      </c>
      <c r="B92" s="1">
        <f>K21-B93</f>
        <v>21.49240538481077</v>
      </c>
      <c r="C92" s="1">
        <f>K21-C93</f>
        <v>0</v>
      </c>
      <c r="D92" s="1">
        <f>K21-D93</f>
        <v>21.49240538481077</v>
      </c>
      <c r="E92" s="1">
        <f>K21-E93</f>
        <v>0</v>
      </c>
      <c r="F92" s="1">
        <f>K21-F93</f>
        <v>0</v>
      </c>
      <c r="G92" s="1">
        <f>K22-G93</f>
        <v>0</v>
      </c>
      <c r="H92" s="1">
        <f>K22-H93</f>
        <v>15.682405384810767</v>
      </c>
      <c r="K92">
        <v>100</v>
      </c>
      <c r="L92">
        <v>27</v>
      </c>
      <c r="M92">
        <f t="shared" si="21"/>
        <v>18</v>
      </c>
      <c r="N92">
        <f t="shared" si="0"/>
        <v>2700</v>
      </c>
      <c r="O92">
        <f t="shared" si="1"/>
        <v>2565</v>
      </c>
      <c r="P92">
        <f t="shared" si="2"/>
        <v>2835</v>
      </c>
      <c r="Q92">
        <f t="shared" si="10"/>
        <v>1</v>
      </c>
      <c r="R92" s="126">
        <f t="shared" si="16"/>
        <v>1.0058321906228511E-7</v>
      </c>
      <c r="S92" s="126">
        <f t="shared" si="17"/>
        <v>1.6190022579380159E-7</v>
      </c>
      <c r="AA92" s="126">
        <f t="shared" si="14"/>
        <v>2.8827725081991944E-7</v>
      </c>
      <c r="AB92" s="126">
        <f t="shared" si="15"/>
        <v>4.1948778277769463E-7</v>
      </c>
      <c r="AC92" s="126">
        <f t="shared" si="18"/>
        <v>2.8079671534639058E-8</v>
      </c>
      <c r="AD92" s="126">
        <f t="shared" si="19"/>
        <v>2.6414453271546342E-8</v>
      </c>
      <c r="AE92" s="128"/>
    </row>
    <row r="93" spans="1:31" x14ac:dyDescent="0.35">
      <c r="A93" t="s">
        <v>327</v>
      </c>
      <c r="B93" s="1">
        <f>K21*(1-MAX(K25,K24))</f>
        <v>0</v>
      </c>
      <c r="C93" s="1">
        <f>K21*(1-MIN(K25,K24))</f>
        <v>21.49240538481077</v>
      </c>
      <c r="D93" s="1">
        <f>K21*(1-MAX(K25,K24))</f>
        <v>0</v>
      </c>
      <c r="E93" s="1">
        <f>K21*(1-MIN(K25,K24))</f>
        <v>21.49240538481077</v>
      </c>
      <c r="F93" s="125">
        <f>K21*(1-MIN(K25,K24))</f>
        <v>21.49240538481077</v>
      </c>
      <c r="G93" s="125">
        <f>K22*(1-MIN(K25,K24))</f>
        <v>15.682405384810767</v>
      </c>
      <c r="H93" s="1">
        <f>K22*(1-MAX(K25,K24))</f>
        <v>0</v>
      </c>
      <c r="K93">
        <v>100</v>
      </c>
      <c r="L93">
        <v>30</v>
      </c>
      <c r="M93">
        <f t="shared" si="21"/>
        <v>19</v>
      </c>
      <c r="N93">
        <f t="shared" si="0"/>
        <v>3000</v>
      </c>
      <c r="O93">
        <f t="shared" si="1"/>
        <v>2850</v>
      </c>
      <c r="P93">
        <f t="shared" si="2"/>
        <v>3150</v>
      </c>
      <c r="Q93">
        <f t="shared" si="10"/>
        <v>1</v>
      </c>
      <c r="R93" s="126">
        <f t="shared" si="16"/>
        <v>1.1175913218525671E-7</v>
      </c>
      <c r="S93" s="126">
        <f t="shared" si="17"/>
        <v>1.7975379004197219E-7</v>
      </c>
      <c r="AA93" s="126">
        <f t="shared" si="14"/>
        <v>3.2030805616228445E-7</v>
      </c>
      <c r="AB93" s="126">
        <f t="shared" si="15"/>
        <v>4.6574684167908704E-7</v>
      </c>
      <c r="AC93" s="126">
        <f t="shared" si="18"/>
        <v>2.7813732658474573E-8</v>
      </c>
      <c r="AD93" s="126">
        <f t="shared" si="19"/>
        <v>2.6234516695439283E-8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20</v>
      </c>
      <c r="N94">
        <f t="shared" si="0"/>
        <v>3300</v>
      </c>
      <c r="O94">
        <f t="shared" si="1"/>
        <v>3135</v>
      </c>
      <c r="P94">
        <f t="shared" si="2"/>
        <v>3465</v>
      </c>
      <c r="Q94">
        <f t="shared" si="10"/>
        <v>1</v>
      </c>
      <c r="R94" s="126">
        <f t="shared" si="16"/>
        <v>1.229350452869941E-7</v>
      </c>
      <c r="S94" s="126">
        <f t="shared" si="17"/>
        <v>1.9760735425946709E-7</v>
      </c>
      <c r="AA94" s="126">
        <f t="shared" si="14"/>
        <v>3.5233886144379104E-7</v>
      </c>
      <c r="AB94" s="126">
        <f t="shared" si="15"/>
        <v>5.1200590050099801E-7</v>
      </c>
      <c r="AC94" s="126">
        <f t="shared" si="18"/>
        <v>2.7601408825659475E-8</v>
      </c>
      <c r="AD94" s="126">
        <f t="shared" si="19"/>
        <v>2.6090309361076143E-8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21</v>
      </c>
      <c r="N95">
        <f t="shared" si="0"/>
        <v>3600</v>
      </c>
      <c r="O95">
        <f t="shared" si="1"/>
        <v>3420</v>
      </c>
      <c r="P95">
        <f t="shared" si="2"/>
        <v>3780</v>
      </c>
      <c r="Q95">
        <f t="shared" si="10"/>
        <v>1</v>
      </c>
      <c r="R95" s="126">
        <f t="shared" si="16"/>
        <v>1.3411095836749722E-7</v>
      </c>
      <c r="S95" s="126">
        <f t="shared" si="17"/>
        <v>2.1546091844628635E-7</v>
      </c>
      <c r="AA95" s="126">
        <f t="shared" si="14"/>
        <v>3.8436966666443901E-7</v>
      </c>
      <c r="AB95" s="126">
        <f t="shared" si="15"/>
        <v>5.5826495924342749E-7</v>
      </c>
      <c r="AC95" s="126">
        <f t="shared" si="18"/>
        <v>2.7427959859348237E-8</v>
      </c>
      <c r="AD95" s="126">
        <f t="shared" si="19"/>
        <v>2.5972168010731643E-8</v>
      </c>
      <c r="AE95" s="128"/>
    </row>
    <row r="96" spans="1:31" x14ac:dyDescent="0.35">
      <c r="A96" t="s">
        <v>333</v>
      </c>
      <c r="B96" s="11">
        <f>F3*(1-G3)</f>
        <v>900000000000</v>
      </c>
      <c r="C96" s="11">
        <f>1/(1/(F3*(1+H3))+1/(N3*(1+P3)))</f>
        <v>99.999999990909089</v>
      </c>
      <c r="D96" s="11">
        <f>1/(1/(F3*(1-G3))+1/(N3*(1-O3)))</f>
        <v>39.999999998222222</v>
      </c>
      <c r="E96" s="11">
        <f>1/(1/(F3*(1+H3))+1/(N3*(1+P3)))</f>
        <v>99.999999990909089</v>
      </c>
      <c r="F96" s="11">
        <f>1/(1/(F3*(1+H3))+1/(N3*(1+P3)))</f>
        <v>99.999999990909089</v>
      </c>
      <c r="G96">
        <f>1/(1/(F3*(1+H3))+1/(N3*(1+P3)))</f>
        <v>99.999999990909089</v>
      </c>
      <c r="H96">
        <f>1/(1/(F3*(1-G3))+1/(N3*(1-O3)))</f>
        <v>39.999999998222222</v>
      </c>
      <c r="K96">
        <v>100</v>
      </c>
      <c r="L96">
        <v>39</v>
      </c>
      <c r="M96">
        <f t="shared" si="21"/>
        <v>22</v>
      </c>
      <c r="N96">
        <f t="shared" si="0"/>
        <v>3900</v>
      </c>
      <c r="O96">
        <f t="shared" si="1"/>
        <v>3705</v>
      </c>
      <c r="P96">
        <f t="shared" si="2"/>
        <v>4095</v>
      </c>
      <c r="Q96">
        <f t="shared" si="10"/>
        <v>1</v>
      </c>
      <c r="R96" s="126">
        <f t="shared" si="16"/>
        <v>1.4528687142676615E-7</v>
      </c>
      <c r="S96" s="126">
        <f t="shared" si="17"/>
        <v>2.3331448260242997E-7</v>
      </c>
      <c r="AA96" s="126">
        <f t="shared" si="14"/>
        <v>4.164004718242285E-7</v>
      </c>
      <c r="AB96" s="126">
        <f t="shared" si="15"/>
        <v>6.0452401790637552E-7</v>
      </c>
      <c r="AC96" s="126">
        <f t="shared" si="18"/>
        <v>2.7283598675180777E-8</v>
      </c>
      <c r="AD96" s="126">
        <f t="shared" si="19"/>
        <v>2.587362165505093E-8</v>
      </c>
      <c r="AE96" s="128"/>
    </row>
    <row r="97" spans="1:31" x14ac:dyDescent="0.35">
      <c r="K97">
        <v>100</v>
      </c>
      <c r="L97">
        <v>43</v>
      </c>
      <c r="M97">
        <f t="shared" si="21"/>
        <v>23</v>
      </c>
      <c r="N97">
        <f t="shared" si="0"/>
        <v>4300</v>
      </c>
      <c r="O97">
        <f t="shared" si="1"/>
        <v>4085</v>
      </c>
      <c r="P97">
        <f t="shared" si="2"/>
        <v>4515</v>
      </c>
      <c r="Q97">
        <f t="shared" si="10"/>
        <v>1</v>
      </c>
      <c r="R97" s="126">
        <f t="shared" si="16"/>
        <v>1.6018808880609363E-7</v>
      </c>
      <c r="S97" s="126">
        <f t="shared" si="17"/>
        <v>2.5711923476290372E-7</v>
      </c>
      <c r="AA97" s="126">
        <f t="shared" si="14"/>
        <v>4.5910821194261226E-7</v>
      </c>
      <c r="AB97" s="126">
        <f t="shared" si="15"/>
        <v>6.6620276266666833E-7</v>
      </c>
      <c r="AC97" s="126">
        <f t="shared" si="18"/>
        <v>2.7124984231808289E-8</v>
      </c>
      <c r="AD97" s="126">
        <f t="shared" si="19"/>
        <v>2.5765131079684854E-8</v>
      </c>
      <c r="AE97" s="128"/>
    </row>
    <row r="98" spans="1:31" x14ac:dyDescent="0.35">
      <c r="A98" t="s">
        <v>344</v>
      </c>
      <c r="B98">
        <v>1</v>
      </c>
      <c r="C98">
        <v>1</v>
      </c>
      <c r="D98">
        <v>1</v>
      </c>
      <c r="E98">
        <v>1</v>
      </c>
      <c r="F98">
        <v>1</v>
      </c>
      <c r="G98">
        <v>1</v>
      </c>
      <c r="H98">
        <v>1</v>
      </c>
      <c r="K98">
        <v>100</v>
      </c>
      <c r="L98">
        <v>47</v>
      </c>
      <c r="M98">
        <f t="shared" si="21"/>
        <v>24</v>
      </c>
      <c r="N98">
        <f t="shared" ref="N98:N129" si="23">L98*K98</f>
        <v>4700</v>
      </c>
      <c r="O98">
        <f t="shared" ref="O98:O129" si="24">N98*(1-$M$32)</f>
        <v>4465</v>
      </c>
      <c r="P98">
        <f t="shared" ref="P98:P129" si="25">N98*(1+$M$32)</f>
        <v>4935</v>
      </c>
      <c r="Q98">
        <f t="shared" si="10"/>
        <v>1</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1.7508930614767139E-7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2.80923986868843E-7</v>
      </c>
      <c r="AA98" s="126">
        <f t="shared" si="14"/>
        <v>5.0181595195280307E-7</v>
      </c>
      <c r="AB98" s="126">
        <f t="shared" si="15"/>
        <v>7.278815072856609E-7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2.6995347375745952E-8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2.5676304062478181E-8</v>
      </c>
      <c r="AE98" s="128"/>
    </row>
    <row r="99" spans="1:31" x14ac:dyDescent="0.35">
      <c r="A99" t="s">
        <v>345</v>
      </c>
      <c r="B99">
        <v>1</v>
      </c>
      <c r="C99">
        <v>1</v>
      </c>
      <c r="D99">
        <v>1</v>
      </c>
      <c r="E99">
        <v>1</v>
      </c>
      <c r="F99">
        <v>1</v>
      </c>
      <c r="G99">
        <v>1</v>
      </c>
      <c r="H99">
        <v>1</v>
      </c>
      <c r="K99">
        <v>100</v>
      </c>
      <c r="L99">
        <v>51</v>
      </c>
      <c r="M99">
        <f t="shared" si="21"/>
        <v>25</v>
      </c>
      <c r="N99">
        <f t="shared" si="23"/>
        <v>5100</v>
      </c>
      <c r="O99">
        <f t="shared" si="24"/>
        <v>4845</v>
      </c>
      <c r="P99">
        <f t="shared" si="25"/>
        <v>5355</v>
      </c>
      <c r="Q99">
        <f t="shared" ref="Q99:Q129" si="30">IF($Q$2="N/A",IF(AND((O99&gt;=MAX($H$7:$I$7)),(P99&lt;=MIN($F$7:$G$7)),(P99&lt;=MIN($B$7:$C$7)),(O99&gt;=MAX($D$7:$E$7))),1,0),IF(AND((O99&gt;=MAX($I$7)),(P99&lt;=MIN($G$7)),(P99&lt;=MIN($C$7)),(O99&gt;=MAX($E$7))),1,0))</f>
        <v>1</v>
      </c>
      <c r="R99" s="126">
        <f t="shared" si="26"/>
        <v>1.8999052345149946E-7</v>
      </c>
      <c r="S99" s="126">
        <f t="shared" si="27"/>
        <v>3.047287389202477E-7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7.8956025176335292E-7</v>
      </c>
      <c r="AC99" s="126">
        <f t="shared" si="28"/>
        <v>2.6887409599608597E-8</v>
      </c>
      <c r="AD99" s="126">
        <f t="shared" si="29"/>
        <v>2.5602244097013488E-8</v>
      </c>
      <c r="AE99" s="128"/>
    </row>
    <row r="100" spans="1:31" x14ac:dyDescent="0.35">
      <c r="A100" t="s">
        <v>346</v>
      </c>
      <c r="B100">
        <v>1</v>
      </c>
      <c r="C100">
        <v>1</v>
      </c>
      <c r="D100">
        <v>1</v>
      </c>
      <c r="E100">
        <v>1</v>
      </c>
      <c r="F100">
        <v>1</v>
      </c>
      <c r="G100">
        <v>1</v>
      </c>
      <c r="H100">
        <v>1</v>
      </c>
      <c r="K100">
        <v>100</v>
      </c>
      <c r="L100">
        <v>56</v>
      </c>
      <c r="M100">
        <f t="shared" si="21"/>
        <v>26</v>
      </c>
      <c r="N100">
        <f t="shared" si="23"/>
        <v>5600</v>
      </c>
      <c r="O100">
        <f t="shared" si="24"/>
        <v>5320</v>
      </c>
      <c r="P100">
        <f t="shared" si="25"/>
        <v>5880</v>
      </c>
      <c r="Q100">
        <f t="shared" si="30"/>
        <v>1</v>
      </c>
      <c r="R100" s="126">
        <f t="shared" si="26"/>
        <v>2.0861704502819884E-7</v>
      </c>
      <c r="S100" s="126">
        <f t="shared" si="27"/>
        <v>3.3448467890781438E-7</v>
      </c>
      <c r="AA100" s="126">
        <f t="shared" si="31"/>
        <v>5.9790836658015212E-7</v>
      </c>
      <c r="AB100" s="126">
        <f t="shared" si="32"/>
        <v>8.6665868216176428E-7</v>
      </c>
      <c r="AC100" s="126">
        <f t="shared" si="28"/>
        <v>2.6775486121780722E-8</v>
      </c>
      <c r="AD100" s="126">
        <f t="shared" si="29"/>
        <v>2.5525358024133971E-8</v>
      </c>
      <c r="AE100" s="128"/>
    </row>
    <row r="101" spans="1:31" x14ac:dyDescent="0.35">
      <c r="K101">
        <v>100</v>
      </c>
      <c r="L101">
        <v>62</v>
      </c>
      <c r="M101">
        <f t="shared" si="21"/>
        <v>27</v>
      </c>
      <c r="N101">
        <f t="shared" si="23"/>
        <v>6200</v>
      </c>
      <c r="O101">
        <f t="shared" si="24"/>
        <v>5890</v>
      </c>
      <c r="P101">
        <f t="shared" si="25"/>
        <v>6510</v>
      </c>
      <c r="Q101">
        <f t="shared" si="30"/>
        <v>1</v>
      </c>
      <c r="R101" s="126">
        <f t="shared" si="26"/>
        <v>2.3096887084237931E-7</v>
      </c>
      <c r="S101" s="126">
        <f t="shared" si="27"/>
        <v>3.7019180678041698E-7</v>
      </c>
      <c r="AA101" s="126">
        <f t="shared" si="31"/>
        <v>6.6196997602742545E-7</v>
      </c>
      <c r="AB101" s="126">
        <f t="shared" si="32"/>
        <v>9.5917679834842591E-7</v>
      </c>
      <c r="AC101" s="126">
        <f t="shared" si="28"/>
        <v>2.6666302657023597E-8</v>
      </c>
      <c r="AD101" s="126">
        <f t="shared" si="29"/>
        <v>2.5450269974456762E-8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0.99999684368610631</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4.5223426990923257E-2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1.3913042992298046E-2</v>
      </c>
      <c r="E102" s="12">
        <f>IF(Summary!U50="absolute",(R2-N7)/(J3+J3*Summary!U18),R2-N7)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4.5223427093060646E-2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4.3154084331463477E-2</v>
      </c>
      <c r="H102" s="12">
        <f t="shared" si="33"/>
        <v>1.391304298717953E-2</v>
      </c>
      <c r="K102">
        <v>100</v>
      </c>
      <c r="L102">
        <v>68</v>
      </c>
      <c r="M102">
        <f t="shared" si="21"/>
        <v>28</v>
      </c>
      <c r="N102">
        <f t="shared" si="23"/>
        <v>6800</v>
      </c>
      <c r="O102">
        <f t="shared" si="24"/>
        <v>6460</v>
      </c>
      <c r="P102">
        <f t="shared" si="25"/>
        <v>7140</v>
      </c>
      <c r="Q102">
        <f t="shared" si="30"/>
        <v>0</v>
      </c>
      <c r="R102" s="126">
        <f t="shared" si="26"/>
        <v>2.5332069657162281E-7</v>
      </c>
      <c r="S102" s="126">
        <f t="shared" si="27"/>
        <v>4.0589893453031695E-7</v>
      </c>
      <c r="AA102" s="126">
        <f t="shared" si="31"/>
        <v>7.2603158523126469E-7</v>
      </c>
      <c r="AB102" s="126">
        <f t="shared" si="32"/>
        <v>1.0516949142171617E-6</v>
      </c>
      <c r="AC102" s="126">
        <f t="shared" si="28"/>
        <v>2.6577336588536867E-8</v>
      </c>
      <c r="AD102" s="126">
        <f t="shared" si="29"/>
        <v>2.5389028227714642E-8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0.99999684370998687</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4.5223426990923257E-2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1.3913042973363588E-2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4.5223427093060646E-2</v>
      </c>
      <c r="K103">
        <v>100</v>
      </c>
      <c r="L103">
        <v>75</v>
      </c>
      <c r="M103">
        <f t="shared" si="21"/>
        <v>28</v>
      </c>
      <c r="N103">
        <f t="shared" si="23"/>
        <v>7500</v>
      </c>
      <c r="O103">
        <f t="shared" si="24"/>
        <v>7125</v>
      </c>
      <c r="P103">
        <f t="shared" si="25"/>
        <v>7875</v>
      </c>
      <c r="Q103">
        <f t="shared" si="30"/>
        <v>0</v>
      </c>
      <c r="R103" s="126">
        <f t="shared" si="26"/>
        <v>2.7939782648172275E-7</v>
      </c>
      <c r="S103" s="126">
        <f t="shared" si="27"/>
        <v>4.4755725008345095E-7</v>
      </c>
      <c r="AA103" s="126">
        <f t="shared" si="31"/>
        <v>8.0077012899473694E-7</v>
      </c>
      <c r="AB103" s="126">
        <f t="shared" si="32"/>
        <v>1.1596327156621971E-6</v>
      </c>
      <c r="AC103" s="126">
        <f t="shared" si="28"/>
        <v>2.6492333324732729E-8</v>
      </c>
      <c r="AD103" s="126">
        <f t="shared" si="29"/>
        <v>2.5330468998591645E-8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0.99999684370998687</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3.7223254301327252E-2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1.3913042973363588E-2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0.82309671688594666</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3.7223254404320456E-2</v>
      </c>
      <c r="K104">
        <v>100</v>
      </c>
      <c r="L104">
        <v>82</v>
      </c>
      <c r="M104">
        <f t="shared" si="21"/>
        <v>28</v>
      </c>
      <c r="N104">
        <f t="shared" si="23"/>
        <v>8200</v>
      </c>
      <c r="O104">
        <f t="shared" si="24"/>
        <v>7790</v>
      </c>
      <c r="P104">
        <f t="shared" si="25"/>
        <v>8610</v>
      </c>
      <c r="Q104">
        <f t="shared" si="30"/>
        <v>0</v>
      </c>
      <c r="R104" s="126">
        <f t="shared" si="26"/>
        <v>3.0547495627621403E-7</v>
      </c>
      <c r="S104" s="126">
        <f t="shared" si="27"/>
        <v>4.8921556546957298E-7</v>
      </c>
      <c r="AA104" s="126">
        <f t="shared" si="31"/>
        <v>8.7550867242686811E-7</v>
      </c>
      <c r="AB104" s="126">
        <f t="shared" si="32"/>
        <v>1.2675705166744999E-6</v>
      </c>
      <c r="AC104" s="126">
        <f t="shared" si="28"/>
        <v>2.642243003911453E-8</v>
      </c>
      <c r="AD104" s="126">
        <f t="shared" si="29"/>
        <v>2.5282280962322947E-8</v>
      </c>
      <c r="AE104" s="128"/>
    </row>
    <row r="105" spans="1:31" x14ac:dyDescent="0.35">
      <c r="K105">
        <v>100</v>
      </c>
      <c r="L105">
        <v>91</v>
      </c>
      <c r="M105">
        <f t="shared" si="21"/>
        <v>28</v>
      </c>
      <c r="N105">
        <f t="shared" si="23"/>
        <v>9100</v>
      </c>
      <c r="O105">
        <f t="shared" si="24"/>
        <v>8645</v>
      </c>
      <c r="P105">
        <f t="shared" si="25"/>
        <v>9555</v>
      </c>
      <c r="Q105">
        <f t="shared" si="30"/>
        <v>0</v>
      </c>
      <c r="R105" s="126">
        <f t="shared" si="26"/>
        <v>3.3900269441354339E-7</v>
      </c>
      <c r="S105" s="126">
        <f t="shared" si="27"/>
        <v>5.4277625643489601E-7</v>
      </c>
      <c r="AA105" s="126">
        <f t="shared" si="31"/>
        <v>9.7160108492416891E-7</v>
      </c>
      <c r="AB105" s="126">
        <f t="shared" si="32"/>
        <v>1.4063476887687518E-6</v>
      </c>
      <c r="AC105" s="126">
        <f t="shared" si="28"/>
        <v>2.6348930154508511E-8</v>
      </c>
      <c r="AD105" s="126">
        <f t="shared" si="29"/>
        <v>2.5231584985062591E-8</v>
      </c>
      <c r="AE105" s="128"/>
    </row>
    <row r="106" spans="1:31" x14ac:dyDescent="0.35">
      <c r="K106">
        <v>1000</v>
      </c>
      <c r="L106">
        <v>10</v>
      </c>
      <c r="M106">
        <f t="shared" si="21"/>
        <v>28</v>
      </c>
      <c r="N106">
        <f t="shared" si="23"/>
        <v>10000</v>
      </c>
      <c r="O106">
        <f t="shared" si="24"/>
        <v>9500</v>
      </c>
      <c r="P106">
        <f t="shared" si="25"/>
        <v>10500</v>
      </c>
      <c r="Q106">
        <f t="shared" si="30"/>
        <v>0</v>
      </c>
      <c r="R106" s="126">
        <f t="shared" si="26"/>
        <v>3.7253043235976459E-7</v>
      </c>
      <c r="S106" s="126">
        <f t="shared" si="27"/>
        <v>5.9633694712413797E-7</v>
      </c>
      <c r="AA106" s="126">
        <f t="shared" si="31"/>
        <v>1.0676934968737427E-6</v>
      </c>
      <c r="AB106" s="126">
        <f t="shared" si="32"/>
        <v>1.5451248601476705E-6</v>
      </c>
      <c r="AC106" s="126">
        <f t="shared" si="28"/>
        <v>2.6289095454832736E-8</v>
      </c>
      <c r="AD106" s="126">
        <f t="shared" si="29"/>
        <v>2.5190294055683688E-8</v>
      </c>
      <c r="AE106" s="128"/>
    </row>
    <row r="107" spans="1:31" x14ac:dyDescent="0.35">
      <c r="K107">
        <v>1000</v>
      </c>
      <c r="L107">
        <v>11</v>
      </c>
      <c r="M107">
        <f t="shared" si="21"/>
        <v>28</v>
      </c>
      <c r="N107">
        <f t="shared" si="23"/>
        <v>11000</v>
      </c>
      <c r="O107">
        <f t="shared" si="24"/>
        <v>10450</v>
      </c>
      <c r="P107">
        <f t="shared" si="25"/>
        <v>11550</v>
      </c>
      <c r="Q107">
        <f t="shared" si="30"/>
        <v>0</v>
      </c>
      <c r="R107" s="126">
        <f t="shared" si="26"/>
        <v>4.097834742980934E-7</v>
      </c>
      <c r="S107" s="126">
        <f t="shared" si="27"/>
        <v>6.5584882534394155E-7</v>
      </c>
      <c r="AA107" s="126">
        <f t="shared" si="31"/>
        <v>1.1744628428419847E-6</v>
      </c>
      <c r="AB107" s="126">
        <f t="shared" si="32"/>
        <v>1.699321716396387E-6</v>
      </c>
      <c r="AC107" s="126">
        <f t="shared" si="28"/>
        <v>2.623443808024128E-8</v>
      </c>
      <c r="AD107" s="126">
        <f t="shared" si="29"/>
        <v>2.5152560829541117E-8</v>
      </c>
      <c r="AE107" s="128"/>
    </row>
    <row r="108" spans="1:31" x14ac:dyDescent="0.35">
      <c r="K108">
        <v>1000</v>
      </c>
      <c r="L108">
        <v>12</v>
      </c>
      <c r="M108">
        <f t="shared" si="21"/>
        <v>28</v>
      </c>
      <c r="N108">
        <f t="shared" si="23"/>
        <v>12000</v>
      </c>
      <c r="O108">
        <f t="shared" si="24"/>
        <v>11400</v>
      </c>
      <c r="P108">
        <f t="shared" si="25"/>
        <v>12600</v>
      </c>
      <c r="Q108">
        <f t="shared" si="30"/>
        <v>0</v>
      </c>
      <c r="R108" s="126">
        <f t="shared" si="26"/>
        <v>4.4703651600048633E-7</v>
      </c>
      <c r="S108" s="126">
        <f t="shared" si="27"/>
        <v>7.1536070322290427E-7</v>
      </c>
      <c r="AA108" s="126">
        <f t="shared" si="31"/>
        <v>1.2812321881340211E-6</v>
      </c>
      <c r="AB108" s="126">
        <f t="shared" si="32"/>
        <v>1.8535185717619759E-6</v>
      </c>
      <c r="AC108" s="126">
        <f t="shared" si="28"/>
        <v>2.6189138375764285E-8</v>
      </c>
      <c r="AD108" s="126">
        <f t="shared" si="29"/>
        <v>2.5121277423071056E-8</v>
      </c>
      <c r="AE108" s="128"/>
    </row>
    <row r="109" spans="1:31" x14ac:dyDescent="0.35">
      <c r="K109">
        <v>1000</v>
      </c>
      <c r="L109">
        <v>13</v>
      </c>
      <c r="M109">
        <f t="shared" si="21"/>
        <v>28</v>
      </c>
      <c r="N109">
        <f t="shared" si="23"/>
        <v>13000</v>
      </c>
      <c r="O109">
        <f t="shared" si="24"/>
        <v>12350</v>
      </c>
      <c r="P109">
        <f t="shared" si="25"/>
        <v>13650</v>
      </c>
      <c r="Q109">
        <f t="shared" si="30"/>
        <v>0</v>
      </c>
      <c r="R109" s="126">
        <f t="shared" si="26"/>
        <v>4.8428955746694331E-7</v>
      </c>
      <c r="S109" s="126">
        <f t="shared" si="27"/>
        <v>7.7487258076102643E-7</v>
      </c>
      <c r="AA109" s="126">
        <f t="shared" si="31"/>
        <v>1.3880015327498513E-6</v>
      </c>
      <c r="AB109" s="126">
        <f t="shared" si="32"/>
        <v>2.0077154262444377E-6</v>
      </c>
      <c r="AC109" s="126">
        <f t="shared" si="28"/>
        <v>2.6150982635152636E-8</v>
      </c>
      <c r="AD109" s="126">
        <f t="shared" si="29"/>
        <v>2.5094920637156065E-8</v>
      </c>
      <c r="AE109" s="128"/>
    </row>
    <row r="110" spans="1:31" x14ac:dyDescent="0.35">
      <c r="K110">
        <v>1000</v>
      </c>
      <c r="L110">
        <v>15</v>
      </c>
      <c r="M110">
        <f t="shared" si="21"/>
        <v>28</v>
      </c>
      <c r="N110">
        <f t="shared" si="23"/>
        <v>15000</v>
      </c>
      <c r="O110">
        <f t="shared" si="24"/>
        <v>14250</v>
      </c>
      <c r="P110">
        <f t="shared" si="25"/>
        <v>15750</v>
      </c>
      <c r="Q110">
        <f t="shared" si="30"/>
        <v>0</v>
      </c>
      <c r="R110" s="126">
        <f t="shared" si="26"/>
        <v>5.5879563969204954E-7</v>
      </c>
      <c r="S110" s="126">
        <f t="shared" si="27"/>
        <v>8.9389633481474815E-7</v>
      </c>
      <c r="AA110" s="126">
        <f t="shared" si="31"/>
        <v>1.6015402199528948E-6</v>
      </c>
      <c r="AB110" s="126">
        <f t="shared" si="32"/>
        <v>2.3161091325599784E-6</v>
      </c>
      <c r="AC110" s="126">
        <f t="shared" si="28"/>
        <v>2.6090263942324506E-8</v>
      </c>
      <c r="AD110" s="126">
        <f t="shared" si="29"/>
        <v>2.5052965755937629E-8</v>
      </c>
      <c r="AE110" s="128"/>
    </row>
    <row r="111" spans="1:31" x14ac:dyDescent="0.35">
      <c r="K111">
        <v>1000</v>
      </c>
      <c r="L111">
        <v>16</v>
      </c>
      <c r="M111">
        <f t="shared" si="21"/>
        <v>28</v>
      </c>
      <c r="N111">
        <f t="shared" si="23"/>
        <v>16000</v>
      </c>
      <c r="O111">
        <f t="shared" si="24"/>
        <v>15200</v>
      </c>
      <c r="P111">
        <f t="shared" si="25"/>
        <v>16800</v>
      </c>
      <c r="Q111">
        <f t="shared" si="30"/>
        <v>0</v>
      </c>
      <c r="R111" s="126">
        <f t="shared" si="26"/>
        <v>5.9604868045069868E-7</v>
      </c>
      <c r="S111" s="126">
        <f t="shared" si="27"/>
        <v>9.5340821133034823E-7</v>
      </c>
      <c r="AA111" s="126">
        <f t="shared" si="31"/>
        <v>1.7083095625401078E-6</v>
      </c>
      <c r="AB111" s="126">
        <f t="shared" si="32"/>
        <v>2.4703059843930584E-6</v>
      </c>
      <c r="AC111" s="126">
        <f t="shared" si="28"/>
        <v>2.6065712339840965E-8</v>
      </c>
      <c r="AD111" s="126">
        <f t="shared" si="29"/>
        <v>2.5035997220478688E-8</v>
      </c>
      <c r="AE111" s="128"/>
    </row>
    <row r="112" spans="1:31" x14ac:dyDescent="0.35">
      <c r="K112">
        <v>1000</v>
      </c>
      <c r="L112">
        <v>18</v>
      </c>
      <c r="M112">
        <f t="shared" si="21"/>
        <v>28</v>
      </c>
      <c r="N112">
        <f t="shared" si="23"/>
        <v>18000</v>
      </c>
      <c r="O112">
        <f t="shared" si="24"/>
        <v>17100</v>
      </c>
      <c r="P112">
        <f t="shared" si="25"/>
        <v>18900</v>
      </c>
      <c r="Q112">
        <f t="shared" si="30"/>
        <v>0</v>
      </c>
      <c r="R112" s="126">
        <f t="shared" si="26"/>
        <v>6.7055476126018945E-7</v>
      </c>
      <c r="S112" s="126">
        <f t="shared" si="27"/>
        <v>1.0724319633390255E-6</v>
      </c>
      <c r="AA112" s="126">
        <f t="shared" si="31"/>
        <v>1.9218482456859162E-6</v>
      </c>
      <c r="AB112" s="126">
        <f t="shared" si="32"/>
        <v>2.778699685409835E-6</v>
      </c>
      <c r="AC112" s="126">
        <f t="shared" si="28"/>
        <v>2.6024940056422539E-8</v>
      </c>
      <c r="AD112" s="126">
        <f t="shared" si="29"/>
        <v>2.5007813055304913E-8</v>
      </c>
      <c r="AE112" s="128"/>
    </row>
    <row r="113" spans="11:31" x14ac:dyDescent="0.35">
      <c r="K113">
        <v>1000</v>
      </c>
      <c r="L113">
        <v>20</v>
      </c>
      <c r="M113">
        <f t="shared" si="21"/>
        <v>28</v>
      </c>
      <c r="N113">
        <f t="shared" si="23"/>
        <v>20000</v>
      </c>
      <c r="O113">
        <f t="shared" si="24"/>
        <v>19000</v>
      </c>
      <c r="P113">
        <f t="shared" si="25"/>
        <v>21000</v>
      </c>
      <c r="Q113">
        <f t="shared" si="30"/>
        <v>0</v>
      </c>
      <c r="R113" s="126">
        <f t="shared" si="26"/>
        <v>7.4506084112593666E-7</v>
      </c>
      <c r="S113" s="126">
        <f t="shared" si="27"/>
        <v>1.1914557139843403E-6</v>
      </c>
      <c r="AA113" s="126">
        <f t="shared" si="31"/>
        <v>2.1353869261269018E-6</v>
      </c>
      <c r="AB113" s="126">
        <f t="shared" si="32"/>
        <v>3.0870933828941021E-6</v>
      </c>
      <c r="AC113" s="126">
        <f t="shared" si="28"/>
        <v>2.5992453834604427E-8</v>
      </c>
      <c r="AD113" s="126">
        <f t="shared" si="29"/>
        <v>2.4985352509820291E-8</v>
      </c>
      <c r="AE113" s="128"/>
    </row>
    <row r="114" spans="11:31" x14ac:dyDescent="0.35">
      <c r="K114">
        <v>1000</v>
      </c>
      <c r="L114">
        <v>22</v>
      </c>
      <c r="M114">
        <f t="shared" si="21"/>
        <v>28</v>
      </c>
      <c r="N114">
        <f t="shared" si="23"/>
        <v>22000</v>
      </c>
      <c r="O114">
        <f t="shared" si="24"/>
        <v>20900</v>
      </c>
      <c r="P114">
        <f t="shared" si="25"/>
        <v>23100</v>
      </c>
      <c r="Q114">
        <f t="shared" si="30"/>
        <v>0</v>
      </c>
      <c r="R114" s="126">
        <f t="shared" si="26"/>
        <v>8.1956692004793997E-7</v>
      </c>
      <c r="S114" s="126">
        <f t="shared" si="27"/>
        <v>1.3104794632662918E-6</v>
      </c>
      <c r="AA114" s="126">
        <f t="shared" si="31"/>
        <v>2.3489256038630638E-6</v>
      </c>
      <c r="AB114" s="126">
        <f t="shared" si="32"/>
        <v>3.3954870768458599E-6</v>
      </c>
      <c r="AC114" s="126">
        <f t="shared" si="28"/>
        <v>2.5965960711379783E-8</v>
      </c>
      <c r="AD114" s="126">
        <f t="shared" si="29"/>
        <v>2.496703289938926E-8</v>
      </c>
      <c r="AE114" s="128"/>
    </row>
    <row r="115" spans="11:31" x14ac:dyDescent="0.35">
      <c r="K115">
        <v>1000</v>
      </c>
      <c r="L115">
        <v>24</v>
      </c>
      <c r="M115">
        <f t="shared" si="21"/>
        <v>28</v>
      </c>
      <c r="N115">
        <f t="shared" si="23"/>
        <v>24000</v>
      </c>
      <c r="O115">
        <f t="shared" si="24"/>
        <v>22800</v>
      </c>
      <c r="P115">
        <f t="shared" si="25"/>
        <v>25200</v>
      </c>
      <c r="Q115">
        <f t="shared" si="30"/>
        <v>0</v>
      </c>
      <c r="R115" s="126">
        <f t="shared" si="26"/>
        <v>8.9407299802620003E-7</v>
      </c>
      <c r="S115" s="126">
        <f t="shared" si="27"/>
        <v>1.429503211184881E-6</v>
      </c>
      <c r="AA115" s="126">
        <f t="shared" si="31"/>
        <v>2.5624642788944031E-6</v>
      </c>
      <c r="AB115" s="126">
        <f t="shared" si="32"/>
        <v>3.7038807672651091E-6</v>
      </c>
      <c r="AC115" s="126">
        <f t="shared" si="28"/>
        <v>2.5943942309162836E-8</v>
      </c>
      <c r="AD115" s="126">
        <f t="shared" si="29"/>
        <v>2.4951805781708454E-8</v>
      </c>
      <c r="AE115" s="128"/>
    </row>
    <row r="116" spans="11:31" x14ac:dyDescent="0.35">
      <c r="K116">
        <v>1000</v>
      </c>
      <c r="L116">
        <v>27</v>
      </c>
      <c r="M116">
        <f t="shared" si="21"/>
        <v>28</v>
      </c>
      <c r="N116">
        <f t="shared" si="23"/>
        <v>27000</v>
      </c>
      <c r="O116">
        <f t="shared" si="24"/>
        <v>25650</v>
      </c>
      <c r="P116">
        <f t="shared" si="25"/>
        <v>28350</v>
      </c>
      <c r="Q116">
        <f t="shared" si="30"/>
        <v>0</v>
      </c>
      <c r="R116" s="126">
        <f t="shared" si="26"/>
        <v>1.0058321132240706E-6</v>
      </c>
      <c r="S116" s="126">
        <f t="shared" si="27"/>
        <v>1.6080388305064589E-6</v>
      </c>
      <c r="AA116" s="126">
        <f t="shared" si="31"/>
        <v>2.8827722863698686E-6</v>
      </c>
      <c r="AB116" s="126">
        <f t="shared" si="32"/>
        <v>4.166471296270527E-6</v>
      </c>
      <c r="AC116" s="126">
        <f t="shared" si="28"/>
        <v>2.5917103698713573E-8</v>
      </c>
      <c r="AD116" s="126">
        <f t="shared" si="29"/>
        <v>2.4933243170200266E-8</v>
      </c>
      <c r="AE116" s="128"/>
    </row>
    <row r="117" spans="11:31" x14ac:dyDescent="0.35">
      <c r="K117">
        <v>1000</v>
      </c>
      <c r="L117">
        <v>30</v>
      </c>
      <c r="M117">
        <f t="shared" si="21"/>
        <v>28</v>
      </c>
      <c r="N117">
        <f t="shared" si="23"/>
        <v>30000</v>
      </c>
      <c r="O117">
        <f t="shared" si="24"/>
        <v>28500</v>
      </c>
      <c r="P117">
        <f t="shared" si="25"/>
        <v>31500</v>
      </c>
      <c r="Q117">
        <f t="shared" si="30"/>
        <v>0</v>
      </c>
      <c r="R117" s="126">
        <f t="shared" si="26"/>
        <v>1.1175912262985184E-6</v>
      </c>
      <c r="S117" s="126">
        <f t="shared" si="27"/>
        <v>1.7865744467604709E-6</v>
      </c>
      <c r="AA117" s="126">
        <f t="shared" si="31"/>
        <v>3.2030802877594832E-6</v>
      </c>
      <c r="AB117" s="126">
        <f t="shared" si="32"/>
        <v>4.6290618173278002E-6</v>
      </c>
      <c r="AC117" s="126">
        <f t="shared" si="28"/>
        <v>2.5895690211018886E-8</v>
      </c>
      <c r="AD117" s="126">
        <f t="shared" si="29"/>
        <v>2.4918431257799911E-8</v>
      </c>
      <c r="AE117" s="128"/>
    </row>
    <row r="118" spans="11:31" x14ac:dyDescent="0.35">
      <c r="K118">
        <v>1000</v>
      </c>
      <c r="L118">
        <v>33</v>
      </c>
      <c r="M118">
        <f t="shared" si="21"/>
        <v>28</v>
      </c>
      <c r="N118">
        <f t="shared" si="23"/>
        <v>33000</v>
      </c>
      <c r="O118">
        <f t="shared" si="24"/>
        <v>31350</v>
      </c>
      <c r="P118">
        <f t="shared" si="25"/>
        <v>34650</v>
      </c>
      <c r="Q118">
        <f t="shared" si="30"/>
        <v>0</v>
      </c>
      <c r="R118" s="126">
        <f t="shared" si="26"/>
        <v>1.2293503372495429E-6</v>
      </c>
      <c r="S118" s="126">
        <f t="shared" si="27"/>
        <v>1.9651100599469157E-6</v>
      </c>
      <c r="AA118" s="126">
        <f t="shared" si="31"/>
        <v>3.5233882830632454E-6</v>
      </c>
      <c r="AB118" s="126">
        <f t="shared" si="32"/>
        <v>5.0916523304369246E-6</v>
      </c>
      <c r="AC118" s="126">
        <f t="shared" si="28"/>
        <v>2.5878207891880892E-8</v>
      </c>
      <c r="AD118" s="126">
        <f t="shared" si="29"/>
        <v>2.490633760890129E-8</v>
      </c>
      <c r="AE118" s="128"/>
    </row>
    <row r="119" spans="11:31" x14ac:dyDescent="0.35">
      <c r="K119">
        <v>1000</v>
      </c>
      <c r="L119">
        <v>36</v>
      </c>
      <c r="M119">
        <f t="shared" si="21"/>
        <v>28</v>
      </c>
      <c r="N119">
        <f t="shared" si="23"/>
        <v>36000</v>
      </c>
      <c r="O119">
        <f t="shared" si="24"/>
        <v>34200</v>
      </c>
      <c r="P119">
        <f t="shared" si="25"/>
        <v>37800</v>
      </c>
      <c r="Q119">
        <f t="shared" si="30"/>
        <v>0</v>
      </c>
      <c r="R119" s="126">
        <f t="shared" si="26"/>
        <v>1.3411094460771447E-6</v>
      </c>
      <c r="S119" s="126">
        <f t="shared" si="27"/>
        <v>2.1436456700657949E-6</v>
      </c>
      <c r="AA119" s="126">
        <f t="shared" si="31"/>
        <v>3.8436962722811567E-6</v>
      </c>
      <c r="AB119" s="126">
        <f t="shared" si="32"/>
        <v>5.5542428355979059E-6</v>
      </c>
      <c r="AC119" s="126">
        <f t="shared" si="28"/>
        <v>2.5863665204959542E-8</v>
      </c>
      <c r="AD119" s="126">
        <f t="shared" si="29"/>
        <v>2.4896276856047368E-8</v>
      </c>
      <c r="AE119" s="128"/>
    </row>
    <row r="120" spans="11:31" x14ac:dyDescent="0.35">
      <c r="K120">
        <v>1000</v>
      </c>
      <c r="L120">
        <v>39</v>
      </c>
      <c r="M120">
        <f t="shared" si="21"/>
        <v>28</v>
      </c>
      <c r="N120">
        <f t="shared" si="23"/>
        <v>39000</v>
      </c>
      <c r="O120">
        <f t="shared" si="24"/>
        <v>37050</v>
      </c>
      <c r="P120">
        <f t="shared" si="25"/>
        <v>40950</v>
      </c>
      <c r="Q120">
        <f t="shared" si="30"/>
        <v>0</v>
      </c>
      <c r="R120" s="126">
        <f t="shared" si="26"/>
        <v>1.4528685527813237E-6</v>
      </c>
      <c r="S120" s="126">
        <f t="shared" si="27"/>
        <v>2.3221812771171084E-6</v>
      </c>
      <c r="AA120" s="126">
        <f t="shared" si="31"/>
        <v>4.1640042554132176E-6</v>
      </c>
      <c r="AB120" s="126">
        <f t="shared" si="32"/>
        <v>6.0168333328107434E-6</v>
      </c>
      <c r="AC120" s="126">
        <f t="shared" si="28"/>
        <v>2.5851378206778612E-8</v>
      </c>
      <c r="AD120" s="126">
        <f t="shared" si="29"/>
        <v>2.4887776169573781E-8</v>
      </c>
      <c r="AE120" s="128"/>
    </row>
    <row r="121" spans="11:31" x14ac:dyDescent="0.35">
      <c r="K121">
        <v>1000</v>
      </c>
      <c r="L121">
        <v>43</v>
      </c>
      <c r="M121">
        <f t="shared" si="21"/>
        <v>28</v>
      </c>
      <c r="N121">
        <f t="shared" si="23"/>
        <v>43000</v>
      </c>
      <c r="O121">
        <f t="shared" si="24"/>
        <v>40850</v>
      </c>
      <c r="P121">
        <f t="shared" si="25"/>
        <v>45150</v>
      </c>
      <c r="Q121">
        <f t="shared" si="30"/>
        <v>0</v>
      </c>
      <c r="R121" s="126">
        <f t="shared" si="26"/>
        <v>1.6018806917504604E-6</v>
      </c>
      <c r="S121" s="126">
        <f t="shared" si="27"/>
        <v>2.5602287484137571E-6</v>
      </c>
      <c r="AA121" s="126">
        <f t="shared" si="31"/>
        <v>4.5910815567890853E-6</v>
      </c>
      <c r="AB121" s="126">
        <f t="shared" si="32"/>
        <v>6.6336206500640777E-6</v>
      </c>
      <c r="AC121" s="126">
        <f t="shared" si="28"/>
        <v>2.5837682312318012E-8</v>
      </c>
      <c r="AD121" s="126">
        <f t="shared" si="29"/>
        <v>2.4878300286777453E-8</v>
      </c>
      <c r="AE121" s="128"/>
    </row>
    <row r="122" spans="11:31" x14ac:dyDescent="0.35">
      <c r="K122">
        <v>1000</v>
      </c>
      <c r="L122">
        <v>47</v>
      </c>
      <c r="M122">
        <f t="shared" si="21"/>
        <v>28</v>
      </c>
      <c r="N122">
        <f t="shared" si="23"/>
        <v>47000</v>
      </c>
      <c r="O122">
        <f t="shared" si="24"/>
        <v>44650</v>
      </c>
      <c r="P122">
        <f t="shared" si="25"/>
        <v>49350</v>
      </c>
      <c r="Q122">
        <f t="shared" si="30"/>
        <v>0</v>
      </c>
      <c r="R122" s="126">
        <f t="shared" si="26"/>
        <v>1.7508928269446231E-6</v>
      </c>
      <c r="S122" s="126">
        <f t="shared" si="27"/>
        <v>2.7982762142569549E-6</v>
      </c>
      <c r="AA122" s="126">
        <f t="shared" si="31"/>
        <v>5.0181588473456631E-6</v>
      </c>
      <c r="AB122" s="126">
        <f t="shared" si="32"/>
        <v>7.2504079531873768E-6</v>
      </c>
      <c r="AC122" s="126">
        <f t="shared" si="28"/>
        <v>2.5826333476719658E-8</v>
      </c>
      <c r="AD122" s="126">
        <f t="shared" si="29"/>
        <v>2.4870447923808868E-8</v>
      </c>
      <c r="AE122" s="128"/>
    </row>
    <row r="123" spans="11:31" x14ac:dyDescent="0.35">
      <c r="K123">
        <v>1000</v>
      </c>
      <c r="L123">
        <v>51</v>
      </c>
      <c r="M123">
        <f t="shared" si="21"/>
        <v>28</v>
      </c>
      <c r="N123">
        <f t="shared" si="23"/>
        <v>51000</v>
      </c>
      <c r="O123">
        <f t="shared" si="24"/>
        <v>48450</v>
      </c>
      <c r="P123">
        <f t="shared" si="25"/>
        <v>53550</v>
      </c>
      <c r="Q123">
        <f t="shared" si="30"/>
        <v>0</v>
      </c>
      <c r="R123" s="126">
        <f t="shared" si="26"/>
        <v>1.8999049583638129E-6</v>
      </c>
      <c r="S123" s="126">
        <f t="shared" si="27"/>
        <v>3.0363236746467035E-6</v>
      </c>
      <c r="AA123" s="126">
        <f t="shared" si="31"/>
        <v>5.4452361270829519E-6</v>
      </c>
      <c r="AB123" s="126">
        <f t="shared" si="32"/>
        <v>7.8671952421806426E-6</v>
      </c>
      <c r="AC123" s="126">
        <f t="shared" si="28"/>
        <v>2.5816775993197267E-8</v>
      </c>
      <c r="AD123" s="126">
        <f t="shared" si="29"/>
        <v>2.4863834768546183E-8</v>
      </c>
      <c r="AE123" s="128"/>
    </row>
    <row r="124" spans="11:31" x14ac:dyDescent="0.35">
      <c r="K124">
        <v>1000</v>
      </c>
      <c r="L124">
        <v>56</v>
      </c>
      <c r="M124">
        <f t="shared" si="21"/>
        <v>28</v>
      </c>
      <c r="N124">
        <f t="shared" si="23"/>
        <v>56000</v>
      </c>
      <c r="O124">
        <f t="shared" si="24"/>
        <v>53200</v>
      </c>
      <c r="P124">
        <f t="shared" si="25"/>
        <v>58800</v>
      </c>
      <c r="Q124">
        <f t="shared" si="30"/>
        <v>0</v>
      </c>
      <c r="R124" s="126">
        <f t="shared" si="26"/>
        <v>2.0861701173292438E-6</v>
      </c>
      <c r="S124" s="126">
        <f t="shared" si="27"/>
        <v>3.3338829924649733E-6</v>
      </c>
      <c r="AA124" s="126">
        <f t="shared" si="31"/>
        <v>5.9790827115399383E-6</v>
      </c>
      <c r="AB124" s="126">
        <f t="shared" si="32"/>
        <v>8.6381793335518632E-6</v>
      </c>
      <c r="AC124" s="126">
        <f t="shared" si="28"/>
        <v>2.5806760106879051E-8</v>
      </c>
      <c r="AD124" s="126">
        <f t="shared" si="29"/>
        <v>2.4856904193444175E-8</v>
      </c>
      <c r="AE124" s="128"/>
    </row>
    <row r="125" spans="11:31" x14ac:dyDescent="0.35">
      <c r="K125">
        <v>1000</v>
      </c>
      <c r="L125">
        <v>62</v>
      </c>
      <c r="M125">
        <f t="shared" si="21"/>
        <v>28</v>
      </c>
      <c r="N125">
        <f t="shared" si="23"/>
        <v>62000</v>
      </c>
      <c r="O125">
        <f t="shared" si="24"/>
        <v>58900</v>
      </c>
      <c r="P125">
        <f t="shared" si="25"/>
        <v>65100</v>
      </c>
      <c r="Q125">
        <f t="shared" si="30"/>
        <v>0</v>
      </c>
      <c r="R125" s="126">
        <f t="shared" si="26"/>
        <v>2.3096883003018783E-6</v>
      </c>
      <c r="S125" s="126">
        <f t="shared" si="27"/>
        <v>3.6909541625991583E-6</v>
      </c>
      <c r="AA125" s="126">
        <f t="shared" si="31"/>
        <v>6.6196985905735367E-6</v>
      </c>
      <c r="AB125" s="126">
        <f t="shared" si="32"/>
        <v>9.5633602140541361E-6</v>
      </c>
      <c r="AC125" s="126">
        <f t="shared" si="28"/>
        <v>2.5796884423322727E-8</v>
      </c>
      <c r="AD125" s="126">
        <f t="shared" si="29"/>
        <v>2.4850070402611509E-8</v>
      </c>
      <c r="AE125" s="128"/>
    </row>
    <row r="126" spans="11:31" x14ac:dyDescent="0.35">
      <c r="K126">
        <v>1000</v>
      </c>
      <c r="L126">
        <v>68</v>
      </c>
      <c r="M126">
        <f t="shared" si="21"/>
        <v>28</v>
      </c>
      <c r="N126">
        <f t="shared" si="23"/>
        <v>68000</v>
      </c>
      <c r="O126">
        <f t="shared" si="24"/>
        <v>64600</v>
      </c>
      <c r="P126">
        <f t="shared" si="25"/>
        <v>71400</v>
      </c>
      <c r="Q126">
        <f t="shared" si="30"/>
        <v>0</v>
      </c>
      <c r="R126" s="126">
        <f t="shared" si="26"/>
        <v>2.5332064747808239E-6</v>
      </c>
      <c r="S126" s="126">
        <f t="shared" si="27"/>
        <v>4.0480253204630801E-6</v>
      </c>
      <c r="AA126" s="126">
        <f t="shared" si="31"/>
        <v>7.2603144452637376E-6</v>
      </c>
      <c r="AB126" s="126">
        <f t="shared" si="32"/>
        <v>1.0488541062763834E-5</v>
      </c>
      <c r="AC126" s="126">
        <f t="shared" si="28"/>
        <v>2.5788759674376437E-8</v>
      </c>
      <c r="AD126" s="126">
        <f t="shared" si="29"/>
        <v>2.4844448058614304E-8</v>
      </c>
      <c r="AE126" s="128"/>
    </row>
    <row r="127" spans="11:31" x14ac:dyDescent="0.35">
      <c r="K127">
        <v>1000</v>
      </c>
      <c r="L127">
        <v>75</v>
      </c>
      <c r="M127">
        <f t="shared" si="21"/>
        <v>28</v>
      </c>
      <c r="N127">
        <f t="shared" si="23"/>
        <v>75000</v>
      </c>
      <c r="O127">
        <f t="shared" si="24"/>
        <v>71250</v>
      </c>
      <c r="P127">
        <f t="shared" si="25"/>
        <v>78750</v>
      </c>
      <c r="Q127">
        <f t="shared" si="30"/>
        <v>0</v>
      </c>
      <c r="R127" s="126">
        <f t="shared" si="26"/>
        <v>2.7939776676045158E-6</v>
      </c>
      <c r="S127" s="126">
        <f t="shared" si="27"/>
        <v>4.4646083224627442E-6</v>
      </c>
      <c r="AA127" s="126">
        <f t="shared" si="31"/>
        <v>8.0076995783016263E-6</v>
      </c>
      <c r="AB127" s="126">
        <f t="shared" si="32"/>
        <v>1.1567918679409537E-5</v>
      </c>
      <c r="AC127" s="126">
        <f t="shared" si="28"/>
        <v>2.5780930782787869E-8</v>
      </c>
      <c r="AD127" s="126">
        <f t="shared" si="29"/>
        <v>2.4839030308376573E-8</v>
      </c>
      <c r="AE127" s="128"/>
    </row>
    <row r="128" spans="11:31" x14ac:dyDescent="0.35">
      <c r="K128">
        <v>1000</v>
      </c>
      <c r="L128">
        <v>82</v>
      </c>
      <c r="M128">
        <f t="shared" si="21"/>
        <v>28</v>
      </c>
      <c r="N128">
        <f t="shared" si="23"/>
        <v>82000</v>
      </c>
      <c r="O128">
        <f t="shared" si="24"/>
        <v>77900</v>
      </c>
      <c r="P128">
        <f t="shared" si="25"/>
        <v>86100</v>
      </c>
      <c r="Q128">
        <f t="shared" si="30"/>
        <v>0</v>
      </c>
      <c r="R128" s="126">
        <f t="shared" si="26"/>
        <v>3.0547488488673536E-6</v>
      </c>
      <c r="S128" s="126">
        <f t="shared" si="27"/>
        <v>4.8811913077612216E-6</v>
      </c>
      <c r="AA128" s="126">
        <f t="shared" si="31"/>
        <v>8.7550846782054452E-6</v>
      </c>
      <c r="AB128" s="126">
        <f t="shared" si="32"/>
        <v>1.2647296252782025E-5</v>
      </c>
      <c r="AC128" s="126">
        <f t="shared" si="28"/>
        <v>2.5774443720897041E-8</v>
      </c>
      <c r="AD128" s="126">
        <f t="shared" si="29"/>
        <v>2.483454102893579E-8</v>
      </c>
      <c r="AE128" s="128"/>
    </row>
    <row r="129" spans="11:31" x14ac:dyDescent="0.35">
      <c r="K129">
        <v>1000</v>
      </c>
      <c r="L129">
        <v>91</v>
      </c>
      <c r="M129">
        <f t="shared" si="21"/>
        <v>28</v>
      </c>
      <c r="N129">
        <f t="shared" si="23"/>
        <v>91000</v>
      </c>
      <c r="O129">
        <f t="shared" si="24"/>
        <v>86450</v>
      </c>
      <c r="P129">
        <f t="shared" si="25"/>
        <v>95550</v>
      </c>
      <c r="Q129">
        <f t="shared" si="30"/>
        <v>0</v>
      </c>
      <c r="R129" s="126">
        <f t="shared" si="26"/>
        <v>3.390026064932199E-6</v>
      </c>
      <c r="S129" s="126">
        <f t="shared" si="27"/>
        <v>5.4167979786044576E-6</v>
      </c>
      <c r="AA129" s="126">
        <f t="shared" si="31"/>
        <v>9.7160083293949993E-6</v>
      </c>
      <c r="AB129" s="126">
        <f t="shared" si="32"/>
        <v>1.403506735496151E-5</v>
      </c>
      <c r="AC129" s="126">
        <f t="shared" si="28"/>
        <v>2.5767574804149267E-8</v>
      </c>
      <c r="AD129" s="126">
        <f t="shared" si="29"/>
        <v>2.4829787392972187E-8</v>
      </c>
      <c r="AE129" s="128"/>
    </row>
    <row r="130" spans="11:31" x14ac:dyDescent="0.35">
      <c r="M130">
        <f t="shared" si="21"/>
        <v>28</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231" priority="32" stopIfTrue="1">
      <formula>AND($B$11="need resistor",$C$11&gt;0)</formula>
    </cfRule>
    <cfRule type="containsText" dxfId="230" priority="36" operator="containsText" text="need resistor">
      <formula>NOT(ISERROR(SEARCH("need resistor",B11)))</formula>
    </cfRule>
  </conditionalFormatting>
  <conditionalFormatting sqref="B11:B12">
    <cfRule type="containsText" dxfId="229" priority="34" operator="containsText" text="no need">
      <formula>NOT(ISERROR(SEARCH("no need",B11)))</formula>
    </cfRule>
  </conditionalFormatting>
  <conditionalFormatting sqref="B12">
    <cfRule type="expression" dxfId="228" priority="31" stopIfTrue="1">
      <formula>AND($B$12="need resistor",$C$12&gt;0)</formula>
    </cfRule>
    <cfRule type="containsText" dxfId="227" priority="33" operator="containsText" text="need resistor">
      <formula>NOT(ISERROR(SEARCH("need resistor",B12)))</formula>
    </cfRule>
  </conditionalFormatting>
  <conditionalFormatting sqref="B42">
    <cfRule type="expression" dxfId="226" priority="59">
      <formula>AND($B$42&gt;$S$2,$B$2=1)</formula>
    </cfRule>
    <cfRule type="expression" dxfId="225" priority="58">
      <formula>AND($B$42&lt;$R$2,$B$2=0)</formula>
    </cfRule>
    <cfRule type="expression" dxfId="224" priority="57" stopIfTrue="1">
      <formula>AND($B$42&lt;=$S$2,$B$2=1)</formula>
    </cfRule>
    <cfRule type="expression" dxfId="223" priority="56" stopIfTrue="1">
      <formula>AND($B$42&gt;=$R$2,$B$2=0)</formula>
    </cfRule>
  </conditionalFormatting>
  <conditionalFormatting sqref="B62">
    <cfRule type="expression" dxfId="222" priority="67">
      <formula>AND($B$62&gt;$S$2,$B$2=1)</formula>
    </cfRule>
    <cfRule type="expression" dxfId="221" priority="66">
      <formula>AND($B$62&lt;$R$2,$B$2=0)</formula>
    </cfRule>
    <cfRule type="expression" dxfId="220" priority="65" stopIfTrue="1">
      <formula>AND($B$62&lt;=$S$2,$B$2=1)</formula>
    </cfRule>
    <cfRule type="expression" dxfId="219" priority="64" stopIfTrue="1">
      <formula>AND($B$62&gt;=$R$2,$B$2=0)</formula>
    </cfRule>
  </conditionalFormatting>
  <conditionalFormatting sqref="B84">
    <cfRule type="cellIs" dxfId="218" priority="45" operator="greaterThan">
      <formula>$S$3</formula>
    </cfRule>
    <cfRule type="cellIs" dxfId="217" priority="44" operator="lessThanOrEqual">
      <formula>$S$3</formula>
    </cfRule>
  </conditionalFormatting>
  <conditionalFormatting sqref="B102">
    <cfRule type="cellIs" dxfId="216" priority="48" operator="lessThanOrEqual">
      <formula>$S$2</formula>
    </cfRule>
    <cfRule type="cellIs" dxfId="215" priority="49" operator="greaterThan">
      <formula>$S$2</formula>
    </cfRule>
  </conditionalFormatting>
  <conditionalFormatting sqref="B18:C18">
    <cfRule type="expression" dxfId="214" priority="53">
      <formula>OR(AND($B$2=0,$C$18&lt;$R$2),AND($B$2=1,$C$18&gt;$S$2))</formula>
    </cfRule>
    <cfRule type="expression" dxfId="213" priority="52" stopIfTrue="1">
      <formula>OR(AND($B$2=0,$C$18&gt;=$R$2),AND($B$2=1,$C$18&lt;=$S$2))</formula>
    </cfRule>
  </conditionalFormatting>
  <conditionalFormatting sqref="B19:C19">
    <cfRule type="expression" dxfId="212" priority="55">
      <formula>OR(AND($B$3=0,$C$19&lt;$R$3),AND($B$3=1,$C$19&gt;$S$3))</formula>
    </cfRule>
    <cfRule type="expression" dxfId="211" priority="54" stopIfTrue="1">
      <formula>OR(AND($B$3=0,$C$19&gt;=$R$3),AND($B$3=1,$C$19&lt;=$S$3))</formula>
    </cfRule>
  </conditionalFormatting>
  <conditionalFormatting sqref="C14">
    <cfRule type="cellIs" dxfId="210" priority="26" operator="equal">
      <formula>"no solution"</formula>
    </cfRule>
  </conditionalFormatting>
  <conditionalFormatting sqref="C44">
    <cfRule type="expression" dxfId="209" priority="63">
      <formula>AND($B$44&gt;$S$3,$B$3=1)</formula>
    </cfRule>
    <cfRule type="expression" dxfId="208" priority="62">
      <formula>AND($B$44&lt;$R$3,$B$3=0)</formula>
    </cfRule>
    <cfRule type="expression" dxfId="207" priority="61" stopIfTrue="1">
      <formula>AND($C$44&lt;=$S$3,$B$3=1)</formula>
    </cfRule>
    <cfRule type="expression" dxfId="206" priority="60" stopIfTrue="1">
      <formula>AND($C$44&gt;=$R$3,$B$3=0)</formula>
    </cfRule>
  </conditionalFormatting>
  <conditionalFormatting sqref="C64">
    <cfRule type="expression" dxfId="205" priority="69" stopIfTrue="1">
      <formula>AND($C$64&lt;=$S$3,$B$3=1)</formula>
    </cfRule>
    <cfRule type="expression" dxfId="204" priority="70">
      <formula>AND($B$64&lt;$R$3,$B$3=0)</formula>
    </cfRule>
    <cfRule type="expression" dxfId="203" priority="71">
      <formula>AND($B$64&gt;$S$3,$B$3=1)</formula>
    </cfRule>
    <cfRule type="expression" dxfId="202" priority="68" stopIfTrue="1">
      <formula>AND($C$64&gt;=$R$3,$B$3=0)</formula>
    </cfRule>
  </conditionalFormatting>
  <conditionalFormatting sqref="C102:D102">
    <cfRule type="cellIs" dxfId="201" priority="28" operator="lessThan">
      <formula>$R$2</formula>
    </cfRule>
    <cfRule type="cellIs" dxfId="200" priority="27" operator="greaterThanOrEqual">
      <formula>$R$2</formula>
    </cfRule>
  </conditionalFormatting>
  <conditionalFormatting sqref="C84:H84">
    <cfRule type="cellIs" dxfId="199" priority="13" operator="lessThan">
      <formula>$R$3</formula>
    </cfRule>
    <cfRule type="cellIs" dxfId="198" priority="12" operator="greaterThanOrEqual">
      <formula>$R$3</formula>
    </cfRule>
  </conditionalFormatting>
  <conditionalFormatting sqref="D11">
    <cfRule type="containsText" dxfId="197" priority="39" stopIfTrue="1" operator="containsText" text="please remove resistor">
      <formula>NOT(ISERROR(SEARCH("please remove resistor",D11)))</formula>
    </cfRule>
    <cfRule type="cellIs" dxfId="196" priority="41" operator="greaterThan">
      <formula>$S$2</formula>
    </cfRule>
    <cfRule type="cellIs" dxfId="195" priority="40" operator="lessThan">
      <formula>$S$2</formula>
    </cfRule>
  </conditionalFormatting>
  <conditionalFormatting sqref="D11:D12">
    <cfRule type="cellIs" priority="24" stopIfTrue="1" operator="equal">
      <formula>""</formula>
    </cfRule>
  </conditionalFormatting>
  <conditionalFormatting sqref="D12 E18:E19">
    <cfRule type="cellIs" dxfId="194" priority="38" operator="lessThan">
      <formula>$R$2-$N$7</formula>
    </cfRule>
    <cfRule type="cellIs" dxfId="193" priority="37" operator="greaterThanOrEqual">
      <formula>$R$2-$N$7</formula>
    </cfRule>
  </conditionalFormatting>
  <conditionalFormatting sqref="D18:D19">
    <cfRule type="cellIs" dxfId="192" priority="42" operator="lessThanOrEqual">
      <formula>$S$2+$N$7</formula>
    </cfRule>
    <cfRule type="cellIs" dxfId="191" priority="43" operator="greaterThan">
      <formula>$S$2+$N$7</formula>
    </cfRule>
  </conditionalFormatting>
  <conditionalFormatting sqref="E102">
    <cfRule type="cellIs" dxfId="190" priority="11" operator="lessThan">
      <formula>$R$3</formula>
    </cfRule>
    <cfRule type="cellIs" dxfId="189" priority="10" operator="greaterThanOrEqual">
      <formula>$R$3</formula>
    </cfRule>
  </conditionalFormatting>
  <conditionalFormatting sqref="F21">
    <cfRule type="containsText" dxfId="188" priority="9" operator="containsText" text="failed">
      <formula>NOT(ISERROR(SEARCH("failed",F21)))</formula>
    </cfRule>
  </conditionalFormatting>
  <conditionalFormatting sqref="F22">
    <cfRule type="containsText" dxfId="187" priority="8" operator="containsText" text="fail">
      <formula>NOT(ISERROR(SEARCH("fail",F22)))</formula>
    </cfRule>
  </conditionalFormatting>
  <conditionalFormatting sqref="F23">
    <cfRule type="containsText" dxfId="186" priority="7" operator="containsText" text="failed">
      <formula>NOT(ISERROR(SEARCH("failed",F23)))</formula>
    </cfRule>
  </conditionalFormatting>
  <conditionalFormatting sqref="F102:H102">
    <cfRule type="cellIs" dxfId="185" priority="20" operator="greaterThanOrEqual">
      <formula>$R$2</formula>
    </cfRule>
    <cfRule type="cellIs" dxfId="184" priority="21" operator="lessThan">
      <formula>$R$2</formula>
    </cfRule>
  </conditionalFormatting>
  <conditionalFormatting sqref="G18">
    <cfRule type="cellIs" dxfId="183" priority="2" operator="lessThan">
      <formula>$V$2</formula>
    </cfRule>
    <cfRule type="cellIs" dxfId="182" priority="1" operator="greaterThan">
      <formula>$V$2</formula>
    </cfRule>
  </conditionalFormatting>
  <conditionalFormatting sqref="G19">
    <cfRule type="cellIs" dxfId="181" priority="3" operator="greaterThan">
      <formula>$V$3</formula>
    </cfRule>
    <cfRule type="cellIs" dxfId="180" priority="4" operator="lessThan">
      <formula>$V$3</formula>
    </cfRule>
  </conditionalFormatting>
  <conditionalFormatting sqref="I18:I19">
    <cfRule type="cellIs" dxfId="179" priority="6" operator="lessThan">
      <formula>$W$2</formula>
    </cfRule>
    <cfRule type="cellIs" dxfId="178" priority="5" operator="greaterThan">
      <formula>$W$2</formula>
    </cfRule>
  </conditionalFormatting>
  <conditionalFormatting sqref="K12">
    <cfRule type="expression" dxfId="177" priority="72">
      <formula>SEARCH("reduce",$F$23)</formula>
    </cfRule>
    <cfRule type="expression" dxfId="176" priority="73">
      <formula>SEARCH("reduce",$F$21)</formula>
    </cfRule>
  </conditionalFormatting>
  <conditionalFormatting sqref="N2">
    <cfRule type="expression" dxfId="175" priority="74">
      <formula>SEARCH("strength",$F$21)</formula>
    </cfRule>
    <cfRule type="expression" dxfId="174" priority="75">
      <formula>SEARCH("strength",$F$23)</formula>
    </cfRule>
  </conditionalFormatting>
  <hyperlinks>
    <hyperlink ref="N25" location="Summary!A1" display="Link to summary" xr:uid="{ED892D07-C6CB-478E-B8F8-237314CB449E}"/>
  </hyperlinks>
  <pageMargins left="0.7" right="0.7" top="0.75" bottom="0.75" header="0.3" footer="0.3"/>
  <pageSetup paperSize="9" orientation="portrait" r:id="rId1"/>
  <drawing r:id="rId2"/>
  <legacyDrawing r:id="rId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9051-0AEE-4D9B-AC30-538877263776}">
  <dimension ref="A1:AK130"/>
  <sheetViews>
    <sheetView topLeftCell="K13"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Summary!V16</f>
        <v>1.8</v>
      </c>
      <c r="K2" s="10">
        <v>1000000000000</v>
      </c>
      <c r="L2" s="15">
        <v>0.1</v>
      </c>
      <c r="M2" s="15">
        <v>0.1</v>
      </c>
      <c r="N2" s="17">
        <f>Summary!V26</f>
        <v>50</v>
      </c>
      <c r="O2" s="15">
        <f>Summary!V88</f>
        <v>0.25</v>
      </c>
      <c r="P2" s="15">
        <f>Summary!V89</f>
        <v>0.25</v>
      </c>
      <c r="Q2" s="5" t="str">
        <f>Summary!V27</f>
        <v>N/A</v>
      </c>
      <c r="R2" s="5">
        <f>Summary!V51</f>
        <v>0.3</v>
      </c>
      <c r="S2" s="5">
        <f>Summary!V52</f>
        <v>0.7</v>
      </c>
      <c r="T2" s="5">
        <f>Summary!V53</f>
        <v>0.3</v>
      </c>
      <c r="U2" s="5">
        <f>Summary!V54</f>
        <v>0.7</v>
      </c>
      <c r="V2" s="130">
        <f>Summary!V55</f>
        <v>2.9999999999999999E-7</v>
      </c>
      <c r="W2" s="130">
        <f>Summary!V56</f>
        <v>2.9999999999999999E-7</v>
      </c>
      <c r="X2" s="131">
        <f>V2</f>
        <v>2.9999999999999999E-7</v>
      </c>
      <c r="Y2" s="132">
        <f>IF(Summary!V57="","",Summary!V57)</f>
        <v>2E-8</v>
      </c>
      <c r="Z2" s="132">
        <f>IF(Summary!V58="","",Summary!V58)</f>
        <v>6.5454545454545451E-9</v>
      </c>
      <c r="AA2" s="4">
        <f>Summary!V59</f>
        <v>1E-10</v>
      </c>
      <c r="AB2" s="41">
        <f>Summary!V81</f>
        <v>4.9999999999999997E-12</v>
      </c>
      <c r="AC2" s="41">
        <f>Summary!V83</f>
        <v>8.1900000000000013E-12</v>
      </c>
      <c r="AD2" s="3">
        <f>Summary!V84</f>
        <v>0.69</v>
      </c>
      <c r="AE2" s="41">
        <f>Summary!V86</f>
        <v>4.9999999999999997E-12</v>
      </c>
      <c r="AF2" s="5">
        <f>Summary!V87</f>
        <v>2.2999999999999998</v>
      </c>
      <c r="AG2" s="127" t="str">
        <f>Summary!V50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Summary!V16</f>
        <v>1.8</v>
      </c>
      <c r="K3" s="10">
        <v>1000000000000</v>
      </c>
      <c r="L3" s="15">
        <v>0.1</v>
      </c>
      <c r="M3" s="15">
        <v>0.1</v>
      </c>
      <c r="N3">
        <f>Summary!V97</f>
        <v>100</v>
      </c>
      <c r="O3" s="15">
        <f>Summary!V98</f>
        <v>0.6</v>
      </c>
      <c r="P3" s="15">
        <f>Summary!V99</f>
        <v>0</v>
      </c>
      <c r="Q3"/>
      <c r="R3" s="5">
        <f>Summary!V38</f>
        <v>0.3</v>
      </c>
      <c r="S3" s="5">
        <f>Summary!V39</f>
        <v>0.7</v>
      </c>
      <c r="T3" s="5">
        <f>Summary!V42</f>
        <v>0.3</v>
      </c>
      <c r="U3" s="5">
        <f>Summary!V43</f>
        <v>0.7</v>
      </c>
      <c r="V3" s="130">
        <f>Summary!V44</f>
        <v>2.9999999999999999E-7</v>
      </c>
      <c r="W3" s="130">
        <f>Summary!V45</f>
        <v>2.9999999999999999E-7</v>
      </c>
      <c r="X3" s="131">
        <f>V3</f>
        <v>2.9999999999999999E-7</v>
      </c>
      <c r="Y3" s="132">
        <f>IF(Summary!V46="","",Summary!V46)</f>
        <v>2E-8</v>
      </c>
      <c r="Z3" s="132" t="str">
        <f>IF(Summary!V47="","",Summary!V47)</f>
        <v/>
      </c>
      <c r="AA3" s="4">
        <f>Summary!V59</f>
        <v>1E-10</v>
      </c>
      <c r="AB3" s="41">
        <f>Summary!V96</f>
        <v>9.9999999999999994E-12</v>
      </c>
      <c r="AG3" s="127" t="str">
        <f>Summary!V37</f>
        <v>absolute</v>
      </c>
      <c r="AH3" s="3">
        <f>IF(Summary!$AG5="","",Summary!$AG5)</f>
        <v>100</v>
      </c>
      <c r="AI3" s="3" t="str">
        <f>Summary!$AG7</f>
        <v>000</v>
      </c>
      <c r="AJ3" s="3">
        <f>IF(Summary!$AG9="","",IF($J$2=1.8,Summary!$AG$9,IF($J$2=3.3,Summary!$AG$11,"n/a")))</f>
        <v>2.1659999999999999E-5</v>
      </c>
      <c r="AK3" s="3">
        <f>IF(Summary!$AG9="","",IF($J$2=1.8,Summary!$AG$8,IF($J$2=3.3,Summary!$AG$10,"n/a")))</f>
        <v>3.1259999999999999</v>
      </c>
    </row>
    <row r="4" spans="1:37" x14ac:dyDescent="0.35">
      <c r="AH4" s="3" t="str">
        <f>IF(Summary!$AH5="","",Summary!$AH5)</f>
        <v/>
      </c>
      <c r="AI4" s="3" t="str">
        <f>IF(Summary!$AH7="","",Summary!$AH7)</f>
        <v>001</v>
      </c>
      <c r="AJ4" s="3">
        <f>IF(Summary!$AH9="","",IF($J$2=1.8,Summary!$AH$9,IF($J$2=3.3,Summary!$AH$11,"n/a")))</f>
        <v>0.63580000000000003</v>
      </c>
      <c r="AK4" s="3">
        <f>IF(Summary!$AH9="","",IF($J$2=1.8,Summary!$AH$8,IF($J$2=3.3,Summary!$AH$10,"n/a")))</f>
        <v>4.8479999999999999</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1.256</v>
      </c>
      <c r="AK5" s="3">
        <f>IF(Summary!$AI9="","",IF($J$2=1.8,Summary!$AI$8,IF($J$2=3.3,Summary!$AI$10,"n/a")))</f>
        <v>6.53</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1.8879999999999999</v>
      </c>
      <c r="AK6" s="3">
        <f>IF(Summary!$AJ9="","",IF($J$2=1.8,Summary!$AJ$8,IF($J$2=3.3,Summary!$AJ$10,"n/a")))</f>
        <v>8.2360000000000007</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427329345.73263782</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1514561486.5025508</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312.40900805920944</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482.95629448899388</v>
      </c>
      <c r="F7" s="123">
        <f>_xlfn.IFNA(_xlfn.XLOOKUP($X$2,AB34:AB129,P34:P129,,-1), "Out of support PU range")</f>
        <v>1890</v>
      </c>
      <c r="G7" s="124">
        <f>_xlfn.IFNA(_xlfn.XLOOKUP($X$3,S34:S129,P34:P129,,-1), "Out of support PU range")</f>
        <v>4935</v>
      </c>
      <c r="H7" s="124">
        <f>_xlfn.IFNA(MAX(_xlfn.XLOOKUP(MAX($Y$2:$AA$2),AA34:AA129,O34:O129,,1), _xlfn.XLOOKUP($W$2,AD34:AD129,O34:O129,,-1)), "Fail AC VIL")</f>
        <v>313.5</v>
      </c>
      <c r="I7" s="129">
        <f>_xlfn.IFNA(MAX(_xlfn.XLOOKUP(MAX($Y$3:$AA$3),R34:R129,O34:O129,,1), _xlfn.XLOOKUP($W$3,AC34:AC129,O34:O129,,-1)), "Fail AC VIL")</f>
        <v>532</v>
      </c>
      <c r="J7" s="21">
        <v>20000</v>
      </c>
      <c r="K7" s="2">
        <f>MIN(
MIN(FLOOR(B7,10^(LEN(ROUND(B7,0))-1))/10,
FLOOR(C7,10^(LEN(ROUND(C7,0))-1))/10,
IF(F7*10&gt;=J7,FLOOR(F7,10^(LEN(ROUND(F7,0))-1))/10,FLOOR(F7,10^(LEN(ROUND(F7,0))-1))),
FLOOR(G7,10^(LEN(ROUND(G7,0))-1))/10),
MAX(I7,J7)
)</f>
        <v>400</v>
      </c>
      <c r="L7" s="1"/>
      <c r="N7" s="71">
        <f>Summary!V62</f>
        <v>0.02</v>
      </c>
      <c r="AI7" s="3" t="str">
        <f>IF(Summary!$AK7="","",Summary!$AK7)</f>
        <v>100</v>
      </c>
      <c r="AJ7" s="3">
        <f>IF(Summary!$AK9="","",IF($J$2=1.8,Summary!$AK$9,IF($J$2=3.3,Summary!$AK$11,"n/a")))</f>
        <v>2.5049999999999999</v>
      </c>
      <c r="AK7" s="3">
        <f>IF(Summary!$AK9="","",IF($J$2=1.8,Summary!$AK$8,IF($J$2=3.3,Summary!$AK$10,"n/a")))</f>
        <v>9.9280000000000008</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488.57142774246398</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488.57142774246398</v>
      </c>
      <c r="E8">
        <f>X2/(1.204*K18)</f>
        <v>1554.6828759599234</v>
      </c>
      <c r="F8">
        <f>X3/(1.204*K18)</f>
        <v>1554.6828759599234</v>
      </c>
      <c r="H8">
        <f>AA2/(1.204*K18)</f>
        <v>0.51822762531997457</v>
      </c>
      <c r="I8" s="2">
        <f>AA3/(1.204*K18)</f>
        <v>0.51822762531997457</v>
      </c>
      <c r="J8" s="8">
        <v>20000</v>
      </c>
      <c r="K8">
        <f>MIN(MIN(FLOOR(B8,10^(LEN(ROUND(B8,0))-1))/10,FLOOR(C8,10^(LEN(ROUND(C8,0))-1))/10,FLOOR(E8,10^(LEN(ROUND(E8,0))-1))/10,FLOOR(F8,10^(LEN(ROUND(F8,0))-1))/10),MAX(I8,J8))</f>
        <v>40</v>
      </c>
      <c r="N8" s="1"/>
      <c r="AI8" s="3" t="str">
        <f>IF(Summary!$AL7="","",Summary!$AL7)</f>
        <v>101</v>
      </c>
      <c r="AJ8" s="3">
        <f>IF(Summary!$AL9="","",IF($J$2=1.8,Summary!$AL$9,IF($J$2=3.3,Summary!$AL$11,"n/a")))</f>
        <v>3.1339999999999999</v>
      </c>
      <c r="AK8" s="3">
        <f>IF(Summary!$AL9="","",IF($J$2=1.8,Summary!$AL$8,IF($J$2=3.3,Summary!$AL$10,"n/a")))</f>
        <v>11.7</v>
      </c>
    </row>
    <row r="9" spans="1:37" x14ac:dyDescent="0.35">
      <c r="B9" s="1"/>
      <c r="M9" s="2"/>
      <c r="AI9" s="3" t="str">
        <f>IF(Summary!$AM7="","",Summary!$AM7)</f>
        <v>110</v>
      </c>
      <c r="AJ9" s="3">
        <f>IF(Summary!$AM9="","",IF($J$2=1.8,Summary!$AM$9,IF($J$2=3.3,Summary!$AM$11,"n/a")))</f>
        <v>3.76</v>
      </c>
      <c r="AK9" s="3">
        <f>IF(Summary!$AM9="","",IF($J$2=1.8,Summary!$AM$8,IF($J$2=3.3,Summary!$AM$10,"n/a")))</f>
        <v>13.42</v>
      </c>
    </row>
    <row r="10" spans="1:37" ht="21" x14ac:dyDescent="0.5">
      <c r="D10" t="s">
        <v>278</v>
      </c>
      <c r="F10" s="7" t="s">
        <v>279</v>
      </c>
      <c r="G10" s="7"/>
      <c r="H10" t="s">
        <v>280</v>
      </c>
      <c r="S10" s="20"/>
      <c r="U10" s="20"/>
      <c r="AI10" s="3">
        <f>IF(Summary!$AN7="","",Summary!$AN7)</f>
        <v>111</v>
      </c>
      <c r="AJ10" s="3">
        <f>IF(Summary!$AN9="","",IF($J$2=1.8,Summary!$AN$9,IF($J$2=3.3,Summary!$AN$11,"n/a")))</f>
        <v>4.3620000000000001</v>
      </c>
      <c r="AK10" s="3">
        <f>IF(Summary!$AN9="","",IF($J$2=1.8,Summary!$AN$8,IF($J$2=3.3,Summary!$AN$10,"n/a")))</f>
        <v>15.09</v>
      </c>
    </row>
    <row r="11" spans="1:37" x14ac:dyDescent="0.35">
      <c r="A11" t="s">
        <v>281</v>
      </c>
      <c r="B11" t="str">
        <f>IF(SUM(B2:B3)=2,
IF(
          (1/(1/F2+1/F3))
          /(
            (1/(1/C2+1/C3))
          +
            (1/(1/F2+1/F3))
          )
&lt;S2,"need resistor","no need"),
"no need")</f>
        <v>need resistor</v>
      </c>
      <c r="C11" s="11">
        <f>Summary!V24</f>
        <v>1200</v>
      </c>
      <c r="D11" s="1">
        <f>IF(AND(B11="no need", C11=""), "",IF(AND(B11="no need", C11&gt;0), "please remove resistor",   IF(AND(B11="need resistor", ISBLANK(C11)), "please enter resistor",  (1/(1/F2+1/F3))/(1/(1/(1/(1/C2+1/C3))+1/C11)+(1/(1/F2+1/F3))) ) ))</f>
        <v>0.99999999760000002</v>
      </c>
      <c r="F11" s="7">
        <f>IF(B11="no need", 1000000000, C11)</f>
        <v>1200</v>
      </c>
      <c r="G11" s="7" t="s">
        <v>281</v>
      </c>
      <c r="H11" s="62">
        <f>Summary!V25</f>
        <v>0.05</v>
      </c>
      <c r="K11" s="6" t="s">
        <v>282</v>
      </c>
      <c r="N11" s="19" t="s">
        <v>283</v>
      </c>
      <c r="P11" s="19" t="s">
        <v>284</v>
      </c>
      <c r="R11" s="127" t="s">
        <v>285</v>
      </c>
      <c r="S11" s="127">
        <f>($J$2+$J$2*Summary!$V$17)</f>
        <v>1.8900000000000001</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Summary!V10</f>
        <v>25</v>
      </c>
      <c r="L12" t="s">
        <v>287</v>
      </c>
      <c r="N12" s="4">
        <f>SUM(AB2:AC3,AE2:AE3)</f>
        <v>2.8189999999999998E-11</v>
      </c>
      <c r="O12" t="s">
        <v>288</v>
      </c>
      <c r="P12" s="61">
        <f>Summary!V84+Summary!V87</f>
        <v>2.9899999999999998</v>
      </c>
      <c r="Q12" t="s">
        <v>289</v>
      </c>
      <c r="R12" s="127" t="s">
        <v>290</v>
      </c>
      <c r="S12" s="127">
        <f>($J$2-$J$2*Summary!$V$17)</f>
        <v>1.71</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($J$3+$J$3*Summary!$V$18)</f>
        <v>1.8900000000000001</v>
      </c>
    </row>
    <row r="14" spans="1:37" x14ac:dyDescent="0.35">
      <c r="K14" s="6" t="s">
        <v>293</v>
      </c>
      <c r="N14" s="6" t="s">
        <v>294</v>
      </c>
      <c r="R14" s="127" t="s">
        <v>295</v>
      </c>
      <c r="S14" s="127">
        <f>($J$3-$J$3*Summary!$V$18)</f>
        <v>1.71</v>
      </c>
    </row>
    <row r="15" spans="1:37" x14ac:dyDescent="0.35">
      <c r="B15" s="2"/>
      <c r="C15" s="2"/>
      <c r="K15" s="3">
        <f>Summary!V8</f>
        <v>19.988</v>
      </c>
      <c r="L15" t="s">
        <v>296</v>
      </c>
      <c r="N15" s="41">
        <f>Summary!V9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0.99999859717809059</v>
      </c>
      <c r="C18">
        <f>B42</f>
        <v>0.99999896154517887</v>
      </c>
      <c r="D18">
        <f>B102</f>
        <v>0.99999859717809214</v>
      </c>
      <c r="E18">
        <f>C102</f>
        <v>9.6308462084538124E-2</v>
      </c>
      <c r="F18" s="126">
        <f>_xlfn.LET(
_xlpm.Rbus, (1/(1/((1/(1/($G$91+$G$93)+1/$G$90))+$G$92)+1/($G$89))),
_xlpm.VCC, IF($AG$2="absolute",$S$13,1),
_xlpm.Vspec_abs, $U$2-$N$7,
(LN(1-$T$2/_xlpm.VCC)-LN(1-_xlpm.Vspec_abs/_xlpm.VCC))*$K$19*_xlpm.Rbus
)</f>
        <v>1.2812322319521616E-7</v>
      </c>
      <c r="G18" s="128">
        <f>_xlfn.LET(
_xlpm.Rbus, (1/(1/((1/(1/($D$91+$D$93)+1/$D$90))+$D$92)+1/($D$89))),
_xlpm.VCC, IF($AG$2="absolute",$S$14,1),
_xlpm.Vspec_abs, $U$2+$N$7,
(LN(1-$T$2/_xlpm.VCC)-LN(1-_xlpm.Vspec_abs/_xlpm.VCC))*$K$18*_xlpm.Rbus
)</f>
        <v>1.8819248707851031E-7</v>
      </c>
      <c r="H18" s="126">
        <f>_xlfn.LET(
_xlpm.Rbus, (1/(1/((1/(1/($H$96+$H$93)+1/$H$95))+$H$92)+1/($H$94))),
_xlpm.VCC, IF($AG$2="absolute",$S$14,1),
_xlpm.VL_rel, $H$102,
_xlpm.Vspec_abs, $T$2-$N$7,
_xlpm.Vspec_rel, (_xlpm.Vspec_abs/_xlpm.VCC-_xlpm.VL_rel)/(1-_xlpm.VL_rel),
IFERROR((LN($D$18-_xlpm.VL_rel)-LN(_xlpm.Vspec_rel))*$K$19*_xlpm.Rbus, "Vlow exceeds VIL spec")
)</f>
        <v>1.0608181221392333E-8</v>
      </c>
      <c r="I18" s="128">
        <f>_xlfn.LET(
_xlpm.Rbus, (1/(1/((1/(1/($F$96+$F$93)+1/$F$95))+$F$92)+1/($F$94))),
_xlpm.VCC, IF($AG$2="absolute",$S$13,1),
_xlpm.VL_rel, $F$102,
_xlpm.Vspec_abs, $T$2-$N$7,
_xlpm.Vspec_rel, (_xlpm.Vspec_abs/_xlpm.VCC-_xlpm.VL_rel)/(1-_xlpm.VL_rel),
IFERROR((LN($D$18-_xlpm.VL_rel)-LN(_xlpm.Vspec_rel))*$K$18*_xlpm.Rbus,"Vlow exceeds VIL spec")
)</f>
        <v>2.9050902246761485E-8</v>
      </c>
      <c r="J18" s="139" t="s">
        <v>307</v>
      </c>
      <c r="K18" s="4">
        <f>Summary!V102</f>
        <v>1.6027026416052833E-10</v>
      </c>
      <c r="L18" s="22" t="s">
        <v>288</v>
      </c>
      <c r="M18" s="10">
        <f>K18*1000000000000</f>
        <v>160.27026416052834</v>
      </c>
      <c r="N18" t="s">
        <v>308</v>
      </c>
      <c r="O18" s="49">
        <f>N12+K12/39.37*N15</f>
        <v>1.6027026416052833E-10</v>
      </c>
    </row>
    <row r="19" spans="1:26" x14ac:dyDescent="0.35">
      <c r="A19" t="s">
        <v>309</v>
      </c>
      <c r="B19">
        <f>C64</f>
        <v>0.99999859717809059</v>
      </c>
      <c r="C19">
        <f>C44</f>
        <v>0.99999896154517876</v>
      </c>
      <c r="D19">
        <f>B84</f>
        <v>0.99999859717809214</v>
      </c>
      <c r="E19">
        <f>C84</f>
        <v>6.8621667264389313E-2</v>
      </c>
      <c r="F19" s="126">
        <f>_xlfn.LET(
_xlpm.Rbus,(1/(1/((1/(1/($G$77+$G$72)+1/$G$70))+$G$73)+1/($G$71))),
_xlpm.VCC,IF($AG$3="absolute",$S$11,1),
_xlpm.Vspec_abs,$U$3-$N$7,
(LN(1-($T$3/_xlpm.VCC))-LN(1-_xlpm.Vspec_abs/_xlpm.VCC))*$K$19*_xlpm.Rbus
)</f>
        <v>4.4703653128913504E-8</v>
      </c>
      <c r="G19" s="128">
        <f>_xlfn.LET(
_xlpm.Rbus, (1/(1/((1/(1/($D$77+$D$72)+1/$D$70))+$D$73)+1/($D$71))),
_xlpm.VCC, IF($AG$3="absolute",$S$12,1),
_xlpm.Vspec_abs, $U$3+$N$7,
(LN(1-$T$3/_xlpm.VCC)-LN(1-_xlpm.Vspec_abs/_xlpm.VCC))*$K$18*_xlpm.Rbus
)</f>
        <v>7.263240409281355E-8</v>
      </c>
      <c r="H19" s="126">
        <f>_xlfn.LET(
_xlpm.Rbus, (1/(1/((1/(1/($H$74+$H$72)+1/$H$75))+$H$73)+1/($H$76))),
_xlpm.VCC, IF($AG$3="absolute",$S$12,1),
_xlpm.VL_rel, $H$84,
_xlpm.Vspec_abs, $T$3-$N$7,
_xlpm.Vspec_rel, (_xlpm.Vspec_abs/_xlpm.VCC-_xlpm.VL_rel)/(1-_xlpm.VL_rel),
IFERROR((LN($D$19-_xlpm.VL_rel)-LN(_xlpm.Vspec_rel))*$K$19*_xlpm.Rbus, "Vlow exceeds VIL spec")
)</f>
        <v>1.4851930276077982E-8</v>
      </c>
      <c r="I19" s="128">
        <f>_xlfn.LET(
_xlpm.Rbus, (1/(1/((1/(1/($F$74+$F$72)+1/$F$75))+$F$73)+1/($F$76))),
_xlpm.VCC, IF($AG$3="absolute",$S$11,1),
_xlpm.VL_rel, $F$84,
_xlpm.Vspec_abs, $T$3-$N$7,
_xlpm.Vspec_rel, (_xlpm.Vspec_abs/_xlpm.VCC-_xlpm.VL_rel)/(1-_xlpm.VL_rel),
IFERROR((LN($D$19-_xlpm.VL_rel)-LN(_xlpm.Vspec_rel))*$K$18*_xlpm.Rbus,"Vlow exceeds VIL spec")
)</f>
        <v>3.2166004473924562E-8</v>
      </c>
      <c r="J19" s="139" t="s">
        <v>310</v>
      </c>
      <c r="K19" s="122">
        <f>Summary!V101</f>
        <v>1.4358026416052834E-10</v>
      </c>
      <c r="L19" t="s">
        <v>288</v>
      </c>
    </row>
    <row r="20" spans="1:26" x14ac:dyDescent="0.35">
      <c r="J20" s="139"/>
      <c r="K20" s="6" t="s">
        <v>311</v>
      </c>
    </row>
    <row r="21" spans="1:26" x14ac:dyDescent="0.35">
      <c r="E21" s="120" t="s">
        <v>137</v>
      </c>
      <c r="F21" t="str">
        <f>IF(OR(AND(E18&gt;(R2-N7), Summary!V50="relative"), AND(E18&gt;(R2-N7)/(J3+J3*Summary!V18), Summary!V50="absolute")),IF(U29="no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IF(OR(Summary!V24&gt;Summary!V22,Summary!V24&lt;Summary!V21), "- ensure board PU is within recommended range" &amp; CHAR(10),) &amp; "- reduce MB trace length",""))</f>
        <v/>
      </c>
      <c r="J21" s="139" t="s">
        <v>307</v>
      </c>
      <c r="K21" s="5">
        <f>Summary!V104</f>
        <v>21.49240538481077</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Summary!V103</f>
        <v>15.682405384810767</v>
      </c>
      <c r="L22" t="s">
        <v>289</v>
      </c>
    </row>
    <row r="23" spans="1:26" x14ac:dyDescent="0.35">
      <c r="B23" s="171" t="s">
        <v>313</v>
      </c>
      <c r="C23" s="171"/>
      <c r="D23" t="s">
        <v>314</v>
      </c>
      <c r="E23" s="175"/>
      <c r="F23" t="str">
        <f>IF(F22="",IF(OR(AND(E19&lt;=(R3-N7), Summary!V37="relative"),AND(E19&lt;=(R3-N7)/(J2+J2*Summary!V17), Summary!V37="absolute")),IF(OR(G19&gt;V3,I19&gt;W3), IF(N2=MIN(AH2:AH5), "failed max rise/fall time spec, recommendations:" &amp; CHAR(10) &amp; "-reduce MB trace length" &amp; CHAR(10) &amp; "-increase trace width (reduce MB trace resistance per length)", "failed max rise/fall time spec, recommendations:" &amp; CHAR(10) &amp; IF(OR(Summary!V24&gt;Summary!V22,Summary!V24&lt;Summary!V21),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Summary!V13</f>
        <v>0</v>
      </c>
      <c r="L24" t="s">
        <v>305</v>
      </c>
    </row>
    <row r="25" spans="1:26" x14ac:dyDescent="0.35">
      <c r="A25" t="s">
        <v>318</v>
      </c>
      <c r="B25" s="11">
        <f>C2*(1-D2)</f>
        <v>900000000000</v>
      </c>
      <c r="C25" s="11">
        <f>C2*(1-D2)</f>
        <v>900000000000</v>
      </c>
      <c r="K25" s="18">
        <f>Summary!V14</f>
        <v>1</v>
      </c>
      <c r="L25" t="s">
        <v>274</v>
      </c>
      <c r="N25" s="72" t="s">
        <v>319</v>
      </c>
    </row>
    <row r="26" spans="1:26" x14ac:dyDescent="0.35">
      <c r="A26" t="s">
        <v>320</v>
      </c>
      <c r="B26" s="11">
        <f>F11*(1-H11)</f>
        <v>1140</v>
      </c>
      <c r="C26" s="11">
        <f>F11*(1-H11)</f>
        <v>1140</v>
      </c>
      <c r="Q26" t="s">
        <v>321</v>
      </c>
    </row>
    <row r="27" spans="1:26" x14ac:dyDescent="0.35">
      <c r="A27" t="s">
        <v>322</v>
      </c>
      <c r="B27" s="11">
        <f>C3*(1-D3)</f>
        <v>900000000000</v>
      </c>
      <c r="C27" s="11">
        <f>C3*(1-D3)</f>
        <v>900000000000</v>
      </c>
      <c r="Q27" t="s">
        <v>323</v>
      </c>
    </row>
    <row r="28" spans="1:26" x14ac:dyDescent="0.35">
      <c r="A28" t="s">
        <v>324</v>
      </c>
      <c r="B28" s="1">
        <f>K21</f>
        <v>21.49240538481077</v>
      </c>
      <c r="C28">
        <v>0</v>
      </c>
      <c r="Q28" t="s">
        <v>325</v>
      </c>
      <c r="V28" t="s">
        <v>305</v>
      </c>
      <c r="W28" t="s">
        <v>274</v>
      </c>
      <c r="X28" t="s">
        <v>326</v>
      </c>
    </row>
    <row r="29" spans="1:26" x14ac:dyDescent="0.35">
      <c r="A29" t="s">
        <v>327</v>
      </c>
      <c r="B29">
        <v>0</v>
      </c>
      <c r="C29" s="1">
        <f>K21</f>
        <v>21.49240538481077</v>
      </c>
      <c r="F29" s="11"/>
      <c r="T29" t="s">
        <v>328</v>
      </c>
      <c r="U29">
        <f>IF(IF(ISBLANK(Summary!V25),IF(U30=W82,L30,U30),IF(Summary!V25=5%,L30,U30))=N130,"no solution",IF(ISBLANK(Summary!V25),IF(U30=W82,L30,U30),IF(Summary!V25=5%,L30,U30)))</f>
        <v>1000</v>
      </c>
      <c r="V29">
        <f>IFERROR(IF(X29=5%,VLOOKUP(1,M34:N129,2,FALSE),VLOOKUP(1,V34:W81,2,FALSE)),"no solution")</f>
        <v>560</v>
      </c>
      <c r="W29">
        <f>IF(U29="no solution","no solution",IF(X29=5%,VLOOKUP(MAX(M34:M129)-1,M34:N129,2,FALSE),VLOOKUP(MAX(V34:V81)-1,V34:W81,2,FALSE)))</f>
        <v>1800</v>
      </c>
      <c r="X29" s="64">
        <f>Summary!V25</f>
        <v>0.05</v>
      </c>
    </row>
    <row r="30" spans="1:26" x14ac:dyDescent="0.35">
      <c r="A30" t="s">
        <v>329</v>
      </c>
      <c r="B30" s="11">
        <f>F2*(1+H2)</f>
        <v>1100000000000</v>
      </c>
      <c r="C30" s="11">
        <f>F2*(1+H2)</f>
        <v>1100000000000</v>
      </c>
      <c r="K30" t="s">
        <v>330</v>
      </c>
      <c r="L30">
        <f>VLOOKUP(Q31,M34:Q154,2)</f>
        <v>1000</v>
      </c>
      <c r="T30" t="s">
        <v>331</v>
      </c>
      <c r="U30">
        <f>VLOOKUP(Z31,V34:W82,2)</f>
        <v>1000</v>
      </c>
    </row>
    <row r="31" spans="1:26" x14ac:dyDescent="0.35">
      <c r="A31" t="s">
        <v>332</v>
      </c>
      <c r="B31" s="11">
        <f>F12*(1+H12)</f>
        <v>1100000000</v>
      </c>
      <c r="C31" s="11">
        <f>F12*(1+H12)</f>
        <v>1100000000</v>
      </c>
      <c r="Q31" cm="1">
        <f t="array" ref="Q31">MAX(M34:M129+1)/2</f>
        <v>7.5</v>
      </c>
      <c r="Z31" cm="1">
        <f t="array" ref="Z31">MAX(V34:V81+1)/2</f>
        <v>3.5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3.725304441447648E-10</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1.813264997830341E-9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4.6982177436677331E-9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4.0978348855794356E-10</v>
      </c>
      <c r="S35" s="126">
        <f t="shared" si="4"/>
        <v>1.8727768796253939E-9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4.8524146091800149E-9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4.4703653297088642E-10</v>
      </c>
      <c r="S36" s="126">
        <f t="shared" si="4"/>
        <v>1.9322887614201062E-9</v>
      </c>
      <c r="T36">
        <v>1</v>
      </c>
      <c r="U36">
        <v>15</v>
      </c>
      <c r="V36">
        <f t="shared" si="11"/>
        <v>0</v>
      </c>
      <c r="W36">
        <f t="shared" si="12"/>
        <v>15</v>
      </c>
      <c r="X36">
        <f t="shared" si="5"/>
        <v>13.5</v>
      </c>
      <c r="Y36">
        <f t="shared" si="6"/>
        <v>16.5</v>
      </c>
      <c r="Z36">
        <f t="shared" si="13"/>
        <v>0</v>
      </c>
      <c r="AA36" s="126">
        <f t="shared" si="14"/>
        <v>1.281232236772157E-9</v>
      </c>
      <c r="AB36" s="126">
        <f t="shared" si="15"/>
        <v>5.0066114746914149E-9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4.8428957738359348E-10</v>
      </c>
      <c r="S37" s="126">
        <f t="shared" si="4"/>
        <v>1.9918006432144768E-9</v>
      </c>
      <c r="T37">
        <v>1</v>
      </c>
      <c r="U37">
        <v>18</v>
      </c>
      <c r="V37">
        <f t="shared" si="11"/>
        <v>0</v>
      </c>
      <c r="W37">
        <f t="shared" si="12"/>
        <v>18</v>
      </c>
      <c r="X37">
        <f t="shared" si="5"/>
        <v>16.2</v>
      </c>
      <c r="Y37">
        <f t="shared" si="6"/>
        <v>19.8</v>
      </c>
      <c r="Z37">
        <f t="shared" si="13"/>
        <v>0</v>
      </c>
      <c r="AA37" s="126">
        <f t="shared" si="14"/>
        <v>1.3880015898321084E-9</v>
      </c>
      <c r="AB37" s="126">
        <f t="shared" si="15"/>
        <v>5.1608083402019298E-9</v>
      </c>
      <c r="AC37" s="126" t="str">
        <f t="shared" si="7"/>
        <v>Vlow exceeds VIL spec</v>
      </c>
      <c r="AD37" s="126" t="str">
        <f t="shared" si="8"/>
        <v>Vlow exceeds VIL spec</v>
      </c>
    </row>
    <row r="38" spans="1:30" x14ac:dyDescent="0.35">
      <c r="A38" t="s">
        <v>347</v>
      </c>
      <c r="B38" s="125">
        <f>IF(Summary!V50="absolute",(S2+N7)/(J3-J3*Summary!V18),S2+N7)</f>
        <v>0.72</v>
      </c>
      <c r="K38">
        <v>1</v>
      </c>
      <c r="L38">
        <v>15</v>
      </c>
      <c r="M38">
        <f t="shared" si="9"/>
        <v>0</v>
      </c>
      <c r="N38">
        <f t="shared" si="0"/>
        <v>15</v>
      </c>
      <c r="O38">
        <f t="shared" si="1"/>
        <v>14.25</v>
      </c>
      <c r="P38">
        <f t="shared" si="2"/>
        <v>15.75</v>
      </c>
      <c r="Q38">
        <f t="shared" si="10"/>
        <v>0</v>
      </c>
      <c r="R38" s="126">
        <f t="shared" si="3"/>
        <v>5.5879566620829953E-10</v>
      </c>
      <c r="S38" s="126">
        <f t="shared" si="4"/>
        <v>2.1108244068021962E-9</v>
      </c>
      <c r="T38">
        <v>1</v>
      </c>
      <c r="U38">
        <v>22</v>
      </c>
      <c r="V38">
        <f t="shared" si="11"/>
        <v>0</v>
      </c>
      <c r="W38">
        <f t="shared" si="12"/>
        <v>22</v>
      </c>
      <c r="X38">
        <f t="shared" si="5"/>
        <v>19.8</v>
      </c>
      <c r="Y38">
        <f t="shared" si="6"/>
        <v>24.200000000000003</v>
      </c>
      <c r="Z38">
        <f t="shared" si="13"/>
        <v>0</v>
      </c>
      <c r="AA38" s="126">
        <f t="shared" si="14"/>
        <v>1.601540295949982E-9</v>
      </c>
      <c r="AB38" s="126">
        <f t="shared" si="15"/>
        <v>5.4692020712203119E-9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5.9604871062029867E-10</v>
      </c>
      <c r="S39" s="126">
        <f t="shared" si="4"/>
        <v>2.1703362885955449E-9</v>
      </c>
      <c r="T39">
        <v>1</v>
      </c>
      <c r="U39">
        <v>27</v>
      </c>
      <c r="V39">
        <f t="shared" si="11"/>
        <v>0</v>
      </c>
      <c r="W39">
        <f t="shared" si="12"/>
        <v>27</v>
      </c>
      <c r="X39">
        <f t="shared" si="5"/>
        <v>24.3</v>
      </c>
      <c r="Y39">
        <f t="shared" si="6"/>
        <v>29.700000000000003</v>
      </c>
      <c r="Z39">
        <f t="shared" si="13"/>
        <v>0</v>
      </c>
      <c r="AA39" s="126">
        <f t="shared" si="14"/>
        <v>1.7083096490079043E-9</v>
      </c>
      <c r="AB39" s="126">
        <f t="shared" si="15"/>
        <v>5.623398936728179E-9</v>
      </c>
      <c r="AC39" s="126" t="str">
        <f t="shared" si="7"/>
        <v>Vlow exceeds VIL spec</v>
      </c>
      <c r="AD39" s="126" t="str">
        <f t="shared" si="8"/>
        <v>Vlow exceeds VIL spec</v>
      </c>
    </row>
    <row r="40" spans="1:30" x14ac:dyDescent="0.35">
      <c r="A40" t="s">
        <v>349</v>
      </c>
      <c r="C40" s="125">
        <f>IF(Summary!V37="absolute",(S3+N7)/(J2-J2*Summary!V17),S3+N7)</f>
        <v>0.42105263157894735</v>
      </c>
      <c r="K40">
        <v>1</v>
      </c>
      <c r="L40">
        <v>18</v>
      </c>
      <c r="M40">
        <f t="shared" si="9"/>
        <v>0</v>
      </c>
      <c r="N40">
        <f t="shared" si="0"/>
        <v>18</v>
      </c>
      <c r="O40">
        <f t="shared" si="1"/>
        <v>17.099999999999998</v>
      </c>
      <c r="P40">
        <f t="shared" si="2"/>
        <v>18.900000000000002</v>
      </c>
      <c r="Q40">
        <f t="shared" si="10"/>
        <v>0</v>
      </c>
      <c r="R40" s="126">
        <f t="shared" si="3"/>
        <v>6.70554799443589E-10</v>
      </c>
      <c r="S40" s="126">
        <f t="shared" si="4"/>
        <v>2.2893600521812187E-9</v>
      </c>
      <c r="T40">
        <v>1</v>
      </c>
      <c r="U40">
        <v>33</v>
      </c>
      <c r="V40">
        <f t="shared" si="11"/>
        <v>0</v>
      </c>
      <c r="W40">
        <f t="shared" si="12"/>
        <v>33</v>
      </c>
      <c r="X40">
        <f t="shared" si="5"/>
        <v>29.7</v>
      </c>
      <c r="Y40">
        <f t="shared" si="6"/>
        <v>36.300000000000004</v>
      </c>
      <c r="Z40">
        <f t="shared" si="13"/>
        <v>0</v>
      </c>
      <c r="AA40" s="126">
        <f t="shared" si="14"/>
        <v>1.9218483551217202E-9</v>
      </c>
      <c r="AB40" s="126">
        <f t="shared" si="15"/>
        <v>5.9317926677412604E-9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7.4506088826593594E-10</v>
      </c>
      <c r="S41" s="126">
        <f t="shared" si="4"/>
        <v>2.4083838157655301E-9</v>
      </c>
      <c r="T41">
        <v>1</v>
      </c>
      <c r="U41">
        <v>39</v>
      </c>
      <c r="V41">
        <f t="shared" si="11"/>
        <v>0</v>
      </c>
      <c r="W41">
        <f t="shared" si="12"/>
        <v>39</v>
      </c>
      <c r="X41">
        <f t="shared" si="5"/>
        <v>35.1</v>
      </c>
      <c r="Y41">
        <f t="shared" si="6"/>
        <v>42.900000000000006</v>
      </c>
      <c r="Z41">
        <f t="shared" si="13"/>
        <v>0</v>
      </c>
      <c r="AA41" s="126">
        <f t="shared" si="14"/>
        <v>2.1353870612328322E-9</v>
      </c>
      <c r="AB41" s="126">
        <f t="shared" si="15"/>
        <v>6.2401863987508115E-9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0.99999896154517887</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0.99999896156471735</v>
      </c>
      <c r="K42">
        <v>1</v>
      </c>
      <c r="L42">
        <v>22</v>
      </c>
      <c r="M42">
        <f t="shared" si="9"/>
        <v>0</v>
      </c>
      <c r="N42">
        <f t="shared" si="0"/>
        <v>22</v>
      </c>
      <c r="O42">
        <f t="shared" si="1"/>
        <v>20.9</v>
      </c>
      <c r="P42">
        <f t="shared" si="2"/>
        <v>23.1</v>
      </c>
      <c r="Q42">
        <f t="shared" si="10"/>
        <v>0</v>
      </c>
      <c r="R42" s="126">
        <f t="shared" si="3"/>
        <v>8.1956697708733885E-10</v>
      </c>
      <c r="S42" s="126">
        <f t="shared" si="4"/>
        <v>2.5274075793484783E-9</v>
      </c>
      <c r="T42">
        <v>1</v>
      </c>
      <c r="U42">
        <v>47</v>
      </c>
      <c r="V42">
        <f t="shared" si="11"/>
        <v>0</v>
      </c>
      <c r="W42">
        <f t="shared" si="12"/>
        <v>47</v>
      </c>
      <c r="X42">
        <f t="shared" si="5"/>
        <v>42.300000000000004</v>
      </c>
      <c r="Y42">
        <f t="shared" si="6"/>
        <v>51.7</v>
      </c>
      <c r="Z42">
        <f t="shared" si="13"/>
        <v>0</v>
      </c>
      <c r="AA42" s="126">
        <f t="shared" si="14"/>
        <v>2.3489257673412385E-9</v>
      </c>
      <c r="AB42" s="126">
        <f t="shared" si="15"/>
        <v>6.5485801297568305E-9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0.99999896156471757</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0.99999896156471735</v>
      </c>
      <c r="K43">
        <v>1</v>
      </c>
      <c r="L43">
        <v>24</v>
      </c>
      <c r="M43">
        <f t="shared" si="9"/>
        <v>0</v>
      </c>
      <c r="N43">
        <f t="shared" si="0"/>
        <v>24</v>
      </c>
      <c r="O43">
        <f t="shared" si="1"/>
        <v>22.799999999999997</v>
      </c>
      <c r="P43">
        <f t="shared" si="2"/>
        <v>25.200000000000003</v>
      </c>
      <c r="Q43">
        <f t="shared" si="10"/>
        <v>0</v>
      </c>
      <c r="R43" s="126">
        <f t="shared" si="3"/>
        <v>8.9407306590779805E-10</v>
      </c>
      <c r="S43" s="126">
        <f t="shared" si="4"/>
        <v>2.6464313429300628E-9</v>
      </c>
      <c r="T43">
        <v>1</v>
      </c>
      <c r="U43">
        <v>56</v>
      </c>
      <c r="V43">
        <f t="shared" si="11"/>
        <v>0</v>
      </c>
      <c r="W43">
        <f t="shared" si="12"/>
        <v>56</v>
      </c>
      <c r="X43">
        <f t="shared" si="5"/>
        <v>50.4</v>
      </c>
      <c r="Y43">
        <f t="shared" si="6"/>
        <v>61.600000000000009</v>
      </c>
      <c r="Z43">
        <f t="shared" si="13"/>
        <v>0</v>
      </c>
      <c r="AA43" s="126">
        <f t="shared" si="14"/>
        <v>2.5624644734469403E-9</v>
      </c>
      <c r="AB43" s="126">
        <f t="shared" si="15"/>
        <v>6.8569738607593166E-9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0.99999896156471757</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0.99999896154517876</v>
      </c>
      <c r="K44">
        <v>1</v>
      </c>
      <c r="L44">
        <v>27</v>
      </c>
      <c r="M44">
        <f t="shared" si="9"/>
        <v>0</v>
      </c>
      <c r="N44">
        <f t="shared" si="0"/>
        <v>27</v>
      </c>
      <c r="O44">
        <f t="shared" si="1"/>
        <v>25.65</v>
      </c>
      <c r="P44">
        <f t="shared" si="2"/>
        <v>28.35</v>
      </c>
      <c r="Q44">
        <f t="shared" si="10"/>
        <v>0</v>
      </c>
      <c r="R44" s="126">
        <f t="shared" si="3"/>
        <v>1.0058321991367174E-9</v>
      </c>
      <c r="S44" s="126">
        <f t="shared" si="4"/>
        <v>2.8249669882998825E-9</v>
      </c>
      <c r="T44">
        <v>1</v>
      </c>
      <c r="U44">
        <v>68</v>
      </c>
      <c r="V44">
        <f t="shared" si="11"/>
        <v>0</v>
      </c>
      <c r="W44">
        <f t="shared" si="12"/>
        <v>68</v>
      </c>
      <c r="X44">
        <f t="shared" si="5"/>
        <v>61.2</v>
      </c>
      <c r="Y44">
        <f t="shared" si="6"/>
        <v>74.800000000000011</v>
      </c>
      <c r="Z44">
        <f t="shared" si="13"/>
        <v>0</v>
      </c>
      <c r="AA44" s="126">
        <f t="shared" si="14"/>
        <v>2.8827725326004216E-9</v>
      </c>
      <c r="AB44" s="126">
        <f t="shared" si="15"/>
        <v>7.3195644572564209E-9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1.1175913323635135E-9</v>
      </c>
      <c r="S45" s="126">
        <f t="shared" si="4"/>
        <v>3.0035026336666354E-9</v>
      </c>
      <c r="T45">
        <v>1</v>
      </c>
      <c r="U45">
        <v>82</v>
      </c>
      <c r="V45">
        <f t="shared" si="11"/>
        <v>0</v>
      </c>
      <c r="W45">
        <f t="shared" si="12"/>
        <v>82</v>
      </c>
      <c r="X45">
        <f t="shared" si="5"/>
        <v>73.8</v>
      </c>
      <c r="Y45">
        <f t="shared" si="6"/>
        <v>90.2</v>
      </c>
      <c r="Z45">
        <f t="shared" si="13"/>
        <v>0</v>
      </c>
      <c r="AA45" s="126">
        <f t="shared" si="14"/>
        <v>3.2030805917478173E-9</v>
      </c>
      <c r="AB45" s="126">
        <f t="shared" si="15"/>
        <v>7.7821550537455768E-9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1.2293504655881858E-9</v>
      </c>
      <c r="S46" s="126">
        <f t="shared" si="4"/>
        <v>3.1820382790303198E-9</v>
      </c>
      <c r="T46">
        <v>10</v>
      </c>
      <c r="U46">
        <v>10</v>
      </c>
      <c r="V46">
        <f t="shared" si="11"/>
        <v>0</v>
      </c>
      <c r="W46">
        <f t="shared" si="12"/>
        <v>100</v>
      </c>
      <c r="X46">
        <f t="shared" si="5"/>
        <v>90</v>
      </c>
      <c r="Y46">
        <f t="shared" si="6"/>
        <v>110.00000000000001</v>
      </c>
      <c r="Z46">
        <f t="shared" si="13"/>
        <v>0</v>
      </c>
      <c r="AA46" s="126">
        <f t="shared" si="14"/>
        <v>3.5233886508891263E-9</v>
      </c>
      <c r="AB46" s="126">
        <f t="shared" si="15"/>
        <v>8.244745650226786E-9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1.3411095988107347E-9</v>
      </c>
      <c r="S47" s="126">
        <f t="shared" si="4"/>
        <v>3.3605739243909379E-9</v>
      </c>
      <c r="T47">
        <v>10</v>
      </c>
      <c r="U47">
        <v>12</v>
      </c>
      <c r="V47">
        <f t="shared" si="11"/>
        <v>0</v>
      </c>
      <c r="W47">
        <f>U47*T47</f>
        <v>120</v>
      </c>
      <c r="X47">
        <f t="shared" si="5"/>
        <v>108</v>
      </c>
      <c r="Y47">
        <f t="shared" si="6"/>
        <v>132</v>
      </c>
      <c r="Z47">
        <f t="shared" si="13"/>
        <v>0</v>
      </c>
      <c r="AA47" s="126">
        <f t="shared" si="14"/>
        <v>3.8436967100243492E-9</v>
      </c>
      <c r="AB47" s="126">
        <f t="shared" si="15"/>
        <v>8.7073362467000476E-9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1.4528687320311603E-9</v>
      </c>
      <c r="S48" s="126">
        <f t="shared" si="4"/>
        <v>3.539109569748488E-9</v>
      </c>
      <c r="T48">
        <v>10</v>
      </c>
      <c r="U48">
        <v>15</v>
      </c>
      <c r="V48">
        <f t="shared" si="11"/>
        <v>0</v>
      </c>
      <c r="W48">
        <f t="shared" si="12"/>
        <v>150</v>
      </c>
      <c r="X48">
        <f t="shared" si="5"/>
        <v>135</v>
      </c>
      <c r="Y48">
        <f t="shared" si="6"/>
        <v>165</v>
      </c>
      <c r="Z48">
        <f t="shared" si="13"/>
        <v>0</v>
      </c>
      <c r="AA48" s="126">
        <f t="shared" si="14"/>
        <v>4.164004769153487E-9</v>
      </c>
      <c r="AB48" s="126">
        <f t="shared" si="15"/>
        <v>9.16992684316536E-9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1.6018809096550919E-9</v>
      </c>
      <c r="S49" s="126">
        <f t="shared" si="4"/>
        <v>3.7771570968871168E-9</v>
      </c>
      <c r="T49">
        <v>10</v>
      </c>
      <c r="U49">
        <v>18</v>
      </c>
      <c r="V49">
        <f t="shared" si="11"/>
        <v>0</v>
      </c>
      <c r="W49">
        <f t="shared" si="12"/>
        <v>180</v>
      </c>
      <c r="X49">
        <f t="shared" si="5"/>
        <v>162</v>
      </c>
      <c r="Y49">
        <f t="shared" si="6"/>
        <v>198.00000000000003</v>
      </c>
      <c r="Z49">
        <f t="shared" si="13"/>
        <v>0</v>
      </c>
      <c r="AA49" s="126">
        <f t="shared" si="14"/>
        <v>4.5910821813162061E-9</v>
      </c>
      <c r="AB49" s="126">
        <f t="shared" si="15"/>
        <v>9.7867143051067485E-9</v>
      </c>
      <c r="AC49" s="126" t="str">
        <f t="shared" si="7"/>
        <v>Vlow exceeds VIL spec</v>
      </c>
      <c r="AD49" s="126" t="str">
        <f t="shared" si="8"/>
        <v>Vlow exceeds VIL spec</v>
      </c>
    </row>
    <row r="50" spans="1:30" x14ac:dyDescent="0.35">
      <c r="A50" t="s">
        <v>320</v>
      </c>
      <c r="B50" s="11">
        <f>F11*(1+H11)</f>
        <v>1260</v>
      </c>
      <c r="C50" s="11">
        <f>F11*(1+H11)</f>
        <v>1260</v>
      </c>
      <c r="K50">
        <v>1</v>
      </c>
      <c r="L50">
        <v>47</v>
      </c>
      <c r="M50">
        <f t="shared" si="9"/>
        <v>0</v>
      </c>
      <c r="N50">
        <f t="shared" si="0"/>
        <v>47</v>
      </c>
      <c r="O50">
        <f t="shared" si="1"/>
        <v>44.65</v>
      </c>
      <c r="P50">
        <f t="shared" si="2"/>
        <v>49.35</v>
      </c>
      <c r="Q50">
        <f t="shared" si="10"/>
        <v>0</v>
      </c>
      <c r="R50" s="126">
        <f t="shared" si="3"/>
        <v>1.7508930872752479E-9</v>
      </c>
      <c r="S50" s="126">
        <f t="shared" si="4"/>
        <v>4.0152046240202916E-9</v>
      </c>
      <c r="T50">
        <v>10</v>
      </c>
      <c r="U50">
        <v>22</v>
      </c>
      <c r="V50">
        <f t="shared" si="11"/>
        <v>0</v>
      </c>
      <c r="W50">
        <f t="shared" si="12"/>
        <v>220</v>
      </c>
      <c r="X50">
        <f t="shared" si="5"/>
        <v>198</v>
      </c>
      <c r="Y50">
        <f t="shared" si="6"/>
        <v>242.00000000000003</v>
      </c>
      <c r="Z50">
        <f t="shared" si="13"/>
        <v>0</v>
      </c>
      <c r="AA50" s="126">
        <f t="shared" si="14"/>
        <v>5.0181595934681032E-9</v>
      </c>
      <c r="AB50" s="126">
        <f t="shared" si="15"/>
        <v>1.0403501767034002E-8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1.8999052648916288E-9</v>
      </c>
      <c r="S51" s="126">
        <f t="shared" si="4"/>
        <v>4.2532521511480136E-9</v>
      </c>
      <c r="T51">
        <v>10</v>
      </c>
      <c r="U51">
        <v>27</v>
      </c>
      <c r="V51">
        <f t="shared" si="11"/>
        <v>0</v>
      </c>
      <c r="W51">
        <f t="shared" si="12"/>
        <v>270</v>
      </c>
      <c r="X51">
        <f t="shared" si="5"/>
        <v>243</v>
      </c>
      <c r="Y51">
        <f t="shared" si="6"/>
        <v>297</v>
      </c>
      <c r="Z51">
        <f t="shared" si="13"/>
        <v>0</v>
      </c>
      <c r="AA51" s="126">
        <f t="shared" si="14"/>
        <v>5.44523700560918E-9</v>
      </c>
      <c r="AB51" s="126">
        <f t="shared" si="15"/>
        <v>1.1020289228947131E-8</v>
      </c>
      <c r="AC51" s="126" t="str">
        <f t="shared" si="7"/>
        <v>Vlow exceeds VIL spec</v>
      </c>
      <c r="AD51" s="126" t="str">
        <f t="shared" si="8"/>
        <v>Vlow exceeds VIL spec</v>
      </c>
    </row>
    <row r="52" spans="1:30" x14ac:dyDescent="0.35">
      <c r="A52" t="s">
        <v>324</v>
      </c>
      <c r="B52" s="1">
        <f>K21</f>
        <v>21.49240538481077</v>
      </c>
      <c r="C52">
        <v>0</v>
      </c>
      <c r="K52">
        <v>1</v>
      </c>
      <c r="L52">
        <v>56</v>
      </c>
      <c r="M52">
        <f t="shared" si="9"/>
        <v>0</v>
      </c>
      <c r="N52">
        <f t="shared" si="0"/>
        <v>56</v>
      </c>
      <c r="O52">
        <f t="shared" si="1"/>
        <v>53.199999999999996</v>
      </c>
      <c r="P52">
        <f t="shared" si="2"/>
        <v>58.800000000000004</v>
      </c>
      <c r="Q52">
        <f t="shared" si="10"/>
        <v>0</v>
      </c>
      <c r="R52" s="126">
        <f t="shared" si="3"/>
        <v>2.0861704869067965E-9</v>
      </c>
      <c r="S52" s="126">
        <f t="shared" si="4"/>
        <v>4.5508115600499963E-9</v>
      </c>
      <c r="T52">
        <v>10</v>
      </c>
      <c r="U52">
        <v>33</v>
      </c>
      <c r="V52">
        <f t="shared" si="11"/>
        <v>0</v>
      </c>
      <c r="W52">
        <f t="shared" si="12"/>
        <v>330</v>
      </c>
      <c r="X52">
        <f t="shared" si="5"/>
        <v>297</v>
      </c>
      <c r="Y52">
        <f t="shared" si="6"/>
        <v>363.00000000000006</v>
      </c>
      <c r="Z52">
        <f t="shared" si="13"/>
        <v>0</v>
      </c>
      <c r="AA52" s="126">
        <f t="shared" si="14"/>
        <v>5.9790837707703136E-9</v>
      </c>
      <c r="AB52" s="126">
        <f t="shared" si="15"/>
        <v>1.1791273556318669E-8</v>
      </c>
      <c r="AC52" s="126" t="str">
        <f t="shared" si="7"/>
        <v>Vlow exceeds VIL spec</v>
      </c>
      <c r="AD52" s="126" t="str">
        <f t="shared" si="8"/>
        <v>Vlow exceeds VIL spec</v>
      </c>
    </row>
    <row r="53" spans="1:30" x14ac:dyDescent="0.35">
      <c r="A53" t="s">
        <v>327</v>
      </c>
      <c r="B53">
        <v>0</v>
      </c>
      <c r="C53" s="1">
        <f>K21</f>
        <v>21.49240538481077</v>
      </c>
      <c r="K53">
        <v>1</v>
      </c>
      <c r="L53">
        <v>62</v>
      </c>
      <c r="M53">
        <f t="shared" si="9"/>
        <v>0</v>
      </c>
      <c r="N53">
        <f t="shared" si="0"/>
        <v>62</v>
      </c>
      <c r="O53">
        <f t="shared" si="1"/>
        <v>58.9</v>
      </c>
      <c r="P53">
        <f t="shared" si="2"/>
        <v>65.100000000000009</v>
      </c>
      <c r="Q53">
        <f t="shared" si="10"/>
        <v>0</v>
      </c>
      <c r="R53" s="126">
        <f t="shared" si="3"/>
        <v>2.3096887533172128E-9</v>
      </c>
      <c r="S53" s="126">
        <f t="shared" si="4"/>
        <v>4.9078828507211285E-9</v>
      </c>
      <c r="T53">
        <v>10</v>
      </c>
      <c r="U53">
        <v>39</v>
      </c>
      <c r="V53">
        <f t="shared" si="11"/>
        <v>0</v>
      </c>
      <c r="W53">
        <f t="shared" si="12"/>
        <v>390</v>
      </c>
      <c r="X53">
        <f t="shared" si="5"/>
        <v>351</v>
      </c>
      <c r="Y53">
        <f t="shared" si="6"/>
        <v>429.00000000000006</v>
      </c>
      <c r="Z53">
        <f t="shared" si="13"/>
        <v>0</v>
      </c>
      <c r="AA53" s="126">
        <f t="shared" si="14"/>
        <v>6.6196998889413597E-9</v>
      </c>
      <c r="AB53" s="126">
        <f t="shared" si="15"/>
        <v>1.2716454749135371E-8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2.5332070197191343E-9</v>
      </c>
      <c r="S54" s="126">
        <f t="shared" si="4"/>
        <v>5.2649541413799887E-9</v>
      </c>
      <c r="T54">
        <v>10</v>
      </c>
      <c r="U54">
        <v>47</v>
      </c>
      <c r="V54">
        <f t="shared" si="11"/>
        <v>0</v>
      </c>
      <c r="W54">
        <f t="shared" si="12"/>
        <v>470</v>
      </c>
      <c r="X54">
        <f t="shared" si="5"/>
        <v>423</v>
      </c>
      <c r="Y54">
        <f t="shared" si="6"/>
        <v>517</v>
      </c>
      <c r="Z54">
        <f t="shared" si="13"/>
        <v>0</v>
      </c>
      <c r="AA54" s="126">
        <f t="shared" si="14"/>
        <v>7.2603160070880602E-9</v>
      </c>
      <c r="AB54" s="126">
        <f t="shared" si="15"/>
        <v>1.3641635941920278E-8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2.793978330510641E-9</v>
      </c>
      <c r="S55" s="126">
        <f t="shared" si="4"/>
        <v>5.6815373137998184E-9</v>
      </c>
      <c r="T55">
        <v>10</v>
      </c>
      <c r="U55">
        <v>56</v>
      </c>
      <c r="V55">
        <f t="shared" si="11"/>
        <v>0</v>
      </c>
      <c r="W55">
        <f t="shared" si="12"/>
        <v>560</v>
      </c>
      <c r="X55">
        <f t="shared" si="5"/>
        <v>504</v>
      </c>
      <c r="Y55">
        <f t="shared" si="6"/>
        <v>616</v>
      </c>
      <c r="Z55">
        <f t="shared" si="13"/>
        <v>0</v>
      </c>
      <c r="AA55" s="126">
        <f t="shared" si="14"/>
        <v>8.0077014782284446E-9</v>
      </c>
      <c r="AB55" s="126">
        <f t="shared" si="15"/>
        <v>1.4721014000129157E-8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3.0547496412905879E-9</v>
      </c>
      <c r="S56" s="126">
        <f t="shared" si="4"/>
        <v>6.0981204862029489E-9</v>
      </c>
      <c r="T56">
        <v>10</v>
      </c>
      <c r="U56">
        <v>68</v>
      </c>
      <c r="V56">
        <f t="shared" si="11"/>
        <v>1</v>
      </c>
      <c r="W56">
        <f t="shared" si="12"/>
        <v>680</v>
      </c>
      <c r="X56">
        <f t="shared" si="5"/>
        <v>612</v>
      </c>
      <c r="Y56">
        <f t="shared" si="6"/>
        <v>748.00000000000011</v>
      </c>
      <c r="Z56">
        <f t="shared" si="13"/>
        <v>1</v>
      </c>
      <c r="AA56" s="126">
        <f t="shared" si="14"/>
        <v>8.7550869493356963E-9</v>
      </c>
      <c r="AB56" s="126">
        <f t="shared" si="15"/>
        <v>1.5800392058294765E-8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3.3900270408478173E-9</v>
      </c>
      <c r="S57" s="126">
        <f t="shared" si="4"/>
        <v>6.6337274221252864E-9</v>
      </c>
      <c r="T57">
        <v>10</v>
      </c>
      <c r="U57">
        <v>82</v>
      </c>
      <c r="V57">
        <f t="shared" si="11"/>
        <v>2</v>
      </c>
      <c r="W57">
        <f t="shared" si="12"/>
        <v>820</v>
      </c>
      <c r="X57">
        <f t="shared" si="5"/>
        <v>738</v>
      </c>
      <c r="Y57">
        <f t="shared" si="6"/>
        <v>902.00000000000011</v>
      </c>
      <c r="Z57">
        <f t="shared" si="13"/>
        <v>1</v>
      </c>
      <c r="AA57" s="126">
        <f t="shared" si="14"/>
        <v>9.7160111264249028E-9</v>
      </c>
      <c r="AB57" s="126">
        <f t="shared" si="15"/>
        <v>1.7188163847301242E-8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3.7253044403859359E-9</v>
      </c>
      <c r="S58" s="126">
        <f t="shared" si="4"/>
        <v>7.1693343580200184E-9</v>
      </c>
      <c r="T58">
        <v>100</v>
      </c>
      <c r="U58">
        <v>10</v>
      </c>
      <c r="V58">
        <f t="shared" si="11"/>
        <v>3</v>
      </c>
      <c r="W58">
        <f t="shared" si="12"/>
        <v>1000</v>
      </c>
      <c r="X58">
        <f t="shared" si="5"/>
        <v>900</v>
      </c>
      <c r="Y58">
        <f t="shared" si="6"/>
        <v>1100</v>
      </c>
      <c r="Z58">
        <f t="shared" si="13"/>
        <v>1</v>
      </c>
      <c r="AA58" s="126">
        <f t="shared" si="14"/>
        <v>1.0676935303459338E-8</v>
      </c>
      <c r="AB58" s="126">
        <f t="shared" si="15"/>
        <v>1.8575935636236185E-8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4.0978348842947643E-9</v>
      </c>
      <c r="S59" s="126">
        <f t="shared" si="4"/>
        <v>7.7644531756484511E-9</v>
      </c>
      <c r="T59">
        <v>100</v>
      </c>
      <c r="U59">
        <v>12</v>
      </c>
      <c r="V59">
        <f t="shared" si="11"/>
        <v>4</v>
      </c>
      <c r="W59">
        <f t="shared" si="12"/>
        <v>1200</v>
      </c>
      <c r="X59">
        <f t="shared" si="5"/>
        <v>1080</v>
      </c>
      <c r="Y59">
        <f t="shared" si="6"/>
        <v>1320</v>
      </c>
      <c r="Z59">
        <f t="shared" si="13"/>
        <v>1</v>
      </c>
      <c r="AA59" s="126">
        <f t="shared" si="14"/>
        <v>1.1744628833433358E-8</v>
      </c>
      <c r="AB59" s="126">
        <f t="shared" si="15"/>
        <v>2.0117904290524454E-8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4.4703653281799998E-9</v>
      </c>
      <c r="S60" s="126">
        <f t="shared" si="4"/>
        <v>8.3595719932428006E-9</v>
      </c>
      <c r="T60">
        <v>100</v>
      </c>
      <c r="U60">
        <v>15</v>
      </c>
      <c r="V60">
        <f t="shared" si="11"/>
        <v>5</v>
      </c>
      <c r="W60">
        <f t="shared" si="12"/>
        <v>1500</v>
      </c>
      <c r="X60">
        <f t="shared" si="5"/>
        <v>1350</v>
      </c>
      <c r="Y60">
        <f t="shared" si="6"/>
        <v>1650.0000000000002</v>
      </c>
      <c r="Z60">
        <f t="shared" si="13"/>
        <v>1</v>
      </c>
      <c r="AA60" s="126">
        <f t="shared" si="14"/>
        <v>1.2812322363339758E-8</v>
      </c>
      <c r="AB60" s="126">
        <f t="shared" si="15"/>
        <v>2.1659872944724406E-8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4.8428957720416409E-9</v>
      </c>
      <c r="S61" s="126">
        <f t="shared" si="4"/>
        <v>8.9546908108030637E-9</v>
      </c>
      <c r="T61">
        <v>100</v>
      </c>
      <c r="U61">
        <v>18</v>
      </c>
      <c r="V61">
        <f t="shared" si="11"/>
        <v>6</v>
      </c>
      <c r="W61">
        <f t="shared" si="12"/>
        <v>1800</v>
      </c>
      <c r="X61">
        <f t="shared" si="5"/>
        <v>1620</v>
      </c>
      <c r="Y61">
        <f t="shared" si="6"/>
        <v>1980.0000000000002</v>
      </c>
      <c r="Z61">
        <f t="shared" si="13"/>
        <v>0</v>
      </c>
      <c r="AA61" s="126">
        <f t="shared" si="14"/>
        <v>1.3880015893178537E-8</v>
      </c>
      <c r="AB61" s="126">
        <f t="shared" si="15"/>
        <v>2.3201841598836042E-8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0.99999859717809059</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0.99999859720197104</v>
      </c>
      <c r="K62">
        <v>10</v>
      </c>
      <c r="L62">
        <v>15</v>
      </c>
      <c r="M62">
        <f t="shared" si="9"/>
        <v>0</v>
      </c>
      <c r="N62">
        <f t="shared" si="0"/>
        <v>150</v>
      </c>
      <c r="O62">
        <f t="shared" si="1"/>
        <v>142.5</v>
      </c>
      <c r="P62">
        <f t="shared" si="2"/>
        <v>157.5</v>
      </c>
      <c r="Q62">
        <f t="shared" si="10"/>
        <v>0</v>
      </c>
      <c r="R62" s="126">
        <f t="shared" si="3"/>
        <v>5.5879566596941436E-9</v>
      </c>
      <c r="S62" s="126">
        <f t="shared" si="4"/>
        <v>1.0144928445821342E-8</v>
      </c>
      <c r="T62">
        <v>100</v>
      </c>
      <c r="U62">
        <v>22</v>
      </c>
      <c r="V62">
        <f t="shared" si="11"/>
        <v>6</v>
      </c>
      <c r="W62">
        <f t="shared" si="12"/>
        <v>2200</v>
      </c>
      <c r="X62">
        <f t="shared" si="5"/>
        <v>1980</v>
      </c>
      <c r="Y62">
        <f t="shared" si="6"/>
        <v>2420</v>
      </c>
      <c r="Z62">
        <f t="shared" si="13"/>
        <v>0</v>
      </c>
      <c r="AA62" s="126">
        <f t="shared" si="14"/>
        <v>1.6015402952653235E-8</v>
      </c>
      <c r="AB62" s="126">
        <f t="shared" si="15"/>
        <v>2.6285778906794384E-8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0.99999859720197104</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0.99999859720197104</v>
      </c>
      <c r="K63">
        <v>10</v>
      </c>
      <c r="L63">
        <v>16</v>
      </c>
      <c r="M63">
        <f t="shared" si="9"/>
        <v>0</v>
      </c>
      <c r="N63">
        <f t="shared" si="0"/>
        <v>160</v>
      </c>
      <c r="O63">
        <f t="shared" si="1"/>
        <v>152</v>
      </c>
      <c r="P63">
        <f t="shared" si="2"/>
        <v>168</v>
      </c>
      <c r="Q63">
        <f t="shared" si="10"/>
        <v>0</v>
      </c>
      <c r="R63" s="126">
        <f t="shared" si="3"/>
        <v>5.9604871034850044E-9</v>
      </c>
      <c r="S63" s="126">
        <f t="shared" si="4"/>
        <v>1.0740047263279354E-8</v>
      </c>
      <c r="T63">
        <v>100</v>
      </c>
      <c r="U63">
        <v>27</v>
      </c>
      <c r="V63">
        <f t="shared" si="11"/>
        <v>6</v>
      </c>
      <c r="W63">
        <f t="shared" si="12"/>
        <v>2700</v>
      </c>
      <c r="X63">
        <f t="shared" si="5"/>
        <v>2430</v>
      </c>
      <c r="Y63">
        <f t="shared" si="6"/>
        <v>2970.0000000000005</v>
      </c>
      <c r="Z63">
        <f t="shared" si="13"/>
        <v>0</v>
      </c>
      <c r="AA63" s="126">
        <f t="shared" si="14"/>
        <v>1.7083096482289151E-8</v>
      </c>
      <c r="AB63" s="126">
        <f t="shared" si="15"/>
        <v>2.7827747560641084E-8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0.99999859720197104</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0.99999859717809059</v>
      </c>
      <c r="K64">
        <v>10</v>
      </c>
      <c r="L64">
        <v>18</v>
      </c>
      <c r="M64">
        <f t="shared" si="9"/>
        <v>0</v>
      </c>
      <c r="N64">
        <f t="shared" si="0"/>
        <v>180</v>
      </c>
      <c r="O64">
        <f t="shared" si="1"/>
        <v>171</v>
      </c>
      <c r="P64">
        <f t="shared" si="2"/>
        <v>189</v>
      </c>
      <c r="Q64">
        <f t="shared" si="10"/>
        <v>0</v>
      </c>
      <c r="R64" s="126">
        <f t="shared" si="3"/>
        <v>6.7055479909959451E-9</v>
      </c>
      <c r="S64" s="126">
        <f t="shared" si="4"/>
        <v>1.1930284898093127E-8</v>
      </c>
      <c r="T64">
        <v>100</v>
      </c>
      <c r="U64">
        <v>33</v>
      </c>
      <c r="V64">
        <f t="shared" si="11"/>
        <v>6</v>
      </c>
      <c r="W64">
        <f t="shared" si="12"/>
        <v>3300</v>
      </c>
      <c r="X64">
        <f t="shared" si="5"/>
        <v>2970</v>
      </c>
      <c r="Y64">
        <f t="shared" si="6"/>
        <v>3630.0000000000005</v>
      </c>
      <c r="Z64">
        <f t="shared" si="13"/>
        <v>0</v>
      </c>
      <c r="AA64" s="126">
        <f t="shared" si="14"/>
        <v>1.9218483541358125E-8</v>
      </c>
      <c r="AB64" s="126">
        <f t="shared" si="15"/>
        <v>3.0911684868069551E-8</v>
      </c>
      <c r="AC64" s="126" t="str">
        <f t="shared" si="7"/>
        <v>Vlow exceeds VIL spec</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7.4506088784125111E-9</v>
      </c>
      <c r="S65" s="126">
        <f t="shared" si="4"/>
        <v>1.312052253277056E-8</v>
      </c>
      <c r="T65">
        <v>100</v>
      </c>
      <c r="U65">
        <v>39</v>
      </c>
      <c r="V65">
        <f t="shared" si="11"/>
        <v>6</v>
      </c>
      <c r="W65">
        <f t="shared" si="12"/>
        <v>3900</v>
      </c>
      <c r="X65">
        <f t="shared" si="5"/>
        <v>3510</v>
      </c>
      <c r="Y65">
        <f t="shared" si="6"/>
        <v>4290</v>
      </c>
      <c r="Z65">
        <f t="shared" si="13"/>
        <v>0</v>
      </c>
      <c r="AA65" s="126">
        <f t="shared" si="14"/>
        <v>2.1353870600156614E-8</v>
      </c>
      <c r="AB65" s="126">
        <f t="shared" si="15"/>
        <v>3.3995622175144755E-8</v>
      </c>
      <c r="AC65" s="126" t="str">
        <f t="shared" si="7"/>
        <v>Vlow exceeds VIL spec</v>
      </c>
      <c r="AD65" s="126" t="str">
        <f t="shared" si="8"/>
        <v>Vlow exceeds VIL spec</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8.1956697657347032E-9</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1.431076016731166E-8</v>
      </c>
      <c r="T66">
        <v>100</v>
      </c>
      <c r="U66">
        <v>47</v>
      </c>
      <c r="V66">
        <f t="shared" si="11"/>
        <v>6</v>
      </c>
      <c r="W66">
        <f t="shared" si="12"/>
        <v>4700</v>
      </c>
      <c r="X66">
        <f t="shared" si="5"/>
        <v>4230</v>
      </c>
      <c r="Y66">
        <f t="shared" si="6"/>
        <v>5170</v>
      </c>
      <c r="Z66">
        <f t="shared" si="13"/>
        <v>0</v>
      </c>
      <c r="AA66" s="126">
        <f t="shared" si="14"/>
        <v>2.3489257658684622E-8</v>
      </c>
      <c r="AB66" s="126">
        <f t="shared" si="15"/>
        <v>3.7079559481866714E-8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t="str">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8.9407306529625223E-9</v>
      </c>
      <c r="S67" s="126">
        <f t="shared" si="17"/>
        <v>1.5500997801716423E-8</v>
      </c>
      <c r="T67">
        <v>100</v>
      </c>
      <c r="U67">
        <v>56</v>
      </c>
      <c r="V67">
        <f t="shared" si="11"/>
        <v>6</v>
      </c>
      <c r="W67">
        <f t="shared" si="12"/>
        <v>5600</v>
      </c>
      <c r="X67">
        <f t="shared" si="5"/>
        <v>5040</v>
      </c>
      <c r="Y67">
        <f t="shared" si="6"/>
        <v>6160.0000000000009</v>
      </c>
      <c r="Z67">
        <f t="shared" si="13"/>
        <v>0</v>
      </c>
      <c r="AA67" s="126">
        <f t="shared" si="14"/>
        <v>2.5624644716942152E-8</v>
      </c>
      <c r="AB67" s="126">
        <f t="shared" si="15"/>
        <v>4.0163496788235427E-8</v>
      </c>
      <c r="AC67" s="126" t="str">
        <f t="shared" si="18"/>
        <v>Vlow exceeds VIL spec</v>
      </c>
      <c r="AD67" s="126" t="str">
        <f t="shared" si="19"/>
        <v>Vlow exceeds VIL spec</v>
      </c>
    </row>
    <row r="68" spans="1:31" ht="28.4" customHeight="1" x14ac:dyDescent="0.35">
      <c r="B68" s="32" t="s">
        <v>355</v>
      </c>
      <c r="C68" s="32" t="s">
        <v>356</v>
      </c>
      <c r="D68" s="32" t="s">
        <v>357</v>
      </c>
      <c r="E68" s="32" t="str">
        <f>IF(Summary!V37="absolute","find min R2, so that max (Vz) = " &amp; TRUNC(R3/J2,3),"find min R2, so that max (Vz) = " &amp; R3)</f>
        <v>find min R2, so that max (Vz) = 0.166</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1.0058321983627295E-8</v>
      </c>
      <c r="S68" s="126">
        <f t="shared" si="17"/>
        <v>1.7286354253067935E-8</v>
      </c>
      <c r="T68">
        <v>100</v>
      </c>
      <c r="U68">
        <v>68</v>
      </c>
      <c r="V68">
        <f t="shared" si="11"/>
        <v>6</v>
      </c>
      <c r="W68">
        <f t="shared" si="12"/>
        <v>6800</v>
      </c>
      <c r="X68">
        <f t="shared" si="5"/>
        <v>6120</v>
      </c>
      <c r="Y68">
        <f t="shared" si="6"/>
        <v>7480.0000000000009</v>
      </c>
      <c r="Z68">
        <f t="shared" si="13"/>
        <v>0</v>
      </c>
      <c r="AA68" s="126">
        <f t="shared" si="14"/>
        <v>2.8827725303821282E-8</v>
      </c>
      <c r="AB68" s="126">
        <f t="shared" si="15"/>
        <v>4.478940274712614E-8</v>
      </c>
      <c r="AC68" s="126" t="str">
        <f t="shared" si="18"/>
        <v>Vlow exceeds VIL spec</v>
      </c>
      <c r="AD68" s="126" t="str">
        <f t="shared" si="19"/>
        <v>Vlow exceeds VIL spec</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1.1175913314079727E-8</v>
      </c>
      <c r="S69" s="126">
        <f t="shared" si="17"/>
        <v>1.9071710704112691E-8</v>
      </c>
      <c r="T69">
        <v>100</v>
      </c>
      <c r="U69">
        <v>82</v>
      </c>
      <c r="V69">
        <f t="shared" si="11"/>
        <v>6</v>
      </c>
      <c r="W69">
        <f t="shared" si="12"/>
        <v>8200</v>
      </c>
      <c r="X69">
        <f t="shared" si="5"/>
        <v>7380</v>
      </c>
      <c r="Y69">
        <f t="shared" si="6"/>
        <v>9020</v>
      </c>
      <c r="Z69">
        <f t="shared" si="13"/>
        <v>0</v>
      </c>
      <c r="AA69" s="126">
        <f t="shared" si="14"/>
        <v>3.2030805890091832E-8</v>
      </c>
      <c r="AB69" s="126">
        <f t="shared" si="15"/>
        <v>4.9415308705222044E-8</v>
      </c>
      <c r="AC69" s="126" t="str">
        <f t="shared" si="18"/>
        <v>Vlow exceeds VIL spec</v>
      </c>
      <c r="AD69" s="126" t="str">
        <f t="shared" si="19"/>
        <v>Vlow exceeds VIL spec</v>
      </c>
    </row>
    <row r="70" spans="1:31" x14ac:dyDescent="0.35">
      <c r="A70" t="s">
        <v>320</v>
      </c>
      <c r="B70" s="11">
        <f>F11*(1+H11)</f>
        <v>1260</v>
      </c>
      <c r="C70" s="11">
        <f>F11*(1-H11)</f>
        <v>1140</v>
      </c>
      <c r="D70" s="11">
        <f>F11*(1+H11)</f>
        <v>1260</v>
      </c>
      <c r="E70" s="11"/>
      <c r="F70" s="11">
        <f>F11*(1-H11)</f>
        <v>1140</v>
      </c>
      <c r="G70" s="11">
        <f>F11*(1-H11)</f>
        <v>1140</v>
      </c>
      <c r="H70" s="11">
        <f>F11*(1+H11)</f>
        <v>1260</v>
      </c>
      <c r="K70">
        <v>10</v>
      </c>
      <c r="L70">
        <v>33</v>
      </c>
      <c r="M70">
        <f t="shared" si="9"/>
        <v>0</v>
      </c>
      <c r="N70">
        <f t="shared" si="0"/>
        <v>330</v>
      </c>
      <c r="O70">
        <f t="shared" si="1"/>
        <v>313.5</v>
      </c>
      <c r="P70">
        <f t="shared" si="2"/>
        <v>346.5</v>
      </c>
      <c r="Q70">
        <f t="shared" si="10"/>
        <v>0</v>
      </c>
      <c r="R70" s="126">
        <f t="shared" si="16"/>
        <v>1.2293504644319816E-8</v>
      </c>
      <c r="S70" s="126">
        <f t="shared" si="17"/>
        <v>2.0857067154850696E-8</v>
      </c>
      <c r="T70">
        <v>1000</v>
      </c>
      <c r="U70">
        <v>10</v>
      </c>
      <c r="V70">
        <f t="shared" si="11"/>
        <v>6</v>
      </c>
      <c r="W70">
        <f t="shared" si="12"/>
        <v>10000</v>
      </c>
      <c r="X70">
        <f t="shared" si="5"/>
        <v>9000</v>
      </c>
      <c r="Y70">
        <f t="shared" si="6"/>
        <v>11000</v>
      </c>
      <c r="Z70">
        <f t="shared" si="13"/>
        <v>0</v>
      </c>
      <c r="AA70" s="126">
        <f t="shared" si="14"/>
        <v>3.5233886475753796E-8</v>
      </c>
      <c r="AB70" s="126">
        <f t="shared" si="15"/>
        <v>5.4041214662523141E-8</v>
      </c>
      <c r="AC70" s="126" t="str">
        <f t="shared" si="18"/>
        <v>Vlow exceeds VIL spec</v>
      </c>
      <c r="AD70" s="126">
        <f t="shared" si="19"/>
        <v>1.2863236288937604E-7</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1.3411095974347565E-8</v>
      </c>
      <c r="S71" s="126">
        <f t="shared" si="17"/>
        <v>2.2642423605281937E-8</v>
      </c>
      <c r="T71">
        <v>1000</v>
      </c>
      <c r="U71">
        <v>12</v>
      </c>
      <c r="V71">
        <f t="shared" si="11"/>
        <v>6</v>
      </c>
      <c r="W71">
        <f t="shared" si="12"/>
        <v>12000</v>
      </c>
      <c r="X71">
        <f t="shared" si="5"/>
        <v>10800</v>
      </c>
      <c r="Y71">
        <f t="shared" si="6"/>
        <v>13200.000000000002</v>
      </c>
      <c r="Z71">
        <f t="shared" si="13"/>
        <v>0</v>
      </c>
      <c r="AA71" s="126">
        <f t="shared" si="14"/>
        <v>3.8436967060807173E-8</v>
      </c>
      <c r="AB71" s="126">
        <f t="shared" si="15"/>
        <v>5.866712061902941E-8</v>
      </c>
      <c r="AC71" s="126" t="str">
        <f t="shared" si="18"/>
        <v>Vlow exceeds VIL spec</v>
      </c>
      <c r="AD71" s="126">
        <f t="shared" si="19"/>
        <v>6.6521380224694659E-8</v>
      </c>
    </row>
    <row r="72" spans="1:31" x14ac:dyDescent="0.35">
      <c r="A72" t="s">
        <v>324</v>
      </c>
      <c r="B72" s="1">
        <f>K21*MIN(K25,K24)</f>
        <v>0</v>
      </c>
      <c r="C72" s="1">
        <f>K21*MAX(K25,K24)</f>
        <v>21.49240538481077</v>
      </c>
      <c r="D72" s="1">
        <f>K21*MIN(K25,K24)</f>
        <v>0</v>
      </c>
      <c r="E72" s="1">
        <f>K21*MAX(K25,K24)</f>
        <v>21.49240538481077</v>
      </c>
      <c r="F72" s="125">
        <f>K21*MAX(K25,K24)</f>
        <v>21.49240538481077</v>
      </c>
      <c r="G72" s="125">
        <f>K22*MAX(K25,K24)</f>
        <v>15.682405384810767</v>
      </c>
      <c r="H72" s="1">
        <f>K22*MIN(K25,K24)</f>
        <v>0</v>
      </c>
      <c r="K72">
        <v>10</v>
      </c>
      <c r="L72">
        <v>39</v>
      </c>
      <c r="M72">
        <f t="shared" si="9"/>
        <v>0</v>
      </c>
      <c r="N72">
        <f t="shared" si="0"/>
        <v>390</v>
      </c>
      <c r="O72">
        <f t="shared" si="1"/>
        <v>370.5</v>
      </c>
      <c r="P72">
        <f t="shared" si="2"/>
        <v>409.5</v>
      </c>
      <c r="Q72">
        <f t="shared" si="10"/>
        <v>0</v>
      </c>
      <c r="R72" s="126">
        <f t="shared" si="16"/>
        <v>1.452868730416297E-8</v>
      </c>
      <c r="S72" s="126">
        <f t="shared" si="17"/>
        <v>2.4427780055406422E-8</v>
      </c>
      <c r="T72">
        <v>1000</v>
      </c>
      <c r="U72">
        <v>15</v>
      </c>
      <c r="V72">
        <f t="shared" si="11"/>
        <v>6</v>
      </c>
      <c r="W72">
        <f t="shared" si="12"/>
        <v>15000</v>
      </c>
      <c r="X72">
        <f t="shared" si="5"/>
        <v>13500</v>
      </c>
      <c r="Y72">
        <f t="shared" si="6"/>
        <v>16500</v>
      </c>
      <c r="Z72">
        <f t="shared" si="13"/>
        <v>0</v>
      </c>
      <c r="AA72" s="126">
        <f t="shared" si="14"/>
        <v>4.164004764525197E-8</v>
      </c>
      <c r="AB72" s="126">
        <f t="shared" si="15"/>
        <v>6.3293026574740864E-8</v>
      </c>
      <c r="AC72" s="126" t="str">
        <f t="shared" si="18"/>
        <v>Vlow exceeds VIL spec</v>
      </c>
      <c r="AD72" s="126">
        <f t="shared" si="19"/>
        <v>5.5342170519577529E-8</v>
      </c>
    </row>
    <row r="73" spans="1:31" x14ac:dyDescent="0.35">
      <c r="A73" t="s">
        <v>327</v>
      </c>
      <c r="B73" s="1">
        <f>K21-B72</f>
        <v>21.49240538481077</v>
      </c>
      <c r="C73" s="1">
        <f>K21-C72</f>
        <v>0</v>
      </c>
      <c r="D73" s="1">
        <f>K21-D72</f>
        <v>21.49240538481077</v>
      </c>
      <c r="E73" s="1">
        <f>K21-E72</f>
        <v>0</v>
      </c>
      <c r="F73" s="1">
        <f>K21-F72</f>
        <v>0</v>
      </c>
      <c r="G73" s="1">
        <f>K22-G72</f>
        <v>0</v>
      </c>
      <c r="H73" s="1">
        <f>K22-H72</f>
        <v>15.682405384810767</v>
      </c>
      <c r="K73">
        <v>10</v>
      </c>
      <c r="L73">
        <v>43</v>
      </c>
      <c r="M73">
        <f t="shared" si="9"/>
        <v>0</v>
      </c>
      <c r="N73">
        <f t="shared" si="0"/>
        <v>430</v>
      </c>
      <c r="O73">
        <f t="shared" si="1"/>
        <v>408.5</v>
      </c>
      <c r="P73">
        <f t="shared" si="2"/>
        <v>451.5</v>
      </c>
      <c r="Q73">
        <f t="shared" si="10"/>
        <v>0</v>
      </c>
      <c r="R73" s="126">
        <f t="shared" si="16"/>
        <v>1.6018809076919867E-8</v>
      </c>
      <c r="S73" s="126">
        <f t="shared" si="17"/>
        <v>2.6808255321761896E-8</v>
      </c>
      <c r="T73">
        <v>1000</v>
      </c>
      <c r="U73">
        <v>18</v>
      </c>
      <c r="V73">
        <f t="shared" si="11"/>
        <v>6</v>
      </c>
      <c r="W73">
        <f t="shared" si="12"/>
        <v>18000</v>
      </c>
      <c r="X73">
        <f t="shared" si="5"/>
        <v>16200</v>
      </c>
      <c r="Y73">
        <f t="shared" si="6"/>
        <v>19800</v>
      </c>
      <c r="Z73">
        <f t="shared" si="13"/>
        <v>0</v>
      </c>
      <c r="AA73" s="126">
        <f t="shared" si="14"/>
        <v>4.5910821756898344E-8</v>
      </c>
      <c r="AB73" s="126">
        <f t="shared" si="15"/>
        <v>6.9460901181119772E-8</v>
      </c>
      <c r="AC73" s="126" t="str">
        <f t="shared" si="18"/>
        <v>Vlow exceeds VIL spec</v>
      </c>
      <c r="AD73" s="126">
        <f t="shared" si="19"/>
        <v>4.7896080094000394E-8</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0</v>
      </c>
      <c r="N74">
        <f t="shared" si="0"/>
        <v>470</v>
      </c>
      <c r="O74">
        <f t="shared" si="1"/>
        <v>446.5</v>
      </c>
      <c r="P74">
        <f t="shared" si="2"/>
        <v>493.5</v>
      </c>
      <c r="Q74">
        <f t="shared" si="10"/>
        <v>0</v>
      </c>
      <c r="R74" s="126">
        <f t="shared" si="16"/>
        <v>1.7508930849299266E-8</v>
      </c>
      <c r="S74" s="126">
        <f t="shared" si="17"/>
        <v>2.9188730587572023E-8</v>
      </c>
      <c r="T74">
        <v>1000</v>
      </c>
      <c r="U74">
        <v>22</v>
      </c>
      <c r="V74">
        <f t="shared" si="11"/>
        <v>6</v>
      </c>
      <c r="W74">
        <f t="shared" si="12"/>
        <v>22000</v>
      </c>
      <c r="X74">
        <f t="shared" si="5"/>
        <v>19800</v>
      </c>
      <c r="Y74">
        <f t="shared" si="6"/>
        <v>24200.000000000004</v>
      </c>
      <c r="Z74">
        <f t="shared" si="13"/>
        <v>0</v>
      </c>
      <c r="AA74" s="126">
        <f t="shared" si="14"/>
        <v>5.0181595867462772E-8</v>
      </c>
      <c r="AB74" s="126">
        <f t="shared" si="15"/>
        <v>7.562877578608567E-8</v>
      </c>
      <c r="AC74" s="126" t="str">
        <f t="shared" si="18"/>
        <v>Vlow exceeds VIL spec</v>
      </c>
      <c r="AD74" s="126">
        <f t="shared" si="19"/>
        <v>4.352327261722815E-8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0</v>
      </c>
      <c r="N75">
        <f t="shared" si="0"/>
        <v>510</v>
      </c>
      <c r="O75">
        <f t="shared" si="1"/>
        <v>484.5</v>
      </c>
      <c r="P75">
        <f t="shared" si="2"/>
        <v>535.5</v>
      </c>
      <c r="Q75">
        <f t="shared" si="10"/>
        <v>0</v>
      </c>
      <c r="R75" s="126">
        <f t="shared" si="16"/>
        <v>1.8999052621301168E-8</v>
      </c>
      <c r="S75" s="126">
        <f t="shared" si="17"/>
        <v>3.1569205852836809E-8</v>
      </c>
      <c r="T75">
        <v>1000</v>
      </c>
      <c r="U75">
        <v>27</v>
      </c>
      <c r="V75">
        <f t="shared" si="11"/>
        <v>6</v>
      </c>
      <c r="W75">
        <f t="shared" si="12"/>
        <v>27000</v>
      </c>
      <c r="X75">
        <f t="shared" si="5"/>
        <v>24300</v>
      </c>
      <c r="Y75">
        <f t="shared" si="6"/>
        <v>29700.000000000004</v>
      </c>
      <c r="Z75">
        <f t="shared" si="13"/>
        <v>0</v>
      </c>
      <c r="AA75" s="126">
        <f t="shared" si="14"/>
        <v>5.4452369976945294E-8</v>
      </c>
      <c r="AB75" s="126">
        <f t="shared" si="15"/>
        <v>8.1796650389638572E-8</v>
      </c>
      <c r="AC75" s="126">
        <f t="shared" si="18"/>
        <v>1.0094231341567236E-7</v>
      </c>
      <c r="AD75" s="126">
        <f t="shared" si="19"/>
        <v>4.058484852876763E-8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1</v>
      </c>
      <c r="N76">
        <f t="shared" si="0"/>
        <v>560</v>
      </c>
      <c r="O76">
        <f t="shared" si="1"/>
        <v>532</v>
      </c>
      <c r="P76">
        <f t="shared" si="2"/>
        <v>588</v>
      </c>
      <c r="Q76">
        <f t="shared" si="10"/>
        <v>1</v>
      </c>
      <c r="R76" s="126">
        <f t="shared" si="16"/>
        <v>2.0861704835772693E-8</v>
      </c>
      <c r="S76" s="126">
        <f t="shared" si="17"/>
        <v>3.4544799933650902E-8</v>
      </c>
      <c r="T76">
        <v>1000</v>
      </c>
      <c r="U76">
        <v>33</v>
      </c>
      <c r="V76">
        <f t="shared" si="11"/>
        <v>6</v>
      </c>
      <c r="W76">
        <f t="shared" si="12"/>
        <v>33000</v>
      </c>
      <c r="X76">
        <f t="shared" si="5"/>
        <v>29700</v>
      </c>
      <c r="Y76">
        <f t="shared" si="6"/>
        <v>36300</v>
      </c>
      <c r="Z76">
        <f t="shared" si="13"/>
        <v>0</v>
      </c>
      <c r="AA76" s="126">
        <f t="shared" si="14"/>
        <v>5.9790837612276972E-8</v>
      </c>
      <c r="AB76" s="126">
        <f t="shared" si="15"/>
        <v>8.950649364209266E-8</v>
      </c>
      <c r="AC76" s="126">
        <f t="shared" si="18"/>
        <v>5.582317736142969E-8</v>
      </c>
      <c r="AD76" s="126">
        <f t="shared" si="19"/>
        <v>3.8011583877597674E-8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2</v>
      </c>
      <c r="N77">
        <f t="shared" si="0"/>
        <v>620</v>
      </c>
      <c r="O77">
        <f t="shared" si="1"/>
        <v>589</v>
      </c>
      <c r="P77">
        <f t="shared" si="2"/>
        <v>651</v>
      </c>
      <c r="Q77">
        <f t="shared" si="10"/>
        <v>1</v>
      </c>
      <c r="R77" s="126">
        <f t="shared" si="16"/>
        <v>2.3096887492359929E-8</v>
      </c>
      <c r="S77" s="126">
        <f t="shared" si="17"/>
        <v>3.8115512829503023E-8</v>
      </c>
      <c r="T77">
        <v>1000</v>
      </c>
      <c r="U77">
        <v>39</v>
      </c>
      <c r="V77">
        <f t="shared" si="11"/>
        <v>6</v>
      </c>
      <c r="W77">
        <f t="shared" si="12"/>
        <v>39000</v>
      </c>
      <c r="X77">
        <f t="shared" si="5"/>
        <v>35100</v>
      </c>
      <c r="Y77">
        <f t="shared" si="6"/>
        <v>42900</v>
      </c>
      <c r="Z77">
        <f t="shared" si="13"/>
        <v>0</v>
      </c>
      <c r="AA77" s="126">
        <f t="shared" si="14"/>
        <v>6.6196998772443504E-8</v>
      </c>
      <c r="AB77" s="126">
        <f t="shared" si="15"/>
        <v>9.8758305542123213E-8</v>
      </c>
      <c r="AC77" s="126">
        <f t="shared" si="18"/>
        <v>4.6991454743030542E-8</v>
      </c>
      <c r="AD77" s="126">
        <f t="shared" si="19"/>
        <v>3.585344533182968E-8</v>
      </c>
    </row>
    <row r="78" spans="1:31" x14ac:dyDescent="0.35">
      <c r="A78" t="s">
        <v>344</v>
      </c>
      <c r="B78">
        <v>1</v>
      </c>
      <c r="C78">
        <v>1</v>
      </c>
      <c r="D78">
        <v>1</v>
      </c>
      <c r="E78">
        <v>1</v>
      </c>
      <c r="F78">
        <v>1</v>
      </c>
      <c r="G78">
        <v>1</v>
      </c>
      <c r="H78">
        <v>1</v>
      </c>
      <c r="K78">
        <v>10</v>
      </c>
      <c r="L78">
        <v>68</v>
      </c>
      <c r="M78">
        <f t="shared" si="9"/>
        <v>3</v>
      </c>
      <c r="N78">
        <f t="shared" si="0"/>
        <v>680</v>
      </c>
      <c r="O78">
        <f t="shared" si="1"/>
        <v>646</v>
      </c>
      <c r="P78">
        <f t="shared" si="2"/>
        <v>714</v>
      </c>
      <c r="Q78">
        <f t="shared" si="10"/>
        <v>1</v>
      </c>
      <c r="R78" s="126">
        <f t="shared" si="16"/>
        <v>2.5332070148097792E-8</v>
      </c>
      <c r="S78" s="126">
        <f t="shared" si="17"/>
        <v>4.1686225724128125E-8</v>
      </c>
      <c r="T78">
        <v>1000</v>
      </c>
      <c r="U78">
        <v>47</v>
      </c>
      <c r="V78">
        <f t="shared" si="11"/>
        <v>6</v>
      </c>
      <c r="W78">
        <f t="shared" si="12"/>
        <v>47000</v>
      </c>
      <c r="X78">
        <f t="shared" si="5"/>
        <v>42300</v>
      </c>
      <c r="Y78">
        <f t="shared" si="6"/>
        <v>51700.000000000007</v>
      </c>
      <c r="Z78">
        <f t="shared" si="13"/>
        <v>0</v>
      </c>
      <c r="AA78" s="126">
        <f t="shared" si="14"/>
        <v>7.2603159930175676E-8</v>
      </c>
      <c r="AB78" s="126">
        <f t="shared" si="15"/>
        <v>1.0801011743897453E-7</v>
      </c>
      <c r="AC78" s="126">
        <f t="shared" si="18"/>
        <v>4.2593313306633272E-8</v>
      </c>
      <c r="AD78" s="126">
        <f t="shared" si="19"/>
        <v>3.4299620411263289E-8</v>
      </c>
    </row>
    <row r="79" spans="1:31" x14ac:dyDescent="0.35">
      <c r="A79" t="s">
        <v>345</v>
      </c>
      <c r="B79">
        <v>1</v>
      </c>
      <c r="C79">
        <v>1</v>
      </c>
      <c r="D79">
        <v>1</v>
      </c>
      <c r="E79">
        <v>1</v>
      </c>
      <c r="F79">
        <v>1</v>
      </c>
      <c r="G79">
        <v>1</v>
      </c>
      <c r="H79">
        <v>1</v>
      </c>
      <c r="K79">
        <v>10</v>
      </c>
      <c r="L79">
        <v>75</v>
      </c>
      <c r="M79">
        <f t="shared" si="9"/>
        <v>4</v>
      </c>
      <c r="N79">
        <f t="shared" si="0"/>
        <v>750</v>
      </c>
      <c r="O79">
        <f t="shared" si="1"/>
        <v>712.5</v>
      </c>
      <c r="P79">
        <f t="shared" si="2"/>
        <v>787.5</v>
      </c>
      <c r="Q79">
        <f t="shared" si="10"/>
        <v>1</v>
      </c>
      <c r="R79" s="126">
        <f t="shared" si="16"/>
        <v>2.7939783245385132E-8</v>
      </c>
      <c r="S79" s="126">
        <f t="shared" si="17"/>
        <v>4.5852057432973247E-8</v>
      </c>
      <c r="T79">
        <v>1000</v>
      </c>
      <c r="U79">
        <v>56</v>
      </c>
      <c r="V79">
        <f t="shared" si="11"/>
        <v>6</v>
      </c>
      <c r="W79">
        <f t="shared" si="12"/>
        <v>56000</v>
      </c>
      <c r="X79">
        <f t="shared" si="5"/>
        <v>50400</v>
      </c>
      <c r="Y79">
        <f t="shared" si="6"/>
        <v>61600.000000000007</v>
      </c>
      <c r="Z79">
        <f t="shared" si="13"/>
        <v>0</v>
      </c>
      <c r="AA79" s="126">
        <f t="shared" si="14"/>
        <v>8.0077014611119853E-8</v>
      </c>
      <c r="AB79" s="126">
        <f t="shared" si="15"/>
        <v>1.1880389798128283E-7</v>
      </c>
      <c r="AC79" s="126">
        <f t="shared" si="18"/>
        <v>3.9452778931941751E-8</v>
      </c>
      <c r="AD79" s="126">
        <f t="shared" si="19"/>
        <v>3.295780775778148E-8</v>
      </c>
      <c r="AE79" s="128"/>
    </row>
    <row r="80" spans="1:31" x14ac:dyDescent="0.35">
      <c r="A80" t="s">
        <v>346</v>
      </c>
      <c r="B80">
        <v>1</v>
      </c>
      <c r="C80">
        <v>1</v>
      </c>
      <c r="D80">
        <v>1</v>
      </c>
      <c r="E80">
        <v>1</v>
      </c>
      <c r="F80">
        <v>1</v>
      </c>
      <c r="G80">
        <v>1</v>
      </c>
      <c r="H80">
        <v>1</v>
      </c>
      <c r="K80">
        <v>10</v>
      </c>
      <c r="L80">
        <v>82</v>
      </c>
      <c r="M80">
        <f t="shared" si="9"/>
        <v>5</v>
      </c>
      <c r="N80">
        <f t="shared" si="0"/>
        <v>820</v>
      </c>
      <c r="O80">
        <f t="shared" si="1"/>
        <v>779</v>
      </c>
      <c r="P80">
        <f t="shared" si="2"/>
        <v>861</v>
      </c>
      <c r="Q80">
        <f t="shared" si="10"/>
        <v>1</v>
      </c>
      <c r="R80" s="126">
        <f t="shared" si="16"/>
        <v>3.054749634151638E-8</v>
      </c>
      <c r="S80" s="126">
        <f t="shared" si="17"/>
        <v>5.0017889140148264E-8</v>
      </c>
      <c r="T80">
        <v>1000</v>
      </c>
      <c r="U80">
        <v>68</v>
      </c>
      <c r="V80">
        <f t="shared" si="11"/>
        <v>6</v>
      </c>
      <c r="W80">
        <f>U80*T80</f>
        <v>68000</v>
      </c>
      <c r="X80">
        <f t="shared" si="5"/>
        <v>61200</v>
      </c>
      <c r="Y80">
        <f t="shared" si="6"/>
        <v>74800</v>
      </c>
      <c r="Z80">
        <f t="shared" si="13"/>
        <v>0</v>
      </c>
      <c r="AA80" s="126">
        <f t="shared" si="14"/>
        <v>8.7550869288750583E-8</v>
      </c>
      <c r="AB80" s="126">
        <f t="shared" si="15"/>
        <v>1.2959767851926382E-7</v>
      </c>
      <c r="AC80" s="126">
        <f t="shared" si="18"/>
        <v>3.7350907353808178E-8</v>
      </c>
      <c r="AD80" s="126">
        <f t="shared" si="19"/>
        <v>3.1944968181685876E-8</v>
      </c>
      <c r="AE80" s="128"/>
    </row>
    <row r="81" spans="1:31" x14ac:dyDescent="0.35">
      <c r="K81">
        <v>10</v>
      </c>
      <c r="L81">
        <v>91</v>
      </c>
      <c r="M81">
        <f t="shared" si="9"/>
        <v>6</v>
      </c>
      <c r="N81">
        <f t="shared" si="0"/>
        <v>910</v>
      </c>
      <c r="O81">
        <f t="shared" si="1"/>
        <v>864.5</v>
      </c>
      <c r="P81">
        <f t="shared" si="2"/>
        <v>955.5</v>
      </c>
      <c r="Q81">
        <f t="shared" si="10"/>
        <v>1</v>
      </c>
      <c r="R81" s="126">
        <f t="shared" si="16"/>
        <v>3.3900270320557825E-8</v>
      </c>
      <c r="S81" s="126">
        <f t="shared" si="17"/>
        <v>5.537395847549063E-8</v>
      </c>
      <c r="T81">
        <v>1000</v>
      </c>
      <c r="U81">
        <v>82</v>
      </c>
      <c r="V81">
        <f t="shared" si="11"/>
        <v>6</v>
      </c>
      <c r="W81">
        <f t="shared" ref="W81" si="20">U81*T81</f>
        <v>82000</v>
      </c>
      <c r="X81">
        <f t="shared" si="5"/>
        <v>73800</v>
      </c>
      <c r="Y81">
        <f t="shared" si="6"/>
        <v>90200.000000000015</v>
      </c>
      <c r="Z81">
        <f t="shared" si="13"/>
        <v>0</v>
      </c>
      <c r="AA81" s="126">
        <f t="shared" si="14"/>
        <v>9.716011101226428E-8</v>
      </c>
      <c r="AB81" s="126">
        <f t="shared" si="15"/>
        <v>1.4347539634745224E-7</v>
      </c>
      <c r="AC81" s="126">
        <f t="shared" si="18"/>
        <v>3.5467569444127375E-8</v>
      </c>
      <c r="AD81" s="126">
        <f t="shared" si="19"/>
        <v>3.0958025830905E-8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0.99999859720197271</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5.1062404817780009E-2</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2.8901733028719519E-2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0.74411489602101288</v>
      </c>
      <c r="F82" s="13"/>
      <c r="K82">
        <v>100</v>
      </c>
      <c r="L82">
        <v>10</v>
      </c>
      <c r="M82">
        <f>IF(AND(Q81=1,Q82=0),Q82+M81+1, Q82+M81)</f>
        <v>7</v>
      </c>
      <c r="N82">
        <f t="shared" si="0"/>
        <v>1000</v>
      </c>
      <c r="O82">
        <f t="shared" si="1"/>
        <v>950</v>
      </c>
      <c r="P82">
        <f t="shared" si="2"/>
        <v>1050</v>
      </c>
      <c r="Q82">
        <f t="shared" si="10"/>
        <v>1</v>
      </c>
      <c r="R82" s="126">
        <f t="shared" si="16"/>
        <v>3.7253044297688178E-8</v>
      </c>
      <c r="S82" s="126">
        <f t="shared" si="17"/>
        <v>6.0730027808072218E-8</v>
      </c>
      <c r="V82">
        <f t="shared" si="11"/>
        <v>6</v>
      </c>
      <c r="W82">
        <v>9999999</v>
      </c>
      <c r="AA82" s="126">
        <f t="shared" si="14"/>
        <v>1.0676935273030072E-7</v>
      </c>
      <c r="AB82" s="126">
        <f t="shared" si="15"/>
        <v>1.5735311416848741E-7</v>
      </c>
      <c r="AC82" s="126">
        <f t="shared" si="18"/>
        <v>3.4122969226988207E-8</v>
      </c>
      <c r="AD82" s="126">
        <f t="shared" si="19"/>
        <v>3.0207943569781375E-8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0.99999859720197271</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6.8621667264389313E-2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2.8901733028719519E-2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8</v>
      </c>
      <c r="N83">
        <f t="shared" si="0"/>
        <v>1100</v>
      </c>
      <c r="O83">
        <f t="shared" si="1"/>
        <v>1045</v>
      </c>
      <c r="P83">
        <f t="shared" si="2"/>
        <v>1155</v>
      </c>
      <c r="Q83">
        <f t="shared" si="10"/>
        <v>1</v>
      </c>
      <c r="R83" s="126">
        <f t="shared" si="16"/>
        <v>4.097834871448052E-8</v>
      </c>
      <c r="S83" s="126">
        <f t="shared" si="17"/>
        <v>6.6681215952147088E-8</v>
      </c>
      <c r="AA83" s="126">
        <f t="shared" si="14"/>
        <v>1.1744628796613945E-7</v>
      </c>
      <c r="AB83" s="126">
        <f t="shared" si="15"/>
        <v>1.7277280062791452E-7</v>
      </c>
      <c r="AC83" s="126">
        <f t="shared" si="18"/>
        <v>3.3013278117358356E-8</v>
      </c>
      <c r="AD83" s="126">
        <f t="shared" si="19"/>
        <v>2.9561115240325653E-8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0.99999859717809214</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6.8621667264389313E-2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2.8901733047003185E-2</v>
      </c>
      <c r="E84" s="12">
        <f>IF(Summary!V37="absolute",(R3-N7)/(J2+J2*Summary!V17),R3-N7)</f>
        <v>0.14814814814814811</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6.862166732576569E-2</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6.4179551496889004E-2</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2.8901733042060597E-2</v>
      </c>
      <c r="K84">
        <v>100</v>
      </c>
      <c r="L84">
        <v>12</v>
      </c>
      <c r="M84">
        <f t="shared" si="21"/>
        <v>9</v>
      </c>
      <c r="N84">
        <f t="shared" si="0"/>
        <v>1200</v>
      </c>
      <c r="O84">
        <f t="shared" si="1"/>
        <v>1140</v>
      </c>
      <c r="P84">
        <f t="shared" si="2"/>
        <v>1260</v>
      </c>
      <c r="Q84">
        <f t="shared" si="10"/>
        <v>1</v>
      </c>
      <c r="R84" s="126">
        <f t="shared" si="16"/>
        <v>4.4703653128913504E-8</v>
      </c>
      <c r="S84" s="126">
        <f t="shared" si="17"/>
        <v>7.263240409281355E-8</v>
      </c>
      <c r="AA84" s="126">
        <f t="shared" si="14"/>
        <v>1.2812322319521616E-7</v>
      </c>
      <c r="AB84" s="126">
        <f t="shared" si="15"/>
        <v>1.8819248707851031E-7</v>
      </c>
      <c r="AC84" s="126">
        <f t="shared" si="18"/>
        <v>3.2166004473924562E-8</v>
      </c>
      <c r="AD84" s="126">
        <f t="shared" si="19"/>
        <v>2.9050902246761485E-8</v>
      </c>
      <c r="AE84" s="128"/>
    </row>
    <row r="85" spans="1:31" x14ac:dyDescent="0.35">
      <c r="E85" s="73"/>
      <c r="K85">
        <v>100</v>
      </c>
      <c r="L85">
        <v>13</v>
      </c>
      <c r="M85">
        <f t="shared" si="21"/>
        <v>10</v>
      </c>
      <c r="N85">
        <f t="shared" si="0"/>
        <v>1300</v>
      </c>
      <c r="O85">
        <f t="shared" si="1"/>
        <v>1235</v>
      </c>
      <c r="P85">
        <f t="shared" si="2"/>
        <v>1365</v>
      </c>
      <c r="Q85">
        <f t="shared" si="10"/>
        <v>1</v>
      </c>
      <c r="R85" s="126">
        <f t="shared" si="16"/>
        <v>4.8428957540987131E-8</v>
      </c>
      <c r="S85" s="126">
        <f t="shared" si="17"/>
        <v>7.8583592230071605E-8</v>
      </c>
      <c r="AA85" s="126">
        <f t="shared" si="14"/>
        <v>1.388001584175308E-7</v>
      </c>
      <c r="AB85" s="126">
        <f t="shared" si="15"/>
        <v>2.0361217352027488E-7</v>
      </c>
      <c r="AC85" s="126">
        <f t="shared" si="18"/>
        <v>3.1496852738777656E-8</v>
      </c>
      <c r="AD85" s="126">
        <f t="shared" si="19"/>
        <v>2.8638331659347825E-8</v>
      </c>
      <c r="AE85" s="128"/>
    </row>
    <row r="86" spans="1:31" x14ac:dyDescent="0.35">
      <c r="K86">
        <v>100</v>
      </c>
      <c r="L86">
        <v>15</v>
      </c>
      <c r="M86">
        <f t="shared" si="21"/>
        <v>11</v>
      </c>
      <c r="N86">
        <f t="shared" si="0"/>
        <v>1500</v>
      </c>
      <c r="O86">
        <f t="shared" si="1"/>
        <v>1425</v>
      </c>
      <c r="P86">
        <f t="shared" si="2"/>
        <v>1575</v>
      </c>
      <c r="Q86">
        <f t="shared" si="10"/>
        <v>1</v>
      </c>
      <c r="R86" s="126">
        <f t="shared" si="16"/>
        <v>5.58795663580563E-8</v>
      </c>
      <c r="S86" s="126">
        <f t="shared" si="17"/>
        <v>9.0485968494362491E-8</v>
      </c>
      <c r="AA86" s="126">
        <f t="shared" si="14"/>
        <v>1.601540288418739E-7</v>
      </c>
      <c r="AB86" s="126">
        <f t="shared" si="15"/>
        <v>2.3445154637731012E-7</v>
      </c>
      <c r="AC86" s="126">
        <f t="shared" si="18"/>
        <v>3.0505689591578821E-8</v>
      </c>
      <c r="AD86" s="126">
        <f t="shared" si="19"/>
        <v>2.8012392413871613E-8</v>
      </c>
      <c r="AE86" s="128"/>
    </row>
    <row r="87" spans="1:31" x14ac:dyDescent="0.35">
      <c r="B87" s="171" t="s">
        <v>362</v>
      </c>
      <c r="C87" s="171"/>
      <c r="K87">
        <v>100</v>
      </c>
      <c r="L87">
        <v>16</v>
      </c>
      <c r="M87">
        <f t="shared" si="21"/>
        <v>12</v>
      </c>
      <c r="N87">
        <f t="shared" si="0"/>
        <v>1600</v>
      </c>
      <c r="O87">
        <f t="shared" si="1"/>
        <v>1520</v>
      </c>
      <c r="P87">
        <f t="shared" si="2"/>
        <v>1680</v>
      </c>
      <c r="Q87">
        <f t="shared" si="10"/>
        <v>1</v>
      </c>
      <c r="R87" s="126">
        <f t="shared" si="16"/>
        <v>5.9604870763051842E-8</v>
      </c>
      <c r="S87" s="126">
        <f t="shared" si="17"/>
        <v>9.6437156621395323E-8</v>
      </c>
      <c r="AA87" s="126">
        <f t="shared" si="14"/>
        <v>1.7083096404390233E-7</v>
      </c>
      <c r="AB87" s="126">
        <f t="shared" si="15"/>
        <v>2.4987123279258082E-7</v>
      </c>
      <c r="AC87" s="126">
        <f t="shared" si="18"/>
        <v>3.0128037566353306E-8</v>
      </c>
      <c r="AD87" s="126">
        <f t="shared" si="19"/>
        <v>2.7769477811565688E-8</v>
      </c>
      <c r="AE87" s="128"/>
    </row>
    <row r="88" spans="1:31" ht="29" x14ac:dyDescent="0.35">
      <c r="B88" t="s">
        <v>355</v>
      </c>
      <c r="C88" t="s">
        <v>363</v>
      </c>
      <c r="D88" t="s">
        <v>364</v>
      </c>
      <c r="E88" s="32" t="str">
        <f>IF(Summary!V37="absolute","find min R2, so that max (Vx) = " &amp; TRUNC(R2/J3,3),"find min R2, so that max (Vx) = " &amp; R2)</f>
        <v>find min R2, so that max (Vx) = 0.166</v>
      </c>
      <c r="F88" s="32" t="s">
        <v>365</v>
      </c>
      <c r="G88" s="32" t="s">
        <v>366</v>
      </c>
      <c r="H88" s="32" t="s">
        <v>367</v>
      </c>
      <c r="K88">
        <v>100</v>
      </c>
      <c r="L88">
        <v>18</v>
      </c>
      <c r="M88">
        <f t="shared" si="21"/>
        <v>13</v>
      </c>
      <c r="N88">
        <f t="shared" si="0"/>
        <v>1800</v>
      </c>
      <c r="O88">
        <f t="shared" si="1"/>
        <v>1710</v>
      </c>
      <c r="P88">
        <f t="shared" si="2"/>
        <v>1890</v>
      </c>
      <c r="Q88">
        <f t="shared" si="10"/>
        <v>1</v>
      </c>
      <c r="R88" s="126">
        <f t="shared" si="16"/>
        <v>6.7055479565964841E-8</v>
      </c>
      <c r="S88" s="126">
        <f t="shared" si="17"/>
        <v>1.0833953286523575E-7</v>
      </c>
      <c r="AA88" s="126">
        <f t="shared" si="14"/>
        <v>1.9218483442767305E-7</v>
      </c>
      <c r="AB88" s="126">
        <f t="shared" si="15"/>
        <v>2.8071060559662841E-7</v>
      </c>
      <c r="AC88" s="126">
        <f t="shared" si="18"/>
        <v>2.9527448254554498E-8</v>
      </c>
      <c r="AD88" s="126">
        <f t="shared" si="19"/>
        <v>2.7378452338884453E-8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14</v>
      </c>
      <c r="N89">
        <f t="shared" si="0"/>
        <v>2000</v>
      </c>
      <c r="O89">
        <f t="shared" si="1"/>
        <v>1900</v>
      </c>
      <c r="P89">
        <f t="shared" si="2"/>
        <v>2100</v>
      </c>
      <c r="Q89">
        <f t="shared" si="10"/>
        <v>0</v>
      </c>
      <c r="R89" s="126">
        <f t="shared" si="16"/>
        <v>7.4506088359440424E-8</v>
      </c>
      <c r="S89" s="126">
        <f t="shared" si="17"/>
        <v>1.202419090954426E-7</v>
      </c>
      <c r="AA89" s="126">
        <f t="shared" si="14"/>
        <v>2.1353870478439558E-7</v>
      </c>
      <c r="AB89" s="126">
        <f t="shared" si="15"/>
        <v>3.1154997836535102E-7</v>
      </c>
      <c r="AC89" s="126">
        <f t="shared" si="18"/>
        <v>2.9070947366514927E-8</v>
      </c>
      <c r="AD89" s="126">
        <f t="shared" si="19"/>
        <v>2.7077584894803861E-8</v>
      </c>
      <c r="AE89" s="128"/>
    </row>
    <row r="90" spans="1:31" x14ac:dyDescent="0.35">
      <c r="A90" t="s">
        <v>320</v>
      </c>
      <c r="B90" s="11">
        <f>F11*(1+H11)</f>
        <v>1260</v>
      </c>
      <c r="C90" s="11">
        <f>F11*(1-H11)</f>
        <v>1140</v>
      </c>
      <c r="D90" s="11">
        <f>F11*(1+H11)</f>
        <v>1260</v>
      </c>
      <c r="E90" s="11"/>
      <c r="F90" s="11">
        <f>F11*(1-H11)</f>
        <v>1140</v>
      </c>
      <c r="G90">
        <f>F11*(1-H11)</f>
        <v>1140</v>
      </c>
      <c r="H90">
        <f>F11*(1+H11)</f>
        <v>1260</v>
      </c>
      <c r="K90">
        <v>100</v>
      </c>
      <c r="L90">
        <v>22</v>
      </c>
      <c r="M90">
        <f t="shared" si="21"/>
        <v>14</v>
      </c>
      <c r="N90">
        <f t="shared" si="0"/>
        <v>2200</v>
      </c>
      <c r="O90">
        <f t="shared" si="1"/>
        <v>2090</v>
      </c>
      <c r="P90">
        <f t="shared" si="2"/>
        <v>2310</v>
      </c>
      <c r="Q90">
        <f t="shared" si="10"/>
        <v>0</v>
      </c>
      <c r="R90" s="126">
        <f t="shared" si="16"/>
        <v>8.1956697143478537E-8</v>
      </c>
      <c r="S90" s="126">
        <f t="shared" si="17"/>
        <v>1.3214428531201578E-7</v>
      </c>
      <c r="AA90" s="126">
        <f t="shared" si="14"/>
        <v>2.3489257511406977E-7</v>
      </c>
      <c r="AB90" s="126">
        <f t="shared" si="15"/>
        <v>3.4238935109874844E-7</v>
      </c>
      <c r="AC90" s="126">
        <f t="shared" si="18"/>
        <v>2.8712101507580181E-8</v>
      </c>
      <c r="AD90" s="126">
        <f t="shared" si="19"/>
        <v>2.6839009516170631E-8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14</v>
      </c>
      <c r="N91">
        <f t="shared" si="0"/>
        <v>2400</v>
      </c>
      <c r="O91">
        <f t="shared" si="1"/>
        <v>2280</v>
      </c>
      <c r="P91">
        <f t="shared" si="2"/>
        <v>2520</v>
      </c>
      <c r="Q91">
        <f t="shared" si="10"/>
        <v>0</v>
      </c>
      <c r="R91" s="126">
        <f t="shared" si="16"/>
        <v>8.9407305918079234E-8</v>
      </c>
      <c r="S91" s="126">
        <f t="shared" si="17"/>
        <v>1.4404666151495533E-7</v>
      </c>
      <c r="AA91" s="126">
        <f t="shared" si="14"/>
        <v>2.562464454166958E-7</v>
      </c>
      <c r="AB91" s="126">
        <f t="shared" si="15"/>
        <v>3.7322872379682072E-7</v>
      </c>
      <c r="AC91" s="126">
        <f t="shared" si="18"/>
        <v>2.8422538543011717E-8</v>
      </c>
      <c r="AD91" s="126">
        <f t="shared" si="19"/>
        <v>2.664524918885585E-8</v>
      </c>
      <c r="AE91" s="128"/>
    </row>
    <row r="92" spans="1:31" x14ac:dyDescent="0.35">
      <c r="A92" t="s">
        <v>324</v>
      </c>
      <c r="B92" s="1">
        <f>K21-B93</f>
        <v>21.49240538481077</v>
      </c>
      <c r="C92" s="1">
        <f>K21-C93</f>
        <v>0</v>
      </c>
      <c r="D92" s="1">
        <f>K21-D93</f>
        <v>21.49240538481077</v>
      </c>
      <c r="E92" s="1">
        <f>K21-E93</f>
        <v>0</v>
      </c>
      <c r="F92" s="1">
        <f>K21-F93</f>
        <v>0</v>
      </c>
      <c r="G92" s="1">
        <f>K22-G93</f>
        <v>0</v>
      </c>
      <c r="H92" s="1">
        <f>K22-H93</f>
        <v>15.682405384810767</v>
      </c>
      <c r="K92">
        <v>100</v>
      </c>
      <c r="L92">
        <v>27</v>
      </c>
      <c r="M92">
        <f t="shared" si="21"/>
        <v>14</v>
      </c>
      <c r="N92">
        <f t="shared" si="0"/>
        <v>2700</v>
      </c>
      <c r="O92">
        <f t="shared" si="1"/>
        <v>2565</v>
      </c>
      <c r="P92">
        <f t="shared" si="2"/>
        <v>2835</v>
      </c>
      <c r="Q92">
        <f t="shared" si="10"/>
        <v>0</v>
      </c>
      <c r="R92" s="126">
        <f t="shared" si="16"/>
        <v>1.0058321906228511E-7</v>
      </c>
      <c r="S92" s="126">
        <f t="shared" si="17"/>
        <v>1.6190022579380159E-7</v>
      </c>
      <c r="AA92" s="126">
        <f t="shared" si="14"/>
        <v>2.8827725081991944E-7</v>
      </c>
      <c r="AB92" s="126">
        <f t="shared" si="15"/>
        <v>4.1948778277769463E-7</v>
      </c>
      <c r="AC92" s="126">
        <f t="shared" si="18"/>
        <v>2.8079695912247046E-8</v>
      </c>
      <c r="AD92" s="126">
        <f t="shared" si="19"/>
        <v>2.6414489032171563E-8</v>
      </c>
      <c r="AE92" s="128"/>
    </row>
    <row r="93" spans="1:31" x14ac:dyDescent="0.35">
      <c r="A93" t="s">
        <v>327</v>
      </c>
      <c r="B93" s="1">
        <f>K21*(1-MAX(K25,K24))</f>
        <v>0</v>
      </c>
      <c r="C93" s="1">
        <f>K21*(1-MIN(K25,K24))</f>
        <v>21.49240538481077</v>
      </c>
      <c r="D93" s="1">
        <f>K21*(1-MAX(K25,K24))</f>
        <v>0</v>
      </c>
      <c r="E93" s="1">
        <f>K21*(1-MIN(K25,K24))</f>
        <v>21.49240538481077</v>
      </c>
      <c r="F93" s="125">
        <f>K21*(1-MIN(K25,K24))</f>
        <v>21.49240538481077</v>
      </c>
      <c r="G93" s="125">
        <f>K22*(1-MIN(K25,K24))</f>
        <v>15.682405384810767</v>
      </c>
      <c r="H93" s="1">
        <f>K22*(1-MAX(K25,K24))</f>
        <v>0</v>
      </c>
      <c r="K93">
        <v>100</v>
      </c>
      <c r="L93">
        <v>30</v>
      </c>
      <c r="M93">
        <f t="shared" si="21"/>
        <v>14</v>
      </c>
      <c r="N93">
        <f t="shared" si="0"/>
        <v>3000</v>
      </c>
      <c r="O93">
        <f t="shared" si="1"/>
        <v>2850</v>
      </c>
      <c r="P93">
        <f t="shared" si="2"/>
        <v>3150</v>
      </c>
      <c r="Q93">
        <f t="shared" si="10"/>
        <v>0</v>
      </c>
      <c r="R93" s="126">
        <f t="shared" si="16"/>
        <v>1.1175913218525671E-7</v>
      </c>
      <c r="S93" s="126">
        <f t="shared" si="17"/>
        <v>1.7975379004197219E-7</v>
      </c>
      <c r="AA93" s="126">
        <f t="shared" si="14"/>
        <v>3.2030805616228445E-7</v>
      </c>
      <c r="AB93" s="126">
        <f t="shared" si="15"/>
        <v>4.6574684167908704E-7</v>
      </c>
      <c r="AC93" s="126">
        <f t="shared" si="18"/>
        <v>2.7813756958787554E-8</v>
      </c>
      <c r="AD93" s="126">
        <f t="shared" si="19"/>
        <v>2.6234552294342314E-8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14</v>
      </c>
      <c r="N94">
        <f t="shared" si="0"/>
        <v>3300</v>
      </c>
      <c r="O94">
        <f t="shared" si="1"/>
        <v>3135</v>
      </c>
      <c r="P94">
        <f t="shared" si="2"/>
        <v>3465</v>
      </c>
      <c r="Q94">
        <f t="shared" si="10"/>
        <v>0</v>
      </c>
      <c r="R94" s="126">
        <f t="shared" si="16"/>
        <v>1.229350452869941E-7</v>
      </c>
      <c r="S94" s="126">
        <f t="shared" si="17"/>
        <v>1.9760735425946709E-7</v>
      </c>
      <c r="AA94" s="126">
        <f t="shared" si="14"/>
        <v>3.5233886144379104E-7</v>
      </c>
      <c r="AB94" s="126">
        <f t="shared" si="15"/>
        <v>5.1200590050099801E-7</v>
      </c>
      <c r="AC94" s="126">
        <f t="shared" si="18"/>
        <v>2.76014330627311E-8</v>
      </c>
      <c r="AD94" s="126">
        <f t="shared" si="19"/>
        <v>2.609034482766103E-8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14</v>
      </c>
      <c r="N95">
        <f t="shared" si="0"/>
        <v>3600</v>
      </c>
      <c r="O95">
        <f t="shared" si="1"/>
        <v>3420</v>
      </c>
      <c r="P95">
        <f t="shared" si="2"/>
        <v>3780</v>
      </c>
      <c r="Q95">
        <f t="shared" si="10"/>
        <v>0</v>
      </c>
      <c r="R95" s="126">
        <f t="shared" si="16"/>
        <v>1.3411095836749722E-7</v>
      </c>
      <c r="S95" s="126">
        <f t="shared" si="17"/>
        <v>2.1546091844628635E-7</v>
      </c>
      <c r="AA95" s="126">
        <f t="shared" si="14"/>
        <v>3.8436966666443901E-7</v>
      </c>
      <c r="AB95" s="126">
        <f t="shared" si="15"/>
        <v>5.5826495924342749E-7</v>
      </c>
      <c r="AC95" s="126">
        <f t="shared" si="18"/>
        <v>2.7427984043718733E-8</v>
      </c>
      <c r="AD95" s="126">
        <f t="shared" si="19"/>
        <v>2.5972203367051406E-8</v>
      </c>
      <c r="AE95" s="128"/>
    </row>
    <row r="96" spans="1:31" x14ac:dyDescent="0.35">
      <c r="A96" t="s">
        <v>333</v>
      </c>
      <c r="B96" s="11">
        <f>F3*(1-G3)</f>
        <v>900000000000</v>
      </c>
      <c r="C96" s="11">
        <f>1/(1/(F3*(1+H3))+1/(N3*(1+P3)))</f>
        <v>99.999999990909089</v>
      </c>
      <c r="D96" s="11">
        <f>1/(1/(F3*(1-G3))+1/(N3*(1-O3)))</f>
        <v>39.999999998222222</v>
      </c>
      <c r="E96" s="11">
        <f>1/(1/(F3*(1+H3))+1/(N3*(1+P3)))</f>
        <v>99.999999990909089</v>
      </c>
      <c r="F96" s="11">
        <f>1/(1/(F3*(1+H3))+1/(N3*(1+P3)))</f>
        <v>99.999999990909089</v>
      </c>
      <c r="G96">
        <f>1/(1/(F3*(1+H3))+1/(N3*(1+P3)))</f>
        <v>99.999999990909089</v>
      </c>
      <c r="H96">
        <f>1/(1/(F3*(1-G3))+1/(N3*(1-O3)))</f>
        <v>39.999999998222222</v>
      </c>
      <c r="K96">
        <v>100</v>
      </c>
      <c r="L96">
        <v>39</v>
      </c>
      <c r="M96">
        <f t="shared" si="21"/>
        <v>14</v>
      </c>
      <c r="N96">
        <f t="shared" si="0"/>
        <v>3900</v>
      </c>
      <c r="O96">
        <f t="shared" si="1"/>
        <v>3705</v>
      </c>
      <c r="P96">
        <f t="shared" si="2"/>
        <v>4095</v>
      </c>
      <c r="Q96">
        <f t="shared" si="10"/>
        <v>0</v>
      </c>
      <c r="R96" s="126">
        <f t="shared" si="16"/>
        <v>1.4528687142676615E-7</v>
      </c>
      <c r="S96" s="126">
        <f t="shared" si="17"/>
        <v>2.3331448260242997E-7</v>
      </c>
      <c r="AA96" s="126">
        <f t="shared" si="14"/>
        <v>4.164004718242285E-7</v>
      </c>
      <c r="AB96" s="126">
        <f t="shared" si="15"/>
        <v>6.0452401790637552E-7</v>
      </c>
      <c r="AC96" s="126">
        <f t="shared" si="18"/>
        <v>2.7283622814958E-8</v>
      </c>
      <c r="AD96" s="126">
        <f t="shared" si="19"/>
        <v>2.5873656918069435E-8</v>
      </c>
      <c r="AE96" s="128"/>
    </row>
    <row r="97" spans="1:31" x14ac:dyDescent="0.35">
      <c r="K97">
        <v>100</v>
      </c>
      <c r="L97">
        <v>43</v>
      </c>
      <c r="M97">
        <f t="shared" si="21"/>
        <v>14</v>
      </c>
      <c r="N97">
        <f t="shared" si="0"/>
        <v>4300</v>
      </c>
      <c r="O97">
        <f t="shared" si="1"/>
        <v>4085</v>
      </c>
      <c r="P97">
        <f t="shared" si="2"/>
        <v>4515</v>
      </c>
      <c r="Q97">
        <f t="shared" si="10"/>
        <v>0</v>
      </c>
      <c r="R97" s="126">
        <f t="shared" si="16"/>
        <v>1.6018808880609363E-7</v>
      </c>
      <c r="S97" s="126">
        <f t="shared" si="17"/>
        <v>2.5711923476290372E-7</v>
      </c>
      <c r="AA97" s="126">
        <f t="shared" si="14"/>
        <v>4.5910821194261226E-7</v>
      </c>
      <c r="AB97" s="126">
        <f t="shared" si="15"/>
        <v>6.6620276266666833E-7</v>
      </c>
      <c r="AC97" s="126">
        <f t="shared" si="18"/>
        <v>2.7125008321806986E-8</v>
      </c>
      <c r="AD97" s="126">
        <f t="shared" si="19"/>
        <v>2.5765166238553128E-8</v>
      </c>
      <c r="AE97" s="128"/>
    </row>
    <row r="98" spans="1:31" x14ac:dyDescent="0.35">
      <c r="A98" t="s">
        <v>344</v>
      </c>
      <c r="B98">
        <v>1</v>
      </c>
      <c r="C98">
        <v>1</v>
      </c>
      <c r="D98">
        <v>1</v>
      </c>
      <c r="E98">
        <v>1</v>
      </c>
      <c r="F98">
        <v>1</v>
      </c>
      <c r="G98">
        <v>1</v>
      </c>
      <c r="H98">
        <v>1</v>
      </c>
      <c r="K98">
        <v>100</v>
      </c>
      <c r="L98">
        <v>47</v>
      </c>
      <c r="M98">
        <f t="shared" si="21"/>
        <v>14</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1.7508930614767139E-7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2.80923986868843E-7</v>
      </c>
      <c r="AA98" s="126">
        <f t="shared" si="14"/>
        <v>5.0181595195280307E-7</v>
      </c>
      <c r="AB98" s="126">
        <f t="shared" si="15"/>
        <v>7.278815072856609E-7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2.6995371424439065E-8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2.5676339134923915E-8</v>
      </c>
      <c r="AE98" s="128"/>
    </row>
    <row r="99" spans="1:31" x14ac:dyDescent="0.35">
      <c r="A99" t="s">
        <v>345</v>
      </c>
      <c r="B99">
        <v>1</v>
      </c>
      <c r="C99">
        <v>1</v>
      </c>
      <c r="D99">
        <v>1</v>
      </c>
      <c r="E99">
        <v>1</v>
      </c>
      <c r="F99">
        <v>1</v>
      </c>
      <c r="G99">
        <v>1</v>
      </c>
      <c r="H99">
        <v>1</v>
      </c>
      <c r="K99">
        <v>100</v>
      </c>
      <c r="L99">
        <v>51</v>
      </c>
      <c r="M99">
        <f t="shared" si="21"/>
        <v>14</v>
      </c>
      <c r="N99">
        <f t="shared" si="23"/>
        <v>5100</v>
      </c>
      <c r="O99">
        <f t="shared" si="24"/>
        <v>4845</v>
      </c>
      <c r="P99">
        <f t="shared" si="25"/>
        <v>5355</v>
      </c>
      <c r="Q99">
        <f t="shared" ref="Q99:Q129" si="30">IF($Q$2="N/A",IF(AND((O99&gt;=MAX($H$7:$I$7)),(P99&lt;=MIN($F$7:$G$7)),(P99&lt;=MIN($B$7:$C$7)),(O99&gt;=MAX($D$7:$E$7))),1,0),IF(AND((O99&gt;=MAX($I$7)),(P99&lt;=MIN($G$7)),(P99&lt;=MIN($C$7)),(O99&gt;=MAX($E$7))),1,0))</f>
        <v>0</v>
      </c>
      <c r="R99" s="126">
        <f t="shared" si="26"/>
        <v>1.8999052345149946E-7</v>
      </c>
      <c r="S99" s="126">
        <f t="shared" si="27"/>
        <v>3.047287389202477E-7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7.8956025176335292E-7</v>
      </c>
      <c r="AC99" s="126">
        <f t="shared" si="28"/>
        <v>2.6887433613475431E-8</v>
      </c>
      <c r="AD99" s="126">
        <f t="shared" si="29"/>
        <v>2.5602279096593162E-8</v>
      </c>
      <c r="AE99" s="128"/>
    </row>
    <row r="100" spans="1:31" x14ac:dyDescent="0.35">
      <c r="A100" t="s">
        <v>346</v>
      </c>
      <c r="B100">
        <v>1</v>
      </c>
      <c r="C100">
        <v>1</v>
      </c>
      <c r="D100">
        <v>1</v>
      </c>
      <c r="E100">
        <v>1</v>
      </c>
      <c r="F100">
        <v>1</v>
      </c>
      <c r="G100">
        <v>1</v>
      </c>
      <c r="H100">
        <v>1</v>
      </c>
      <c r="K100">
        <v>100</v>
      </c>
      <c r="L100">
        <v>56</v>
      </c>
      <c r="M100">
        <f t="shared" si="21"/>
        <v>14</v>
      </c>
      <c r="N100">
        <f t="shared" si="23"/>
        <v>5600</v>
      </c>
      <c r="O100">
        <f t="shared" si="24"/>
        <v>5320</v>
      </c>
      <c r="P100">
        <f t="shared" si="25"/>
        <v>5880</v>
      </c>
      <c r="Q100">
        <f t="shared" si="30"/>
        <v>0</v>
      </c>
      <c r="R100" s="126">
        <f t="shared" si="26"/>
        <v>2.0861704502819884E-7</v>
      </c>
      <c r="S100" s="126">
        <f t="shared" si="27"/>
        <v>3.3448467890781438E-7</v>
      </c>
      <c r="AA100" s="126">
        <f t="shared" si="31"/>
        <v>5.9790836658015212E-7</v>
      </c>
      <c r="AB100" s="126">
        <f t="shared" si="32"/>
        <v>8.6665868216176428E-7</v>
      </c>
      <c r="AC100" s="126">
        <f t="shared" si="28"/>
        <v>2.6775510099111061E-8</v>
      </c>
      <c r="AD100" s="126">
        <f t="shared" si="29"/>
        <v>2.5525392947269338E-8</v>
      </c>
      <c r="AE100" s="128"/>
    </row>
    <row r="101" spans="1:31" x14ac:dyDescent="0.35">
      <c r="K101">
        <v>100</v>
      </c>
      <c r="L101">
        <v>62</v>
      </c>
      <c r="M101">
        <f t="shared" si="21"/>
        <v>14</v>
      </c>
      <c r="N101">
        <f t="shared" si="23"/>
        <v>6200</v>
      </c>
      <c r="O101">
        <f t="shared" si="24"/>
        <v>5890</v>
      </c>
      <c r="P101">
        <f t="shared" si="25"/>
        <v>6510</v>
      </c>
      <c r="Q101">
        <f t="shared" si="30"/>
        <v>0</v>
      </c>
      <c r="R101" s="126">
        <f t="shared" si="26"/>
        <v>2.3096887084237931E-7</v>
      </c>
      <c r="S101" s="126">
        <f t="shared" si="27"/>
        <v>3.7019180678041698E-7</v>
      </c>
      <c r="AA101" s="126">
        <f t="shared" si="31"/>
        <v>6.6196997602742545E-7</v>
      </c>
      <c r="AB101" s="126">
        <f t="shared" si="32"/>
        <v>9.5917679834842591E-7</v>
      </c>
      <c r="AC101" s="126">
        <f t="shared" si="28"/>
        <v>2.6666326598288871E-8</v>
      </c>
      <c r="AD101" s="126">
        <f t="shared" si="29"/>
        <v>2.5450304822134209E-8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0.99999859717809214</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9.6308462084538124E-2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3.0769229561819631E-2</v>
      </c>
      <c r="E102" s="12">
        <f>IF(Summary!V50="absolute",(R2-N7)/(J3+J3*Summary!V18),R2-N7)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9.6308462176988643E-2</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9.212711286754062E-2</v>
      </c>
      <c r="H102" s="12">
        <f t="shared" si="33"/>
        <v>3.0769229556898963E-2</v>
      </c>
      <c r="K102">
        <v>100</v>
      </c>
      <c r="L102">
        <v>68</v>
      </c>
      <c r="M102">
        <f t="shared" si="21"/>
        <v>14</v>
      </c>
      <c r="N102">
        <f t="shared" si="23"/>
        <v>6800</v>
      </c>
      <c r="O102">
        <f t="shared" si="24"/>
        <v>6460</v>
      </c>
      <c r="P102">
        <f t="shared" si="25"/>
        <v>7140</v>
      </c>
      <c r="Q102">
        <f t="shared" si="30"/>
        <v>0</v>
      </c>
      <c r="R102" s="126">
        <f t="shared" si="26"/>
        <v>2.5332069657162281E-7</v>
      </c>
      <c r="S102" s="126">
        <f t="shared" si="27"/>
        <v>4.0589893453031695E-7</v>
      </c>
      <c r="AA102" s="126">
        <f t="shared" si="31"/>
        <v>7.2603158523126469E-7</v>
      </c>
      <c r="AB102" s="126">
        <f t="shared" si="32"/>
        <v>1.0516949142171617E-6</v>
      </c>
      <c r="AC102" s="126">
        <f t="shared" si="28"/>
        <v>2.6577360500101506E-8</v>
      </c>
      <c r="AD102" s="126">
        <f t="shared" si="29"/>
        <v>2.5389063013250269E-8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0.99999859720197271</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9.6308462084538124E-2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3.0769229543617049E-2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9.6308462176988643E-2</v>
      </c>
      <c r="K103">
        <v>100</v>
      </c>
      <c r="L103">
        <v>75</v>
      </c>
      <c r="M103">
        <f t="shared" si="21"/>
        <v>14</v>
      </c>
      <c r="N103">
        <f t="shared" si="23"/>
        <v>7500</v>
      </c>
      <c r="O103">
        <f t="shared" si="24"/>
        <v>7125</v>
      </c>
      <c r="P103">
        <f t="shared" si="25"/>
        <v>7875</v>
      </c>
      <c r="Q103">
        <f t="shared" si="30"/>
        <v>0</v>
      </c>
      <c r="R103" s="126">
        <f t="shared" si="26"/>
        <v>2.7939782648172275E-7</v>
      </c>
      <c r="S103" s="126">
        <f t="shared" si="27"/>
        <v>4.4755725008345095E-7</v>
      </c>
      <c r="AA103" s="126">
        <f t="shared" si="31"/>
        <v>8.0077012899473694E-7</v>
      </c>
      <c r="AB103" s="126">
        <f t="shared" si="32"/>
        <v>1.1596327156621971E-6</v>
      </c>
      <c r="AC103" s="126">
        <f t="shared" si="28"/>
        <v>2.6492357207652755E-8</v>
      </c>
      <c r="AD103" s="126">
        <f t="shared" si="29"/>
        <v>2.533050372419494E-8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0.99999859720197271</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7.9271178967880884E-2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3.0769229543617049E-2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0.82309671688594666</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7.9271179062074384E-2</v>
      </c>
      <c r="K104">
        <v>100</v>
      </c>
      <c r="L104">
        <v>82</v>
      </c>
      <c r="M104">
        <f t="shared" si="21"/>
        <v>14</v>
      </c>
      <c r="N104">
        <f t="shared" si="23"/>
        <v>8200</v>
      </c>
      <c r="O104">
        <f t="shared" si="24"/>
        <v>7790</v>
      </c>
      <c r="P104">
        <f t="shared" si="25"/>
        <v>8610</v>
      </c>
      <c r="Q104">
        <f t="shared" si="30"/>
        <v>0</v>
      </c>
      <c r="R104" s="126">
        <f t="shared" si="26"/>
        <v>3.0547495627621403E-7</v>
      </c>
      <c r="S104" s="126">
        <f t="shared" si="27"/>
        <v>4.8921556546957298E-7</v>
      </c>
      <c r="AA104" s="126">
        <f t="shared" si="31"/>
        <v>8.7550867242686811E-7</v>
      </c>
      <c r="AB104" s="126">
        <f t="shared" si="32"/>
        <v>1.2675705166744999E-6</v>
      </c>
      <c r="AC104" s="126">
        <f t="shared" si="28"/>
        <v>2.6422453898280487E-8</v>
      </c>
      <c r="AD104" s="126">
        <f t="shared" si="29"/>
        <v>2.5282315638226255E-8</v>
      </c>
      <c r="AE104" s="128"/>
    </row>
    <row r="105" spans="1:31" x14ac:dyDescent="0.35">
      <c r="K105">
        <v>100</v>
      </c>
      <c r="L105">
        <v>91</v>
      </c>
      <c r="M105">
        <f t="shared" si="21"/>
        <v>14</v>
      </c>
      <c r="N105">
        <f t="shared" si="23"/>
        <v>9100</v>
      </c>
      <c r="O105">
        <f t="shared" si="24"/>
        <v>8645</v>
      </c>
      <c r="P105">
        <f t="shared" si="25"/>
        <v>9555</v>
      </c>
      <c r="Q105">
        <f t="shared" si="30"/>
        <v>0</v>
      </c>
      <c r="R105" s="126">
        <f t="shared" si="26"/>
        <v>3.3900269441354339E-7</v>
      </c>
      <c r="S105" s="126">
        <f t="shared" si="27"/>
        <v>5.4277625643489601E-7</v>
      </c>
      <c r="AA105" s="126">
        <f t="shared" si="31"/>
        <v>9.7160108492416891E-7</v>
      </c>
      <c r="AB105" s="126">
        <f t="shared" si="32"/>
        <v>1.4063476887687518E-6</v>
      </c>
      <c r="AC105" s="126">
        <f t="shared" si="28"/>
        <v>2.6348953988503353E-8</v>
      </c>
      <c r="AD105" s="126">
        <f t="shared" si="29"/>
        <v>2.5231619608301087E-8</v>
      </c>
      <c r="AE105" s="128"/>
    </row>
    <row r="106" spans="1:31" x14ac:dyDescent="0.35">
      <c r="K106">
        <v>1000</v>
      </c>
      <c r="L106">
        <v>10</v>
      </c>
      <c r="M106">
        <f t="shared" si="21"/>
        <v>14</v>
      </c>
      <c r="N106">
        <f t="shared" si="23"/>
        <v>10000</v>
      </c>
      <c r="O106">
        <f t="shared" si="24"/>
        <v>9500</v>
      </c>
      <c r="P106">
        <f t="shared" si="25"/>
        <v>10500</v>
      </c>
      <c r="Q106">
        <f t="shared" si="30"/>
        <v>0</v>
      </c>
      <c r="R106" s="126">
        <f t="shared" si="26"/>
        <v>3.7253043235976459E-7</v>
      </c>
      <c r="S106" s="126">
        <f t="shared" si="27"/>
        <v>5.9633694712413797E-7</v>
      </c>
      <c r="AA106" s="126">
        <f t="shared" si="31"/>
        <v>1.0676934968737427E-6</v>
      </c>
      <c r="AB106" s="126">
        <f t="shared" si="32"/>
        <v>1.5451248601476705E-6</v>
      </c>
      <c r="AC106" s="126">
        <f t="shared" si="28"/>
        <v>2.628911926818727E-8</v>
      </c>
      <c r="AD106" s="126">
        <f t="shared" si="29"/>
        <v>2.5190328635737033E-8</v>
      </c>
      <c r="AE106" s="128"/>
    </row>
    <row r="107" spans="1:31" x14ac:dyDescent="0.35">
      <c r="K107">
        <v>1000</v>
      </c>
      <c r="L107">
        <v>11</v>
      </c>
      <c r="M107">
        <f t="shared" si="21"/>
        <v>14</v>
      </c>
      <c r="N107">
        <f t="shared" si="23"/>
        <v>11000</v>
      </c>
      <c r="O107">
        <f t="shared" si="24"/>
        <v>10450</v>
      </c>
      <c r="P107">
        <f t="shared" si="25"/>
        <v>11550</v>
      </c>
      <c r="Q107">
        <f t="shared" si="30"/>
        <v>0</v>
      </c>
      <c r="R107" s="126">
        <f t="shared" si="26"/>
        <v>4.097834742980934E-7</v>
      </c>
      <c r="S107" s="126">
        <f t="shared" si="27"/>
        <v>6.5584882534394155E-7</v>
      </c>
      <c r="AA107" s="126">
        <f t="shared" si="31"/>
        <v>1.1744628428419847E-6</v>
      </c>
      <c r="AB107" s="126">
        <f t="shared" si="32"/>
        <v>1.699321716396387E-6</v>
      </c>
      <c r="AC107" s="126">
        <f t="shared" si="28"/>
        <v>2.6234461874623404E-8</v>
      </c>
      <c r="AD107" s="126">
        <f t="shared" si="29"/>
        <v>2.5152595369899024E-8</v>
      </c>
      <c r="AE107" s="128"/>
    </row>
    <row r="108" spans="1:31" x14ac:dyDescent="0.35">
      <c r="K108">
        <v>1000</v>
      </c>
      <c r="L108">
        <v>12</v>
      </c>
      <c r="M108">
        <f t="shared" si="21"/>
        <v>14</v>
      </c>
      <c r="N108">
        <f t="shared" si="23"/>
        <v>12000</v>
      </c>
      <c r="O108">
        <f t="shared" si="24"/>
        <v>11400</v>
      </c>
      <c r="P108">
        <f t="shared" si="25"/>
        <v>12600</v>
      </c>
      <c r="Q108">
        <f t="shared" si="30"/>
        <v>0</v>
      </c>
      <c r="R108" s="126">
        <f t="shared" si="26"/>
        <v>4.4703651600048633E-7</v>
      </c>
      <c r="S108" s="126">
        <f t="shared" si="27"/>
        <v>7.1536070322290427E-7</v>
      </c>
      <c r="AA108" s="126">
        <f t="shared" si="31"/>
        <v>1.2812321881340211E-6</v>
      </c>
      <c r="AB108" s="126">
        <f t="shared" si="32"/>
        <v>1.8535185717619759E-6</v>
      </c>
      <c r="AC108" s="126">
        <f t="shared" si="28"/>
        <v>2.6189162154336073E-8</v>
      </c>
      <c r="AD108" s="126">
        <f t="shared" si="29"/>
        <v>2.5121311930349424E-8</v>
      </c>
      <c r="AE108" s="128"/>
    </row>
    <row r="109" spans="1:31" x14ac:dyDescent="0.35">
      <c r="K109">
        <v>1000</v>
      </c>
      <c r="L109">
        <v>13</v>
      </c>
      <c r="M109">
        <f t="shared" si="21"/>
        <v>14</v>
      </c>
      <c r="N109">
        <f t="shared" si="23"/>
        <v>13000</v>
      </c>
      <c r="O109">
        <f t="shared" si="24"/>
        <v>12350</v>
      </c>
      <c r="P109">
        <f t="shared" si="25"/>
        <v>13650</v>
      </c>
      <c r="Q109">
        <f t="shared" si="30"/>
        <v>0</v>
      </c>
      <c r="R109" s="126">
        <f t="shared" si="26"/>
        <v>4.8428955746694331E-7</v>
      </c>
      <c r="S109" s="126">
        <f t="shared" si="27"/>
        <v>7.7487258076102643E-7</v>
      </c>
      <c r="AA109" s="126">
        <f t="shared" si="31"/>
        <v>1.3880015327498513E-6</v>
      </c>
      <c r="AB109" s="126">
        <f t="shared" si="32"/>
        <v>2.0077154262444377E-6</v>
      </c>
      <c r="AC109" s="126">
        <f t="shared" si="28"/>
        <v>2.6151006400346446E-8</v>
      </c>
      <c r="AD109" s="126">
        <f t="shared" si="29"/>
        <v>2.5094955116444061E-8</v>
      </c>
      <c r="AE109" s="128"/>
    </row>
    <row r="110" spans="1:31" x14ac:dyDescent="0.35">
      <c r="K110">
        <v>1000</v>
      </c>
      <c r="L110">
        <v>15</v>
      </c>
      <c r="M110">
        <f t="shared" si="21"/>
        <v>14</v>
      </c>
      <c r="N110">
        <f t="shared" si="23"/>
        <v>15000</v>
      </c>
      <c r="O110">
        <f t="shared" si="24"/>
        <v>14250</v>
      </c>
      <c r="P110">
        <f t="shared" si="25"/>
        <v>15750</v>
      </c>
      <c r="Q110">
        <f t="shared" si="30"/>
        <v>0</v>
      </c>
      <c r="R110" s="126">
        <f t="shared" si="26"/>
        <v>5.5879563969204954E-7</v>
      </c>
      <c r="S110" s="126">
        <f t="shared" si="27"/>
        <v>8.9389633481474815E-7</v>
      </c>
      <c r="AA110" s="126">
        <f t="shared" si="31"/>
        <v>1.6015402199528948E-6</v>
      </c>
      <c r="AB110" s="126">
        <f t="shared" si="32"/>
        <v>2.3161091325599784E-6</v>
      </c>
      <c r="AC110" s="126">
        <f t="shared" si="28"/>
        <v>2.6090287686113551E-8</v>
      </c>
      <c r="AD110" s="126">
        <f t="shared" si="29"/>
        <v>2.5053000190441028E-8</v>
      </c>
      <c r="AE110" s="128"/>
    </row>
    <row r="111" spans="1:31" x14ac:dyDescent="0.35">
      <c r="K111">
        <v>1000</v>
      </c>
      <c r="L111">
        <v>16</v>
      </c>
      <c r="M111">
        <f t="shared" si="21"/>
        <v>14</v>
      </c>
      <c r="N111">
        <f t="shared" si="23"/>
        <v>16000</v>
      </c>
      <c r="O111">
        <f t="shared" si="24"/>
        <v>15200</v>
      </c>
      <c r="P111">
        <f t="shared" si="25"/>
        <v>16800</v>
      </c>
      <c r="Q111">
        <f t="shared" si="30"/>
        <v>0</v>
      </c>
      <c r="R111" s="126">
        <f t="shared" si="26"/>
        <v>5.9604868045069868E-7</v>
      </c>
      <c r="S111" s="126">
        <f t="shared" si="27"/>
        <v>9.5340821133034823E-7</v>
      </c>
      <c r="AA111" s="126">
        <f t="shared" si="31"/>
        <v>1.7083095625401078E-6</v>
      </c>
      <c r="AB111" s="126">
        <f t="shared" si="32"/>
        <v>2.4703059843930584E-6</v>
      </c>
      <c r="AC111" s="126">
        <f t="shared" si="28"/>
        <v>2.606573607493433E-8</v>
      </c>
      <c r="AD111" s="126">
        <f t="shared" si="29"/>
        <v>2.5036031636788352E-8</v>
      </c>
      <c r="AE111" s="128"/>
    </row>
    <row r="112" spans="1:31" x14ac:dyDescent="0.35">
      <c r="K112">
        <v>1000</v>
      </c>
      <c r="L112">
        <v>18</v>
      </c>
      <c r="M112">
        <f t="shared" si="21"/>
        <v>14</v>
      </c>
      <c r="N112">
        <f t="shared" si="23"/>
        <v>18000</v>
      </c>
      <c r="O112">
        <f t="shared" si="24"/>
        <v>17100</v>
      </c>
      <c r="P112">
        <f t="shared" si="25"/>
        <v>18900</v>
      </c>
      <c r="Q112">
        <f t="shared" si="30"/>
        <v>0</v>
      </c>
      <c r="R112" s="126">
        <f t="shared" si="26"/>
        <v>6.7055476126018945E-7</v>
      </c>
      <c r="S112" s="126">
        <f t="shared" si="27"/>
        <v>1.0724319633390255E-6</v>
      </c>
      <c r="AA112" s="126">
        <f t="shared" si="31"/>
        <v>1.9218482456859162E-6</v>
      </c>
      <c r="AB112" s="126">
        <f t="shared" si="32"/>
        <v>2.778699685409835E-6</v>
      </c>
      <c r="AC112" s="126">
        <f t="shared" si="28"/>
        <v>2.6024963777023088E-8</v>
      </c>
      <c r="AD112" s="126">
        <f t="shared" si="29"/>
        <v>2.5007847441291671E-8</v>
      </c>
      <c r="AE112" s="128"/>
    </row>
    <row r="113" spans="11:31" x14ac:dyDescent="0.35">
      <c r="K113">
        <v>1000</v>
      </c>
      <c r="L113">
        <v>20</v>
      </c>
      <c r="M113">
        <f t="shared" si="21"/>
        <v>14</v>
      </c>
      <c r="N113">
        <f t="shared" si="23"/>
        <v>20000</v>
      </c>
      <c r="O113">
        <f t="shared" si="24"/>
        <v>19000</v>
      </c>
      <c r="P113">
        <f t="shared" si="25"/>
        <v>21000</v>
      </c>
      <c r="Q113">
        <f t="shared" si="30"/>
        <v>0</v>
      </c>
      <c r="R113" s="126">
        <f t="shared" si="26"/>
        <v>7.4506084112593666E-7</v>
      </c>
      <c r="S113" s="126">
        <f t="shared" si="27"/>
        <v>1.1914557139843403E-6</v>
      </c>
      <c r="AA113" s="126">
        <f t="shared" si="31"/>
        <v>2.1353869261269018E-6</v>
      </c>
      <c r="AB113" s="126">
        <f t="shared" si="32"/>
        <v>3.0870933828941021E-6</v>
      </c>
      <c r="AC113" s="126">
        <f t="shared" si="28"/>
        <v>2.5992477543610726E-8</v>
      </c>
      <c r="AD113" s="126">
        <f t="shared" si="29"/>
        <v>2.498538687154872E-8</v>
      </c>
      <c r="AE113" s="128"/>
    </row>
    <row r="114" spans="11:31" x14ac:dyDescent="0.35">
      <c r="K114">
        <v>1000</v>
      </c>
      <c r="L114">
        <v>22</v>
      </c>
      <c r="M114">
        <f t="shared" si="21"/>
        <v>14</v>
      </c>
      <c r="N114">
        <f t="shared" si="23"/>
        <v>22000</v>
      </c>
      <c r="O114">
        <f t="shared" si="24"/>
        <v>20900</v>
      </c>
      <c r="P114">
        <f t="shared" si="25"/>
        <v>23100</v>
      </c>
      <c r="Q114">
        <f t="shared" si="30"/>
        <v>0</v>
      </c>
      <c r="R114" s="126">
        <f t="shared" si="26"/>
        <v>8.1956692004793997E-7</v>
      </c>
      <c r="S114" s="126">
        <f t="shared" si="27"/>
        <v>1.3104794632662918E-6</v>
      </c>
      <c r="AA114" s="126">
        <f t="shared" si="31"/>
        <v>2.3489256038630638E-6</v>
      </c>
      <c r="AB114" s="126">
        <f t="shared" si="32"/>
        <v>3.3954870768458599E-6</v>
      </c>
      <c r="AC114" s="126">
        <f t="shared" si="28"/>
        <v>2.5965984410899879E-8</v>
      </c>
      <c r="AD114" s="126">
        <f t="shared" si="29"/>
        <v>2.4967067241269972E-8</v>
      </c>
      <c r="AE114" s="128"/>
    </row>
    <row r="115" spans="11:31" x14ac:dyDescent="0.35">
      <c r="K115">
        <v>1000</v>
      </c>
      <c r="L115">
        <v>24</v>
      </c>
      <c r="M115">
        <f t="shared" si="21"/>
        <v>14</v>
      </c>
      <c r="N115">
        <f t="shared" si="23"/>
        <v>24000</v>
      </c>
      <c r="O115">
        <f t="shared" si="24"/>
        <v>22800</v>
      </c>
      <c r="P115">
        <f t="shared" si="25"/>
        <v>25200</v>
      </c>
      <c r="Q115">
        <f t="shared" si="30"/>
        <v>0</v>
      </c>
      <c r="R115" s="126">
        <f t="shared" si="26"/>
        <v>8.9407299802620003E-7</v>
      </c>
      <c r="S115" s="126">
        <f t="shared" si="27"/>
        <v>1.429503211184881E-6</v>
      </c>
      <c r="AA115" s="126">
        <f t="shared" si="31"/>
        <v>2.5624642788944031E-6</v>
      </c>
      <c r="AB115" s="126">
        <f t="shared" si="32"/>
        <v>3.7038807672651091E-6</v>
      </c>
      <c r="AC115" s="126">
        <f t="shared" si="28"/>
        <v>2.5943966000777765E-8</v>
      </c>
      <c r="AD115" s="126">
        <f t="shared" si="29"/>
        <v>2.49518401070494E-8</v>
      </c>
      <c r="AE115" s="128"/>
    </row>
    <row r="116" spans="11:31" x14ac:dyDescent="0.35">
      <c r="K116">
        <v>1000</v>
      </c>
      <c r="L116">
        <v>27</v>
      </c>
      <c r="M116">
        <f t="shared" si="21"/>
        <v>14</v>
      </c>
      <c r="N116">
        <f t="shared" si="23"/>
        <v>27000</v>
      </c>
      <c r="O116">
        <f t="shared" si="24"/>
        <v>25650</v>
      </c>
      <c r="P116">
        <f t="shared" si="25"/>
        <v>28350</v>
      </c>
      <c r="Q116">
        <f t="shared" si="30"/>
        <v>0</v>
      </c>
      <c r="R116" s="126">
        <f t="shared" si="26"/>
        <v>1.0058321132240706E-6</v>
      </c>
      <c r="S116" s="126">
        <f t="shared" si="27"/>
        <v>1.6080388305064589E-6</v>
      </c>
      <c r="AA116" s="126">
        <f t="shared" si="31"/>
        <v>2.8827722863698686E-6</v>
      </c>
      <c r="AB116" s="126">
        <f t="shared" si="32"/>
        <v>4.166471296270527E-6</v>
      </c>
      <c r="AC116" s="126">
        <f t="shared" si="28"/>
        <v>2.5917127380666629E-8</v>
      </c>
      <c r="AD116" s="126">
        <f t="shared" si="29"/>
        <v>2.493327747532594E-8</v>
      </c>
      <c r="AE116" s="128"/>
    </row>
    <row r="117" spans="11:31" x14ac:dyDescent="0.35">
      <c r="K117">
        <v>1000</v>
      </c>
      <c r="L117">
        <v>30</v>
      </c>
      <c r="M117">
        <f t="shared" si="21"/>
        <v>14</v>
      </c>
      <c r="N117">
        <f t="shared" si="23"/>
        <v>30000</v>
      </c>
      <c r="O117">
        <f t="shared" si="24"/>
        <v>28500</v>
      </c>
      <c r="P117">
        <f t="shared" si="25"/>
        <v>31500</v>
      </c>
      <c r="Q117">
        <f t="shared" si="30"/>
        <v>0</v>
      </c>
      <c r="R117" s="126">
        <f t="shared" si="26"/>
        <v>1.1175912262985184E-6</v>
      </c>
      <c r="S117" s="126">
        <f t="shared" si="27"/>
        <v>1.7865744467604709E-6</v>
      </c>
      <c r="AA117" s="126">
        <f t="shared" si="31"/>
        <v>3.2030802877594832E-6</v>
      </c>
      <c r="AB117" s="126">
        <f t="shared" si="32"/>
        <v>4.6290618173278002E-6</v>
      </c>
      <c r="AC117" s="126">
        <f t="shared" si="28"/>
        <v>2.5895713885242445E-8</v>
      </c>
      <c r="AD117" s="126">
        <f t="shared" si="29"/>
        <v>2.4918465546753373E-8</v>
      </c>
      <c r="AE117" s="128"/>
    </row>
    <row r="118" spans="11:31" x14ac:dyDescent="0.35">
      <c r="K118">
        <v>1000</v>
      </c>
      <c r="L118">
        <v>33</v>
      </c>
      <c r="M118">
        <f t="shared" si="21"/>
        <v>14</v>
      </c>
      <c r="N118">
        <f t="shared" si="23"/>
        <v>33000</v>
      </c>
      <c r="O118">
        <f t="shared" si="24"/>
        <v>31350</v>
      </c>
      <c r="P118">
        <f t="shared" si="25"/>
        <v>34650</v>
      </c>
      <c r="Q118">
        <f t="shared" si="30"/>
        <v>0</v>
      </c>
      <c r="R118" s="126">
        <f t="shared" si="26"/>
        <v>1.2293503372495429E-6</v>
      </c>
      <c r="S118" s="126">
        <f t="shared" si="27"/>
        <v>1.9651100599469157E-6</v>
      </c>
      <c r="AA118" s="126">
        <f t="shared" si="31"/>
        <v>3.5233882830632454E-6</v>
      </c>
      <c r="AB118" s="126">
        <f t="shared" si="32"/>
        <v>5.0916523304369246E-6</v>
      </c>
      <c r="AC118" s="126">
        <f t="shared" si="28"/>
        <v>2.5878231559780314E-8</v>
      </c>
      <c r="AD118" s="126">
        <f t="shared" si="29"/>
        <v>2.490637188462294E-8</v>
      </c>
      <c r="AE118" s="128"/>
    </row>
    <row r="119" spans="11:31" x14ac:dyDescent="0.35">
      <c r="K119">
        <v>1000</v>
      </c>
      <c r="L119">
        <v>36</v>
      </c>
      <c r="M119">
        <f t="shared" si="21"/>
        <v>14</v>
      </c>
      <c r="N119">
        <f t="shared" si="23"/>
        <v>36000</v>
      </c>
      <c r="O119">
        <f t="shared" si="24"/>
        <v>34200</v>
      </c>
      <c r="P119">
        <f t="shared" si="25"/>
        <v>37800</v>
      </c>
      <c r="Q119">
        <f t="shared" si="30"/>
        <v>0</v>
      </c>
      <c r="R119" s="126">
        <f t="shared" si="26"/>
        <v>1.3411094460771447E-6</v>
      </c>
      <c r="S119" s="126">
        <f t="shared" si="27"/>
        <v>2.1436456700657949E-6</v>
      </c>
      <c r="AA119" s="126">
        <f t="shared" si="31"/>
        <v>3.8436962722811567E-6</v>
      </c>
      <c r="AB119" s="126">
        <f t="shared" si="32"/>
        <v>5.5542428355979059E-6</v>
      </c>
      <c r="AC119" s="126">
        <f t="shared" si="28"/>
        <v>2.5863688867588854E-8</v>
      </c>
      <c r="AD119" s="126">
        <f t="shared" si="29"/>
        <v>2.4896311120742508E-8</v>
      </c>
      <c r="AE119" s="128"/>
    </row>
    <row r="120" spans="11:31" x14ac:dyDescent="0.35">
      <c r="K120">
        <v>1000</v>
      </c>
      <c r="L120">
        <v>39</v>
      </c>
      <c r="M120">
        <f t="shared" si="21"/>
        <v>14</v>
      </c>
      <c r="N120">
        <f t="shared" si="23"/>
        <v>39000</v>
      </c>
      <c r="O120">
        <f t="shared" si="24"/>
        <v>37050</v>
      </c>
      <c r="P120">
        <f t="shared" si="25"/>
        <v>40950</v>
      </c>
      <c r="Q120">
        <f t="shared" si="30"/>
        <v>0</v>
      </c>
      <c r="R120" s="126">
        <f t="shared" si="26"/>
        <v>1.4528685527813237E-6</v>
      </c>
      <c r="S120" s="126">
        <f t="shared" si="27"/>
        <v>2.3221812771171084E-6</v>
      </c>
      <c r="AA120" s="126">
        <f t="shared" si="31"/>
        <v>4.1640042554132176E-6</v>
      </c>
      <c r="AB120" s="126">
        <f t="shared" si="32"/>
        <v>6.0168333328107434E-6</v>
      </c>
      <c r="AC120" s="126">
        <f t="shared" si="28"/>
        <v>2.58514018649486E-8</v>
      </c>
      <c r="AD120" s="126">
        <f t="shared" si="29"/>
        <v>2.4887810424938797E-8</v>
      </c>
      <c r="AE120" s="128"/>
    </row>
    <row r="121" spans="11:31" x14ac:dyDescent="0.35">
      <c r="K121">
        <v>1000</v>
      </c>
      <c r="L121">
        <v>43</v>
      </c>
      <c r="M121">
        <f t="shared" si="21"/>
        <v>14</v>
      </c>
      <c r="N121">
        <f t="shared" si="23"/>
        <v>43000</v>
      </c>
      <c r="O121">
        <f t="shared" si="24"/>
        <v>40850</v>
      </c>
      <c r="P121">
        <f t="shared" si="25"/>
        <v>45150</v>
      </c>
      <c r="Q121">
        <f t="shared" si="30"/>
        <v>0</v>
      </c>
      <c r="R121" s="126">
        <f t="shared" si="26"/>
        <v>1.6018806917504604E-6</v>
      </c>
      <c r="S121" s="126">
        <f t="shared" si="27"/>
        <v>2.5602287484137571E-6</v>
      </c>
      <c r="AA121" s="126">
        <f t="shared" si="31"/>
        <v>4.5910815567890853E-6</v>
      </c>
      <c r="AB121" s="126">
        <f t="shared" si="32"/>
        <v>6.6336206500640777E-6</v>
      </c>
      <c r="AC121" s="126">
        <f t="shared" si="28"/>
        <v>2.5837705965510137E-8</v>
      </c>
      <c r="AD121" s="126">
        <f t="shared" si="29"/>
        <v>2.4878334531727441E-8</v>
      </c>
      <c r="AE121" s="128"/>
    </row>
    <row r="122" spans="11:31" x14ac:dyDescent="0.35">
      <c r="K122">
        <v>1000</v>
      </c>
      <c r="L122">
        <v>47</v>
      </c>
      <c r="M122">
        <f t="shared" si="21"/>
        <v>14</v>
      </c>
      <c r="N122">
        <f t="shared" si="23"/>
        <v>47000</v>
      </c>
      <c r="O122">
        <f t="shared" si="24"/>
        <v>44650</v>
      </c>
      <c r="P122">
        <f t="shared" si="25"/>
        <v>49350</v>
      </c>
      <c r="Q122">
        <f t="shared" si="30"/>
        <v>0</v>
      </c>
      <c r="R122" s="126">
        <f t="shared" si="26"/>
        <v>1.7508928269446231E-6</v>
      </c>
      <c r="S122" s="126">
        <f t="shared" si="27"/>
        <v>2.7982762142569549E-6</v>
      </c>
      <c r="AA122" s="126">
        <f t="shared" si="31"/>
        <v>5.0181588473456631E-6</v>
      </c>
      <c r="AB122" s="126">
        <f t="shared" si="32"/>
        <v>7.2504079531873768E-6</v>
      </c>
      <c r="AC122" s="126">
        <f t="shared" si="28"/>
        <v>2.5826357125781227E-8</v>
      </c>
      <c r="AD122" s="126">
        <f t="shared" si="29"/>
        <v>2.4870482160116605E-8</v>
      </c>
      <c r="AE122" s="128"/>
    </row>
    <row r="123" spans="11:31" x14ac:dyDescent="0.35">
      <c r="K123">
        <v>1000</v>
      </c>
      <c r="L123">
        <v>51</v>
      </c>
      <c r="M123">
        <f t="shared" si="21"/>
        <v>14</v>
      </c>
      <c r="N123">
        <f t="shared" si="23"/>
        <v>51000</v>
      </c>
      <c r="O123">
        <f t="shared" si="24"/>
        <v>48450</v>
      </c>
      <c r="P123">
        <f t="shared" si="25"/>
        <v>53550</v>
      </c>
      <c r="Q123">
        <f t="shared" si="30"/>
        <v>0</v>
      </c>
      <c r="R123" s="126">
        <f t="shared" si="26"/>
        <v>1.8999049583638129E-6</v>
      </c>
      <c r="S123" s="126">
        <f t="shared" si="27"/>
        <v>3.0363236746467035E-6</v>
      </c>
      <c r="AA123" s="126">
        <f t="shared" si="31"/>
        <v>5.4452361270829519E-6</v>
      </c>
      <c r="AB123" s="126">
        <f t="shared" si="32"/>
        <v>7.8671952421806426E-6</v>
      </c>
      <c r="AC123" s="126">
        <f t="shared" si="28"/>
        <v>2.5816799638776213E-8</v>
      </c>
      <c r="AD123" s="126">
        <f t="shared" si="29"/>
        <v>2.4863868997567313E-8</v>
      </c>
      <c r="AE123" s="128"/>
    </row>
    <row r="124" spans="11:31" x14ac:dyDescent="0.35">
      <c r="K124">
        <v>1000</v>
      </c>
      <c r="L124">
        <v>56</v>
      </c>
      <c r="M124">
        <f t="shared" si="21"/>
        <v>14</v>
      </c>
      <c r="N124">
        <f t="shared" si="23"/>
        <v>56000</v>
      </c>
      <c r="O124">
        <f t="shared" si="24"/>
        <v>53200</v>
      </c>
      <c r="P124">
        <f t="shared" si="25"/>
        <v>58800</v>
      </c>
      <c r="Q124">
        <f t="shared" si="30"/>
        <v>0</v>
      </c>
      <c r="R124" s="126">
        <f t="shared" si="26"/>
        <v>2.0861701173292438E-6</v>
      </c>
      <c r="S124" s="126">
        <f t="shared" si="27"/>
        <v>3.3338829924649733E-6</v>
      </c>
      <c r="AA124" s="126">
        <f t="shared" si="31"/>
        <v>5.9790827115399383E-6</v>
      </c>
      <c r="AB124" s="126">
        <f t="shared" si="32"/>
        <v>8.6381793335518632E-6</v>
      </c>
      <c r="AC124" s="126">
        <f t="shared" si="28"/>
        <v>2.5806783748804347E-8</v>
      </c>
      <c r="AD124" s="126">
        <f t="shared" si="29"/>
        <v>2.4856938414820875E-8</v>
      </c>
      <c r="AE124" s="128"/>
    </row>
    <row r="125" spans="11:31" x14ac:dyDescent="0.35">
      <c r="K125">
        <v>1000</v>
      </c>
      <c r="L125">
        <v>62</v>
      </c>
      <c r="M125">
        <f t="shared" si="21"/>
        <v>14</v>
      </c>
      <c r="N125">
        <f t="shared" si="23"/>
        <v>62000</v>
      </c>
      <c r="O125">
        <f t="shared" si="24"/>
        <v>58900</v>
      </c>
      <c r="P125">
        <f t="shared" si="25"/>
        <v>65100</v>
      </c>
      <c r="Q125">
        <f t="shared" si="30"/>
        <v>0</v>
      </c>
      <c r="R125" s="126">
        <f t="shared" si="26"/>
        <v>2.3096883003018783E-6</v>
      </c>
      <c r="S125" s="126">
        <f t="shared" si="27"/>
        <v>3.6909541625991583E-6</v>
      </c>
      <c r="AA125" s="126">
        <f t="shared" si="31"/>
        <v>6.6196985905735367E-6</v>
      </c>
      <c r="AB125" s="126">
        <f t="shared" si="32"/>
        <v>9.5633602140541361E-6</v>
      </c>
      <c r="AC125" s="126">
        <f t="shared" si="28"/>
        <v>2.5796908061641519E-8</v>
      </c>
      <c r="AD125" s="126">
        <f t="shared" si="29"/>
        <v>2.4850104616442419E-8</v>
      </c>
      <c r="AE125" s="128"/>
    </row>
    <row r="126" spans="11:31" x14ac:dyDescent="0.35">
      <c r="K126">
        <v>1000</v>
      </c>
      <c r="L126">
        <v>68</v>
      </c>
      <c r="M126">
        <f t="shared" si="21"/>
        <v>14</v>
      </c>
      <c r="N126">
        <f t="shared" si="23"/>
        <v>68000</v>
      </c>
      <c r="O126">
        <f t="shared" si="24"/>
        <v>64600</v>
      </c>
      <c r="P126">
        <f t="shared" si="25"/>
        <v>71400</v>
      </c>
      <c r="Q126">
        <f t="shared" si="30"/>
        <v>0</v>
      </c>
      <c r="R126" s="126">
        <f t="shared" si="26"/>
        <v>2.5332064747808239E-6</v>
      </c>
      <c r="S126" s="126">
        <f t="shared" si="27"/>
        <v>4.0480253204630801E-6</v>
      </c>
      <c r="AA126" s="126">
        <f t="shared" si="31"/>
        <v>7.2603144452637376E-6</v>
      </c>
      <c r="AB126" s="126">
        <f t="shared" si="32"/>
        <v>1.0488541062763834E-5</v>
      </c>
      <c r="AC126" s="126">
        <f t="shared" si="28"/>
        <v>2.5788783309725171E-8</v>
      </c>
      <c r="AD126" s="126">
        <f t="shared" si="29"/>
        <v>2.4844482266231034E-8</v>
      </c>
      <c r="AE126" s="128"/>
    </row>
    <row r="127" spans="11:31" x14ac:dyDescent="0.35">
      <c r="K127">
        <v>1000</v>
      </c>
      <c r="L127">
        <v>75</v>
      </c>
      <c r="M127">
        <f t="shared" si="21"/>
        <v>14</v>
      </c>
      <c r="N127">
        <f t="shared" si="23"/>
        <v>75000</v>
      </c>
      <c r="O127">
        <f t="shared" si="24"/>
        <v>71250</v>
      </c>
      <c r="P127">
        <f t="shared" si="25"/>
        <v>78750</v>
      </c>
      <c r="Q127">
        <f t="shared" si="30"/>
        <v>0</v>
      </c>
      <c r="R127" s="126">
        <f t="shared" si="26"/>
        <v>2.7939776676045158E-6</v>
      </c>
      <c r="S127" s="126">
        <f t="shared" si="27"/>
        <v>4.4646083224627442E-6</v>
      </c>
      <c r="AA127" s="126">
        <f t="shared" si="31"/>
        <v>8.0076995783016263E-6</v>
      </c>
      <c r="AB127" s="126">
        <f t="shared" si="32"/>
        <v>1.1567918679409537E-5</v>
      </c>
      <c r="AC127" s="126">
        <f t="shared" si="28"/>
        <v>2.5780954415272133E-8</v>
      </c>
      <c r="AD127" s="126">
        <f t="shared" si="29"/>
        <v>2.4839064510000065E-8</v>
      </c>
      <c r="AE127" s="128"/>
    </row>
    <row r="128" spans="11:31" x14ac:dyDescent="0.35">
      <c r="K128">
        <v>1000</v>
      </c>
      <c r="L128">
        <v>82</v>
      </c>
      <c r="M128">
        <f t="shared" si="21"/>
        <v>14</v>
      </c>
      <c r="N128">
        <f t="shared" si="23"/>
        <v>82000</v>
      </c>
      <c r="O128">
        <f t="shared" si="24"/>
        <v>77900</v>
      </c>
      <c r="P128">
        <f t="shared" si="25"/>
        <v>86100</v>
      </c>
      <c r="Q128">
        <f t="shared" si="30"/>
        <v>0</v>
      </c>
      <c r="R128" s="126">
        <f t="shared" si="26"/>
        <v>3.0547488488673536E-6</v>
      </c>
      <c r="S128" s="126">
        <f t="shared" si="27"/>
        <v>4.8811913077612216E-6</v>
      </c>
      <c r="AA128" s="126">
        <f t="shared" si="31"/>
        <v>8.7550846782054452E-6</v>
      </c>
      <c r="AB128" s="126">
        <f t="shared" si="32"/>
        <v>1.2647296252782025E-5</v>
      </c>
      <c r="AC128" s="126">
        <f t="shared" si="28"/>
        <v>2.5774467351005904E-8</v>
      </c>
      <c r="AD128" s="126">
        <f t="shared" si="29"/>
        <v>2.4834575225589286E-8</v>
      </c>
      <c r="AE128" s="128"/>
    </row>
    <row r="129" spans="11:31" x14ac:dyDescent="0.35">
      <c r="K129">
        <v>1000</v>
      </c>
      <c r="L129">
        <v>91</v>
      </c>
      <c r="M129">
        <f t="shared" si="21"/>
        <v>14</v>
      </c>
      <c r="N129">
        <f t="shared" si="23"/>
        <v>91000</v>
      </c>
      <c r="O129">
        <f t="shared" si="24"/>
        <v>86450</v>
      </c>
      <c r="P129">
        <f t="shared" si="25"/>
        <v>95550</v>
      </c>
      <c r="Q129">
        <f t="shared" si="30"/>
        <v>0</v>
      </c>
      <c r="R129" s="126">
        <f t="shared" si="26"/>
        <v>3.390026064932199E-6</v>
      </c>
      <c r="S129" s="126">
        <f t="shared" si="27"/>
        <v>5.4167979786044576E-6</v>
      </c>
      <c r="AA129" s="126">
        <f t="shared" si="31"/>
        <v>9.7160083293949993E-6</v>
      </c>
      <c r="AB129" s="126">
        <f t="shared" si="32"/>
        <v>1.403506735496151E-5</v>
      </c>
      <c r="AC129" s="126">
        <f t="shared" si="28"/>
        <v>2.5767598431741012E-8</v>
      </c>
      <c r="AD129" s="126">
        <f t="shared" si="29"/>
        <v>2.4829821584359206E-8</v>
      </c>
      <c r="AE129" s="128"/>
    </row>
    <row r="130" spans="11:31" x14ac:dyDescent="0.35">
      <c r="M130">
        <f t="shared" si="21"/>
        <v>14</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173" priority="32" stopIfTrue="1">
      <formula>AND($B$11="need resistor",$C$11&gt;0)</formula>
    </cfRule>
    <cfRule type="containsText" dxfId="172" priority="36" operator="containsText" text="need resistor">
      <formula>NOT(ISERROR(SEARCH("need resistor",B11)))</formula>
    </cfRule>
  </conditionalFormatting>
  <conditionalFormatting sqref="B11:B12">
    <cfRule type="containsText" dxfId="171" priority="34" operator="containsText" text="no need">
      <formula>NOT(ISERROR(SEARCH("no need",B11)))</formula>
    </cfRule>
  </conditionalFormatting>
  <conditionalFormatting sqref="B12">
    <cfRule type="expression" dxfId="170" priority="31" stopIfTrue="1">
      <formula>AND($B$12="need resistor",$C$12&gt;0)</formula>
    </cfRule>
    <cfRule type="containsText" dxfId="169" priority="33" operator="containsText" text="need resistor">
      <formula>NOT(ISERROR(SEARCH("need resistor",B12)))</formula>
    </cfRule>
  </conditionalFormatting>
  <conditionalFormatting sqref="B42">
    <cfRule type="expression" dxfId="168" priority="59">
      <formula>AND($B$42&gt;$S$2,$B$2=1)</formula>
    </cfRule>
    <cfRule type="expression" dxfId="167" priority="58">
      <formula>AND($B$42&lt;$R$2,$B$2=0)</formula>
    </cfRule>
    <cfRule type="expression" dxfId="166" priority="57" stopIfTrue="1">
      <formula>AND($B$42&lt;=$S$2,$B$2=1)</formula>
    </cfRule>
    <cfRule type="expression" dxfId="165" priority="56" stopIfTrue="1">
      <formula>AND($B$42&gt;=$R$2,$B$2=0)</formula>
    </cfRule>
  </conditionalFormatting>
  <conditionalFormatting sqref="B62">
    <cfRule type="expression" dxfId="164" priority="67">
      <formula>AND($B$62&gt;$S$2,$B$2=1)</formula>
    </cfRule>
    <cfRule type="expression" dxfId="163" priority="66">
      <formula>AND($B$62&lt;$R$2,$B$2=0)</formula>
    </cfRule>
    <cfRule type="expression" dxfId="162" priority="65" stopIfTrue="1">
      <formula>AND($B$62&lt;=$S$2,$B$2=1)</formula>
    </cfRule>
    <cfRule type="expression" dxfId="161" priority="64" stopIfTrue="1">
      <formula>AND($B$62&gt;=$R$2,$B$2=0)</formula>
    </cfRule>
  </conditionalFormatting>
  <conditionalFormatting sqref="B84">
    <cfRule type="cellIs" dxfId="160" priority="45" operator="greaterThan">
      <formula>$S$3</formula>
    </cfRule>
    <cfRule type="cellIs" dxfId="159" priority="44" operator="lessThanOrEqual">
      <formula>$S$3</formula>
    </cfRule>
  </conditionalFormatting>
  <conditionalFormatting sqref="B102">
    <cfRule type="cellIs" dxfId="158" priority="48" operator="lessThanOrEqual">
      <formula>$S$2</formula>
    </cfRule>
    <cfRule type="cellIs" dxfId="157" priority="49" operator="greaterThan">
      <formula>$S$2</formula>
    </cfRule>
  </conditionalFormatting>
  <conditionalFormatting sqref="B18:C18">
    <cfRule type="expression" dxfId="156" priority="53">
      <formula>OR(AND($B$2=0,$C$18&lt;$R$2),AND($B$2=1,$C$18&gt;$S$2))</formula>
    </cfRule>
    <cfRule type="expression" dxfId="155" priority="52" stopIfTrue="1">
      <formula>OR(AND($B$2=0,$C$18&gt;=$R$2),AND($B$2=1,$C$18&lt;=$S$2))</formula>
    </cfRule>
  </conditionalFormatting>
  <conditionalFormatting sqref="B19:C19">
    <cfRule type="expression" dxfId="154" priority="55">
      <formula>OR(AND($B$3=0,$C$19&lt;$R$3),AND($B$3=1,$C$19&gt;$S$3))</formula>
    </cfRule>
    <cfRule type="expression" dxfId="153" priority="54" stopIfTrue="1">
      <formula>OR(AND($B$3=0,$C$19&gt;=$R$3),AND($B$3=1,$C$19&lt;=$S$3))</formula>
    </cfRule>
  </conditionalFormatting>
  <conditionalFormatting sqref="C14">
    <cfRule type="cellIs" dxfId="152" priority="26" operator="equal">
      <formula>"no solution"</formula>
    </cfRule>
  </conditionalFormatting>
  <conditionalFormatting sqref="C44">
    <cfRule type="expression" dxfId="151" priority="63">
      <formula>AND($B$44&gt;$S$3,$B$3=1)</formula>
    </cfRule>
    <cfRule type="expression" dxfId="150" priority="62">
      <formula>AND($B$44&lt;$R$3,$B$3=0)</formula>
    </cfRule>
    <cfRule type="expression" dxfId="149" priority="61" stopIfTrue="1">
      <formula>AND($C$44&lt;=$S$3,$B$3=1)</formula>
    </cfRule>
    <cfRule type="expression" dxfId="148" priority="60" stopIfTrue="1">
      <formula>AND($C$44&gt;=$R$3,$B$3=0)</formula>
    </cfRule>
  </conditionalFormatting>
  <conditionalFormatting sqref="C64">
    <cfRule type="expression" dxfId="147" priority="69" stopIfTrue="1">
      <formula>AND($C$64&lt;=$S$3,$B$3=1)</formula>
    </cfRule>
    <cfRule type="expression" dxfId="146" priority="70">
      <formula>AND($B$64&lt;$R$3,$B$3=0)</formula>
    </cfRule>
    <cfRule type="expression" dxfId="145" priority="71">
      <formula>AND($B$64&gt;$S$3,$B$3=1)</formula>
    </cfRule>
    <cfRule type="expression" dxfId="144" priority="68" stopIfTrue="1">
      <formula>AND($C$64&gt;=$R$3,$B$3=0)</formula>
    </cfRule>
  </conditionalFormatting>
  <conditionalFormatting sqref="C102:D102">
    <cfRule type="cellIs" dxfId="143" priority="28" operator="lessThan">
      <formula>$R$2</formula>
    </cfRule>
    <cfRule type="cellIs" dxfId="142" priority="27" operator="greaterThanOrEqual">
      <formula>$R$2</formula>
    </cfRule>
  </conditionalFormatting>
  <conditionalFormatting sqref="C84:H84">
    <cfRule type="cellIs" dxfId="141" priority="13" operator="lessThan">
      <formula>$R$3</formula>
    </cfRule>
    <cfRule type="cellIs" dxfId="140" priority="12" operator="greaterThanOrEqual">
      <formula>$R$3</formula>
    </cfRule>
  </conditionalFormatting>
  <conditionalFormatting sqref="D11">
    <cfRule type="containsText" dxfId="139" priority="39" stopIfTrue="1" operator="containsText" text="please remove resistor">
      <formula>NOT(ISERROR(SEARCH("please remove resistor",D11)))</formula>
    </cfRule>
    <cfRule type="cellIs" dxfId="138" priority="41" operator="greaterThan">
      <formula>$S$2</formula>
    </cfRule>
    <cfRule type="cellIs" dxfId="137" priority="40" operator="lessThan">
      <formula>$S$2</formula>
    </cfRule>
  </conditionalFormatting>
  <conditionalFormatting sqref="D11:D12">
    <cfRule type="cellIs" priority="24" stopIfTrue="1" operator="equal">
      <formula>""</formula>
    </cfRule>
  </conditionalFormatting>
  <conditionalFormatting sqref="D12 E18:E19">
    <cfRule type="cellIs" dxfId="136" priority="38" operator="lessThan">
      <formula>$R$2-$N$7</formula>
    </cfRule>
    <cfRule type="cellIs" dxfId="135" priority="37" operator="greaterThanOrEqual">
      <formula>$R$2-$N$7</formula>
    </cfRule>
  </conditionalFormatting>
  <conditionalFormatting sqref="D18:D19">
    <cfRule type="cellIs" dxfId="134" priority="42" operator="lessThanOrEqual">
      <formula>$S$2+$N$7</formula>
    </cfRule>
    <cfRule type="cellIs" dxfId="133" priority="43" operator="greaterThan">
      <formula>$S$2+$N$7</formula>
    </cfRule>
  </conditionalFormatting>
  <conditionalFormatting sqref="E102">
    <cfRule type="cellIs" dxfId="132" priority="11" operator="lessThan">
      <formula>$R$3</formula>
    </cfRule>
    <cfRule type="cellIs" dxfId="131" priority="10" operator="greaterThanOrEqual">
      <formula>$R$3</formula>
    </cfRule>
  </conditionalFormatting>
  <conditionalFormatting sqref="F21">
    <cfRule type="containsText" dxfId="130" priority="9" operator="containsText" text="failed">
      <formula>NOT(ISERROR(SEARCH("failed",F21)))</formula>
    </cfRule>
  </conditionalFormatting>
  <conditionalFormatting sqref="F22">
    <cfRule type="containsText" dxfId="129" priority="8" operator="containsText" text="fail">
      <formula>NOT(ISERROR(SEARCH("fail",F22)))</formula>
    </cfRule>
  </conditionalFormatting>
  <conditionalFormatting sqref="F23">
    <cfRule type="containsText" dxfId="128" priority="7" operator="containsText" text="failed">
      <formula>NOT(ISERROR(SEARCH("failed",F23)))</formula>
    </cfRule>
  </conditionalFormatting>
  <conditionalFormatting sqref="F102:H102">
    <cfRule type="cellIs" dxfId="127" priority="20" operator="greaterThanOrEqual">
      <formula>$R$2</formula>
    </cfRule>
    <cfRule type="cellIs" dxfId="126" priority="21" operator="lessThan">
      <formula>$R$2</formula>
    </cfRule>
  </conditionalFormatting>
  <conditionalFormatting sqref="G18">
    <cfRule type="cellIs" dxfId="125" priority="2" operator="lessThan">
      <formula>$V$2</formula>
    </cfRule>
    <cfRule type="cellIs" dxfId="124" priority="1" operator="greaterThan">
      <formula>$V$2</formula>
    </cfRule>
  </conditionalFormatting>
  <conditionalFormatting sqref="G19">
    <cfRule type="cellIs" dxfId="123" priority="3" operator="greaterThan">
      <formula>$V$3</formula>
    </cfRule>
    <cfRule type="cellIs" dxfId="122" priority="4" operator="lessThan">
      <formula>$V$3</formula>
    </cfRule>
  </conditionalFormatting>
  <conditionalFormatting sqref="I18:I19">
    <cfRule type="cellIs" dxfId="121" priority="6" operator="lessThan">
      <formula>$W$2</formula>
    </cfRule>
    <cfRule type="cellIs" dxfId="120" priority="5" operator="greaterThan">
      <formula>$W$2</formula>
    </cfRule>
  </conditionalFormatting>
  <conditionalFormatting sqref="K12">
    <cfRule type="expression" dxfId="119" priority="72">
      <formula>SEARCH("reduce",$F$23)</formula>
    </cfRule>
    <cfRule type="expression" dxfId="118" priority="73">
      <formula>SEARCH("reduce",$F$21)</formula>
    </cfRule>
  </conditionalFormatting>
  <conditionalFormatting sqref="N2">
    <cfRule type="expression" dxfId="117" priority="74">
      <formula>SEARCH("strength",$F$21)</formula>
    </cfRule>
    <cfRule type="expression" dxfId="116" priority="75">
      <formula>SEARCH("strength",$F$23)</formula>
    </cfRule>
  </conditionalFormatting>
  <hyperlinks>
    <hyperlink ref="N25" location="Summary!A1" display="Link to summary" xr:uid="{EC4A06D4-2452-4D8A-A215-235ACFBCDC60}"/>
  </hyperlinks>
  <pageMargins left="0.7" right="0.7" top="0.75" bottom="0.75" header="0.3" footer="0.3"/>
  <pageSetup paperSize="9" orientation="portrait" r:id="rId1"/>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473F-33AE-4D85-9593-A8E8AB46E718}">
  <dimension ref="A1:AK130"/>
  <sheetViews>
    <sheetView topLeftCell="F16"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Summary!W16</f>
        <v>3.3</v>
      </c>
      <c r="K2" s="10">
        <v>1000000000000</v>
      </c>
      <c r="L2" s="15">
        <v>0.1</v>
      </c>
      <c r="M2" s="15">
        <v>0.1</v>
      </c>
      <c r="N2" s="17">
        <f>Summary!W26</f>
        <v>50</v>
      </c>
      <c r="O2" s="15">
        <f>Summary!W88</f>
        <v>0.25</v>
      </c>
      <c r="P2" s="15">
        <f>Summary!W89</f>
        <v>0.25</v>
      </c>
      <c r="Q2" s="5" t="str">
        <f>Summary!W27</f>
        <v>N/A</v>
      </c>
      <c r="R2" s="5">
        <f>Summary!W51</f>
        <v>0.3</v>
      </c>
      <c r="S2" s="5">
        <f>Summary!W52</f>
        <v>0.7</v>
      </c>
      <c r="T2" s="5">
        <f>Summary!W53</f>
        <v>0.3</v>
      </c>
      <c r="U2" s="5">
        <f>Summary!W54</f>
        <v>0.7</v>
      </c>
      <c r="V2" s="130">
        <f>Summary!W55</f>
        <v>1.1999999999999999E-7</v>
      </c>
      <c r="W2" s="130">
        <f>Summary!W56</f>
        <v>1.1999999999999999E-7</v>
      </c>
      <c r="X2" s="131">
        <f>V2</f>
        <v>1.1999999999999999E-7</v>
      </c>
      <c r="Y2" s="132" t="str">
        <f>IF(Summary!W57="","",Summary!W57)</f>
        <v/>
      </c>
      <c r="Z2" s="132">
        <f>IF(Summary!W58="","",Summary!W58)</f>
        <v>6.5454545454545451E-9</v>
      </c>
      <c r="AA2" s="4">
        <f>Summary!W59</f>
        <v>1E-10</v>
      </c>
      <c r="AB2" s="41">
        <f>Summary!W81</f>
        <v>4.9999999999999997E-12</v>
      </c>
      <c r="AC2" s="41">
        <f>Summary!W83</f>
        <v>8.1900000000000013E-12</v>
      </c>
      <c r="AD2" s="3">
        <f>Summary!W84</f>
        <v>0.69</v>
      </c>
      <c r="AE2" s="41">
        <f>Summary!W86</f>
        <v>4.9999999999999997E-12</v>
      </c>
      <c r="AF2" s="5">
        <f>Summary!W87</f>
        <v>2.2999999999999998</v>
      </c>
      <c r="AG2" s="127" t="str">
        <f>Summary!W50</f>
        <v>relative</v>
      </c>
      <c r="AH2" s="3">
        <f>Summary!$AF5</f>
        <v>50</v>
      </c>
      <c r="AI2" s="3" t="s">
        <v>97</v>
      </c>
      <c r="AJ2" s="3">
        <f>Summary!$AF9</f>
        <v>0</v>
      </c>
      <c r="AK2" s="3">
        <f>Summary!$AF8</f>
        <v>0</v>
      </c>
    </row>
    <row r="3" spans="1:37" s="3" customFormat="1" x14ac:dyDescent="0.35">
      <c r="A3" s="3" t="s">
        <v>266</v>
      </c>
      <c r="B3" s="3">
        <v>1</v>
      </c>
      <c r="C3" s="10">
        <v>1000000000000</v>
      </c>
      <c r="D3" s="15">
        <v>0.1</v>
      </c>
      <c r="E3" s="15">
        <v>0.1</v>
      </c>
      <c r="F3" s="10">
        <v>1000000000000</v>
      </c>
      <c r="G3" s="15">
        <v>0.1</v>
      </c>
      <c r="H3" s="15">
        <v>0.1</v>
      </c>
      <c r="I3" s="3" t="s">
        <v>265</v>
      </c>
      <c r="J3" s="3">
        <f>Summary!W16</f>
        <v>3.3</v>
      </c>
      <c r="K3" s="10">
        <v>1000000000000</v>
      </c>
      <c r="L3" s="15">
        <v>0.1</v>
      </c>
      <c r="M3" s="15">
        <v>0.1</v>
      </c>
      <c r="N3">
        <f>Summary!W97</f>
        <v>100</v>
      </c>
      <c r="O3" s="15">
        <f>Summary!W98</f>
        <v>0.6</v>
      </c>
      <c r="P3" s="15">
        <f>Summary!W99</f>
        <v>0</v>
      </c>
      <c r="Q3"/>
      <c r="R3" s="5">
        <f>Summary!W38</f>
        <v>0.3</v>
      </c>
      <c r="S3" s="5">
        <f>Summary!W39</f>
        <v>0.7</v>
      </c>
      <c r="T3" s="5">
        <f>Summary!W42</f>
        <v>0.3</v>
      </c>
      <c r="U3" s="5">
        <f>Summary!W43</f>
        <v>0.7</v>
      </c>
      <c r="V3" s="130">
        <f>Summary!W44</f>
        <v>1.1999999999999999E-7</v>
      </c>
      <c r="W3" s="130">
        <f>Summary!W45</f>
        <v>1.1999999999999999E-7</v>
      </c>
      <c r="X3" s="131">
        <f>V3</f>
        <v>1.1999999999999999E-7</v>
      </c>
      <c r="Y3" s="132" t="str">
        <f>IF(Summary!W46="","",Summary!W46)</f>
        <v/>
      </c>
      <c r="Z3" s="132" t="str">
        <f>IF(Summary!W47="","",Summary!W47)</f>
        <v/>
      </c>
      <c r="AA3" s="4">
        <f>Summary!W59</f>
        <v>1E-10</v>
      </c>
      <c r="AB3" s="41">
        <f>Summary!W96</f>
        <v>9.9999999999999994E-12</v>
      </c>
      <c r="AG3" s="127" t="str">
        <f>Summary!W37</f>
        <v>absolute</v>
      </c>
      <c r="AH3" s="3">
        <f>IF(Summary!$AG5="","",Summary!$AG5)</f>
        <v>100</v>
      </c>
      <c r="AI3" s="3" t="str">
        <f>Summary!$AG7</f>
        <v>000</v>
      </c>
      <c r="AJ3" s="3">
        <f>IF(Summary!$AG9="","",IF($J$2=1.8,Summary!$AG$9,IF($J$2=3.3,Summary!$AG$11,"n/a")))</f>
        <v>0</v>
      </c>
      <c r="AK3" s="3">
        <f>IF(Summary!$AG9="","",IF($J$2=1.8,Summary!$AG$8,IF($J$2=3.3,Summary!$AG$10,"n/a")))</f>
        <v>0</v>
      </c>
    </row>
    <row r="4" spans="1:37" x14ac:dyDescent="0.35">
      <c r="AH4" s="3" t="str">
        <f>IF(Summary!$AH5="","",Summary!$AH5)</f>
        <v/>
      </c>
      <c r="AI4" s="3" t="str">
        <f>IF(Summary!$AH7="","",Summary!$AH7)</f>
        <v>001</v>
      </c>
      <c r="AJ4" s="3">
        <f>IF(Summary!$AH9="","",IF($J$2=1.8,Summary!$AH$9,IF($J$2=3.3,Summary!$AH$11,"n/a")))</f>
        <v>0</v>
      </c>
      <c r="AK4" s="3">
        <f>IF(Summary!$AH9="","",IF($J$2=1.8,Summary!$AH$8,IF($J$2=3.3,Summary!$AH$10,"n/a")))</f>
        <v>0</v>
      </c>
    </row>
    <row r="5" spans="1:37" x14ac:dyDescent="0.35">
      <c r="B5" s="172" t="s">
        <v>267</v>
      </c>
      <c r="C5" s="173"/>
      <c r="D5" s="173"/>
      <c r="E5" s="174"/>
      <c r="F5" s="172" t="s">
        <v>268</v>
      </c>
      <c r="G5" s="173"/>
      <c r="H5" s="173"/>
      <c r="I5" s="174"/>
      <c r="L5" s="1"/>
      <c r="AH5" s="3" t="str">
        <f>IF(Summary!$AI5="","",Summary!$AI5)</f>
        <v/>
      </c>
      <c r="AI5" s="3" t="str">
        <f>IF(Summary!$AI7="","",Summary!$AI7)</f>
        <v>010</v>
      </c>
      <c r="AJ5" s="3">
        <f>IF(Summary!$AI9="","",IF($J$2=1.8,Summary!$AI$9,IF($J$2=3.3,Summary!$AI$11,"n/a")))</f>
        <v>0</v>
      </c>
      <c r="AK5" s="3">
        <f>IF(Summary!$AI9="","",IF($J$2=1.8,Summary!$AI$8,IF($J$2=3.3,Summary!$AI$10,"n/a")))</f>
        <v>0</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IF(Summary!$AJ7="","",Summary!$AJ7)</f>
        <v>011</v>
      </c>
      <c r="AJ6" s="3">
        <f>IF(Summary!$AJ9="","",IF($J$2=1.8,Summary!$AJ$9,IF($J$2=3.3,Summary!$AJ$11,"n/a")))</f>
        <v>0</v>
      </c>
      <c r="AK6" s="3">
        <f>IF(Summary!$AJ9="","",IF($J$2=1.8,Summary!$AJ$8,IF($J$2=3.3,Summary!$AJ$10,"n/a")))</f>
        <v>0</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427329345.73892289</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3712598003.5392447</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290.2154353528644</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857.23779827560713</v>
      </c>
      <c r="F7" s="123">
        <f>_xlfn.IFNA(_xlfn.XLOOKUP($X$2,AB34:AB129,P34:P129,,-1), "Out of support PU range")</f>
        <v>1680</v>
      </c>
      <c r="G7" s="124">
        <f>_xlfn.IFNA(_xlfn.XLOOKUP($X$3,S34:S129,P34:P129,,-1), "Out of support PU range")</f>
        <v>10500</v>
      </c>
      <c r="H7" s="124">
        <f>_xlfn.IFNA(MAX(_xlfn.XLOOKUP(MAX($Y$2:$AA$2),AA34:AA129,O34:O129,,1), _xlfn.XLOOKUP($W$2,AD34:AD129,O34:O129,,-1)), "Fail AC VIL")</f>
        <v>313.5</v>
      </c>
      <c r="I7" s="129">
        <f>_xlfn.IFNA(MAX(_xlfn.XLOOKUP(MAX($Y$3:$AA$3),R34:R129,O34:O129,,1), _xlfn.XLOOKUP($W$3,AC34:AC129,O34:O129,,-1)), "Fail AC VIL")</f>
        <v>864.5</v>
      </c>
      <c r="J7" s="21">
        <v>20000</v>
      </c>
      <c r="K7" s="2">
        <f>MIN(
MIN(FLOOR(B7,10^(LEN(ROUND(B7,0))-1))/10,
FLOOR(C7,10^(LEN(ROUND(C7,0))-1))/10,
IF(F7*10&gt;=J7,FLOOR(F7,10^(LEN(ROUND(F7,0))-1))/10,FLOOR(F7,10^(LEN(ROUND(F7,0))-1))),
FLOOR(G7,10^(LEN(ROUND(G7,0))-1))/10),
MAX(I7,J7)
)</f>
        <v>1000</v>
      </c>
      <c r="L7" s="1"/>
      <c r="N7" s="71">
        <f>Summary!W62</f>
        <v>0.02</v>
      </c>
      <c r="AI7" s="3" t="str">
        <f>IF(Summary!$AK7="","",Summary!$AK7)</f>
        <v>100</v>
      </c>
      <c r="AJ7" s="3">
        <f>IF(Summary!$AK9="","",IF($J$2=1.8,Summary!$AK$9,IF($J$2=3.3,Summary!$AK$11,"n/a")))</f>
        <v>0</v>
      </c>
      <c r="AK7" s="3">
        <f>IF(Summary!$AK9="","",IF($J$2=1.8,Summary!$AK$8,IF($J$2=3.3,Summary!$AK$10,"n/a")))</f>
        <v>0</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407.14285657213105</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407.14285657213105</v>
      </c>
      <c r="E8">
        <f>X2/(1.204*K18)</f>
        <v>1414.6165032574982</v>
      </c>
      <c r="F8">
        <f>X3/(1.204*K18)</f>
        <v>1414.6165032574982</v>
      </c>
      <c r="H8">
        <f>AA2/(1.204*K18)</f>
        <v>1.1788470860479152</v>
      </c>
      <c r="I8" s="2">
        <f>AA3/(1.204*K18)</f>
        <v>1.1788470860479152</v>
      </c>
      <c r="J8" s="8">
        <v>20000</v>
      </c>
      <c r="K8">
        <f>MIN(MIN(FLOOR(B8,10^(LEN(ROUND(B8,0))-1))/10,FLOOR(C8,10^(LEN(ROUND(C8,0))-1))/10,FLOOR(E8,10^(LEN(ROUND(E8,0))-1))/10,FLOOR(F8,10^(LEN(ROUND(F8,0))-1))/10),MAX(I8,J8))</f>
        <v>40</v>
      </c>
      <c r="N8" s="1"/>
      <c r="AI8" s="3" t="str">
        <f>IF(Summary!$AL7="","",Summary!$AL7)</f>
        <v>101</v>
      </c>
      <c r="AJ8" s="3">
        <f>IF(Summary!$AL9="","",IF($J$2=1.8,Summary!$AL$9,IF($J$2=3.3,Summary!$AL$11,"n/a")))</f>
        <v>0</v>
      </c>
      <c r="AK8" s="3">
        <f>IF(Summary!$AL9="","",IF($J$2=1.8,Summary!$AL$8,IF($J$2=3.3,Summary!$AL$10,"n/a")))</f>
        <v>0</v>
      </c>
    </row>
    <row r="9" spans="1:37" x14ac:dyDescent="0.35">
      <c r="B9" s="1"/>
      <c r="M9" s="2"/>
      <c r="AI9" s="3" t="str">
        <f>IF(Summary!$AM7="","",Summary!$AM7)</f>
        <v>110</v>
      </c>
      <c r="AJ9" s="3">
        <f>IF(Summary!$AM9="","",IF($J$2=1.8,Summary!$AM$9,IF($J$2=3.3,Summary!$AM$11,"n/a")))</f>
        <v>0</v>
      </c>
      <c r="AK9" s="3">
        <f>IF(Summary!$AM9="","",IF($J$2=1.8,Summary!$AM$8,IF($J$2=3.3,Summary!$AM$10,"n/a")))</f>
        <v>0</v>
      </c>
    </row>
    <row r="10" spans="1:37" ht="21" x14ac:dyDescent="0.5">
      <c r="D10" t="s">
        <v>278</v>
      </c>
      <c r="F10" s="7" t="s">
        <v>279</v>
      </c>
      <c r="G10" s="7"/>
      <c r="H10" t="s">
        <v>280</v>
      </c>
      <c r="S10" s="20"/>
      <c r="U10" s="20"/>
      <c r="AI10" s="3">
        <f>IF(Summary!$AN7="","",Summary!$AN7)</f>
        <v>111</v>
      </c>
      <c r="AJ10" s="3">
        <f>IF(Summary!$AN9="","",IF($J$2=1.8,Summary!$AN$9,IF($J$2=3.3,Summary!$AN$11,"n/a")))</f>
        <v>0</v>
      </c>
      <c r="AK10" s="3">
        <f>IF(Summary!$AN9="","",IF($J$2=1.8,Summary!$AN$8,IF($J$2=3.3,Summary!$AN$10,"n/a")))</f>
        <v>0</v>
      </c>
    </row>
    <row r="11" spans="1:37" x14ac:dyDescent="0.35">
      <c r="A11" t="s">
        <v>281</v>
      </c>
      <c r="B11" t="str">
        <f>IF(SUM(B2:B3)=2,
IF(
          (1/(1/F2+1/F3))
          /(
            (1/(1/C2+1/C3))
          +
            (1/(1/F2+1/F3))
          )
&lt;S2,"need resistor","no need"),
"no need")</f>
        <v>need resistor</v>
      </c>
      <c r="C11" s="11">
        <f>Summary!W24</f>
        <v>1000</v>
      </c>
      <c r="D11" s="1">
        <f>IF(AND(B11="no need", C11=""), "",IF(AND(B11="no need", C11&gt;0), "please remove resistor",   IF(AND(B11="need resistor", ISBLANK(C11)), "please enter resistor",  (1/(1/F2+1/F3))/(1/(1/(1/(1/C2+1/C3))+1/C11)+(1/(1/F2+1/F3))) ) ))</f>
        <v>0.99999999800000006</v>
      </c>
      <c r="F11" s="7">
        <f>IF(B11="no need", 1000000000, C11)</f>
        <v>1000</v>
      </c>
      <c r="G11" s="7" t="s">
        <v>281</v>
      </c>
      <c r="H11" s="62">
        <f>Summary!W25</f>
        <v>0.05</v>
      </c>
      <c r="K11" s="6" t="s">
        <v>282</v>
      </c>
      <c r="N11" s="19" t="s">
        <v>283</v>
      </c>
      <c r="P11" s="19" t="s">
        <v>284</v>
      </c>
      <c r="R11" s="127" t="s">
        <v>285</v>
      </c>
      <c r="S11" s="127">
        <f>($J$2+$J$2*Summary!$W$17)</f>
        <v>3.4649999999999999</v>
      </c>
      <c r="AI11" s="3" t="str">
        <f>IF(Summary!$AO7="","",Summary!$AO7)</f>
        <v/>
      </c>
      <c r="AJ11" s="3" t="str">
        <f>IF(Summary!$AO9="","",IF($J$2=1.8,Summary!$AO$9,IF($J$2=3.3,Summary!$AO$11,"n/a")))</f>
        <v/>
      </c>
      <c r="AK11" s="3" t="str">
        <f>IF(Summary!$AO9="","",IF($J$2=1.8,Summary!$AO$8,IF($J$2=3.3,Summary!$AO$10,"n/a")))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Summary!W10</f>
        <v>8</v>
      </c>
      <c r="L12" t="s">
        <v>287</v>
      </c>
      <c r="N12" s="4">
        <f>SUM(AB2:AC3,AE2:AE3)</f>
        <v>2.8189999999999998E-11</v>
      </c>
      <c r="O12" t="s">
        <v>288</v>
      </c>
      <c r="P12" s="61">
        <f>Summary!W84+Summary!W87</f>
        <v>2.9899999999999998</v>
      </c>
      <c r="Q12" t="s">
        <v>289</v>
      </c>
      <c r="R12" s="127" t="s">
        <v>290</v>
      </c>
      <c r="S12" s="127">
        <f>($J$2-$J$2*Summary!$W$17)</f>
        <v>3.1349999999999998</v>
      </c>
      <c r="AI12" s="3" t="str">
        <f>IF(Summary!$AP7="","",Summary!$AP7)</f>
        <v/>
      </c>
      <c r="AJ12" s="3" t="str">
        <f>IF(Summary!$AP9="","",IF($J$2=1.8,Summary!$AP$9,IF($J$2=3.3,Summary!$AP$11,"n/a")))</f>
        <v/>
      </c>
      <c r="AK12" s="3" t="str">
        <f>IF(Summary!$AP9="","",IF($J$2=1.8,Summary!$AP$8,IF($J$2=3.3,Summary!$AP$10,"n/a")))</f>
        <v/>
      </c>
    </row>
    <row r="13" spans="1:37" x14ac:dyDescent="0.35">
      <c r="P13" t="s">
        <v>291</v>
      </c>
      <c r="R13" s="127" t="s">
        <v>292</v>
      </c>
      <c r="S13" s="127">
        <f>($J$3+$J$3*Summary!$W$18)</f>
        <v>3.4649999999999999</v>
      </c>
    </row>
    <row r="14" spans="1:37" x14ac:dyDescent="0.35">
      <c r="K14" s="6" t="s">
        <v>293</v>
      </c>
      <c r="N14" s="6" t="s">
        <v>294</v>
      </c>
      <c r="R14" s="127" t="s">
        <v>295</v>
      </c>
      <c r="S14" s="127">
        <f>($J$3-$J$3*Summary!$W$18)</f>
        <v>3.1349999999999998</v>
      </c>
    </row>
    <row r="15" spans="1:37" x14ac:dyDescent="0.35">
      <c r="B15" s="2"/>
      <c r="C15" s="2"/>
      <c r="K15" s="3">
        <f>Summary!W8</f>
        <v>19.988</v>
      </c>
      <c r="L15" t="s">
        <v>296</v>
      </c>
      <c r="N15" s="41">
        <f>Summary!W9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0.9999988309870782</v>
      </c>
      <c r="C18">
        <f>B42</f>
        <v>0.99999913462542189</v>
      </c>
      <c r="D18">
        <f>B102</f>
        <v>0.99999883098707931</v>
      </c>
      <c r="E18">
        <f>C102</f>
        <v>0.10618650892234761</v>
      </c>
      <c r="F18" s="126">
        <f>_xlfn.LET(
_xlpm.Rbus, (1/(1/((1/(1/($G$91+$G$93)+1/$G$90))+$G$92)+1/($G$89))),
_xlpm.VCC, IF($AG$2="absolute",$S$13,1),
_xlpm.Vspec_abs, $U$2-$N$7,
(LN(1-$T$2/_xlpm.VCC)-LN(1-_xlpm.Vspec_abs/_xlpm.VCC))*$K$19*_xlpm.Rbus
)</f>
        <v>3.9981311986567208E-8</v>
      </c>
      <c r="G18" s="128">
        <f>_xlfn.LET(
_xlpm.Rbus, (1/(1/((1/(1/($D$91+$D$93)+1/$D$90))+$D$92)+1/($D$89))),
_xlpm.VCC, IF($AG$2="absolute",$S$14,1),
_xlpm.Vspec_abs, $U$2+$N$7,
(LN(1-$T$2/_xlpm.VCC)-LN(1-_xlpm.Vspec_abs/_xlpm.VCC))*$K$18*_xlpm.Rbus
)</f>
        <v>6.8616100898413214E-8</v>
      </c>
      <c r="H18" s="126">
        <f>_xlfn.LET(
_xlpm.Rbus, (1/(1/((1/(1/($H$96+$H$93)+1/$H$95))+$H$92)+1/($H$94))),
_xlpm.VCC, IF($AG$2="absolute",$S$14,1),
_xlpm.VL_rel, $H$102,
_xlpm.Vspec_abs, $T$2-$N$7,
_xlpm.Vspec_rel, (_xlpm.Vspec_abs/_xlpm.VCC-_xlpm.VL_rel)/(1-_xlpm.VL_rel),
IFERROR((LN($D$18-_xlpm.VL_rel)-LN(_xlpm.Vspec_rel))*$K$19*_xlpm.Rbus, "Vlow exceeds VIL spec")
)</f>
        <v>3.3865196591770832E-9</v>
      </c>
      <c r="I18" s="128">
        <f>_xlfn.LET(
_xlpm.Rbus, (1/(1/((1/(1/($F$96+$F$93)+1/$F$95))+$F$92)+1/($F$94))),
_xlpm.VCC, IF($AG$2="absolute",$S$13,1),
_xlpm.VL_rel, $F$102,
_xlpm.Vspec_abs, $T$2-$N$7,
_xlpm.Vspec_rel, (_xlpm.Vspec_abs/_xlpm.VCC-_xlpm.VL_rel)/(1-_xlpm.VL_rel),
IFERROR((LN($D$18-_xlpm.VL_rel)-LN(_xlpm.Vspec_rel))*$K$18*_xlpm.Rbus,"Vlow exceeds VIL spec")
)</f>
        <v>1.2128427384568205E-8</v>
      </c>
      <c r="J18" s="139" t="s">
        <v>307</v>
      </c>
      <c r="K18" s="4">
        <f>Summary!W102</f>
        <v>7.0455684531369075E-11</v>
      </c>
      <c r="L18" s="22" t="s">
        <v>288</v>
      </c>
      <c r="M18" s="10">
        <f>K18*1000000000000</f>
        <v>70.455684531369073</v>
      </c>
      <c r="N18" t="s">
        <v>308</v>
      </c>
      <c r="O18" s="49">
        <f>N12+K12/39.37*N15</f>
        <v>7.0455684531369062E-11</v>
      </c>
    </row>
    <row r="19" spans="1:26" x14ac:dyDescent="0.35">
      <c r="A19" t="s">
        <v>309</v>
      </c>
      <c r="B19">
        <f>C64</f>
        <v>0.9999988309870782</v>
      </c>
      <c r="C19">
        <f>C44</f>
        <v>0.99999913462542189</v>
      </c>
      <c r="D19">
        <f>B84</f>
        <v>0.99999883098707931</v>
      </c>
      <c r="E19">
        <f>C84</f>
        <v>7.3497551783103576E-2</v>
      </c>
      <c r="F19" s="126">
        <f>_xlfn.LET(
_xlpm.Rbus,(1/(1/((1/(1/($G$77+$G$72)+1/$G$70))+$G$73)+1/($G$71))),
_xlpm.VCC,IF($AG$3="absolute",$S$11,1),
_xlpm.Vspec_abs,$U$3-$N$7,
(LN(1-($T$3/_xlpm.VCC))-LN(1-_xlpm.Vspec_abs/_xlpm.VCC))*$K$19*_xlpm.Rbus
)</f>
        <v>6.53306417246263E-9</v>
      </c>
      <c r="G19" s="128">
        <f>_xlfn.LET(
_xlpm.Rbus, (1/(1/((1/(1/($D$77+$D$72)+1/$D$70))+$D$73)+1/($D$71))),
_xlpm.VCC, IF($AG$3="absolute",$S$12,1),
_xlpm.Vspec_abs, $U$3+$N$7,
(LN(1-$T$3/_xlpm.VCC)-LN(1-_xlpm.Vspec_abs/_xlpm.VCC))*$K$18*_xlpm.Rbus
)</f>
        <v>1.2007201506201104E-8</v>
      </c>
      <c r="H19" s="126">
        <f>_xlfn.LET(
_xlpm.Rbus, (1/(1/((1/(1/($H$74+$H$72)+1/$H$75))+$H$73)+1/($H$76))),
_xlpm.VCC, IF($AG$3="absolute",$S$12,1),
_xlpm.VL_rel, $H$84,
_xlpm.Vspec_abs, $T$3-$N$7,
_xlpm.Vspec_rel, (_xlpm.Vspec_abs/_xlpm.VCC-_xlpm.VL_rel)/(1-_xlpm.VL_rel),
IFERROR((LN($D$19-_xlpm.VL_rel)-LN(_xlpm.Vspec_rel))*$K$19*_xlpm.Rbus, "Vlow exceeds VIL spec")
)</f>
        <v>6.7867510867033718E-9</v>
      </c>
      <c r="I19" s="128">
        <f>_xlfn.LET(
_xlpm.Rbus, (1/(1/((1/(1/($F$74+$F$72)+1/$F$75))+$F$73)+1/($F$76))),
_xlpm.VCC, IF($AG$3="absolute",$S$11,1),
_xlpm.VL_rel, $F$84,
_xlpm.Vspec_abs, $T$3-$N$7,
_xlpm.Vspec_rel, (_xlpm.Vspec_abs/_xlpm.VCC-_xlpm.VL_rel)/(1-_xlpm.VL_rel),
IFERROR((LN($D$19-_xlpm.VL_rel)-LN(_xlpm.Vspec_rel))*$K$18*_xlpm.Rbus,"Vlow exceeds VIL spec")
)</f>
        <v>2.5304526913443125E-8</v>
      </c>
      <c r="J19" s="139" t="s">
        <v>310</v>
      </c>
      <c r="K19" s="122">
        <f>Summary!W101</f>
        <v>5.3765684531369072E-11</v>
      </c>
      <c r="L19" t="s">
        <v>368</v>
      </c>
    </row>
    <row r="20" spans="1:26" x14ac:dyDescent="0.35">
      <c r="J20" s="139"/>
      <c r="K20" s="6" t="s">
        <v>311</v>
      </c>
    </row>
    <row r="21" spans="1:26" x14ac:dyDescent="0.35">
      <c r="E21" s="120" t="s">
        <v>137</v>
      </c>
      <c r="F21" t="str">
        <f>IF(OR(AND(E18&gt;(R2-N7), Summary!W50="relative"), AND(E18&gt;(R2-N7)/(J3+J3*Summary!W18), Summary!W50="absolute")),IF(U29="no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IF(OR(Summary!W24&gt;Summary!W22,Summary!W24&lt;Summary!W21), "- ensure board PU is within recommended range" &amp; CHAR(10),) &amp; "- reduce MB trace length",""))</f>
        <v/>
      </c>
      <c r="J21" s="139" t="s">
        <v>307</v>
      </c>
      <c r="K21" s="5">
        <f>Summary!W104</f>
        <v>12.861569723139446</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Summary!W103</f>
        <v>7.0515697231394467</v>
      </c>
    </row>
    <row r="23" spans="1:26" x14ac:dyDescent="0.35">
      <c r="B23" s="171" t="s">
        <v>313</v>
      </c>
      <c r="C23" s="171"/>
      <c r="D23" t="s">
        <v>314</v>
      </c>
      <c r="E23" s="175"/>
      <c r="F23" t="str">
        <f>IF(F22="",IF(OR(AND(E19&lt;=(R3-N7), Summary!W37="relative"),AND(E19&lt;=(R3-N7)/(J2+J2*Summary!W17), Summary!W37="absolute")),IF(OR(G19&gt;V3,I19&gt;W3), IF(N2=MIN(AH2:AH5), "failed max rise/fall time spec, recommendations:" &amp; CHAR(10) &amp; "-reduce MB trace length" &amp; CHAR(10) &amp; "-increase trace width (reduce MB trace resistance per length)", "failed max rise/fall time spec, recommendations:" &amp; CHAR(10) &amp; IF(OR(Summary!W24&gt;Summary!W22,Summary!W24&lt;Summary!W21),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Summary!W13</f>
        <v>0</v>
      </c>
      <c r="L24" t="s">
        <v>305</v>
      </c>
    </row>
    <row r="25" spans="1:26" x14ac:dyDescent="0.35">
      <c r="A25" t="s">
        <v>318</v>
      </c>
      <c r="B25" s="11">
        <f>C2*(1-D2)</f>
        <v>900000000000</v>
      </c>
      <c r="C25" s="11">
        <f>C2*(1-D2)</f>
        <v>900000000000</v>
      </c>
      <c r="K25" s="18">
        <f>Summary!W14</f>
        <v>1</v>
      </c>
      <c r="L25" t="s">
        <v>274</v>
      </c>
      <c r="N25" s="72" t="s">
        <v>319</v>
      </c>
    </row>
    <row r="26" spans="1:26" x14ac:dyDescent="0.35">
      <c r="A26" t="s">
        <v>320</v>
      </c>
      <c r="B26" s="11">
        <f>F11*(1-H11)</f>
        <v>950</v>
      </c>
      <c r="C26" s="11">
        <f>F11*(1-H11)</f>
        <v>950</v>
      </c>
      <c r="G26" t="s">
        <v>369</v>
      </c>
      <c r="H26">
        <v>0.3</v>
      </c>
      <c r="Q26" t="s">
        <v>321</v>
      </c>
    </row>
    <row r="27" spans="1:26" x14ac:dyDescent="0.35">
      <c r="A27" t="s">
        <v>322</v>
      </c>
      <c r="B27" s="11">
        <f>C3*(1-D3)</f>
        <v>900000000000</v>
      </c>
      <c r="C27" s="11">
        <f>C3*(1-D3)</f>
        <v>900000000000</v>
      </c>
      <c r="G27" t="s">
        <v>370</v>
      </c>
      <c r="H27">
        <f>0.2/3</f>
        <v>6.6666666666666666E-2</v>
      </c>
      <c r="Q27" t="s">
        <v>323</v>
      </c>
    </row>
    <row r="28" spans="1:26" x14ac:dyDescent="0.35">
      <c r="A28" t="s">
        <v>324</v>
      </c>
      <c r="B28" s="1">
        <f>K21</f>
        <v>12.861569723139446</v>
      </c>
      <c r="C28">
        <v>0</v>
      </c>
      <c r="G28" t="s">
        <v>371</v>
      </c>
      <c r="H28">
        <f>(H26/3-H27)/(1-H27)</f>
        <v>3.5714285714285705E-2</v>
      </c>
      <c r="I28">
        <f>H28*100</f>
        <v>3.5714285714285707</v>
      </c>
      <c r="Q28" t="s">
        <v>325</v>
      </c>
      <c r="V28" t="s">
        <v>305</v>
      </c>
      <c r="W28" t="s">
        <v>274</v>
      </c>
      <c r="X28" t="s">
        <v>326</v>
      </c>
    </row>
    <row r="29" spans="1:26" x14ac:dyDescent="0.35">
      <c r="A29" t="s">
        <v>327</v>
      </c>
      <c r="B29">
        <v>0</v>
      </c>
      <c r="C29" s="1">
        <f>K21</f>
        <v>12.861569723139446</v>
      </c>
      <c r="F29" s="11"/>
      <c r="H29">
        <f>(LN(1-H27)-LN(H28))*100*0.00000000002</f>
        <v>6.5264232773765045E-9</v>
      </c>
      <c r="T29" t="s">
        <v>328</v>
      </c>
      <c r="U29">
        <f>IF(IF(ISBLANK(Summary!W25),IF(U30=W82,L30,U30),IF(Summary!W25=5%,L30,U30))=N130,"no solution",IF(ISBLANK(Summary!W25),IF(U30=W82,L30,U30),IF(Summary!W25=5%,L30,U30)))</f>
        <v>1200</v>
      </c>
      <c r="V29">
        <f>IFERROR(IF(X29=5%,VLOOKUP(1,M34:N129,2,FALSE),VLOOKUP(1,V34:W81,2,FALSE)),"no solution")</f>
        <v>910</v>
      </c>
      <c r="W29">
        <f>IF(U29="no solution","no solution",IF(X29=5%,VLOOKUP(MAX(M34:M129)-1,M34:N129,2,FALSE),VLOOKUP(MAX(V34:V81)-1,V34:W81,2,FALSE)))</f>
        <v>1600</v>
      </c>
      <c r="X29" s="64">
        <f>Summary!W25</f>
        <v>0.05</v>
      </c>
    </row>
    <row r="30" spans="1:26" x14ac:dyDescent="0.35">
      <c r="A30" t="s">
        <v>329</v>
      </c>
      <c r="B30" s="11">
        <f>F2*(1+H2)</f>
        <v>1100000000000</v>
      </c>
      <c r="C30" s="11">
        <f>F2*(1+H2)</f>
        <v>1100000000000</v>
      </c>
      <c r="F30">
        <f>100/1300</f>
        <v>7.6923076923076927E-2</v>
      </c>
      <c r="H30" t="s">
        <v>372</v>
      </c>
      <c r="K30" t="s">
        <v>330</v>
      </c>
      <c r="L30">
        <f>VLOOKUP(Q31,M34:Q154,2)</f>
        <v>1200</v>
      </c>
      <c r="T30" t="s">
        <v>331</v>
      </c>
      <c r="U30">
        <f>VLOOKUP(Z31,V34:W82,2)</f>
        <v>1200</v>
      </c>
    </row>
    <row r="31" spans="1:26" x14ac:dyDescent="0.35">
      <c r="A31" t="s">
        <v>332</v>
      </c>
      <c r="B31" s="11">
        <f>F12*(1+H12)</f>
        <v>1100000000</v>
      </c>
      <c r="C31" s="11">
        <f>F12*(1+H12)</f>
        <v>1100000000</v>
      </c>
      <c r="F31">
        <f>F30*3</f>
        <v>0.23076923076923078</v>
      </c>
      <c r="Q31" cm="1">
        <f t="array" ref="Q31">MAX(M34:M129+1)/2</f>
        <v>4.5</v>
      </c>
      <c r="Z31" cm="1">
        <f t="array" ref="Z31">MAX(V34:V81+1)/2</f>
        <v>2.5</v>
      </c>
    </row>
    <row r="32" spans="1:26" x14ac:dyDescent="0.35">
      <c r="A32" t="s">
        <v>333</v>
      </c>
      <c r="B32" s="11">
        <f>F3*(1+H3)</f>
        <v>1100000000000</v>
      </c>
      <c r="C32" s="11">
        <f>F3*(1+H3)</f>
        <v>1100000000000</v>
      </c>
      <c r="H32">
        <f>1-H27</f>
        <v>0.93333333333333335</v>
      </c>
      <c r="I32">
        <f>H32*100</f>
        <v>93.333333333333329</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6.5330641929437879E-11</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2.6391684858045615E-10</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3.9981312111908627E-10</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1.5081736657484658E-9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7.1863706122154083E-11</v>
      </c>
      <c r="S35" s="126">
        <f t="shared" si="4"/>
        <v>2.7577875230861696E-10</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4.3979443322960213E-10</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1.5759594510239442E-9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7.8396770314828914E-11</v>
      </c>
      <c r="S36" s="126">
        <f t="shared" si="4"/>
        <v>2.8764065603670983E-10</v>
      </c>
      <c r="T36">
        <v>1</v>
      </c>
      <c r="U36">
        <v>15</v>
      </c>
      <c r="V36">
        <f t="shared" si="11"/>
        <v>0</v>
      </c>
      <c r="W36">
        <f t="shared" si="12"/>
        <v>15</v>
      </c>
      <c r="X36">
        <f t="shared" si="5"/>
        <v>13.5</v>
      </c>
      <c r="Y36">
        <f t="shared" si="6"/>
        <v>16.5</v>
      </c>
      <c r="Z36">
        <f t="shared" si="13"/>
        <v>0</v>
      </c>
      <c r="AA36" s="126">
        <f t="shared" si="14"/>
        <v>4.7977574533986477E-10</v>
      </c>
      <c r="AB36" s="126">
        <f t="shared" si="15"/>
        <v>1.643745236299034E-9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8.4929834507462399E-11</v>
      </c>
      <c r="S37" s="126">
        <f t="shared" si="4"/>
        <v>2.9950255976473487E-10</v>
      </c>
      <c r="T37">
        <v>1</v>
      </c>
      <c r="U37">
        <v>18</v>
      </c>
      <c r="V37">
        <f t="shared" si="11"/>
        <v>0</v>
      </c>
      <c r="W37">
        <f t="shared" si="12"/>
        <v>18</v>
      </c>
      <c r="X37">
        <f t="shared" si="5"/>
        <v>16.2</v>
      </c>
      <c r="Y37">
        <f t="shared" si="6"/>
        <v>19.8</v>
      </c>
      <c r="Z37">
        <f t="shared" si="13"/>
        <v>0</v>
      </c>
      <c r="AA37" s="126">
        <f t="shared" si="14"/>
        <v>5.1975705744987435E-10</v>
      </c>
      <c r="AB37" s="126">
        <f t="shared" si="15"/>
        <v>1.7115310215737361E-9</v>
      </c>
      <c r="AC37" s="126" t="str">
        <f t="shared" si="7"/>
        <v>Vlow exceeds VIL spec</v>
      </c>
      <c r="AD37" s="126" t="str">
        <f t="shared" si="8"/>
        <v>Vlow exceeds VIL spec</v>
      </c>
    </row>
    <row r="38" spans="1:30" x14ac:dyDescent="0.35">
      <c r="A38" t="s">
        <v>347</v>
      </c>
      <c r="B38" s="125">
        <f>IF(Summary!W50="absolute",(S2+N7)/(J3-J3*Summary!W18),S2+N7)</f>
        <v>0.72</v>
      </c>
      <c r="K38">
        <v>1</v>
      </c>
      <c r="L38">
        <v>15</v>
      </c>
      <c r="M38">
        <f t="shared" si="9"/>
        <v>0</v>
      </c>
      <c r="N38">
        <f t="shared" si="0"/>
        <v>15</v>
      </c>
      <c r="O38">
        <f t="shared" si="1"/>
        <v>14.25</v>
      </c>
      <c r="P38">
        <f t="shared" si="2"/>
        <v>15.75</v>
      </c>
      <c r="Q38">
        <f t="shared" si="10"/>
        <v>0</v>
      </c>
      <c r="R38" s="126">
        <f t="shared" si="3"/>
        <v>9.7995962892605202E-11</v>
      </c>
      <c r="S38" s="126">
        <f t="shared" si="4"/>
        <v>3.2322636722058095E-10</v>
      </c>
      <c r="T38">
        <v>1</v>
      </c>
      <c r="U38">
        <v>22</v>
      </c>
      <c r="V38">
        <f t="shared" si="11"/>
        <v>0</v>
      </c>
      <c r="W38">
        <f t="shared" si="12"/>
        <v>22</v>
      </c>
      <c r="X38">
        <f t="shared" si="5"/>
        <v>19.8</v>
      </c>
      <c r="Y38">
        <f t="shared" si="6"/>
        <v>24.200000000000003</v>
      </c>
      <c r="Z38">
        <f t="shared" si="13"/>
        <v>0</v>
      </c>
      <c r="AA38" s="126">
        <f t="shared" si="14"/>
        <v>5.9971968166913384E-10</v>
      </c>
      <c r="AB38" s="126">
        <f t="shared" si="15"/>
        <v>1.847102592121975E-9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1.0452902708511453E-10</v>
      </c>
      <c r="S39" s="126">
        <f t="shared" si="4"/>
        <v>3.350882709484021E-10</v>
      </c>
      <c r="T39">
        <v>1</v>
      </c>
      <c r="U39">
        <v>27</v>
      </c>
      <c r="V39">
        <f t="shared" si="11"/>
        <v>0</v>
      </c>
      <c r="W39">
        <f t="shared" si="12"/>
        <v>27</v>
      </c>
      <c r="X39">
        <f t="shared" si="5"/>
        <v>24.3</v>
      </c>
      <c r="Y39">
        <f t="shared" si="6"/>
        <v>29.700000000000003</v>
      </c>
      <c r="Z39">
        <f t="shared" si="13"/>
        <v>0</v>
      </c>
      <c r="AA39" s="126">
        <f t="shared" si="14"/>
        <v>6.3970099377838365E-10</v>
      </c>
      <c r="AB39" s="126">
        <f t="shared" si="15"/>
        <v>1.9148883773955123E-9</v>
      </c>
      <c r="AC39" s="126" t="str">
        <f t="shared" si="7"/>
        <v>Vlow exceeds VIL spec</v>
      </c>
      <c r="AD39" s="126" t="str">
        <f t="shared" si="8"/>
        <v>Vlow exceeds VIL spec</v>
      </c>
    </row>
    <row r="40" spans="1:30" x14ac:dyDescent="0.35">
      <c r="A40" t="s">
        <v>349</v>
      </c>
      <c r="C40" s="125">
        <f>IF(Summary!W37="absolute",(S3+N7)/(J2-J2*Summary!W17),S3+N7)</f>
        <v>0.22966507177033493</v>
      </c>
      <c r="K40">
        <v>1</v>
      </c>
      <c r="L40">
        <v>18</v>
      </c>
      <c r="M40">
        <f t="shared" si="9"/>
        <v>0</v>
      </c>
      <c r="N40">
        <f t="shared" si="0"/>
        <v>18</v>
      </c>
      <c r="O40">
        <f t="shared" si="1"/>
        <v>17.099999999999998</v>
      </c>
      <c r="P40">
        <f t="shared" si="2"/>
        <v>18.900000000000002</v>
      </c>
      <c r="Q40">
        <f t="shared" si="10"/>
        <v>0</v>
      </c>
      <c r="R40" s="126">
        <f t="shared" si="3"/>
        <v>1.1759515547000905E-10</v>
      </c>
      <c r="S40" s="126">
        <f t="shared" si="4"/>
        <v>3.5881207840384064E-10</v>
      </c>
      <c r="T40">
        <v>1</v>
      </c>
      <c r="U40">
        <v>33</v>
      </c>
      <c r="V40">
        <f t="shared" si="11"/>
        <v>0</v>
      </c>
      <c r="W40">
        <f t="shared" si="12"/>
        <v>33</v>
      </c>
      <c r="X40">
        <f t="shared" si="5"/>
        <v>29.7</v>
      </c>
      <c r="Y40">
        <f t="shared" si="6"/>
        <v>36.300000000000004</v>
      </c>
      <c r="Z40">
        <f t="shared" si="13"/>
        <v>0</v>
      </c>
      <c r="AA40" s="126">
        <f t="shared" si="14"/>
        <v>7.196636179961235E-10</v>
      </c>
      <c r="AB40" s="126">
        <f t="shared" si="15"/>
        <v>2.050459947941422E-9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1.3066128385473812E-10</v>
      </c>
      <c r="S41" s="126">
        <f t="shared" si="4"/>
        <v>3.8253588585900734E-10</v>
      </c>
      <c r="T41">
        <v>1</v>
      </c>
      <c r="U41">
        <v>39</v>
      </c>
      <c r="V41">
        <f t="shared" si="11"/>
        <v>0</v>
      </c>
      <c r="W41">
        <f t="shared" si="12"/>
        <v>39</v>
      </c>
      <c r="X41">
        <f t="shared" si="5"/>
        <v>35.1</v>
      </c>
      <c r="Y41">
        <f t="shared" si="6"/>
        <v>42.900000000000006</v>
      </c>
      <c r="Z41">
        <f t="shared" si="13"/>
        <v>0</v>
      </c>
      <c r="AA41" s="126">
        <f t="shared" si="14"/>
        <v>7.9962624221285089E-10</v>
      </c>
      <c r="AB41" s="126">
        <f t="shared" si="15"/>
        <v>2.1860315184857784E-9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0.99999913462542189</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0.99999913463711421</v>
      </c>
      <c r="K42">
        <v>1</v>
      </c>
      <c r="L42">
        <v>22</v>
      </c>
      <c r="M42">
        <f t="shared" si="9"/>
        <v>0</v>
      </c>
      <c r="N42">
        <f t="shared" si="0"/>
        <v>22</v>
      </c>
      <c r="O42">
        <f t="shared" si="1"/>
        <v>20.9</v>
      </c>
      <c r="P42">
        <f t="shared" si="2"/>
        <v>23.1</v>
      </c>
      <c r="Q42">
        <f t="shared" si="10"/>
        <v>0</v>
      </c>
      <c r="R42" s="126">
        <f t="shared" si="3"/>
        <v>1.4372741223930165E-10</v>
      </c>
      <c r="S42" s="126">
        <f t="shared" si="4"/>
        <v>4.0625969331390237E-10</v>
      </c>
      <c r="T42">
        <v>1</v>
      </c>
      <c r="U42">
        <v>47</v>
      </c>
      <c r="V42">
        <f t="shared" si="11"/>
        <v>0</v>
      </c>
      <c r="W42">
        <f t="shared" si="12"/>
        <v>47</v>
      </c>
      <c r="X42">
        <f t="shared" si="5"/>
        <v>42.300000000000004</v>
      </c>
      <c r="Y42">
        <f t="shared" si="6"/>
        <v>51.7</v>
      </c>
      <c r="Z42">
        <f t="shared" si="13"/>
        <v>0</v>
      </c>
      <c r="AA42" s="126">
        <f t="shared" si="14"/>
        <v>8.7958886642856518E-10</v>
      </c>
      <c r="AB42" s="126">
        <f t="shared" si="15"/>
        <v>2.3216030890285825E-9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0.99999913463711421</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0.99999913463711421</v>
      </c>
      <c r="K43">
        <v>1</v>
      </c>
      <c r="L43">
        <v>24</v>
      </c>
      <c r="M43">
        <f t="shared" si="9"/>
        <v>0</v>
      </c>
      <c r="N43">
        <f t="shared" si="0"/>
        <v>24</v>
      </c>
      <c r="O43">
        <f t="shared" si="1"/>
        <v>22.799999999999997</v>
      </c>
      <c r="P43">
        <f t="shared" si="2"/>
        <v>25.200000000000003</v>
      </c>
      <c r="Q43">
        <f t="shared" si="10"/>
        <v>0</v>
      </c>
      <c r="R43" s="126">
        <f t="shared" si="3"/>
        <v>1.5679354062369967E-10</v>
      </c>
      <c r="S43" s="126">
        <f t="shared" si="4"/>
        <v>4.2998350076852557E-10</v>
      </c>
      <c r="T43">
        <v>1</v>
      </c>
      <c r="U43">
        <v>56</v>
      </c>
      <c r="V43">
        <f t="shared" si="11"/>
        <v>0</v>
      </c>
      <c r="W43">
        <f t="shared" si="12"/>
        <v>56</v>
      </c>
      <c r="X43">
        <f t="shared" si="5"/>
        <v>50.4</v>
      </c>
      <c r="Y43">
        <f t="shared" si="6"/>
        <v>61.600000000000009</v>
      </c>
      <c r="Z43">
        <f t="shared" si="13"/>
        <v>0</v>
      </c>
      <c r="AA43" s="126">
        <f t="shared" si="14"/>
        <v>9.595514906432666E-10</v>
      </c>
      <c r="AB43" s="126">
        <f t="shared" si="15"/>
        <v>2.4571746595698332E-9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0.99999913463711421</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0.99999913462542189</v>
      </c>
      <c r="K44">
        <v>1</v>
      </c>
      <c r="L44">
        <v>27</v>
      </c>
      <c r="M44">
        <f t="shared" si="9"/>
        <v>0</v>
      </c>
      <c r="N44">
        <f t="shared" si="0"/>
        <v>27</v>
      </c>
      <c r="O44">
        <f t="shared" si="1"/>
        <v>25.65</v>
      </c>
      <c r="P44">
        <f t="shared" si="2"/>
        <v>28.35</v>
      </c>
      <c r="Q44">
        <f t="shared" si="10"/>
        <v>0</v>
      </c>
      <c r="R44" s="126">
        <f t="shared" si="3"/>
        <v>1.7639273319998641E-10</v>
      </c>
      <c r="S44" s="126">
        <f t="shared" si="4"/>
        <v>4.6556921194995103E-10</v>
      </c>
      <c r="T44">
        <v>1</v>
      </c>
      <c r="U44">
        <v>68</v>
      </c>
      <c r="V44">
        <f t="shared" si="11"/>
        <v>0</v>
      </c>
      <c r="W44">
        <f t="shared" si="12"/>
        <v>68</v>
      </c>
      <c r="X44">
        <f t="shared" si="5"/>
        <v>61.2</v>
      </c>
      <c r="Y44">
        <f t="shared" si="6"/>
        <v>74.800000000000011</v>
      </c>
      <c r="Z44">
        <f t="shared" si="13"/>
        <v>0</v>
      </c>
      <c r="AA44" s="126">
        <f t="shared" si="14"/>
        <v>1.0794954269634197E-9</v>
      </c>
      <c r="AB44" s="126">
        <f t="shared" si="15"/>
        <v>2.6605320153787984E-9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1.959919257759008E-10</v>
      </c>
      <c r="S45" s="126">
        <f t="shared" si="4"/>
        <v>5.0115492313076505E-10</v>
      </c>
      <c r="T45">
        <v>1</v>
      </c>
      <c r="U45">
        <v>82</v>
      </c>
      <c r="V45">
        <f t="shared" si="11"/>
        <v>0</v>
      </c>
      <c r="W45">
        <f t="shared" si="12"/>
        <v>82</v>
      </c>
      <c r="X45">
        <f t="shared" si="5"/>
        <v>73.8</v>
      </c>
      <c r="Y45">
        <f t="shared" si="6"/>
        <v>90.2</v>
      </c>
      <c r="Z45">
        <f t="shared" si="13"/>
        <v>0</v>
      </c>
      <c r="AA45" s="126">
        <f t="shared" si="14"/>
        <v>1.1994393632812942E-9</v>
      </c>
      <c r="AB45" s="126">
        <f t="shared" si="15"/>
        <v>2.8638893711842691E-9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2.1559111835144272E-10</v>
      </c>
      <c r="S46" s="126">
        <f t="shared" si="4"/>
        <v>5.3674063431096753E-10</v>
      </c>
      <c r="T46">
        <v>10</v>
      </c>
      <c r="U46">
        <v>10</v>
      </c>
      <c r="V46">
        <f t="shared" si="11"/>
        <v>0</v>
      </c>
      <c r="W46">
        <f t="shared" si="12"/>
        <v>100</v>
      </c>
      <c r="X46">
        <f t="shared" si="5"/>
        <v>90</v>
      </c>
      <c r="Y46">
        <f t="shared" si="6"/>
        <v>110.00000000000001</v>
      </c>
      <c r="Z46">
        <f t="shared" si="13"/>
        <v>0</v>
      </c>
      <c r="AA46" s="126">
        <f t="shared" si="14"/>
        <v>1.3193832995968891E-9</v>
      </c>
      <c r="AB46" s="126">
        <f t="shared" si="15"/>
        <v>3.0672467269862454E-9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2.3519031092661225E-10</v>
      </c>
      <c r="S47" s="126">
        <f t="shared" si="4"/>
        <v>5.7232634549055862E-10</v>
      </c>
      <c r="T47">
        <v>10</v>
      </c>
      <c r="U47">
        <v>12</v>
      </c>
      <c r="V47">
        <f t="shared" si="11"/>
        <v>0</v>
      </c>
      <c r="W47">
        <f>U47*T47</f>
        <v>120</v>
      </c>
      <c r="X47">
        <f t="shared" si="5"/>
        <v>108</v>
      </c>
      <c r="Y47">
        <f t="shared" si="6"/>
        <v>132</v>
      </c>
      <c r="Z47">
        <f t="shared" si="13"/>
        <v>0</v>
      </c>
      <c r="AA47" s="126">
        <f t="shared" si="14"/>
        <v>1.4393272359102054E-9</v>
      </c>
      <c r="AB47" s="126">
        <f t="shared" si="15"/>
        <v>3.2706040827847282E-9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2.5478950350140942E-10</v>
      </c>
      <c r="S48" s="126">
        <f t="shared" si="4"/>
        <v>6.0791205666953841E-10</v>
      </c>
      <c r="T48">
        <v>10</v>
      </c>
      <c r="U48">
        <v>15</v>
      </c>
      <c r="V48">
        <f t="shared" si="11"/>
        <v>0</v>
      </c>
      <c r="W48">
        <f t="shared" si="12"/>
        <v>150</v>
      </c>
      <c r="X48">
        <f t="shared" si="5"/>
        <v>135</v>
      </c>
      <c r="Y48">
        <f t="shared" si="6"/>
        <v>165</v>
      </c>
      <c r="Z48">
        <f t="shared" si="13"/>
        <v>0</v>
      </c>
      <c r="AA48" s="126">
        <f t="shared" si="14"/>
        <v>1.5592711722212428E-9</v>
      </c>
      <c r="AB48" s="126">
        <f t="shared" si="15"/>
        <v>3.4739614385797169E-9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2.8092176026722652E-10</v>
      </c>
      <c r="S49" s="126">
        <f t="shared" si="4"/>
        <v>6.5535967157389349E-10</v>
      </c>
      <c r="T49">
        <v>10</v>
      </c>
      <c r="U49">
        <v>18</v>
      </c>
      <c r="V49">
        <f t="shared" si="11"/>
        <v>0</v>
      </c>
      <c r="W49">
        <f t="shared" si="12"/>
        <v>180</v>
      </c>
      <c r="X49">
        <f t="shared" si="5"/>
        <v>162</v>
      </c>
      <c r="Y49">
        <f t="shared" si="6"/>
        <v>198.00000000000003</v>
      </c>
      <c r="Z49">
        <f t="shared" si="13"/>
        <v>0</v>
      </c>
      <c r="AA49" s="126">
        <f t="shared" si="14"/>
        <v>1.7191964206324147E-9</v>
      </c>
      <c r="AB49" s="126">
        <f t="shared" si="15"/>
        <v>3.7451045796342666E-9</v>
      </c>
      <c r="AC49" s="126" t="str">
        <f t="shared" si="7"/>
        <v>Vlow exceeds VIL spec</v>
      </c>
      <c r="AD49" s="126" t="str">
        <f t="shared" si="8"/>
        <v>Vlow exceeds VIL spec</v>
      </c>
    </row>
    <row r="50" spans="1:30" x14ac:dyDescent="0.35">
      <c r="A50" t="s">
        <v>320</v>
      </c>
      <c r="B50" s="11">
        <f>F11*(1+H11)</f>
        <v>1050</v>
      </c>
      <c r="C50" s="11">
        <f>F11*(1+H11)</f>
        <v>1050</v>
      </c>
      <c r="K50">
        <v>1</v>
      </c>
      <c r="L50">
        <v>47</v>
      </c>
      <c r="M50">
        <f t="shared" si="9"/>
        <v>0</v>
      </c>
      <c r="N50">
        <f t="shared" si="0"/>
        <v>47</v>
      </c>
      <c r="O50">
        <f t="shared" si="1"/>
        <v>44.65</v>
      </c>
      <c r="P50">
        <f t="shared" si="2"/>
        <v>49.35</v>
      </c>
      <c r="Q50">
        <f t="shared" si="10"/>
        <v>0</v>
      </c>
      <c r="R50" s="126">
        <f t="shared" si="3"/>
        <v>3.0705401703238146E-10</v>
      </c>
      <c r="S50" s="126">
        <f t="shared" si="4"/>
        <v>7.0280728647716164E-10</v>
      </c>
      <c r="T50">
        <v>10</v>
      </c>
      <c r="U50">
        <v>22</v>
      </c>
      <c r="V50">
        <f t="shared" si="11"/>
        <v>0</v>
      </c>
      <c r="W50">
        <f t="shared" si="12"/>
        <v>220</v>
      </c>
      <c r="X50">
        <f t="shared" si="5"/>
        <v>198</v>
      </c>
      <c r="Y50">
        <f t="shared" si="6"/>
        <v>242.00000000000003</v>
      </c>
      <c r="Z50">
        <f t="shared" si="13"/>
        <v>0</v>
      </c>
      <c r="AA50" s="126">
        <f t="shared" si="14"/>
        <v>1.8791216690395348E-9</v>
      </c>
      <c r="AB50" s="126">
        <f t="shared" si="15"/>
        <v>4.0162477206826046E-9</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3.3318627379687435E-10</v>
      </c>
      <c r="S51" s="126">
        <f t="shared" si="4"/>
        <v>7.5025490137934299E-10</v>
      </c>
      <c r="T51">
        <v>10</v>
      </c>
      <c r="U51">
        <v>27</v>
      </c>
      <c r="V51">
        <f t="shared" si="11"/>
        <v>0</v>
      </c>
      <c r="W51">
        <f t="shared" si="12"/>
        <v>270</v>
      </c>
      <c r="X51">
        <f t="shared" si="5"/>
        <v>243</v>
      </c>
      <c r="Y51">
        <f t="shared" si="6"/>
        <v>297</v>
      </c>
      <c r="Z51">
        <f t="shared" si="13"/>
        <v>0</v>
      </c>
      <c r="AA51" s="126">
        <f t="shared" si="14"/>
        <v>2.039046917442603E-9</v>
      </c>
      <c r="AB51" s="126">
        <f t="shared" si="15"/>
        <v>4.2873908617247313E-9</v>
      </c>
      <c r="AC51" s="126" t="str">
        <f t="shared" si="7"/>
        <v>Vlow exceeds VIL spec</v>
      </c>
      <c r="AD51" s="126" t="str">
        <f t="shared" si="8"/>
        <v>Vlow exceeds VIL spec</v>
      </c>
    </row>
    <row r="52" spans="1:30" x14ac:dyDescent="0.35">
      <c r="A52" t="s">
        <v>324</v>
      </c>
      <c r="B52" s="1">
        <f>K21</f>
        <v>12.861569723139446</v>
      </c>
      <c r="C52">
        <v>0</v>
      </c>
      <c r="K52">
        <v>1</v>
      </c>
      <c r="L52">
        <v>56</v>
      </c>
      <c r="M52">
        <f t="shared" si="9"/>
        <v>0</v>
      </c>
      <c r="N52">
        <f t="shared" si="0"/>
        <v>56</v>
      </c>
      <c r="O52">
        <f t="shared" si="1"/>
        <v>53.199999999999996</v>
      </c>
      <c r="P52">
        <f t="shared" si="2"/>
        <v>58.800000000000004</v>
      </c>
      <c r="Q52">
        <f t="shared" si="10"/>
        <v>0</v>
      </c>
      <c r="R52" s="126">
        <f t="shared" si="3"/>
        <v>3.6585159475155962E-10</v>
      </c>
      <c r="S52" s="126">
        <f t="shared" si="4"/>
        <v>8.0956442000554075E-10</v>
      </c>
      <c r="T52">
        <v>10</v>
      </c>
      <c r="U52">
        <v>33</v>
      </c>
      <c r="V52">
        <f t="shared" si="11"/>
        <v>0</v>
      </c>
      <c r="W52">
        <f t="shared" si="12"/>
        <v>330</v>
      </c>
      <c r="X52">
        <f t="shared" si="5"/>
        <v>297</v>
      </c>
      <c r="Y52">
        <f t="shared" si="6"/>
        <v>363.00000000000006</v>
      </c>
      <c r="Z52">
        <f t="shared" si="13"/>
        <v>0</v>
      </c>
      <c r="AA52" s="126">
        <f t="shared" si="14"/>
        <v>2.2389534779407415E-9</v>
      </c>
      <c r="AB52" s="126">
        <f t="shared" si="15"/>
        <v>4.6263197880186542E-9</v>
      </c>
      <c r="AC52" s="126" t="str">
        <f t="shared" si="7"/>
        <v>Vlow exceeds VIL spec</v>
      </c>
      <c r="AD52" s="126" t="str">
        <f t="shared" si="8"/>
        <v>Vlow exceeds VIL spec</v>
      </c>
    </row>
    <row r="53" spans="1:30" x14ac:dyDescent="0.35">
      <c r="A53" t="s">
        <v>327</v>
      </c>
      <c r="B53">
        <v>0</v>
      </c>
      <c r="C53" s="1">
        <f>K21</f>
        <v>12.861569723139446</v>
      </c>
      <c r="K53">
        <v>1</v>
      </c>
      <c r="L53">
        <v>62</v>
      </c>
      <c r="M53">
        <f t="shared" si="9"/>
        <v>0</v>
      </c>
      <c r="N53">
        <f t="shared" si="0"/>
        <v>62</v>
      </c>
      <c r="O53">
        <f t="shared" si="1"/>
        <v>58.9</v>
      </c>
      <c r="P53">
        <f t="shared" si="2"/>
        <v>65.100000000000009</v>
      </c>
      <c r="Q53">
        <f t="shared" si="10"/>
        <v>0</v>
      </c>
      <c r="R53" s="126">
        <f t="shared" si="3"/>
        <v>4.0504997989581653E-10</v>
      </c>
      <c r="S53" s="126">
        <f t="shared" si="4"/>
        <v>8.8073584235473658E-10</v>
      </c>
      <c r="T53">
        <v>10</v>
      </c>
      <c r="U53">
        <v>39</v>
      </c>
      <c r="V53">
        <f t="shared" si="11"/>
        <v>0</v>
      </c>
      <c r="W53">
        <f t="shared" si="12"/>
        <v>390</v>
      </c>
      <c r="X53">
        <f t="shared" si="5"/>
        <v>351</v>
      </c>
      <c r="Y53">
        <f t="shared" si="6"/>
        <v>429.00000000000006</v>
      </c>
      <c r="Z53">
        <f t="shared" si="13"/>
        <v>0</v>
      </c>
      <c r="AA53" s="126">
        <f t="shared" si="14"/>
        <v>2.4788413505301517E-9</v>
      </c>
      <c r="AB53" s="126">
        <f t="shared" si="15"/>
        <v>5.0330344995585516E-9</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4.4424836503858384E-10</v>
      </c>
      <c r="S54" s="126">
        <f t="shared" si="4"/>
        <v>9.5190726470148622E-10</v>
      </c>
      <c r="T54">
        <v>10</v>
      </c>
      <c r="U54">
        <v>47</v>
      </c>
      <c r="V54">
        <f t="shared" si="11"/>
        <v>0</v>
      </c>
      <c r="W54">
        <f t="shared" si="12"/>
        <v>470</v>
      </c>
      <c r="X54">
        <f t="shared" si="5"/>
        <v>423</v>
      </c>
      <c r="Y54">
        <f t="shared" si="6"/>
        <v>517</v>
      </c>
      <c r="Z54">
        <f t="shared" si="13"/>
        <v>0</v>
      </c>
      <c r="AA54" s="126">
        <f t="shared" si="14"/>
        <v>2.7187292231104456E-9</v>
      </c>
      <c r="AB54" s="126">
        <f t="shared" si="15"/>
        <v>5.4397492110844697E-9</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4.899798143699297E-10</v>
      </c>
      <c r="S55" s="126">
        <f t="shared" si="4"/>
        <v>1.0349405907696036E-9</v>
      </c>
      <c r="T55">
        <v>10</v>
      </c>
      <c r="U55">
        <v>56</v>
      </c>
      <c r="V55">
        <f t="shared" si="11"/>
        <v>0</v>
      </c>
      <c r="W55">
        <f t="shared" si="12"/>
        <v>560</v>
      </c>
      <c r="X55">
        <f t="shared" si="5"/>
        <v>504</v>
      </c>
      <c r="Y55">
        <f t="shared" si="6"/>
        <v>616</v>
      </c>
      <c r="Z55">
        <f t="shared" si="13"/>
        <v>0</v>
      </c>
      <c r="AA55" s="126">
        <f t="shared" si="14"/>
        <v>2.9985984077759344E-9</v>
      </c>
      <c r="AB55" s="126">
        <f t="shared" si="15"/>
        <v>5.9142497078470458E-9</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5.3571126369924831E-10</v>
      </c>
      <c r="S56" s="126">
        <f t="shared" si="4"/>
        <v>1.1179739168343917E-9</v>
      </c>
      <c r="T56">
        <v>10</v>
      </c>
      <c r="U56">
        <v>68</v>
      </c>
      <c r="V56">
        <f t="shared" si="11"/>
        <v>0</v>
      </c>
      <c r="W56">
        <f t="shared" si="12"/>
        <v>680</v>
      </c>
      <c r="X56">
        <f t="shared" si="5"/>
        <v>612</v>
      </c>
      <c r="Y56">
        <f t="shared" si="6"/>
        <v>748.00000000000011</v>
      </c>
      <c r="Z56">
        <f t="shared" si="13"/>
        <v>0</v>
      </c>
      <c r="AA56" s="126">
        <f t="shared" si="14"/>
        <v>3.2784675924290158E-9</v>
      </c>
      <c r="AB56" s="126">
        <f t="shared" si="15"/>
        <v>6.3887502045905976E-9</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5.9450884140539304E-10</v>
      </c>
      <c r="S57" s="126">
        <f t="shared" si="4"/>
        <v>1.2247310503413705E-9</v>
      </c>
      <c r="T57">
        <v>10</v>
      </c>
      <c r="U57">
        <v>82</v>
      </c>
      <c r="V57">
        <f t="shared" si="11"/>
        <v>0</v>
      </c>
      <c r="W57">
        <f t="shared" si="12"/>
        <v>820</v>
      </c>
      <c r="X57">
        <f t="shared" si="5"/>
        <v>738</v>
      </c>
      <c r="Y57">
        <f t="shared" si="6"/>
        <v>902.00000000000011</v>
      </c>
      <c r="Z57">
        <f t="shared" si="13"/>
        <v>0</v>
      </c>
      <c r="AA57" s="126">
        <f t="shared" si="14"/>
        <v>3.6382994012504605E-9</v>
      </c>
      <c r="AB57" s="126">
        <f t="shared" si="15"/>
        <v>6.9988222718043527E-9</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6.5330641910818636E-10</v>
      </c>
      <c r="S58" s="126">
        <f t="shared" si="4"/>
        <v>1.3314881838428465E-9</v>
      </c>
      <c r="T58">
        <v>100</v>
      </c>
      <c r="U58">
        <v>10</v>
      </c>
      <c r="V58">
        <f t="shared" si="11"/>
        <v>1</v>
      </c>
      <c r="W58">
        <f t="shared" si="12"/>
        <v>1000</v>
      </c>
      <c r="X58">
        <f t="shared" si="5"/>
        <v>900</v>
      </c>
      <c r="Y58">
        <f t="shared" si="6"/>
        <v>1100</v>
      </c>
      <c r="Z58">
        <f t="shared" si="13"/>
        <v>1</v>
      </c>
      <c r="AA58" s="126">
        <f t="shared" si="14"/>
        <v>3.9981312100513952E-9</v>
      </c>
      <c r="AB58" s="126">
        <f t="shared" si="15"/>
        <v>7.6088943389866633E-9</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7.1863706099624811E-10</v>
      </c>
      <c r="S59" s="126">
        <f t="shared" si="4"/>
        <v>1.4501072210602556E-9</v>
      </c>
      <c r="T59">
        <v>100</v>
      </c>
      <c r="U59">
        <v>12</v>
      </c>
      <c r="V59">
        <f t="shared" si="11"/>
        <v>2</v>
      </c>
      <c r="W59">
        <f t="shared" si="12"/>
        <v>1200</v>
      </c>
      <c r="X59">
        <f t="shared" si="5"/>
        <v>1080</v>
      </c>
      <c r="Y59">
        <f t="shared" si="6"/>
        <v>1320</v>
      </c>
      <c r="Z59">
        <f t="shared" si="13"/>
        <v>1</v>
      </c>
      <c r="AA59" s="126">
        <f t="shared" si="14"/>
        <v>4.3979443309172654E-9</v>
      </c>
      <c r="AB59" s="126">
        <f t="shared" si="15"/>
        <v>8.286752191374573E-9</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7.839677028801723E-10</v>
      </c>
      <c r="S60" s="126">
        <f t="shared" si="4"/>
        <v>1.5687262582708704E-9</v>
      </c>
      <c r="T60">
        <v>100</v>
      </c>
      <c r="U60">
        <v>15</v>
      </c>
      <c r="V60">
        <f t="shared" si="11"/>
        <v>3</v>
      </c>
      <c r="W60">
        <f t="shared" si="12"/>
        <v>1500</v>
      </c>
      <c r="X60">
        <f t="shared" si="5"/>
        <v>1350</v>
      </c>
      <c r="Y60">
        <f t="shared" si="6"/>
        <v>1650.0000000000002</v>
      </c>
      <c r="Z60">
        <f t="shared" si="13"/>
        <v>1</v>
      </c>
      <c r="AA60" s="126">
        <f t="shared" si="14"/>
        <v>4.7977574517578157E-9</v>
      </c>
      <c r="AB60" s="126">
        <f t="shared" si="15"/>
        <v>8.9646100437236597E-9</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8.4929834475995883E-10</v>
      </c>
      <c r="S61" s="126">
        <f t="shared" si="4"/>
        <v>1.6873452954746912E-9</v>
      </c>
      <c r="T61">
        <v>100</v>
      </c>
      <c r="U61">
        <v>18</v>
      </c>
      <c r="V61">
        <f t="shared" si="11"/>
        <v>4</v>
      </c>
      <c r="W61">
        <f t="shared" si="12"/>
        <v>1800</v>
      </c>
      <c r="X61">
        <f t="shared" si="5"/>
        <v>1620</v>
      </c>
      <c r="Y61">
        <f t="shared" si="6"/>
        <v>1980.0000000000002</v>
      </c>
      <c r="Z61">
        <f t="shared" si="13"/>
        <v>0</v>
      </c>
      <c r="AA61" s="126">
        <f t="shared" si="14"/>
        <v>5.1975705725730434E-9</v>
      </c>
      <c r="AB61" s="126">
        <f t="shared" si="15"/>
        <v>9.6424678960339186E-9</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0.9999988309870782</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0.99999883100136888</v>
      </c>
      <c r="K62">
        <v>10</v>
      </c>
      <c r="L62">
        <v>15</v>
      </c>
      <c r="M62">
        <f t="shared" si="9"/>
        <v>0</v>
      </c>
      <c r="N62">
        <f t="shared" si="0"/>
        <v>150</v>
      </c>
      <c r="O62">
        <f t="shared" si="1"/>
        <v>142.5</v>
      </c>
      <c r="P62">
        <f t="shared" si="2"/>
        <v>157.5</v>
      </c>
      <c r="Q62">
        <f t="shared" si="10"/>
        <v>0</v>
      </c>
      <c r="R62" s="126">
        <f t="shared" si="3"/>
        <v>9.7995962850711932E-10</v>
      </c>
      <c r="S62" s="126">
        <f t="shared" si="4"/>
        <v>1.924583369861953E-9</v>
      </c>
      <c r="T62">
        <v>100</v>
      </c>
      <c r="U62">
        <v>22</v>
      </c>
      <c r="V62">
        <f t="shared" si="11"/>
        <v>4</v>
      </c>
      <c r="W62">
        <f t="shared" si="12"/>
        <v>2200</v>
      </c>
      <c r="X62">
        <f t="shared" si="5"/>
        <v>1980</v>
      </c>
      <c r="Y62">
        <f t="shared" si="6"/>
        <v>2420</v>
      </c>
      <c r="Z62">
        <f t="shared" si="13"/>
        <v>0</v>
      </c>
      <c r="AA62" s="126">
        <f t="shared" si="14"/>
        <v>5.9971968141275357E-9</v>
      </c>
      <c r="AB62" s="126">
        <f t="shared" si="15"/>
        <v>1.0998183600537976E-8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0.99999883100136888</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0.99999883100136888</v>
      </c>
      <c r="K63">
        <v>10</v>
      </c>
      <c r="L63">
        <v>16</v>
      </c>
      <c r="M63">
        <f t="shared" si="9"/>
        <v>0</v>
      </c>
      <c r="N63">
        <f t="shared" si="0"/>
        <v>160</v>
      </c>
      <c r="O63">
        <f t="shared" si="1"/>
        <v>152</v>
      </c>
      <c r="P63">
        <f t="shared" si="2"/>
        <v>168</v>
      </c>
      <c r="Q63">
        <f t="shared" si="10"/>
        <v>0</v>
      </c>
      <c r="R63" s="126">
        <f t="shared" si="3"/>
        <v>1.045290270374493E-9</v>
      </c>
      <c r="S63" s="126">
        <f t="shared" si="4"/>
        <v>2.0432024070453935E-9</v>
      </c>
      <c r="T63">
        <v>100</v>
      </c>
      <c r="U63">
        <v>27</v>
      </c>
      <c r="V63">
        <f t="shared" si="11"/>
        <v>4</v>
      </c>
      <c r="W63">
        <f t="shared" si="12"/>
        <v>2700</v>
      </c>
      <c r="X63">
        <f t="shared" si="5"/>
        <v>2430</v>
      </c>
      <c r="Y63">
        <f t="shared" si="6"/>
        <v>2970.0000000000005</v>
      </c>
      <c r="Z63">
        <f t="shared" si="13"/>
        <v>0</v>
      </c>
      <c r="AA63" s="126">
        <f t="shared" si="14"/>
        <v>6.3970099348667994E-9</v>
      </c>
      <c r="AB63" s="126">
        <f t="shared" si="15"/>
        <v>1.1676041452731771E-8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0.99999883100136888</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0.9999988309870782</v>
      </c>
      <c r="K64">
        <v>10</v>
      </c>
      <c r="L64">
        <v>18</v>
      </c>
      <c r="M64">
        <f t="shared" si="9"/>
        <v>0</v>
      </c>
      <c r="N64">
        <f t="shared" si="0"/>
        <v>180</v>
      </c>
      <c r="O64">
        <f t="shared" si="1"/>
        <v>171</v>
      </c>
      <c r="P64">
        <f t="shared" si="2"/>
        <v>189</v>
      </c>
      <c r="Q64">
        <f t="shared" si="10"/>
        <v>0</v>
      </c>
      <c r="R64" s="126">
        <f t="shared" si="3"/>
        <v>1.1759515540968276E-9</v>
      </c>
      <c r="S64" s="126">
        <f t="shared" si="4"/>
        <v>2.2804404813918932E-9</v>
      </c>
      <c r="T64">
        <v>100</v>
      </c>
      <c r="U64">
        <v>33</v>
      </c>
      <c r="V64">
        <f t="shared" si="11"/>
        <v>4</v>
      </c>
      <c r="W64">
        <f t="shared" si="12"/>
        <v>3300</v>
      </c>
      <c r="X64">
        <f t="shared" si="5"/>
        <v>2970</v>
      </c>
      <c r="Y64">
        <f t="shared" si="6"/>
        <v>3630.0000000000005</v>
      </c>
      <c r="Z64">
        <f t="shared" si="13"/>
        <v>0</v>
      </c>
      <c r="AA64" s="126">
        <f t="shared" si="14"/>
        <v>7.1966361762693617E-9</v>
      </c>
      <c r="AB64" s="126">
        <f t="shared" si="15"/>
        <v>1.3031757157002891E-8</v>
      </c>
      <c r="AC64" s="126" t="str">
        <f t="shared" si="7"/>
        <v>Vlow exceeds VIL spec</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1.3066128378026118E-9</v>
      </c>
      <c r="S65" s="126">
        <f t="shared" si="4"/>
        <v>2.5176785557112188E-9</v>
      </c>
      <c r="T65">
        <v>100</v>
      </c>
      <c r="U65">
        <v>39</v>
      </c>
      <c r="V65">
        <f t="shared" si="11"/>
        <v>4</v>
      </c>
      <c r="W65">
        <f t="shared" si="12"/>
        <v>3900</v>
      </c>
      <c r="X65">
        <f t="shared" si="5"/>
        <v>3510</v>
      </c>
      <c r="Y65">
        <f t="shared" si="6"/>
        <v>4290</v>
      </c>
      <c r="Z65">
        <f t="shared" si="13"/>
        <v>0</v>
      </c>
      <c r="AA65" s="126">
        <f t="shared" si="14"/>
        <v>7.9962624175706399E-9</v>
      </c>
      <c r="AB65" s="126">
        <f t="shared" si="15"/>
        <v>1.4387472861118721E-8</v>
      </c>
      <c r="AC65" s="126" t="str">
        <f t="shared" si="7"/>
        <v>Vlow exceeds VIL spec</v>
      </c>
      <c r="AD65" s="126" t="str">
        <f t="shared" si="8"/>
        <v>Vlow exceeds VIL spec</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1.4372741214918458E-9</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2.7549166300033694E-9</v>
      </c>
      <c r="T66">
        <v>100</v>
      </c>
      <c r="U66">
        <v>47</v>
      </c>
      <c r="V66">
        <f t="shared" si="11"/>
        <v>4</v>
      </c>
      <c r="W66">
        <f t="shared" si="12"/>
        <v>4700</v>
      </c>
      <c r="X66">
        <f t="shared" si="5"/>
        <v>4230</v>
      </c>
      <c r="Y66">
        <f t="shared" si="6"/>
        <v>5170</v>
      </c>
      <c r="Z66">
        <f t="shared" si="13"/>
        <v>0</v>
      </c>
      <c r="AA66" s="126">
        <f t="shared" si="14"/>
        <v>8.7958886587706307E-9</v>
      </c>
      <c r="AB66" s="126">
        <f t="shared" si="15"/>
        <v>1.5743188565079261E-8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t="str">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1.5679354051645291E-9</v>
      </c>
      <c r="S67" s="126">
        <f t="shared" si="17"/>
        <v>2.992154704268346E-9</v>
      </c>
      <c r="T67">
        <v>100</v>
      </c>
      <c r="U67">
        <v>56</v>
      </c>
      <c r="V67">
        <f t="shared" si="11"/>
        <v>4</v>
      </c>
      <c r="W67">
        <f t="shared" si="12"/>
        <v>5600</v>
      </c>
      <c r="X67">
        <f t="shared" si="5"/>
        <v>5040</v>
      </c>
      <c r="Y67">
        <f t="shared" si="6"/>
        <v>6160.0000000000009</v>
      </c>
      <c r="Z67">
        <f t="shared" si="13"/>
        <v>0</v>
      </c>
      <c r="AA67" s="126">
        <f t="shared" si="14"/>
        <v>9.5955148998693348E-9</v>
      </c>
      <c r="AB67" s="126">
        <f t="shared" si="15"/>
        <v>1.709890426888451E-8</v>
      </c>
      <c r="AC67" s="126" t="str">
        <f t="shared" si="18"/>
        <v>Vlow exceeds VIL spec</v>
      </c>
      <c r="AD67" s="126" t="str">
        <f t="shared" si="19"/>
        <v>Vlow exceeds VIL spec</v>
      </c>
    </row>
    <row r="68" spans="1:31" ht="28.4" customHeight="1" x14ac:dyDescent="0.35">
      <c r="B68" s="32" t="s">
        <v>355</v>
      </c>
      <c r="C68" s="32" t="s">
        <v>356</v>
      </c>
      <c r="D68" s="32" t="s">
        <v>357</v>
      </c>
      <c r="E68" s="32" t="str">
        <f>IF(Summary!W37="absolute","find min R2, so that max (Vz) = " &amp; TRUNC(R3/J2,3),"find min R2, so that max (Vz) = " &amp; R3)</f>
        <v>find min R2, so that max (Vz) = 0.09</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1.7639273306425221E-9</v>
      </c>
      <c r="S68" s="126">
        <f t="shared" si="17"/>
        <v>3.3480118156148576E-9</v>
      </c>
      <c r="T68">
        <v>100</v>
      </c>
      <c r="U68">
        <v>68</v>
      </c>
      <c r="V68">
        <f t="shared" si="11"/>
        <v>4</v>
      </c>
      <c r="W68">
        <f t="shared" si="12"/>
        <v>6800</v>
      </c>
      <c r="X68">
        <f t="shared" si="5"/>
        <v>6120</v>
      </c>
      <c r="Y68">
        <f t="shared" si="6"/>
        <v>7480.0000000000009</v>
      </c>
      <c r="Z68">
        <f t="shared" si="13"/>
        <v>0</v>
      </c>
      <c r="AA68" s="126">
        <f t="shared" si="14"/>
        <v>1.079495426132748E-8</v>
      </c>
      <c r="AB68" s="126">
        <f t="shared" si="15"/>
        <v>1.9132477824301205E-8</v>
      </c>
      <c r="AC68" s="126" t="str">
        <f t="shared" si="18"/>
        <v>Vlow exceeds VIL spec</v>
      </c>
      <c r="AD68" s="126" t="str">
        <f t="shared" si="19"/>
        <v>Vlow exceeds VIL spec</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1.9599192560832766E-9</v>
      </c>
      <c r="S69" s="126">
        <f t="shared" si="17"/>
        <v>3.703868926900227E-9</v>
      </c>
      <c r="T69">
        <v>100</v>
      </c>
      <c r="U69">
        <v>82</v>
      </c>
      <c r="V69">
        <f t="shared" si="11"/>
        <v>4</v>
      </c>
      <c r="W69">
        <f t="shared" si="12"/>
        <v>8200</v>
      </c>
      <c r="X69">
        <f t="shared" si="5"/>
        <v>7380</v>
      </c>
      <c r="Y69">
        <f t="shared" si="6"/>
        <v>9020</v>
      </c>
      <c r="Z69">
        <f t="shared" si="13"/>
        <v>0</v>
      </c>
      <c r="AA69" s="126">
        <f t="shared" si="14"/>
        <v>1.1994393622557733E-8</v>
      </c>
      <c r="AB69" s="126">
        <f t="shared" si="15"/>
        <v>2.1166051379368503E-8</v>
      </c>
      <c r="AC69" s="126" t="str">
        <f t="shared" si="18"/>
        <v>Vlow exceeds VIL spec</v>
      </c>
      <c r="AD69" s="126" t="str">
        <f t="shared" si="19"/>
        <v>Vlow exceeds VIL spec</v>
      </c>
    </row>
    <row r="70" spans="1:31" x14ac:dyDescent="0.35">
      <c r="A70" t="s">
        <v>320</v>
      </c>
      <c r="B70" s="11">
        <f>F11*(1+H11)</f>
        <v>1050</v>
      </c>
      <c r="C70" s="11">
        <f>F11*(1-H11)</f>
        <v>950</v>
      </c>
      <c r="D70" s="11">
        <f>F11*(1+H11)</f>
        <v>1050</v>
      </c>
      <c r="E70" s="11"/>
      <c r="F70" s="11">
        <f>F11*(1-H11)</f>
        <v>950</v>
      </c>
      <c r="G70" s="11">
        <f>F11*(1-H11)</f>
        <v>950</v>
      </c>
      <c r="H70" s="11">
        <f>F11*(1+H11)</f>
        <v>1050</v>
      </c>
      <c r="K70">
        <v>10</v>
      </c>
      <c r="L70">
        <v>33</v>
      </c>
      <c r="M70">
        <f t="shared" si="9"/>
        <v>0</v>
      </c>
      <c r="N70">
        <f t="shared" si="0"/>
        <v>330</v>
      </c>
      <c r="O70">
        <f t="shared" si="1"/>
        <v>313.5</v>
      </c>
      <c r="P70">
        <f t="shared" si="2"/>
        <v>346.5</v>
      </c>
      <c r="Q70">
        <f t="shared" si="10"/>
        <v>0</v>
      </c>
      <c r="R70" s="126">
        <f t="shared" si="16"/>
        <v>2.1559111814867928E-9</v>
      </c>
      <c r="S70" s="126">
        <f t="shared" si="17"/>
        <v>4.0597260381244533E-9</v>
      </c>
      <c r="T70">
        <v>1000</v>
      </c>
      <c r="U70">
        <v>10</v>
      </c>
      <c r="V70">
        <f t="shared" si="11"/>
        <v>4</v>
      </c>
      <c r="W70">
        <f t="shared" si="12"/>
        <v>10000</v>
      </c>
      <c r="X70">
        <f t="shared" si="5"/>
        <v>9000</v>
      </c>
      <c r="Y70">
        <f t="shared" si="6"/>
        <v>11000</v>
      </c>
      <c r="Z70">
        <f t="shared" si="13"/>
        <v>0</v>
      </c>
      <c r="AA70" s="126">
        <f t="shared" si="14"/>
        <v>1.3193832983560092E-8</v>
      </c>
      <c r="AB70" s="126">
        <f t="shared" si="15"/>
        <v>2.319962493408639E-8</v>
      </c>
      <c r="AC70" s="126" t="str">
        <f t="shared" si="18"/>
        <v>Vlow exceeds VIL spec</v>
      </c>
      <c r="AD70" s="126">
        <f t="shared" si="19"/>
        <v>2.8351799117678258E-8</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2.3519031068530705E-9</v>
      </c>
      <c r="S71" s="126">
        <f t="shared" si="17"/>
        <v>4.4155831492875377E-9</v>
      </c>
      <c r="T71">
        <v>1000</v>
      </c>
      <c r="U71">
        <v>12</v>
      </c>
      <c r="V71">
        <f t="shared" si="11"/>
        <v>4</v>
      </c>
      <c r="W71">
        <f t="shared" si="12"/>
        <v>12000</v>
      </c>
      <c r="X71">
        <f t="shared" si="5"/>
        <v>10800</v>
      </c>
      <c r="Y71">
        <f t="shared" si="6"/>
        <v>13200.000000000002</v>
      </c>
      <c r="Z71">
        <f t="shared" si="13"/>
        <v>0</v>
      </c>
      <c r="AA71" s="126">
        <f t="shared" si="14"/>
        <v>1.4393272344334559E-8</v>
      </c>
      <c r="AB71" s="126">
        <f t="shared" si="15"/>
        <v>2.5233198488454879E-8</v>
      </c>
      <c r="AC71" s="126" t="str">
        <f t="shared" si="18"/>
        <v>Vlow exceeds VIL spec</v>
      </c>
      <c r="AD71" s="126">
        <f t="shared" si="19"/>
        <v>2.2865226504631769E-8</v>
      </c>
    </row>
    <row r="72" spans="1:31" x14ac:dyDescent="0.35">
      <c r="A72" t="s">
        <v>324</v>
      </c>
      <c r="B72" s="1">
        <f>K21*MIN(K25,K24)</f>
        <v>0</v>
      </c>
      <c r="C72" s="1">
        <f>K21*MAX(K25,K24)</f>
        <v>12.861569723139446</v>
      </c>
      <c r="D72" s="1">
        <f>K21*MIN(K25,K24)</f>
        <v>0</v>
      </c>
      <c r="E72" s="1">
        <f>K21*MAX(K25,K24)</f>
        <v>12.861569723139446</v>
      </c>
      <c r="F72" s="125">
        <f>K21*MAX(K25,K24)</f>
        <v>12.861569723139446</v>
      </c>
      <c r="G72" s="125">
        <f>K22*MAX(K25,K24)</f>
        <v>7.0515697231394467</v>
      </c>
      <c r="H72" s="1">
        <f>K22*MIN(K25,K24)</f>
        <v>0</v>
      </c>
      <c r="K72">
        <v>10</v>
      </c>
      <c r="L72">
        <v>39</v>
      </c>
      <c r="M72">
        <f t="shared" si="9"/>
        <v>0</v>
      </c>
      <c r="N72">
        <f t="shared" si="0"/>
        <v>390</v>
      </c>
      <c r="O72">
        <f t="shared" si="1"/>
        <v>370.5</v>
      </c>
      <c r="P72">
        <f t="shared" si="2"/>
        <v>409.5</v>
      </c>
      <c r="Q72">
        <f t="shared" si="10"/>
        <v>0</v>
      </c>
      <c r="R72" s="126">
        <f t="shared" si="16"/>
        <v>2.5478950321821097E-9</v>
      </c>
      <c r="S72" s="126">
        <f t="shared" si="17"/>
        <v>4.7714402603894777E-9</v>
      </c>
      <c r="T72">
        <v>1000</v>
      </c>
      <c r="U72">
        <v>15</v>
      </c>
      <c r="V72">
        <f t="shared" si="11"/>
        <v>4</v>
      </c>
      <c r="W72">
        <f t="shared" si="12"/>
        <v>15000</v>
      </c>
      <c r="X72">
        <f t="shared" si="5"/>
        <v>13500</v>
      </c>
      <c r="Y72">
        <f t="shared" si="6"/>
        <v>16500</v>
      </c>
      <c r="Z72">
        <f t="shared" si="13"/>
        <v>0</v>
      </c>
      <c r="AA72" s="126">
        <f t="shared" si="14"/>
        <v>1.5592711704881132E-8</v>
      </c>
      <c r="AB72" s="126">
        <f t="shared" si="15"/>
        <v>2.7266772042473953E-8</v>
      </c>
      <c r="AC72" s="126" t="str">
        <f t="shared" si="18"/>
        <v>Vlow exceeds VIL spec</v>
      </c>
      <c r="AD72" s="126">
        <f t="shared" si="19"/>
        <v>2.0168222307065891E-8</v>
      </c>
    </row>
    <row r="73" spans="1:31" x14ac:dyDescent="0.35">
      <c r="A73" t="s">
        <v>327</v>
      </c>
      <c r="B73" s="1">
        <f>K21-B72</f>
        <v>12.861569723139446</v>
      </c>
      <c r="C73" s="1">
        <f>K21-C72</f>
        <v>0</v>
      </c>
      <c r="D73" s="1">
        <f>K21-D72</f>
        <v>12.861569723139446</v>
      </c>
      <c r="E73" s="1">
        <f>K21-E72</f>
        <v>0</v>
      </c>
      <c r="F73" s="1">
        <f>K21-F72</f>
        <v>0</v>
      </c>
      <c r="G73" s="1">
        <f>K22-G72</f>
        <v>0</v>
      </c>
      <c r="H73" s="1">
        <f>K22-H72</f>
        <v>7.0515697231394467</v>
      </c>
      <c r="K73">
        <v>10</v>
      </c>
      <c r="L73">
        <v>43</v>
      </c>
      <c r="M73">
        <f t="shared" si="9"/>
        <v>0</v>
      </c>
      <c r="N73">
        <f t="shared" si="0"/>
        <v>430</v>
      </c>
      <c r="O73">
        <f t="shared" si="1"/>
        <v>408.5</v>
      </c>
      <c r="P73">
        <f t="shared" si="2"/>
        <v>451.5</v>
      </c>
      <c r="Q73">
        <f t="shared" si="10"/>
        <v>0</v>
      </c>
      <c r="R73" s="126">
        <f t="shared" si="16"/>
        <v>2.8092175992295689E-9</v>
      </c>
      <c r="S73" s="126">
        <f t="shared" si="17"/>
        <v>5.2459164084302899E-9</v>
      </c>
      <c r="T73">
        <v>1000</v>
      </c>
      <c r="U73">
        <v>18</v>
      </c>
      <c r="V73">
        <f t="shared" si="11"/>
        <v>4</v>
      </c>
      <c r="W73">
        <f t="shared" si="12"/>
        <v>18000</v>
      </c>
      <c r="X73">
        <f t="shared" si="5"/>
        <v>16200</v>
      </c>
      <c r="Y73">
        <f t="shared" si="6"/>
        <v>19800</v>
      </c>
      <c r="Z73">
        <f t="shared" si="13"/>
        <v>0</v>
      </c>
      <c r="AA73" s="126">
        <f t="shared" si="14"/>
        <v>1.7191964185255394E-8</v>
      </c>
      <c r="AB73" s="126">
        <f t="shared" si="15"/>
        <v>2.9978203447289215E-8</v>
      </c>
      <c r="AC73" s="126" t="str">
        <f t="shared" si="18"/>
        <v>Vlow exceeds VIL spec</v>
      </c>
      <c r="AD73" s="126">
        <f t="shared" si="19"/>
        <v>1.8037810366359774E-8</v>
      </c>
    </row>
    <row r="74" spans="1:31" x14ac:dyDescent="0.35">
      <c r="A74" t="s">
        <v>329</v>
      </c>
      <c r="B74" s="11">
        <f>F2*(1-H2)</f>
        <v>900000000000</v>
      </c>
      <c r="C74" s="11">
        <f>1/(1/(F2*(1+H2))+1/(N2*(1+P2)))</f>
        <v>62.499999996448857</v>
      </c>
      <c r="D74" s="11">
        <f>1/(1/(F2*(1-G2))+1/(N2*(1-O2)))</f>
        <v>37.499999998437495</v>
      </c>
      <c r="E74" s="11">
        <f>1/(1/(F2*(1+H2))+1/(N2*(1+P2)))</f>
        <v>62.499999996448857</v>
      </c>
      <c r="F74" s="11">
        <f>1/(1/(F2*(1+H2))+1/(N2*(1+P2)))</f>
        <v>62.499999996448857</v>
      </c>
      <c r="G74" s="11">
        <f>1/(1/(F2*(1+H2))+1/(N2*(1+P2)))</f>
        <v>62.499999996448857</v>
      </c>
      <c r="H74" s="11">
        <f>1/(1/(F2*(1-G2))+1/(N2*(1-O2)))</f>
        <v>37.499999998437495</v>
      </c>
      <c r="K74">
        <v>10</v>
      </c>
      <c r="L74">
        <v>47</v>
      </c>
      <c r="M74">
        <f t="shared" si="9"/>
        <v>0</v>
      </c>
      <c r="N74">
        <f t="shared" si="0"/>
        <v>470</v>
      </c>
      <c r="O74">
        <f t="shared" si="1"/>
        <v>446.5</v>
      </c>
      <c r="P74">
        <f t="shared" si="2"/>
        <v>493.5</v>
      </c>
      <c r="Q74">
        <f t="shared" si="10"/>
        <v>0</v>
      </c>
      <c r="R74" s="126">
        <f t="shared" si="16"/>
        <v>3.070540166210826E-9</v>
      </c>
      <c r="S74" s="126">
        <f t="shared" si="17"/>
        <v>5.7203925563624015E-9</v>
      </c>
      <c r="T74">
        <v>1000</v>
      </c>
      <c r="U74">
        <v>22</v>
      </c>
      <c r="V74">
        <f t="shared" si="11"/>
        <v>4</v>
      </c>
      <c r="W74">
        <f t="shared" si="12"/>
        <v>22000</v>
      </c>
      <c r="X74">
        <f t="shared" si="5"/>
        <v>19800</v>
      </c>
      <c r="Y74">
        <f t="shared" si="6"/>
        <v>24200.000000000004</v>
      </c>
      <c r="Z74">
        <f t="shared" si="13"/>
        <v>0</v>
      </c>
      <c r="AA74" s="126">
        <f t="shared" si="14"/>
        <v>1.879121666522451E-8</v>
      </c>
      <c r="AB74" s="126">
        <f t="shared" si="15"/>
        <v>3.2689634851483297E-8</v>
      </c>
      <c r="AC74" s="126" t="str">
        <f t="shared" si="18"/>
        <v>Vlow exceeds VIL spec</v>
      </c>
      <c r="AD74" s="126">
        <f t="shared" si="19"/>
        <v>1.6677725317956687E-8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0</v>
      </c>
      <c r="N75">
        <f t="shared" si="0"/>
        <v>510</v>
      </c>
      <c r="O75">
        <f t="shared" si="1"/>
        <v>484.5</v>
      </c>
      <c r="P75">
        <f t="shared" si="2"/>
        <v>535.5</v>
      </c>
      <c r="Q75">
        <f t="shared" si="10"/>
        <v>0</v>
      </c>
      <c r="R75" s="126">
        <f t="shared" si="16"/>
        <v>3.3318627331258817E-9</v>
      </c>
      <c r="S75" s="126">
        <f t="shared" si="17"/>
        <v>6.1948687041858157E-9</v>
      </c>
      <c r="T75">
        <v>1000</v>
      </c>
      <c r="U75">
        <v>27</v>
      </c>
      <c r="V75">
        <f t="shared" si="11"/>
        <v>4</v>
      </c>
      <c r="W75">
        <f t="shared" si="12"/>
        <v>27000</v>
      </c>
      <c r="X75">
        <f t="shared" si="5"/>
        <v>24300</v>
      </c>
      <c r="Y75">
        <f t="shared" si="6"/>
        <v>29700.000000000004</v>
      </c>
      <c r="Z75">
        <f t="shared" si="13"/>
        <v>0</v>
      </c>
      <c r="AA75" s="126">
        <f t="shared" si="14"/>
        <v>2.0390469144788487E-8</v>
      </c>
      <c r="AB75" s="126">
        <f t="shared" si="15"/>
        <v>3.5401066255056227E-8</v>
      </c>
      <c r="AC75" s="126" t="str">
        <f t="shared" si="18"/>
        <v>Vlow exceeds VIL spec</v>
      </c>
      <c r="AD75" s="126">
        <f t="shared" si="19"/>
        <v>1.5723390715191018E-8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0</v>
      </c>
      <c r="N76">
        <f t="shared" si="0"/>
        <v>560</v>
      </c>
      <c r="O76">
        <f t="shared" si="1"/>
        <v>532</v>
      </c>
      <c r="P76">
        <f t="shared" si="2"/>
        <v>588</v>
      </c>
      <c r="Q76">
        <f t="shared" si="10"/>
        <v>0</v>
      </c>
      <c r="R76" s="126">
        <f t="shared" si="16"/>
        <v>3.6585159416766058E-9</v>
      </c>
      <c r="S76" s="126">
        <f t="shared" si="17"/>
        <v>6.7879638888122277E-9</v>
      </c>
      <c r="T76">
        <v>1000</v>
      </c>
      <c r="U76">
        <v>33</v>
      </c>
      <c r="V76">
        <f t="shared" si="11"/>
        <v>4</v>
      </c>
      <c r="W76">
        <f t="shared" si="12"/>
        <v>33000</v>
      </c>
      <c r="X76">
        <f t="shared" si="5"/>
        <v>29700</v>
      </c>
      <c r="Y76">
        <f t="shared" si="6"/>
        <v>36300</v>
      </c>
      <c r="Z76">
        <f t="shared" si="13"/>
        <v>0</v>
      </c>
      <c r="AA76" s="126">
        <f t="shared" si="14"/>
        <v>2.2389534743673723E-8</v>
      </c>
      <c r="AB76" s="126">
        <f t="shared" si="15"/>
        <v>3.8790355508648879E-8</v>
      </c>
      <c r="AC76" s="126" t="str">
        <f t="shared" si="18"/>
        <v>Vlow exceeds VIL spec</v>
      </c>
      <c r="AD76" s="126">
        <f t="shared" si="19"/>
        <v>1.4863138675061972E-8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0</v>
      </c>
      <c r="N77">
        <f t="shared" si="0"/>
        <v>620</v>
      </c>
      <c r="O77">
        <f t="shared" si="1"/>
        <v>589</v>
      </c>
      <c r="P77">
        <f t="shared" si="2"/>
        <v>651</v>
      </c>
      <c r="Q77">
        <f t="shared" si="10"/>
        <v>0</v>
      </c>
      <c r="R77" s="126">
        <f t="shared" si="16"/>
        <v>4.0504997918009324E-9</v>
      </c>
      <c r="S77" s="126">
        <f t="shared" si="17"/>
        <v>7.4996781101397314E-9</v>
      </c>
      <c r="T77">
        <v>1000</v>
      </c>
      <c r="U77">
        <v>39</v>
      </c>
      <c r="V77">
        <f t="shared" si="11"/>
        <v>4</v>
      </c>
      <c r="W77">
        <f t="shared" si="12"/>
        <v>39000</v>
      </c>
      <c r="X77">
        <f t="shared" si="5"/>
        <v>35100</v>
      </c>
      <c r="Y77">
        <f t="shared" si="6"/>
        <v>42900</v>
      </c>
      <c r="Z77">
        <f t="shared" si="13"/>
        <v>0</v>
      </c>
      <c r="AA77" s="126">
        <f t="shared" si="14"/>
        <v>2.4788413461500395E-8</v>
      </c>
      <c r="AB77" s="126">
        <f t="shared" si="15"/>
        <v>4.2857502611678899E-8</v>
      </c>
      <c r="AC77" s="126" t="str">
        <f t="shared" si="18"/>
        <v>Vlow exceeds VIL spec</v>
      </c>
      <c r="AD77" s="126">
        <f t="shared" si="19"/>
        <v>1.4125131483822888E-8</v>
      </c>
    </row>
    <row r="78" spans="1:31" x14ac:dyDescent="0.35">
      <c r="A78" t="s">
        <v>344</v>
      </c>
      <c r="B78">
        <v>1</v>
      </c>
      <c r="C78">
        <v>1</v>
      </c>
      <c r="D78">
        <v>1</v>
      </c>
      <c r="E78">
        <v>1</v>
      </c>
      <c r="F78">
        <v>1</v>
      </c>
      <c r="G78">
        <v>1</v>
      </c>
      <c r="H78">
        <v>1</v>
      </c>
      <c r="K78">
        <v>10</v>
      </c>
      <c r="L78">
        <v>68</v>
      </c>
      <c r="M78">
        <f t="shared" si="9"/>
        <v>0</v>
      </c>
      <c r="N78">
        <f t="shared" si="0"/>
        <v>680</v>
      </c>
      <c r="O78">
        <f t="shared" si="1"/>
        <v>646</v>
      </c>
      <c r="P78">
        <f t="shared" si="2"/>
        <v>714</v>
      </c>
      <c r="Q78">
        <f t="shared" si="10"/>
        <v>0</v>
      </c>
      <c r="R78" s="126">
        <f t="shared" si="16"/>
        <v>4.4424836417763048E-9</v>
      </c>
      <c r="S78" s="126">
        <f t="shared" si="17"/>
        <v>8.2113923312226626E-9</v>
      </c>
      <c r="T78">
        <v>1000</v>
      </c>
      <c r="U78">
        <v>47</v>
      </c>
      <c r="V78">
        <f t="shared" si="11"/>
        <v>4</v>
      </c>
      <c r="W78">
        <f t="shared" si="12"/>
        <v>47000</v>
      </c>
      <c r="X78">
        <f t="shared" si="5"/>
        <v>42300</v>
      </c>
      <c r="Y78">
        <f t="shared" si="6"/>
        <v>51700.000000000007</v>
      </c>
      <c r="Z78">
        <f t="shared" si="13"/>
        <v>0</v>
      </c>
      <c r="AA78" s="126">
        <f t="shared" si="14"/>
        <v>2.7187292178415487E-8</v>
      </c>
      <c r="AB78" s="126">
        <f t="shared" si="15"/>
        <v>4.6924649713311302E-8</v>
      </c>
      <c r="AC78" s="126" t="str">
        <f t="shared" si="18"/>
        <v>Vlow exceeds VIL spec</v>
      </c>
      <c r="AD78" s="126">
        <f t="shared" si="19"/>
        <v>1.3584897342625273E-8</v>
      </c>
    </row>
    <row r="79" spans="1:31" x14ac:dyDescent="0.35">
      <c r="A79" t="s">
        <v>345</v>
      </c>
      <c r="B79">
        <v>1</v>
      </c>
      <c r="C79">
        <v>1</v>
      </c>
      <c r="D79">
        <v>1</v>
      </c>
      <c r="E79">
        <v>1</v>
      </c>
      <c r="F79">
        <v>1</v>
      </c>
      <c r="G79">
        <v>1</v>
      </c>
      <c r="H79">
        <v>1</v>
      </c>
      <c r="K79">
        <v>10</v>
      </c>
      <c r="L79">
        <v>75</v>
      </c>
      <c r="M79">
        <f t="shared" si="9"/>
        <v>0</v>
      </c>
      <c r="N79">
        <f t="shared" si="0"/>
        <v>750</v>
      </c>
      <c r="O79">
        <f t="shared" si="1"/>
        <v>712.5</v>
      </c>
      <c r="P79">
        <f t="shared" si="2"/>
        <v>787.5</v>
      </c>
      <c r="Q79">
        <f t="shared" si="10"/>
        <v>0</v>
      </c>
      <c r="R79" s="126">
        <f t="shared" si="16"/>
        <v>4.8997981332259801E-9</v>
      </c>
      <c r="S79" s="126">
        <f t="shared" si="17"/>
        <v>9.0417255888436408E-9</v>
      </c>
      <c r="T79">
        <v>1000</v>
      </c>
      <c r="U79">
        <v>56</v>
      </c>
      <c r="V79">
        <f t="shared" si="11"/>
        <v>4</v>
      </c>
      <c r="W79">
        <f t="shared" si="12"/>
        <v>56000</v>
      </c>
      <c r="X79">
        <f t="shared" si="5"/>
        <v>50400</v>
      </c>
      <c r="Y79">
        <f t="shared" si="6"/>
        <v>61600.000000000007</v>
      </c>
      <c r="Z79">
        <f t="shared" si="13"/>
        <v>0</v>
      </c>
      <c r="AA79" s="126">
        <f t="shared" si="14"/>
        <v>2.9985984013664312E-8</v>
      </c>
      <c r="AB79" s="126">
        <f t="shared" si="15"/>
        <v>5.1669654663449337E-8</v>
      </c>
      <c r="AC79" s="126" t="str">
        <f t="shared" si="18"/>
        <v>Vlow exceeds VIL spec</v>
      </c>
      <c r="AD79" s="126">
        <f t="shared" si="19"/>
        <v>1.311260094287185E-8</v>
      </c>
      <c r="AE79" s="128"/>
    </row>
    <row r="80" spans="1:31" x14ac:dyDescent="0.35">
      <c r="A80" t="s">
        <v>346</v>
      </c>
      <c r="B80">
        <v>1</v>
      </c>
      <c r="C80">
        <v>1</v>
      </c>
      <c r="D80">
        <v>1</v>
      </c>
      <c r="E80">
        <v>1</v>
      </c>
      <c r="F80">
        <v>1</v>
      </c>
      <c r="G80">
        <v>1</v>
      </c>
      <c r="H80">
        <v>1</v>
      </c>
      <c r="K80">
        <v>10</v>
      </c>
      <c r="L80">
        <v>82</v>
      </c>
      <c r="M80">
        <f t="shared" si="9"/>
        <v>0</v>
      </c>
      <c r="N80">
        <f t="shared" si="0"/>
        <v>820</v>
      </c>
      <c r="O80">
        <f t="shared" si="1"/>
        <v>779</v>
      </c>
      <c r="P80">
        <f t="shared" si="2"/>
        <v>861</v>
      </c>
      <c r="Q80">
        <f t="shared" si="10"/>
        <v>0</v>
      </c>
      <c r="R80" s="126">
        <f t="shared" si="16"/>
        <v>5.3571126244729118E-9</v>
      </c>
      <c r="S80" s="126">
        <f t="shared" si="17"/>
        <v>9.87205884613173E-9</v>
      </c>
      <c r="T80">
        <v>1000</v>
      </c>
      <c r="U80">
        <v>68</v>
      </c>
      <c r="V80">
        <f t="shared" si="11"/>
        <v>4</v>
      </c>
      <c r="W80">
        <f>U80*T80</f>
        <v>68000</v>
      </c>
      <c r="X80">
        <f t="shared" si="5"/>
        <v>61200</v>
      </c>
      <c r="Y80">
        <f t="shared" si="6"/>
        <v>74800</v>
      </c>
      <c r="Z80">
        <f t="shared" si="13"/>
        <v>0</v>
      </c>
      <c r="AA80" s="126">
        <f t="shared" si="14"/>
        <v>3.2784675847672375E-8</v>
      </c>
      <c r="AB80" s="126">
        <f t="shared" si="15"/>
        <v>5.6414659611685061E-8</v>
      </c>
      <c r="AC80" s="126" t="str">
        <f t="shared" si="18"/>
        <v>Vlow exceeds VIL spec</v>
      </c>
      <c r="AD80" s="126">
        <f t="shared" si="19"/>
        <v>1.275262964863702E-8</v>
      </c>
      <c r="AE80" s="128"/>
    </row>
    <row r="81" spans="1:31" x14ac:dyDescent="0.35">
      <c r="K81">
        <v>10</v>
      </c>
      <c r="L81">
        <v>91</v>
      </c>
      <c r="M81">
        <f t="shared" si="9"/>
        <v>1</v>
      </c>
      <c r="N81">
        <f t="shared" si="0"/>
        <v>910</v>
      </c>
      <c r="O81">
        <f t="shared" si="1"/>
        <v>864.5</v>
      </c>
      <c r="P81">
        <f t="shared" si="2"/>
        <v>955.5</v>
      </c>
      <c r="Q81">
        <f t="shared" si="10"/>
        <v>1</v>
      </c>
      <c r="R81" s="126">
        <f t="shared" si="16"/>
        <v>5.9450883986353444E-9</v>
      </c>
      <c r="S81" s="126">
        <f t="shared" si="17"/>
        <v>1.0939630176441559E-8</v>
      </c>
      <c r="T81">
        <v>1000</v>
      </c>
      <c r="U81">
        <v>82</v>
      </c>
      <c r="V81">
        <f t="shared" si="11"/>
        <v>4</v>
      </c>
      <c r="W81">
        <f t="shared" ref="W81" si="20">U81*T81</f>
        <v>82000</v>
      </c>
      <c r="X81">
        <f t="shared" si="5"/>
        <v>73800</v>
      </c>
      <c r="Y81">
        <f t="shared" si="6"/>
        <v>90200.000000000015</v>
      </c>
      <c r="Z81">
        <f t="shared" si="13"/>
        <v>0</v>
      </c>
      <c r="AA81" s="126">
        <f t="shared" si="14"/>
        <v>3.6382993918145311E-8</v>
      </c>
      <c r="AB81" s="126">
        <f t="shared" si="15"/>
        <v>6.2515380256621459E-8</v>
      </c>
      <c r="AC81" s="126">
        <f t="shared" si="18"/>
        <v>3.829088578646744E-8</v>
      </c>
      <c r="AD81" s="126">
        <f t="shared" si="19"/>
        <v>1.2399028545078205E-8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0.99999883100136999</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6.095410438123755E-2</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3.4482757326018861E-2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0.82933516683843722</v>
      </c>
      <c r="F82" s="13"/>
      <c r="K82">
        <v>100</v>
      </c>
      <c r="L82">
        <v>10</v>
      </c>
      <c r="M82">
        <f>IF(AND(Q81=1,Q82=0),Q82+M81+1, Q82+M81)</f>
        <v>2</v>
      </c>
      <c r="N82">
        <f t="shared" si="0"/>
        <v>1000</v>
      </c>
      <c r="O82">
        <f t="shared" si="1"/>
        <v>950</v>
      </c>
      <c r="P82">
        <f t="shared" si="2"/>
        <v>1050</v>
      </c>
      <c r="Q82">
        <f t="shared" si="10"/>
        <v>1</v>
      </c>
      <c r="R82" s="126">
        <f t="shared" si="16"/>
        <v>6.53306417246263E-9</v>
      </c>
      <c r="S82" s="126">
        <f t="shared" si="17"/>
        <v>1.2007201506201104E-8</v>
      </c>
      <c r="V82">
        <f t="shared" si="11"/>
        <v>4</v>
      </c>
      <c r="W82">
        <v>9999999</v>
      </c>
      <c r="AA82" s="126">
        <f t="shared" si="14"/>
        <v>3.9981311986567208E-8</v>
      </c>
      <c r="AB82" s="126">
        <f t="shared" si="15"/>
        <v>6.8616100898413214E-8</v>
      </c>
      <c r="AC82" s="126">
        <f t="shared" si="18"/>
        <v>2.5304526913443125E-8</v>
      </c>
      <c r="AD82" s="126">
        <f t="shared" si="19"/>
        <v>1.2128427384568205E-8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0.99999883100136999</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7.3497551783103576E-2</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3.4482757326018861E-2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3</v>
      </c>
      <c r="N83">
        <f t="shared" si="0"/>
        <v>1100</v>
      </c>
      <c r="O83">
        <f t="shared" si="1"/>
        <v>1045</v>
      </c>
      <c r="P83">
        <f t="shared" si="2"/>
        <v>1155</v>
      </c>
      <c r="Q83">
        <f t="shared" si="10"/>
        <v>1</v>
      </c>
      <c r="R83" s="126">
        <f t="shared" si="16"/>
        <v>7.1863705874332087E-9</v>
      </c>
      <c r="S83" s="126">
        <f t="shared" si="17"/>
        <v>1.3193391871955204E-8</v>
      </c>
      <c r="AA83" s="126">
        <f t="shared" si="14"/>
        <v>4.3979443171297099E-8</v>
      </c>
      <c r="AB83" s="126">
        <f t="shared" si="15"/>
        <v>7.5394679385604782E-8</v>
      </c>
      <c r="AC83" s="126">
        <f t="shared" si="18"/>
        <v>2.2102155416875035E-8</v>
      </c>
      <c r="AD83" s="126">
        <f t="shared" si="19"/>
        <v>1.1893782778794048E-8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0.99999883098707931</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7.3497551783103576E-2</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3.4482757336815238E-2</v>
      </c>
      <c r="E84" s="12">
        <f>IF(Summary!W37="absolute",(R3-N7)/(J2+J2*Summary!W17),R3-N7)</f>
        <v>8.0808080808080801E-2</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7.3497551843522205E-2</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6.8217800723141819E-2</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3.4482757331938146E-2</v>
      </c>
      <c r="K84">
        <v>100</v>
      </c>
      <c r="L84">
        <v>12</v>
      </c>
      <c r="M84">
        <f t="shared" si="21"/>
        <v>4</v>
      </c>
      <c r="N84">
        <f t="shared" si="0"/>
        <v>1200</v>
      </c>
      <c r="O84">
        <f t="shared" si="1"/>
        <v>1140</v>
      </c>
      <c r="P84">
        <f t="shared" si="2"/>
        <v>1260</v>
      </c>
      <c r="Q84">
        <f t="shared" si="10"/>
        <v>1</v>
      </c>
      <c r="R84" s="126">
        <f t="shared" si="16"/>
        <v>7.8396770019900285E-9</v>
      </c>
      <c r="S84" s="126">
        <f t="shared" si="17"/>
        <v>1.4379582237029939E-8</v>
      </c>
      <c r="AA84" s="126">
        <f t="shared" si="14"/>
        <v>4.7977574353494852E-8</v>
      </c>
      <c r="AB84" s="126">
        <f t="shared" si="15"/>
        <v>8.2173257868914055E-8</v>
      </c>
      <c r="AC84" s="126">
        <f t="shared" si="18"/>
        <v>2.0420071969335554E-8</v>
      </c>
      <c r="AD84" s="126">
        <f t="shared" si="19"/>
        <v>1.1707846503052014E-8</v>
      </c>
      <c r="AE84" s="128"/>
    </row>
    <row r="85" spans="1:31" x14ac:dyDescent="0.35">
      <c r="E85" s="73"/>
      <c r="K85">
        <v>100</v>
      </c>
      <c r="L85">
        <v>13</v>
      </c>
      <c r="M85">
        <f t="shared" si="21"/>
        <v>5</v>
      </c>
      <c r="N85">
        <f t="shared" si="0"/>
        <v>1300</v>
      </c>
      <c r="O85">
        <f t="shared" si="1"/>
        <v>1235</v>
      </c>
      <c r="P85">
        <f t="shared" si="2"/>
        <v>1365</v>
      </c>
      <c r="Q85">
        <f t="shared" si="10"/>
        <v>1</v>
      </c>
      <c r="R85" s="126">
        <f t="shared" si="16"/>
        <v>8.4929834161330875E-9</v>
      </c>
      <c r="S85" s="126">
        <f t="shared" si="17"/>
        <v>1.5565772601425314E-8</v>
      </c>
      <c r="AA85" s="126">
        <f t="shared" si="14"/>
        <v>5.1975705533160459E-8</v>
      </c>
      <c r="AB85" s="126">
        <f t="shared" si="15"/>
        <v>8.8951836348341084E-8</v>
      </c>
      <c r="AC85" s="126">
        <f t="shared" si="18"/>
        <v>1.9332471281764814E-8</v>
      </c>
      <c r="AD85" s="126">
        <f t="shared" si="19"/>
        <v>1.1556940294383685E-8</v>
      </c>
      <c r="AE85" s="128"/>
    </row>
    <row r="86" spans="1:31" x14ac:dyDescent="0.35">
      <c r="K86">
        <v>100</v>
      </c>
      <c r="L86">
        <v>15</v>
      </c>
      <c r="M86">
        <f t="shared" si="21"/>
        <v>6</v>
      </c>
      <c r="N86">
        <f t="shared" si="0"/>
        <v>1500</v>
      </c>
      <c r="O86">
        <f t="shared" si="1"/>
        <v>1425</v>
      </c>
      <c r="P86">
        <f t="shared" si="2"/>
        <v>1575</v>
      </c>
      <c r="Q86">
        <f t="shared" si="10"/>
        <v>1</v>
      </c>
      <c r="R86" s="126">
        <f t="shared" si="16"/>
        <v>9.7995962431779201E-9</v>
      </c>
      <c r="S86" s="126">
        <f t="shared" si="17"/>
        <v>1.7938153328177966E-8</v>
      </c>
      <c r="AA86" s="126">
        <f t="shared" si="14"/>
        <v>5.9971967884895203E-8</v>
      </c>
      <c r="AB86" s="126">
        <f t="shared" si="15"/>
        <v>1.0250899329554827E-7</v>
      </c>
      <c r="AC86" s="126">
        <f t="shared" si="18"/>
        <v>1.796980735911497E-8</v>
      </c>
      <c r="AD86" s="126">
        <f t="shared" si="19"/>
        <v>1.1327031531202397E-8</v>
      </c>
      <c r="AE86" s="128"/>
    </row>
    <row r="87" spans="1:31" x14ac:dyDescent="0.35">
      <c r="B87" s="171" t="s">
        <v>362</v>
      </c>
      <c r="C87" s="171"/>
      <c r="K87">
        <v>100</v>
      </c>
      <c r="L87">
        <v>16</v>
      </c>
      <c r="M87">
        <f t="shared" si="21"/>
        <v>7</v>
      </c>
      <c r="N87">
        <f t="shared" si="0"/>
        <v>1600</v>
      </c>
      <c r="O87">
        <f t="shared" si="1"/>
        <v>1520</v>
      </c>
      <c r="P87">
        <f t="shared" si="2"/>
        <v>1680</v>
      </c>
      <c r="Q87">
        <f t="shared" si="10"/>
        <v>1</v>
      </c>
      <c r="R87" s="126">
        <f t="shared" si="16"/>
        <v>1.0452902656079695E-8</v>
      </c>
      <c r="S87" s="126">
        <f t="shared" si="17"/>
        <v>1.9124343690535249E-8</v>
      </c>
      <c r="AA87" s="126">
        <f t="shared" si="14"/>
        <v>6.3970099056964354E-8</v>
      </c>
      <c r="AB87" s="126">
        <f t="shared" si="15"/>
        <v>1.0928757176332845E-7</v>
      </c>
      <c r="AC87" s="126">
        <f t="shared" si="18"/>
        <v>1.7507704152543026E-8</v>
      </c>
      <c r="AD87" s="126">
        <f t="shared" si="19"/>
        <v>1.1237492466950596E-8</v>
      </c>
      <c r="AE87" s="128"/>
    </row>
    <row r="88" spans="1:31" ht="29" x14ac:dyDescent="0.35">
      <c r="B88" t="s">
        <v>355</v>
      </c>
      <c r="C88" t="s">
        <v>363</v>
      </c>
      <c r="D88" t="s">
        <v>364</v>
      </c>
      <c r="E88" s="32" t="str">
        <f>IF(Summary!W37="absolute","find min R2, so that max (Vx) = " &amp; TRUNC(R2/J3,3),"find min R2, so that max (Vx) = " &amp; R2)</f>
        <v>find min R2, so that max (Vx) = 0.09</v>
      </c>
      <c r="F88" s="32" t="s">
        <v>365</v>
      </c>
      <c r="G88" s="32" t="s">
        <v>366</v>
      </c>
      <c r="H88" s="32" t="s">
        <v>367</v>
      </c>
      <c r="K88">
        <v>100</v>
      </c>
      <c r="L88">
        <v>18</v>
      </c>
      <c r="M88">
        <f t="shared" si="21"/>
        <v>8</v>
      </c>
      <c r="N88">
        <f t="shared" si="0"/>
        <v>1800</v>
      </c>
      <c r="O88">
        <f t="shared" si="1"/>
        <v>1710</v>
      </c>
      <c r="P88">
        <f t="shared" si="2"/>
        <v>1890</v>
      </c>
      <c r="Q88">
        <f t="shared" si="10"/>
        <v>0</v>
      </c>
      <c r="R88" s="126">
        <f t="shared" si="16"/>
        <v>1.1759515480641962E-8</v>
      </c>
      <c r="S88" s="126">
        <f t="shared" si="17"/>
        <v>2.1496724413211721E-8</v>
      </c>
      <c r="AA88" s="126">
        <f t="shared" si="14"/>
        <v>7.1966361393506186E-8</v>
      </c>
      <c r="AB88" s="126">
        <f t="shared" si="15"/>
        <v>1.2284472868724199E-7</v>
      </c>
      <c r="AC88" s="126">
        <f t="shared" si="18"/>
        <v>1.6822658595894684E-8</v>
      </c>
      <c r="AD88" s="126">
        <f t="shared" si="19"/>
        <v>1.1092980921846269E-8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8</v>
      </c>
      <c r="N89">
        <f t="shared" si="0"/>
        <v>2000</v>
      </c>
      <c r="O89">
        <f t="shared" si="1"/>
        <v>1900</v>
      </c>
      <c r="P89">
        <f t="shared" si="2"/>
        <v>2100</v>
      </c>
      <c r="Q89">
        <f t="shared" si="10"/>
        <v>0</v>
      </c>
      <c r="R89" s="126">
        <f t="shared" si="16"/>
        <v>1.3066128303549191E-8</v>
      </c>
      <c r="S89" s="126">
        <f t="shared" si="17"/>
        <v>2.3869105133170742E-8</v>
      </c>
      <c r="AA89" s="126">
        <f t="shared" si="14"/>
        <v>7.9962623719919449E-8</v>
      </c>
      <c r="AB89" s="126">
        <f t="shared" si="15"/>
        <v>1.3640188559562643E-7</v>
      </c>
      <c r="AC89" s="126">
        <f t="shared" si="18"/>
        <v>1.6336522018719493E-8</v>
      </c>
      <c r="AD89" s="126">
        <f t="shared" si="19"/>
        <v>1.0981465786896197E-8</v>
      </c>
      <c r="AE89" s="128"/>
    </row>
    <row r="90" spans="1:31" x14ac:dyDescent="0.35">
      <c r="A90" t="s">
        <v>320</v>
      </c>
      <c r="B90" s="11">
        <f>F11*(1+H11)</f>
        <v>1050</v>
      </c>
      <c r="C90" s="11">
        <f>F11*(1-H11)</f>
        <v>950</v>
      </c>
      <c r="D90" s="11">
        <f>F11*(1+H11)</f>
        <v>1050</v>
      </c>
      <c r="E90" s="11"/>
      <c r="F90" s="11">
        <f>F11*(1-H11)</f>
        <v>950</v>
      </c>
      <c r="G90">
        <f>F11*(1-H11)</f>
        <v>950</v>
      </c>
      <c r="H90">
        <f>F11*(1+H11)</f>
        <v>1050</v>
      </c>
      <c r="K90">
        <v>100</v>
      </c>
      <c r="L90">
        <v>22</v>
      </c>
      <c r="M90">
        <f t="shared" si="21"/>
        <v>8</v>
      </c>
      <c r="N90">
        <f t="shared" si="0"/>
        <v>2200</v>
      </c>
      <c r="O90">
        <f t="shared" si="1"/>
        <v>2090</v>
      </c>
      <c r="P90">
        <f t="shared" si="2"/>
        <v>2310</v>
      </c>
      <c r="Q90">
        <f t="shared" si="10"/>
        <v>0</v>
      </c>
      <c r="R90" s="126">
        <f t="shared" si="16"/>
        <v>1.4372741124801369E-8</v>
      </c>
      <c r="S90" s="126">
        <f t="shared" si="17"/>
        <v>2.6241485850412307E-8</v>
      </c>
      <c r="AA90" s="126">
        <f t="shared" si="14"/>
        <v>8.7958886036204078E-8</v>
      </c>
      <c r="AB90" s="126">
        <f t="shared" si="15"/>
        <v>1.4995904248848175E-7</v>
      </c>
      <c r="AC90" s="126">
        <f t="shared" si="18"/>
        <v>1.5972281449270301E-8</v>
      </c>
      <c r="AD90" s="126">
        <f t="shared" si="19"/>
        <v>1.0892834921948502E-8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8</v>
      </c>
      <c r="N91">
        <f t="shared" si="0"/>
        <v>2400</v>
      </c>
      <c r="O91">
        <f t="shared" si="1"/>
        <v>2280</v>
      </c>
      <c r="P91">
        <f t="shared" si="2"/>
        <v>2520</v>
      </c>
      <c r="Q91">
        <f t="shared" si="10"/>
        <v>0</v>
      </c>
      <c r="R91" s="126">
        <f t="shared" si="16"/>
        <v>1.5679353944398509E-8</v>
      </c>
      <c r="S91" s="126">
        <f t="shared" si="17"/>
        <v>2.861386656493642E-8</v>
      </c>
      <c r="AA91" s="126">
        <f t="shared" si="14"/>
        <v>9.5955148342360138E-8</v>
      </c>
      <c r="AB91" s="126">
        <f t="shared" si="15"/>
        <v>1.6351619936580799E-7</v>
      </c>
      <c r="AC91" s="126">
        <f t="shared" si="18"/>
        <v>1.5688602812008374E-8</v>
      </c>
      <c r="AD91" s="126">
        <f t="shared" si="19"/>
        <v>1.0820717631253604E-8</v>
      </c>
      <c r="AE91" s="128"/>
    </row>
    <row r="92" spans="1:31" x14ac:dyDescent="0.35">
      <c r="A92" t="s">
        <v>324</v>
      </c>
      <c r="B92" s="1">
        <f>K21-B93</f>
        <v>12.861569723139446</v>
      </c>
      <c r="C92" s="1">
        <f>K21-C93</f>
        <v>0</v>
      </c>
      <c r="D92" s="1">
        <f>K21-D93</f>
        <v>12.861569723139446</v>
      </c>
      <c r="E92" s="1">
        <f>K21-E93</f>
        <v>0</v>
      </c>
      <c r="F92" s="1">
        <f>K21-F93</f>
        <v>0</v>
      </c>
      <c r="G92" s="1">
        <f>K22-G93</f>
        <v>0</v>
      </c>
      <c r="H92" s="1">
        <f>K22-H93</f>
        <v>7.0515697231394467</v>
      </c>
      <c r="K92">
        <v>100</v>
      </c>
      <c r="L92">
        <v>27</v>
      </c>
      <c r="M92">
        <f t="shared" si="21"/>
        <v>8</v>
      </c>
      <c r="N92">
        <f t="shared" si="0"/>
        <v>2700</v>
      </c>
      <c r="O92">
        <f t="shared" si="1"/>
        <v>2565</v>
      </c>
      <c r="P92">
        <f t="shared" si="2"/>
        <v>2835</v>
      </c>
      <c r="Q92">
        <f t="shared" si="10"/>
        <v>0</v>
      </c>
      <c r="R92" s="126">
        <f t="shared" si="16"/>
        <v>1.7639273170691017E-8</v>
      </c>
      <c r="S92" s="126">
        <f t="shared" si="17"/>
        <v>3.2172437631627356E-8</v>
      </c>
      <c r="AA92" s="126">
        <f t="shared" si="14"/>
        <v>1.0794954178260311E-7</v>
      </c>
      <c r="AB92" s="126">
        <f t="shared" si="15"/>
        <v>1.838519346526802E-7</v>
      </c>
      <c r="AC92" s="126">
        <f t="shared" si="18"/>
        <v>1.5363444017961118E-8</v>
      </c>
      <c r="AD92" s="126">
        <f t="shared" si="19"/>
        <v>1.073466793496042E-8</v>
      </c>
      <c r="AE92" s="128"/>
    </row>
    <row r="93" spans="1:31" x14ac:dyDescent="0.35">
      <c r="A93" t="s">
        <v>327</v>
      </c>
      <c r="B93" s="1">
        <f>K21*(1-MAX(K25,K24))</f>
        <v>0</v>
      </c>
      <c r="C93" s="1">
        <f>K21*(1-MIN(K25,K24))</f>
        <v>12.861569723139446</v>
      </c>
      <c r="D93" s="1">
        <f>K21*(1-MAX(K25,K24))</f>
        <v>0</v>
      </c>
      <c r="E93" s="1">
        <f>K21*(1-MIN(K25,K24))</f>
        <v>12.861569723139446</v>
      </c>
      <c r="F93" s="125">
        <f>K21*(1-MIN(K25,K24))</f>
        <v>12.861569723139446</v>
      </c>
      <c r="G93" s="125">
        <f>K22*(1-MIN(K25,K24))</f>
        <v>7.0515697231394467</v>
      </c>
      <c r="H93" s="1">
        <f>K22*(1-MAX(K25,K24))</f>
        <v>0</v>
      </c>
      <c r="K93">
        <v>100</v>
      </c>
      <c r="L93">
        <v>30</v>
      </c>
      <c r="M93">
        <f t="shared" si="21"/>
        <v>8</v>
      </c>
      <c r="N93">
        <f t="shared" si="0"/>
        <v>3000</v>
      </c>
      <c r="O93">
        <f t="shared" si="1"/>
        <v>2850</v>
      </c>
      <c r="P93">
        <f t="shared" si="2"/>
        <v>3150</v>
      </c>
      <c r="Q93">
        <f t="shared" si="10"/>
        <v>0</v>
      </c>
      <c r="R93" s="126">
        <f t="shared" si="16"/>
        <v>1.9599192393259673E-8</v>
      </c>
      <c r="S93" s="126">
        <f t="shared" si="17"/>
        <v>3.573100869220402E-8</v>
      </c>
      <c r="AA93" s="126">
        <f t="shared" si="14"/>
        <v>1.199439352000567E-7</v>
      </c>
      <c r="AB93" s="126">
        <f t="shared" si="15"/>
        <v>2.0418766990461196E-7</v>
      </c>
      <c r="AC93" s="126">
        <f t="shared" si="18"/>
        <v>1.5118568007687945E-8</v>
      </c>
      <c r="AD93" s="126">
        <f t="shared" si="19"/>
        <v>1.066744626881905E-8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8</v>
      </c>
      <c r="N94">
        <f t="shared" si="0"/>
        <v>3300</v>
      </c>
      <c r="O94">
        <f t="shared" si="1"/>
        <v>3135</v>
      </c>
      <c r="P94">
        <f t="shared" si="2"/>
        <v>3465</v>
      </c>
      <c r="Q94">
        <f t="shared" si="10"/>
        <v>0</v>
      </c>
      <c r="R94" s="126">
        <f t="shared" si="16"/>
        <v>2.1559111612104485E-8</v>
      </c>
      <c r="S94" s="126">
        <f t="shared" si="17"/>
        <v>3.9289579746666416E-8</v>
      </c>
      <c r="AA94" s="126">
        <f t="shared" si="14"/>
        <v>1.3193832859472097E-7</v>
      </c>
      <c r="AB94" s="126">
        <f t="shared" si="15"/>
        <v>2.2452340512160324E-7</v>
      </c>
      <c r="AC94" s="126">
        <f t="shared" si="18"/>
        <v>1.4927330992257081E-8</v>
      </c>
      <c r="AD94" s="126">
        <f t="shared" si="19"/>
        <v>1.0613492691354451E-8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8</v>
      </c>
      <c r="N95">
        <f t="shared" si="0"/>
        <v>3600</v>
      </c>
      <c r="O95">
        <f t="shared" si="1"/>
        <v>3420</v>
      </c>
      <c r="P95">
        <f t="shared" si="2"/>
        <v>3780</v>
      </c>
      <c r="Q95">
        <f t="shared" si="10"/>
        <v>0</v>
      </c>
      <c r="R95" s="126">
        <f t="shared" si="16"/>
        <v>2.3519030827225449E-8</v>
      </c>
      <c r="S95" s="126">
        <f t="shared" si="17"/>
        <v>4.2848150795014539E-8</v>
      </c>
      <c r="AA95" s="126">
        <f t="shared" si="14"/>
        <v>1.4393272196659587E-7</v>
      </c>
      <c r="AB95" s="126">
        <f t="shared" si="15"/>
        <v>2.4485914030365399E-7</v>
      </c>
      <c r="AC95" s="126">
        <f t="shared" si="18"/>
        <v>1.4773761615554479E-8</v>
      </c>
      <c r="AD95" s="126">
        <f t="shared" si="19"/>
        <v>1.0569237612954598E-8</v>
      </c>
      <c r="AE95" s="128"/>
    </row>
    <row r="96" spans="1:31" x14ac:dyDescent="0.35">
      <c r="A96" t="s">
        <v>333</v>
      </c>
      <c r="B96" s="11">
        <f>F3*(1-G3)</f>
        <v>900000000000</v>
      </c>
      <c r="C96" s="11">
        <f>1/(1/(F3*(1+H3))+1/(N3*(1+P3)))</f>
        <v>99.999999990909089</v>
      </c>
      <c r="D96" s="11">
        <f>1/(1/(F3*(1-G3))+1/(N3*(1-O3)))</f>
        <v>39.999999998222222</v>
      </c>
      <c r="E96" s="11">
        <f>1/(1/(F3*(1+H3))+1/(N3*(1+P3)))</f>
        <v>99.999999990909089</v>
      </c>
      <c r="F96" s="11">
        <f>1/(1/(F3*(1+H3))+1/(N3*(1+P3)))</f>
        <v>99.999999990909089</v>
      </c>
      <c r="G96">
        <f>1/(1/(F3*(1+H3))+1/(N3*(1+P3)))</f>
        <v>99.999999990909089</v>
      </c>
      <c r="H96">
        <f>1/(1/(F3*(1-G3))+1/(N3*(1-O3)))</f>
        <v>39.999999998222222</v>
      </c>
      <c r="K96">
        <v>100</v>
      </c>
      <c r="L96">
        <v>39</v>
      </c>
      <c r="M96">
        <f t="shared" si="21"/>
        <v>8</v>
      </c>
      <c r="N96">
        <f t="shared" si="0"/>
        <v>3900</v>
      </c>
      <c r="O96">
        <f t="shared" si="1"/>
        <v>3705</v>
      </c>
      <c r="P96">
        <f t="shared" si="2"/>
        <v>4095</v>
      </c>
      <c r="Q96">
        <f t="shared" si="10"/>
        <v>0</v>
      </c>
      <c r="R96" s="126">
        <f t="shared" si="16"/>
        <v>2.5478950038622568E-8</v>
      </c>
      <c r="S96" s="126">
        <f t="shared" si="17"/>
        <v>4.6406721837248387E-8</v>
      </c>
      <c r="AA96" s="126">
        <f t="shared" si="14"/>
        <v>1.5592711531568143E-7</v>
      </c>
      <c r="AB96" s="126">
        <f t="shared" si="15"/>
        <v>2.6519487545076426E-7</v>
      </c>
      <c r="AC96" s="126">
        <f t="shared" si="18"/>
        <v>1.4647682639019039E-8</v>
      </c>
      <c r="AD96" s="126">
        <f t="shared" si="19"/>
        <v>1.0532285115304631E-8</v>
      </c>
      <c r="AE96" s="128"/>
    </row>
    <row r="97" spans="1:31" x14ac:dyDescent="0.35">
      <c r="K97">
        <v>100</v>
      </c>
      <c r="L97">
        <v>43</v>
      </c>
      <c r="M97">
        <f t="shared" si="21"/>
        <v>8</v>
      </c>
      <c r="N97">
        <f t="shared" si="0"/>
        <v>4300</v>
      </c>
      <c r="O97">
        <f t="shared" si="1"/>
        <v>4085</v>
      </c>
      <c r="P97">
        <f t="shared" si="2"/>
        <v>4515</v>
      </c>
      <c r="Q97">
        <f t="shared" si="10"/>
        <v>0</v>
      </c>
      <c r="R97" s="126">
        <f t="shared" si="16"/>
        <v>2.8092175648026074E-8</v>
      </c>
      <c r="S97" s="126">
        <f t="shared" si="17"/>
        <v>5.1151483217382434E-8</v>
      </c>
      <c r="AA97" s="126">
        <f t="shared" si="14"/>
        <v>1.7191963974567874E-7</v>
      </c>
      <c r="AB97" s="126">
        <f t="shared" si="15"/>
        <v>2.9230918892589279E-7</v>
      </c>
      <c r="AC97" s="126">
        <f t="shared" si="18"/>
        <v>1.4510900869997481E-8</v>
      </c>
      <c r="AD97" s="126">
        <f t="shared" si="19"/>
        <v>1.0491563698346561E-8</v>
      </c>
      <c r="AE97" s="128"/>
    </row>
    <row r="98" spans="1:31" x14ac:dyDescent="0.35">
      <c r="A98" t="s">
        <v>344</v>
      </c>
      <c r="B98">
        <v>1</v>
      </c>
      <c r="C98">
        <v>1</v>
      </c>
      <c r="D98">
        <v>1</v>
      </c>
      <c r="E98">
        <v>1</v>
      </c>
      <c r="F98">
        <v>1</v>
      </c>
      <c r="G98">
        <v>1</v>
      </c>
      <c r="H98">
        <v>1</v>
      </c>
      <c r="K98">
        <v>100</v>
      </c>
      <c r="L98">
        <v>47</v>
      </c>
      <c r="M98">
        <f t="shared" si="21"/>
        <v>8</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3.0705401250809408E-8</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5.5896244586646666E-8</v>
      </c>
      <c r="AA98" s="126">
        <f t="shared" si="14"/>
        <v>1.8791216413516166E-7</v>
      </c>
      <c r="AB98" s="126">
        <f t="shared" si="15"/>
        <v>3.1942350233890491E-7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1.4400416062552594E-8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1.0458191226902306E-8</v>
      </c>
      <c r="AE98" s="128"/>
    </row>
    <row r="99" spans="1:31" x14ac:dyDescent="0.35">
      <c r="A99" t="s">
        <v>345</v>
      </c>
      <c r="B99">
        <v>1</v>
      </c>
      <c r="C99">
        <v>1</v>
      </c>
      <c r="D99">
        <v>1</v>
      </c>
      <c r="E99">
        <v>1</v>
      </c>
      <c r="F99">
        <v>1</v>
      </c>
      <c r="G99">
        <v>1</v>
      </c>
      <c r="H99">
        <v>1</v>
      </c>
      <c r="K99">
        <v>100</v>
      </c>
      <c r="L99">
        <v>51</v>
      </c>
      <c r="M99">
        <f t="shared" si="21"/>
        <v>8</v>
      </c>
      <c r="N99">
        <f t="shared" si="23"/>
        <v>5100</v>
      </c>
      <c r="O99">
        <f t="shared" si="24"/>
        <v>4845</v>
      </c>
      <c r="P99">
        <f t="shared" si="25"/>
        <v>5355</v>
      </c>
      <c r="Q99">
        <f t="shared" ref="Q99:Q129" si="30">IF($Q$2="N/A",IF(AND((O99&gt;=MAX($H$7:$I$7)),(P99&lt;=MIN($F$7:$G$7)),(P99&lt;=MIN($B$7:$C$7)),(O99&gt;=MAX($D$7:$E$7))),1,0),IF(AND((O99&gt;=MAX($I$7)),(P99&lt;=MIN($G$7)),(P99&lt;=MIN($C$7)),(O99&gt;=MAX($E$7))),1,0))</f>
        <v>0</v>
      </c>
      <c r="R99" s="126">
        <f t="shared" si="26"/>
        <v>3.3318626846972585E-8</v>
      </c>
      <c r="S99" s="126">
        <f t="shared" si="27"/>
        <v>6.064100594504109E-8</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2.0390468848413026E-7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3.465378156898006E-7</v>
      </c>
      <c r="AC99" s="126">
        <f t="shared" si="28"/>
        <v>1.4309292715924381E-8</v>
      </c>
      <c r="AD99" s="126">
        <f t="shared" si="29"/>
        <v>1.0430344692368482E-8</v>
      </c>
      <c r="AE99" s="128"/>
    </row>
    <row r="100" spans="1:31" x14ac:dyDescent="0.35">
      <c r="A100" t="s">
        <v>346</v>
      </c>
      <c r="B100">
        <v>1</v>
      </c>
      <c r="C100">
        <v>1</v>
      </c>
      <c r="D100">
        <v>1</v>
      </c>
      <c r="E100">
        <v>1</v>
      </c>
      <c r="F100">
        <v>1</v>
      </c>
      <c r="G100">
        <v>1</v>
      </c>
      <c r="H100">
        <v>1</v>
      </c>
      <c r="K100">
        <v>100</v>
      </c>
      <c r="L100">
        <v>56</v>
      </c>
      <c r="M100">
        <f t="shared" si="21"/>
        <v>8</v>
      </c>
      <c r="N100">
        <f t="shared" si="23"/>
        <v>5600</v>
      </c>
      <c r="O100">
        <f t="shared" si="24"/>
        <v>5320</v>
      </c>
      <c r="P100">
        <f t="shared" si="25"/>
        <v>5880</v>
      </c>
      <c r="Q100">
        <f t="shared" si="30"/>
        <v>0</v>
      </c>
      <c r="R100" s="126">
        <f t="shared" si="26"/>
        <v>3.6585158832866914E-8</v>
      </c>
      <c r="S100" s="126">
        <f t="shared" si="27"/>
        <v>6.6571957627748411E-8</v>
      </c>
      <c r="AA100" s="126">
        <f t="shared" si="31"/>
        <v>2.2389534386336748E-7</v>
      </c>
      <c r="AB100" s="126">
        <f t="shared" si="32"/>
        <v>3.8043070729106889E-7</v>
      </c>
      <c r="AC100" s="126">
        <f t="shared" si="28"/>
        <v>1.4215613695445872E-8</v>
      </c>
      <c r="AD100" s="126">
        <f t="shared" si="29"/>
        <v>1.0401414067251967E-8</v>
      </c>
      <c r="AE100" s="128"/>
    </row>
    <row r="101" spans="1:31" x14ac:dyDescent="0.35">
      <c r="K101">
        <v>100</v>
      </c>
      <c r="L101">
        <v>62</v>
      </c>
      <c r="M101">
        <f t="shared" si="21"/>
        <v>8</v>
      </c>
      <c r="N101">
        <f t="shared" si="23"/>
        <v>6200</v>
      </c>
      <c r="O101">
        <f t="shared" si="24"/>
        <v>5890</v>
      </c>
      <c r="P101">
        <f t="shared" si="25"/>
        <v>6510</v>
      </c>
      <c r="Q101">
        <f t="shared" si="30"/>
        <v>0</v>
      </c>
      <c r="R101" s="126">
        <f t="shared" si="26"/>
        <v>4.050499720228602E-8</v>
      </c>
      <c r="S101" s="126">
        <f t="shared" si="27"/>
        <v>7.3689099624578214E-8</v>
      </c>
      <c r="AA101" s="126">
        <f t="shared" si="31"/>
        <v>2.4788413023489136E-7</v>
      </c>
      <c r="AB101" s="126">
        <f t="shared" si="32"/>
        <v>4.2110217708447575E-7</v>
      </c>
      <c r="AC101" s="126">
        <f t="shared" si="28"/>
        <v>1.412500057998047E-8</v>
      </c>
      <c r="AD101" s="126">
        <f t="shared" si="29"/>
        <v>1.0373138651171638E-8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0.99999883098707931</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0.10618650892234761</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3.6697246244113801E-2</v>
      </c>
      <c r="E102" s="12">
        <f>IF(Summary!W50="absolute",(R2-N7)/(J3+J3*Summary!W18),R2-N7)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0.10618650901231634</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0.10127373507729144</v>
      </c>
      <c r="H102" s="12">
        <f t="shared" si="33"/>
        <v>3.6697246239262717E-2</v>
      </c>
      <c r="K102">
        <v>100</v>
      </c>
      <c r="L102">
        <v>68</v>
      </c>
      <c r="M102">
        <f t="shared" si="21"/>
        <v>8</v>
      </c>
      <c r="N102">
        <f t="shared" si="23"/>
        <v>6800</v>
      </c>
      <c r="O102">
        <f t="shared" si="24"/>
        <v>6460</v>
      </c>
      <c r="P102">
        <f t="shared" si="25"/>
        <v>7140</v>
      </c>
      <c r="Q102">
        <f t="shared" si="30"/>
        <v>0</v>
      </c>
      <c r="R102" s="126">
        <f t="shared" si="26"/>
        <v>4.442483555680974E-8</v>
      </c>
      <c r="S102" s="126">
        <f t="shared" si="27"/>
        <v>8.0806241596950946E-8</v>
      </c>
      <c r="AA102" s="126">
        <f t="shared" si="31"/>
        <v>2.7187291651525777E-7</v>
      </c>
      <c r="AB102" s="126">
        <f t="shared" si="32"/>
        <v>4.6177364673812079E-7</v>
      </c>
      <c r="AC102" s="126">
        <f t="shared" si="28"/>
        <v>1.4051716193290273E-8</v>
      </c>
      <c r="AD102" s="126">
        <f t="shared" si="29"/>
        <v>1.0350061457739996E-8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0.99999883100136977</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0.10618650892234761</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3.6697246233374975E-2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0.10618650901231634</v>
      </c>
      <c r="K103">
        <v>100</v>
      </c>
      <c r="L103">
        <v>75</v>
      </c>
      <c r="M103">
        <f t="shared" si="21"/>
        <v>8</v>
      </c>
      <c r="N103">
        <f t="shared" si="23"/>
        <v>7500</v>
      </c>
      <c r="O103">
        <f t="shared" si="24"/>
        <v>7125</v>
      </c>
      <c r="P103">
        <f t="shared" si="25"/>
        <v>7875</v>
      </c>
      <c r="Q103">
        <f t="shared" si="30"/>
        <v>0</v>
      </c>
      <c r="R103" s="126">
        <f t="shared" si="26"/>
        <v>4.8997980284927967E-8</v>
      </c>
      <c r="S103" s="126">
        <f t="shared" si="27"/>
        <v>8.9109573867141398E-8</v>
      </c>
      <c r="AA103" s="126">
        <f t="shared" si="31"/>
        <v>2.9985983372713916E-7</v>
      </c>
      <c r="AB103" s="126">
        <f t="shared" si="32"/>
        <v>5.0922369449072961E-7</v>
      </c>
      <c r="AC103" s="126">
        <f t="shared" si="28"/>
        <v>1.3982146973901068E-8</v>
      </c>
      <c r="AD103" s="126">
        <f t="shared" si="29"/>
        <v>1.0327981691659462E-8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0.99999883100136977</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9.4085621168197103E-2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3.6697246233374975E-2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0.88604119404361215</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9.4085621259383884E-2</v>
      </c>
      <c r="K104">
        <v>100</v>
      </c>
      <c r="L104">
        <v>82</v>
      </c>
      <c r="M104">
        <f t="shared" si="21"/>
        <v>8</v>
      </c>
      <c r="N104">
        <f t="shared" si="23"/>
        <v>8200</v>
      </c>
      <c r="O104">
        <f t="shared" si="24"/>
        <v>7790</v>
      </c>
      <c r="P104">
        <f t="shared" si="25"/>
        <v>8610</v>
      </c>
      <c r="Q104">
        <f t="shared" si="30"/>
        <v>0</v>
      </c>
      <c r="R104" s="126">
        <f t="shared" si="26"/>
        <v>5.3571124992771918E-8</v>
      </c>
      <c r="S104" s="126">
        <f t="shared" si="27"/>
        <v>9.7412906104043032E-8</v>
      </c>
      <c r="AA104" s="126">
        <f t="shared" si="31"/>
        <v>3.2784675081494515E-7</v>
      </c>
      <c r="AB104" s="126">
        <f t="shared" si="32"/>
        <v>5.5667374205310678E-7</v>
      </c>
      <c r="AC104" s="126">
        <f t="shared" si="28"/>
        <v>1.3925259744555206E-8</v>
      </c>
      <c r="AD104" s="126">
        <f t="shared" si="29"/>
        <v>1.0309802469593773E-8</v>
      </c>
      <c r="AE104" s="128"/>
    </row>
    <row r="105" spans="1:31" x14ac:dyDescent="0.35">
      <c r="K105">
        <v>100</v>
      </c>
      <c r="L105">
        <v>91</v>
      </c>
      <c r="M105">
        <f t="shared" si="21"/>
        <v>8</v>
      </c>
      <c r="N105">
        <f t="shared" si="23"/>
        <v>9100</v>
      </c>
      <c r="O105">
        <f t="shared" si="24"/>
        <v>8645</v>
      </c>
      <c r="P105">
        <f t="shared" si="25"/>
        <v>9555</v>
      </c>
      <c r="Q105">
        <f t="shared" si="30"/>
        <v>0</v>
      </c>
      <c r="R105" s="126">
        <f t="shared" si="26"/>
        <v>5.9450882444494809E-8</v>
      </c>
      <c r="S105" s="126">
        <f t="shared" si="27"/>
        <v>1.0808861893114528E-7</v>
      </c>
      <c r="AA105" s="126">
        <f t="shared" si="31"/>
        <v>3.6382992974552394E-7</v>
      </c>
      <c r="AB105" s="126">
        <f t="shared" si="32"/>
        <v>6.1768094578235377E-7</v>
      </c>
      <c r="AC105" s="126">
        <f t="shared" si="28"/>
        <v>1.3865754980163213E-8</v>
      </c>
      <c r="AD105" s="126">
        <f t="shared" si="29"/>
        <v>1.0290667364606421E-8</v>
      </c>
      <c r="AE105" s="128"/>
    </row>
    <row r="106" spans="1:31" x14ac:dyDescent="0.35">
      <c r="K106">
        <v>1000</v>
      </c>
      <c r="L106">
        <v>10</v>
      </c>
      <c r="M106">
        <f t="shared" si="21"/>
        <v>8</v>
      </c>
      <c r="N106">
        <f t="shared" si="23"/>
        <v>10000</v>
      </c>
      <c r="O106">
        <f t="shared" si="24"/>
        <v>9500</v>
      </c>
      <c r="P106">
        <f t="shared" si="25"/>
        <v>10500</v>
      </c>
      <c r="Q106">
        <f t="shared" si="30"/>
        <v>0</v>
      </c>
      <c r="R106" s="126">
        <f t="shared" si="26"/>
        <v>6.5330639862703088E-8</v>
      </c>
      <c r="S106" s="126">
        <f t="shared" si="27"/>
        <v>1.1876433170321906E-7</v>
      </c>
      <c r="AA106" s="126">
        <f t="shared" si="31"/>
        <v>3.9981310847099858E-7</v>
      </c>
      <c r="AB106" s="126">
        <f t="shared" si="32"/>
        <v>6.7868814919713618E-7</v>
      </c>
      <c r="AC106" s="126">
        <f t="shared" si="28"/>
        <v>1.381754381547806E-8</v>
      </c>
      <c r="AD106" s="126">
        <f t="shared" si="29"/>
        <v>1.0275074734275393E-8</v>
      </c>
      <c r="AE106" s="128"/>
    </row>
    <row r="107" spans="1:31" x14ac:dyDescent="0.35">
      <c r="K107">
        <v>1000</v>
      </c>
      <c r="L107">
        <v>11</v>
      </c>
      <c r="M107">
        <f t="shared" si="21"/>
        <v>8</v>
      </c>
      <c r="N107">
        <f t="shared" si="23"/>
        <v>11000</v>
      </c>
      <c r="O107">
        <f t="shared" si="24"/>
        <v>10450</v>
      </c>
      <c r="P107">
        <f t="shared" si="25"/>
        <v>11550</v>
      </c>
      <c r="Q107">
        <f t="shared" si="30"/>
        <v>0</v>
      </c>
      <c r="R107" s="126">
        <f t="shared" si="26"/>
        <v>7.1863703621405005E-8</v>
      </c>
      <c r="S107" s="126">
        <f t="shared" si="27"/>
        <v>1.306262347187615E-7</v>
      </c>
      <c r="AA107" s="126">
        <f t="shared" si="31"/>
        <v>4.3979441792541614E-7</v>
      </c>
      <c r="AB107" s="126">
        <f t="shared" si="32"/>
        <v>7.4647393040030041E-7</v>
      </c>
      <c r="AC107" s="126">
        <f t="shared" si="28"/>
        <v>1.3773682269932901E-8</v>
      </c>
      <c r="AD107" s="126">
        <f t="shared" si="29"/>
        <v>1.0260819706599638E-8</v>
      </c>
      <c r="AE107" s="128"/>
    </row>
    <row r="108" spans="1:31" x14ac:dyDescent="0.35">
      <c r="K108">
        <v>1000</v>
      </c>
      <c r="L108">
        <v>12</v>
      </c>
      <c r="M108">
        <f t="shared" si="21"/>
        <v>8</v>
      </c>
      <c r="N108">
        <f t="shared" si="23"/>
        <v>12000</v>
      </c>
      <c r="O108">
        <f t="shared" si="24"/>
        <v>11400</v>
      </c>
      <c r="P108">
        <f t="shared" si="25"/>
        <v>12600</v>
      </c>
      <c r="Q108">
        <f t="shared" si="30"/>
        <v>0</v>
      </c>
      <c r="R108" s="126">
        <f t="shared" si="26"/>
        <v>7.839676733873087E-8</v>
      </c>
      <c r="S108" s="126">
        <f t="shared" si="27"/>
        <v>1.4248813766636764E-7</v>
      </c>
      <c r="AA108" s="126">
        <f t="shared" si="31"/>
        <v>4.7977572712661881E-7</v>
      </c>
      <c r="AB108" s="126">
        <f t="shared" si="32"/>
        <v>8.1425971121523726E-7</v>
      </c>
      <c r="AC108" s="126">
        <f t="shared" si="28"/>
        <v>1.3737457294248735E-8</v>
      </c>
      <c r="AD108" s="126">
        <f t="shared" si="29"/>
        <v>1.0248997030316638E-8</v>
      </c>
      <c r="AE108" s="128"/>
    </row>
    <row r="109" spans="1:31" x14ac:dyDescent="0.35">
      <c r="K109">
        <v>1000</v>
      </c>
      <c r="L109">
        <v>13</v>
      </c>
      <c r="M109">
        <f t="shared" si="21"/>
        <v>8</v>
      </c>
      <c r="N109">
        <f t="shared" si="23"/>
        <v>13000</v>
      </c>
      <c r="O109">
        <f t="shared" si="24"/>
        <v>12350</v>
      </c>
      <c r="P109">
        <f t="shared" si="25"/>
        <v>13650</v>
      </c>
      <c r="Q109">
        <f t="shared" si="30"/>
        <v>0</v>
      </c>
      <c r="R109" s="126">
        <f t="shared" si="26"/>
        <v>8.4929831014680632E-8</v>
      </c>
      <c r="S109" s="126">
        <f t="shared" si="27"/>
        <v>1.5435004054603737E-7</v>
      </c>
      <c r="AA109" s="126">
        <f t="shared" si="31"/>
        <v>5.1975703607460644E-7</v>
      </c>
      <c r="AB109" s="126">
        <f t="shared" si="32"/>
        <v>8.820454916419462E-7</v>
      </c>
      <c r="AC109" s="126">
        <f t="shared" si="28"/>
        <v>1.3707033647938524E-8</v>
      </c>
      <c r="AD109" s="126">
        <f t="shared" si="29"/>
        <v>1.02390331944826E-8</v>
      </c>
      <c r="AE109" s="128"/>
    </row>
    <row r="110" spans="1:31" x14ac:dyDescent="0.35">
      <c r="K110">
        <v>1000</v>
      </c>
      <c r="L110">
        <v>15</v>
      </c>
      <c r="M110">
        <f t="shared" si="21"/>
        <v>8</v>
      </c>
      <c r="N110">
        <f t="shared" si="23"/>
        <v>15000</v>
      </c>
      <c r="O110">
        <f t="shared" si="24"/>
        <v>14250</v>
      </c>
      <c r="P110">
        <f t="shared" si="25"/>
        <v>15750</v>
      </c>
      <c r="Q110">
        <f t="shared" si="30"/>
        <v>0</v>
      </c>
      <c r="R110" s="126">
        <f t="shared" si="26"/>
        <v>9.7995958242452017E-8</v>
      </c>
      <c r="S110" s="126">
        <f t="shared" si="27"/>
        <v>1.7807384610156781E-7</v>
      </c>
      <c r="AA110" s="126">
        <f t="shared" si="31"/>
        <v>5.9971965321093702E-7</v>
      </c>
      <c r="AB110" s="126">
        <f t="shared" si="32"/>
        <v>1.0176170513306812E-6</v>
      </c>
      <c r="AC110" s="126">
        <f t="shared" si="28"/>
        <v>1.3658784288838416E-8</v>
      </c>
      <c r="AD110" s="126">
        <f t="shared" si="29"/>
        <v>1.0223166942023374E-8</v>
      </c>
      <c r="AE110" s="128"/>
    </row>
    <row r="111" spans="1:31" x14ac:dyDescent="0.35">
      <c r="K111">
        <v>1000</v>
      </c>
      <c r="L111">
        <v>16</v>
      </c>
      <c r="M111">
        <f t="shared" si="21"/>
        <v>8</v>
      </c>
      <c r="N111">
        <f t="shared" si="23"/>
        <v>16000</v>
      </c>
      <c r="O111">
        <f t="shared" si="24"/>
        <v>15200</v>
      </c>
      <c r="P111">
        <f t="shared" si="25"/>
        <v>16800</v>
      </c>
      <c r="Q111">
        <f t="shared" si="30"/>
        <v>0</v>
      </c>
      <c r="R111" s="126">
        <f t="shared" si="26"/>
        <v>1.0452902179427359E-7</v>
      </c>
      <c r="S111" s="126">
        <f t="shared" si="27"/>
        <v>1.8993574877742852E-7</v>
      </c>
      <c r="AA111" s="126">
        <f t="shared" si="31"/>
        <v>6.3970096139927977E-7</v>
      </c>
      <c r="AB111" s="126">
        <f t="shared" si="32"/>
        <v>1.0854028305927074E-6</v>
      </c>
      <c r="AC111" s="126">
        <f t="shared" si="28"/>
        <v>1.3639331629710255E-8</v>
      </c>
      <c r="AD111" s="126">
        <f t="shared" si="29"/>
        <v>1.0216747859489086E-8</v>
      </c>
      <c r="AE111" s="128"/>
    </row>
    <row r="112" spans="1:31" x14ac:dyDescent="0.35">
      <c r="K112">
        <v>1000</v>
      </c>
      <c r="L112">
        <v>18</v>
      </c>
      <c r="M112">
        <f t="shared" si="21"/>
        <v>8</v>
      </c>
      <c r="N112">
        <f t="shared" si="23"/>
        <v>18000</v>
      </c>
      <c r="O112">
        <f t="shared" si="24"/>
        <v>17100</v>
      </c>
      <c r="P112">
        <f t="shared" si="25"/>
        <v>18900</v>
      </c>
      <c r="Q112">
        <f t="shared" si="30"/>
        <v>0</v>
      </c>
      <c r="R112" s="126">
        <f t="shared" si="26"/>
        <v>1.1759514877378855E-7</v>
      </c>
      <c r="S112" s="126">
        <f t="shared" si="27"/>
        <v>2.1365955392534081E-7</v>
      </c>
      <c r="AA112" s="126">
        <f t="shared" si="31"/>
        <v>7.1966357701632072E-7</v>
      </c>
      <c r="AB112" s="126">
        <f t="shared" si="32"/>
        <v>1.2209743879520765E-6</v>
      </c>
      <c r="AC112" s="126">
        <f t="shared" si="28"/>
        <v>1.3607098809399267E-8</v>
      </c>
      <c r="AD112" s="126">
        <f t="shared" si="29"/>
        <v>1.0206083394042447E-8</v>
      </c>
      <c r="AE112" s="128"/>
    </row>
    <row r="113" spans="11:31" x14ac:dyDescent="0.35">
      <c r="K113">
        <v>1000</v>
      </c>
      <c r="L113">
        <v>20</v>
      </c>
      <c r="M113">
        <f t="shared" si="21"/>
        <v>8</v>
      </c>
      <c r="N113">
        <f t="shared" si="23"/>
        <v>20000</v>
      </c>
      <c r="O113">
        <f t="shared" si="24"/>
        <v>19000</v>
      </c>
      <c r="P113">
        <f t="shared" si="25"/>
        <v>21000</v>
      </c>
      <c r="Q113">
        <f t="shared" si="30"/>
        <v>0</v>
      </c>
      <c r="R113" s="126">
        <f t="shared" si="26"/>
        <v>1.3066127558779925E-7</v>
      </c>
      <c r="S113" s="126">
        <f t="shared" si="27"/>
        <v>2.3738335880150782E-7</v>
      </c>
      <c r="AA113" s="126">
        <f t="shared" si="31"/>
        <v>7.9962619162050189E-7</v>
      </c>
      <c r="AB113" s="126">
        <f t="shared" si="32"/>
        <v>1.3565459437585355E-6</v>
      </c>
      <c r="AC113" s="126">
        <f t="shared" si="28"/>
        <v>1.3581480232563308E-8</v>
      </c>
      <c r="AD113" s="126">
        <f t="shared" si="29"/>
        <v>1.0197582339282917E-8</v>
      </c>
      <c r="AE113" s="128"/>
    </row>
    <row r="114" spans="11:31" x14ac:dyDescent="0.35">
      <c r="K114">
        <v>1000</v>
      </c>
      <c r="L114">
        <v>22</v>
      </c>
      <c r="M114">
        <f t="shared" si="21"/>
        <v>8</v>
      </c>
      <c r="N114">
        <f t="shared" si="23"/>
        <v>22000</v>
      </c>
      <c r="O114">
        <f t="shared" si="24"/>
        <v>20900</v>
      </c>
      <c r="P114">
        <f t="shared" si="25"/>
        <v>23100</v>
      </c>
      <c r="Q114">
        <f t="shared" si="30"/>
        <v>0</v>
      </c>
      <c r="R114" s="126">
        <f t="shared" si="26"/>
        <v>1.4372740223630565E-7</v>
      </c>
      <c r="S114" s="126">
        <f t="shared" si="27"/>
        <v>2.6110716340592939E-7</v>
      </c>
      <c r="AA114" s="126">
        <f t="shared" si="31"/>
        <v>8.795888052118232E-7</v>
      </c>
      <c r="AB114" s="126">
        <f t="shared" si="32"/>
        <v>1.492117498012084E-6</v>
      </c>
      <c r="AC114" s="126">
        <f t="shared" si="28"/>
        <v>1.3560629261672253E-8</v>
      </c>
      <c r="AD114" s="126">
        <f t="shared" si="29"/>
        <v>1.019064704904988E-8</v>
      </c>
      <c r="AE114" s="128"/>
    </row>
    <row r="115" spans="11:31" x14ac:dyDescent="0.35">
      <c r="K115">
        <v>1000</v>
      </c>
      <c r="L115">
        <v>24</v>
      </c>
      <c r="M115">
        <f t="shared" si="21"/>
        <v>8</v>
      </c>
      <c r="N115">
        <f t="shared" si="23"/>
        <v>24000</v>
      </c>
      <c r="O115">
        <f t="shared" si="24"/>
        <v>22800</v>
      </c>
      <c r="P115">
        <f t="shared" si="25"/>
        <v>25200</v>
      </c>
      <c r="Q115">
        <f t="shared" si="30"/>
        <v>0</v>
      </c>
      <c r="R115" s="126">
        <f t="shared" si="26"/>
        <v>1.5679352871930785E-7</v>
      </c>
      <c r="S115" s="126">
        <f t="shared" si="27"/>
        <v>2.8483096773860559E-7</v>
      </c>
      <c r="AA115" s="126">
        <f t="shared" si="31"/>
        <v>9.5955141779028507E-7</v>
      </c>
      <c r="AB115" s="126">
        <f t="shared" si="32"/>
        <v>1.6276890507127219E-6</v>
      </c>
      <c r="AC115" s="126">
        <f t="shared" si="28"/>
        <v>1.3543328208527034E-8</v>
      </c>
      <c r="AD115" s="126">
        <f t="shared" si="29"/>
        <v>1.0184881439068587E-8</v>
      </c>
      <c r="AE115" s="128"/>
    </row>
    <row r="116" spans="11:31" x14ac:dyDescent="0.35">
      <c r="K116">
        <v>1000</v>
      </c>
      <c r="L116">
        <v>27</v>
      </c>
      <c r="M116">
        <f t="shared" si="21"/>
        <v>8</v>
      </c>
      <c r="N116">
        <f t="shared" si="23"/>
        <v>27000</v>
      </c>
      <c r="O116">
        <f t="shared" si="24"/>
        <v>25650</v>
      </c>
      <c r="P116">
        <f t="shared" si="25"/>
        <v>28350</v>
      </c>
      <c r="Q116">
        <f t="shared" si="30"/>
        <v>0</v>
      </c>
      <c r="R116" s="126">
        <f t="shared" si="26"/>
        <v>1.7639271813349061E-7</v>
      </c>
      <c r="S116" s="126">
        <f t="shared" si="27"/>
        <v>3.2041667372809735E-7</v>
      </c>
      <c r="AA116" s="126">
        <f t="shared" si="31"/>
        <v>1.0794953347588657E-6</v>
      </c>
      <c r="AB116" s="126">
        <f t="shared" si="32"/>
        <v>1.831046376851972E-6</v>
      </c>
      <c r="AC116" s="126">
        <f t="shared" si="28"/>
        <v>1.3522274027747631E-8</v>
      </c>
      <c r="AD116" s="126">
        <f t="shared" si="29"/>
        <v>1.017785158013911E-8</v>
      </c>
      <c r="AE116" s="128"/>
    </row>
    <row r="117" spans="11:31" x14ac:dyDescent="0.35">
      <c r="K117">
        <v>1000</v>
      </c>
      <c r="L117">
        <v>30</v>
      </c>
      <c r="M117">
        <f t="shared" si="21"/>
        <v>8</v>
      </c>
      <c r="N117">
        <f t="shared" si="23"/>
        <v>30000</v>
      </c>
      <c r="O117">
        <f t="shared" si="24"/>
        <v>28500</v>
      </c>
      <c r="P117">
        <f t="shared" si="25"/>
        <v>31500</v>
      </c>
      <c r="Q117">
        <f t="shared" si="30"/>
        <v>0</v>
      </c>
      <c r="R117" s="126">
        <f t="shared" si="26"/>
        <v>1.9599190717528887E-7</v>
      </c>
      <c r="S117" s="126">
        <f t="shared" si="27"/>
        <v>3.5600237910616199E-7</v>
      </c>
      <c r="AA117" s="126">
        <f t="shared" si="31"/>
        <v>1.1994392494485123E-6</v>
      </c>
      <c r="AB117" s="126">
        <f t="shared" si="32"/>
        <v>2.0344036994971735E-6</v>
      </c>
      <c r="AC117" s="126">
        <f t="shared" si="28"/>
        <v>1.3505502649443261E-8</v>
      </c>
      <c r="AD117" s="126">
        <f t="shared" si="29"/>
        <v>1.0172241127509173E-8</v>
      </c>
      <c r="AE117" s="128"/>
    </row>
    <row r="118" spans="11:31" x14ac:dyDescent="0.35">
      <c r="K118">
        <v>1000</v>
      </c>
      <c r="L118">
        <v>33</v>
      </c>
      <c r="M118">
        <f t="shared" si="21"/>
        <v>8</v>
      </c>
      <c r="N118">
        <f t="shared" si="23"/>
        <v>33000</v>
      </c>
      <c r="O118">
        <f t="shared" si="24"/>
        <v>31350</v>
      </c>
      <c r="P118">
        <f t="shared" si="25"/>
        <v>34650</v>
      </c>
      <c r="Q118">
        <f t="shared" si="30"/>
        <v>0</v>
      </c>
      <c r="R118" s="126">
        <f t="shared" si="26"/>
        <v>2.1559109584470248E-7</v>
      </c>
      <c r="S118" s="126">
        <f t="shared" si="27"/>
        <v>3.9158808387279954E-7</v>
      </c>
      <c r="AA118" s="126">
        <f t="shared" si="31"/>
        <v>1.3193831618592245E-6</v>
      </c>
      <c r="AB118" s="126">
        <f t="shared" si="32"/>
        <v>2.2377610186483269E-6</v>
      </c>
      <c r="AC118" s="126">
        <f t="shared" si="28"/>
        <v>1.3491827861317639E-8</v>
      </c>
      <c r="AD118" s="126">
        <f t="shared" si="29"/>
        <v>1.016765962240913E-8</v>
      </c>
      <c r="AE118" s="128"/>
    </row>
    <row r="119" spans="11:31" x14ac:dyDescent="0.35">
      <c r="K119">
        <v>1000</v>
      </c>
      <c r="L119">
        <v>36</v>
      </c>
      <c r="M119">
        <f t="shared" si="21"/>
        <v>8</v>
      </c>
      <c r="N119">
        <f t="shared" si="23"/>
        <v>36000</v>
      </c>
      <c r="O119">
        <f t="shared" si="24"/>
        <v>34200</v>
      </c>
      <c r="P119">
        <f t="shared" si="25"/>
        <v>37800</v>
      </c>
      <c r="Q119">
        <f t="shared" si="30"/>
        <v>0</v>
      </c>
      <c r="R119" s="126">
        <f t="shared" si="26"/>
        <v>2.3519028414173162E-7</v>
      </c>
      <c r="S119" s="126">
        <f t="shared" si="27"/>
        <v>4.2717378802801007E-7</v>
      </c>
      <c r="AA119" s="126">
        <f t="shared" si="31"/>
        <v>1.4393270719910027E-6</v>
      </c>
      <c r="AB119" s="126">
        <f t="shared" si="32"/>
        <v>2.4411183343054321E-6</v>
      </c>
      <c r="AC119" s="126">
        <f t="shared" si="28"/>
        <v>1.3480464503617036E-8</v>
      </c>
      <c r="AD119" s="126">
        <f t="shared" si="29"/>
        <v>1.0163847786800449E-8</v>
      </c>
      <c r="AE119" s="128"/>
    </row>
    <row r="120" spans="11:31" x14ac:dyDescent="0.35">
      <c r="K120">
        <v>1000</v>
      </c>
      <c r="L120">
        <v>39</v>
      </c>
      <c r="M120">
        <f t="shared" si="21"/>
        <v>8</v>
      </c>
      <c r="N120">
        <f t="shared" si="23"/>
        <v>39000</v>
      </c>
      <c r="O120">
        <f t="shared" si="24"/>
        <v>37050</v>
      </c>
      <c r="P120">
        <f t="shared" si="25"/>
        <v>40950</v>
      </c>
      <c r="Q120">
        <f t="shared" si="30"/>
        <v>0</v>
      </c>
      <c r="R120" s="126">
        <f t="shared" si="26"/>
        <v>2.5478947206637621E-7</v>
      </c>
      <c r="S120" s="126">
        <f t="shared" si="27"/>
        <v>4.6275949157179356E-7</v>
      </c>
      <c r="AA120" s="126">
        <f t="shared" si="31"/>
        <v>1.559270979843847E-6</v>
      </c>
      <c r="AB120" s="126">
        <f t="shared" si="32"/>
        <v>2.6444756464684895E-6</v>
      </c>
      <c r="AC120" s="126">
        <f t="shared" si="28"/>
        <v>1.3470872181134968E-8</v>
      </c>
      <c r="AD120" s="126">
        <f t="shared" si="29"/>
        <v>1.016062670275646E-8</v>
      </c>
      <c r="AE120" s="128"/>
    </row>
    <row r="121" spans="11:31" x14ac:dyDescent="0.35">
      <c r="K121">
        <v>1000</v>
      </c>
      <c r="L121">
        <v>43</v>
      </c>
      <c r="M121">
        <f t="shared" si="21"/>
        <v>8</v>
      </c>
      <c r="N121">
        <f t="shared" si="23"/>
        <v>43000</v>
      </c>
      <c r="O121">
        <f t="shared" si="24"/>
        <v>40850</v>
      </c>
      <c r="P121">
        <f t="shared" si="25"/>
        <v>45150</v>
      </c>
      <c r="Q121">
        <f t="shared" si="30"/>
        <v>0</v>
      </c>
      <c r="R121" s="126">
        <f t="shared" si="26"/>
        <v>2.8092172205330421E-7</v>
      </c>
      <c r="S121" s="126">
        <f t="shared" si="27"/>
        <v>5.1020709534572953E-7</v>
      </c>
      <c r="AA121" s="126">
        <f t="shared" si="31"/>
        <v>1.7191961867692977E-6</v>
      </c>
      <c r="AB121" s="126">
        <f t="shared" si="32"/>
        <v>2.9156187239173798E-6</v>
      </c>
      <c r="AC121" s="126">
        <f t="shared" si="28"/>
        <v>1.3460189081186616E-8</v>
      </c>
      <c r="AD121" s="126">
        <f t="shared" si="29"/>
        <v>1.0157035740902446E-8</v>
      </c>
      <c r="AE121" s="128"/>
    </row>
    <row r="122" spans="11:31" x14ac:dyDescent="0.35">
      <c r="K122">
        <v>1000</v>
      </c>
      <c r="L122">
        <v>47</v>
      </c>
      <c r="M122">
        <f t="shared" si="21"/>
        <v>8</v>
      </c>
      <c r="N122">
        <f t="shared" si="23"/>
        <v>47000</v>
      </c>
      <c r="O122">
        <f t="shared" si="24"/>
        <v>44650</v>
      </c>
      <c r="P122">
        <f t="shared" si="25"/>
        <v>49350</v>
      </c>
      <c r="Q122">
        <f t="shared" si="30"/>
        <v>0</v>
      </c>
      <c r="R122" s="126">
        <f t="shared" si="26"/>
        <v>3.0705397137821524E-7</v>
      </c>
      <c r="S122" s="126">
        <f t="shared" si="27"/>
        <v>5.5765469803268421E-7</v>
      </c>
      <c r="AA122" s="126">
        <f t="shared" si="31"/>
        <v>1.8791213896433102E-6</v>
      </c>
      <c r="AB122" s="126">
        <f t="shared" si="32"/>
        <v>3.1867617951546298E-6</v>
      </c>
      <c r="AC122" s="126">
        <f t="shared" si="28"/>
        <v>1.3451344011925881E-8</v>
      </c>
      <c r="AD122" s="126">
        <f t="shared" si="29"/>
        <v>1.015405974008667E-8</v>
      </c>
      <c r="AE122" s="128"/>
    </row>
    <row r="123" spans="11:31" x14ac:dyDescent="0.35">
      <c r="K123">
        <v>1000</v>
      </c>
      <c r="L123">
        <v>51</v>
      </c>
      <c r="M123">
        <f t="shared" si="21"/>
        <v>8</v>
      </c>
      <c r="N123">
        <f t="shared" si="23"/>
        <v>51000</v>
      </c>
      <c r="O123">
        <f t="shared" si="24"/>
        <v>48450</v>
      </c>
      <c r="P123">
        <f t="shared" si="25"/>
        <v>53550</v>
      </c>
      <c r="Q123">
        <f t="shared" si="30"/>
        <v>0</v>
      </c>
      <c r="R123" s="126">
        <f t="shared" si="26"/>
        <v>3.3318622004110945E-7</v>
      </c>
      <c r="S123" s="126">
        <f t="shared" si="27"/>
        <v>6.051022996326576E-7</v>
      </c>
      <c r="AA123" s="126">
        <f t="shared" si="31"/>
        <v>2.0390465884658854E-6</v>
      </c>
      <c r="AB123" s="126">
        <f t="shared" si="32"/>
        <v>3.4579048601802399E-6</v>
      </c>
      <c r="AC123" s="126">
        <f t="shared" si="28"/>
        <v>1.3443900188078096E-8</v>
      </c>
      <c r="AD123" s="126">
        <f t="shared" si="29"/>
        <v>1.0151553191354459E-8</v>
      </c>
      <c r="AE123" s="128"/>
    </row>
    <row r="124" spans="11:31" x14ac:dyDescent="0.35">
      <c r="K124">
        <v>1000</v>
      </c>
      <c r="L124">
        <v>56</v>
      </c>
      <c r="M124">
        <f t="shared" si="21"/>
        <v>8</v>
      </c>
      <c r="N124">
        <f t="shared" si="23"/>
        <v>56000</v>
      </c>
      <c r="O124">
        <f t="shared" si="24"/>
        <v>53200</v>
      </c>
      <c r="P124">
        <f t="shared" si="25"/>
        <v>58800</v>
      </c>
      <c r="Q124">
        <f t="shared" si="30"/>
        <v>0</v>
      </c>
      <c r="R124" s="126">
        <f t="shared" si="26"/>
        <v>3.6585152993876608E-7</v>
      </c>
      <c r="S124" s="126">
        <f t="shared" si="27"/>
        <v>6.6441180010405691E-7</v>
      </c>
      <c r="AA124" s="126">
        <f t="shared" si="31"/>
        <v>2.2389530812967699E-6</v>
      </c>
      <c r="AB124" s="126">
        <f t="shared" si="32"/>
        <v>3.7968336827271331E-6</v>
      </c>
      <c r="AC124" s="126">
        <f t="shared" si="28"/>
        <v>1.3436104329490743E-8</v>
      </c>
      <c r="AD124" s="126">
        <f t="shared" si="29"/>
        <v>1.0148926135593489E-8</v>
      </c>
      <c r="AE124" s="128"/>
    </row>
    <row r="125" spans="11:31" x14ac:dyDescent="0.35">
      <c r="K125">
        <v>1000</v>
      </c>
      <c r="L125">
        <v>62</v>
      </c>
      <c r="M125">
        <f t="shared" si="21"/>
        <v>8</v>
      </c>
      <c r="N125">
        <f t="shared" si="23"/>
        <v>62000</v>
      </c>
      <c r="O125">
        <f t="shared" si="24"/>
        <v>58900</v>
      </c>
      <c r="P125">
        <f t="shared" si="25"/>
        <v>65100</v>
      </c>
      <c r="Q125">
        <f t="shared" si="30"/>
        <v>0</v>
      </c>
      <c r="R125" s="126">
        <f t="shared" si="26"/>
        <v>4.0504990045054418E-7</v>
      </c>
      <c r="S125" s="126">
        <f t="shared" si="27"/>
        <v>7.3558319842783754E-7</v>
      </c>
      <c r="AA125" s="126">
        <f t="shared" si="31"/>
        <v>2.4788408643377411E-6</v>
      </c>
      <c r="AB125" s="126">
        <f t="shared" si="32"/>
        <v>4.2035482569718985E-6</v>
      </c>
      <c r="AC125" s="126">
        <f t="shared" si="28"/>
        <v>1.3428422587654617E-8</v>
      </c>
      <c r="AD125" s="126">
        <f t="shared" si="29"/>
        <v>1.0146335568429694E-8</v>
      </c>
      <c r="AE125" s="128"/>
    </row>
    <row r="126" spans="11:31" x14ac:dyDescent="0.35">
      <c r="K126">
        <v>1000</v>
      </c>
      <c r="L126">
        <v>68</v>
      </c>
      <c r="M126">
        <f t="shared" si="21"/>
        <v>8</v>
      </c>
      <c r="N126">
        <f t="shared" si="23"/>
        <v>68000</v>
      </c>
      <c r="O126">
        <f t="shared" si="24"/>
        <v>64600</v>
      </c>
      <c r="P126">
        <f t="shared" si="25"/>
        <v>71400</v>
      </c>
      <c r="Q126">
        <f t="shared" si="30"/>
        <v>0</v>
      </c>
      <c r="R126" s="126">
        <f t="shared" si="26"/>
        <v>4.4424826947278461E-7</v>
      </c>
      <c r="S126" s="126">
        <f t="shared" si="27"/>
        <v>8.0675459430591038E-7</v>
      </c>
      <c r="AA126" s="126">
        <f t="shared" si="31"/>
        <v>2.718728638262979E-6</v>
      </c>
      <c r="AB126" s="126">
        <f t="shared" si="32"/>
        <v>4.6102628172404742E-6</v>
      </c>
      <c r="AC126" s="126">
        <f t="shared" si="28"/>
        <v>1.3422106506912965E-8</v>
      </c>
      <c r="AD126" s="126">
        <f t="shared" si="29"/>
        <v>1.0144204091522234E-8</v>
      </c>
      <c r="AE126" s="128"/>
    </row>
    <row r="127" spans="11:31" x14ac:dyDescent="0.35">
      <c r="K127">
        <v>1000</v>
      </c>
      <c r="L127">
        <v>75</v>
      </c>
      <c r="M127">
        <f t="shared" si="21"/>
        <v>8</v>
      </c>
      <c r="N127">
        <f t="shared" si="23"/>
        <v>75000</v>
      </c>
      <c r="O127">
        <f t="shared" si="24"/>
        <v>71250</v>
      </c>
      <c r="P127">
        <f t="shared" si="25"/>
        <v>78750</v>
      </c>
      <c r="Q127">
        <f t="shared" si="30"/>
        <v>0</v>
      </c>
      <c r="R127" s="126">
        <f t="shared" si="26"/>
        <v>4.8997969811612177E-7</v>
      </c>
      <c r="S127" s="126">
        <f t="shared" si="27"/>
        <v>8.8978788640589304E-7</v>
      </c>
      <c r="AA127" s="126">
        <f t="shared" si="31"/>
        <v>2.9985976963211492E-6</v>
      </c>
      <c r="AB127" s="126">
        <f t="shared" si="32"/>
        <v>5.0847631198894631E-6</v>
      </c>
      <c r="AC127" s="126">
        <f t="shared" si="28"/>
        <v>1.3416023581634936E-8</v>
      </c>
      <c r="AD127" s="126">
        <f t="shared" si="29"/>
        <v>1.0142150051713053E-8</v>
      </c>
      <c r="AE127" s="128"/>
    </row>
    <row r="128" spans="11:31" x14ac:dyDescent="0.35">
      <c r="K128">
        <v>1000</v>
      </c>
      <c r="L128">
        <v>82</v>
      </c>
      <c r="M128">
        <f t="shared" si="21"/>
        <v>8</v>
      </c>
      <c r="N128">
        <f t="shared" si="23"/>
        <v>82000</v>
      </c>
      <c r="O128">
        <f t="shared" si="24"/>
        <v>77900</v>
      </c>
      <c r="P128">
        <f t="shared" si="25"/>
        <v>86100</v>
      </c>
      <c r="Q128">
        <f t="shared" si="30"/>
        <v>0</v>
      </c>
      <c r="R128" s="126">
        <f t="shared" si="26"/>
        <v>5.3571112473203269E-7</v>
      </c>
      <c r="S128" s="126">
        <f t="shared" si="27"/>
        <v>9.7282117517699651E-7</v>
      </c>
      <c r="AA128" s="126">
        <f t="shared" si="31"/>
        <v>3.2784667419717945E-6</v>
      </c>
      <c r="AB128" s="126">
        <f t="shared" si="32"/>
        <v>5.5592634035153092E-6</v>
      </c>
      <c r="AC128" s="126">
        <f t="shared" si="28"/>
        <v>1.3410985582098351E-8</v>
      </c>
      <c r="AD128" s="126">
        <f t="shared" si="29"/>
        <v>1.0140447930585285E-8</v>
      </c>
      <c r="AE128" s="128"/>
    </row>
    <row r="129" spans="11:31" x14ac:dyDescent="0.35">
      <c r="K129">
        <v>1000</v>
      </c>
      <c r="L129">
        <v>91</v>
      </c>
      <c r="M129">
        <f t="shared" si="21"/>
        <v>8</v>
      </c>
      <c r="N129">
        <f t="shared" si="23"/>
        <v>91000</v>
      </c>
      <c r="O129">
        <f t="shared" si="24"/>
        <v>86450</v>
      </c>
      <c r="P129">
        <f t="shared" si="25"/>
        <v>95550</v>
      </c>
      <c r="Q129">
        <f t="shared" si="30"/>
        <v>0</v>
      </c>
      <c r="R129" s="126">
        <f t="shared" si="26"/>
        <v>5.9450867025912886E-7</v>
      </c>
      <c r="S129" s="126">
        <f t="shared" si="27"/>
        <v>1.0795782558484289E-6</v>
      </c>
      <c r="AA129" s="126">
        <f t="shared" si="31"/>
        <v>3.6382983538625881E-6</v>
      </c>
      <c r="AB129" s="126">
        <f t="shared" si="32"/>
        <v>6.1693351687961636E-6</v>
      </c>
      <c r="AC129" s="126">
        <f t="shared" si="28"/>
        <v>1.3405653338402472E-8</v>
      </c>
      <c r="AD129" s="126">
        <f t="shared" si="29"/>
        <v>1.0138645485236032E-8</v>
      </c>
      <c r="AE129" s="128"/>
    </row>
    <row r="130" spans="11:31" x14ac:dyDescent="0.35">
      <c r="M130">
        <f t="shared" si="21"/>
        <v>8</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115" priority="32" stopIfTrue="1">
      <formula>AND($B$11="need resistor",$C$11&gt;0)</formula>
    </cfRule>
    <cfRule type="containsText" dxfId="114" priority="36" operator="containsText" text="need resistor">
      <formula>NOT(ISERROR(SEARCH("need resistor",B11)))</formula>
    </cfRule>
  </conditionalFormatting>
  <conditionalFormatting sqref="B11:B12">
    <cfRule type="containsText" dxfId="113" priority="34" operator="containsText" text="no need">
      <formula>NOT(ISERROR(SEARCH("no need",B11)))</formula>
    </cfRule>
  </conditionalFormatting>
  <conditionalFormatting sqref="B12">
    <cfRule type="expression" dxfId="112" priority="31" stopIfTrue="1">
      <formula>AND($B$12="need resistor",$C$12&gt;0)</formula>
    </cfRule>
    <cfRule type="containsText" dxfId="111" priority="33" operator="containsText" text="need resistor">
      <formula>NOT(ISERROR(SEARCH("need resistor",B12)))</formula>
    </cfRule>
  </conditionalFormatting>
  <conditionalFormatting sqref="B42">
    <cfRule type="expression" dxfId="110" priority="59">
      <formula>AND($B$42&gt;$S$2,$B$2=1)</formula>
    </cfRule>
    <cfRule type="expression" dxfId="109" priority="58">
      <formula>AND($B$42&lt;$R$2,$B$2=0)</formula>
    </cfRule>
    <cfRule type="expression" dxfId="108" priority="57" stopIfTrue="1">
      <formula>AND($B$42&lt;=$S$2,$B$2=1)</formula>
    </cfRule>
    <cfRule type="expression" dxfId="107" priority="56" stopIfTrue="1">
      <formula>AND($B$42&gt;=$R$2,$B$2=0)</formula>
    </cfRule>
  </conditionalFormatting>
  <conditionalFormatting sqref="B62">
    <cfRule type="expression" dxfId="106" priority="67">
      <formula>AND($B$62&gt;$S$2,$B$2=1)</formula>
    </cfRule>
    <cfRule type="expression" dxfId="105" priority="66">
      <formula>AND($B$62&lt;$R$2,$B$2=0)</formula>
    </cfRule>
    <cfRule type="expression" dxfId="104" priority="65" stopIfTrue="1">
      <formula>AND($B$62&lt;=$S$2,$B$2=1)</formula>
    </cfRule>
    <cfRule type="expression" dxfId="103" priority="64" stopIfTrue="1">
      <formula>AND($B$62&gt;=$R$2,$B$2=0)</formula>
    </cfRule>
  </conditionalFormatting>
  <conditionalFormatting sqref="B84">
    <cfRule type="cellIs" dxfId="102" priority="45" operator="greaterThan">
      <formula>$S$3</formula>
    </cfRule>
    <cfRule type="cellIs" dxfId="101" priority="44" operator="lessThanOrEqual">
      <formula>$S$3</formula>
    </cfRule>
  </conditionalFormatting>
  <conditionalFormatting sqref="B102">
    <cfRule type="cellIs" dxfId="100" priority="48" operator="lessThanOrEqual">
      <formula>$S$2</formula>
    </cfRule>
    <cfRule type="cellIs" dxfId="99" priority="49" operator="greaterThan">
      <formula>$S$2</formula>
    </cfRule>
  </conditionalFormatting>
  <conditionalFormatting sqref="B18:C18">
    <cfRule type="expression" dxfId="98" priority="53">
      <formula>OR(AND($B$2=0,$C$18&lt;$R$2),AND($B$2=1,$C$18&gt;$S$2))</formula>
    </cfRule>
    <cfRule type="expression" dxfId="97" priority="52" stopIfTrue="1">
      <formula>OR(AND($B$2=0,$C$18&gt;=$R$2),AND($B$2=1,$C$18&lt;=$S$2))</formula>
    </cfRule>
  </conditionalFormatting>
  <conditionalFormatting sqref="B19:C19">
    <cfRule type="expression" dxfId="96" priority="55">
      <formula>OR(AND($B$3=0,$C$19&lt;$R$3),AND($B$3=1,$C$19&gt;$S$3))</formula>
    </cfRule>
    <cfRule type="expression" dxfId="95" priority="54" stopIfTrue="1">
      <formula>OR(AND($B$3=0,$C$19&gt;=$R$3),AND($B$3=1,$C$19&lt;=$S$3))</formula>
    </cfRule>
  </conditionalFormatting>
  <conditionalFormatting sqref="C14">
    <cfRule type="cellIs" dxfId="94" priority="26" operator="equal">
      <formula>"no solution"</formula>
    </cfRule>
  </conditionalFormatting>
  <conditionalFormatting sqref="C44">
    <cfRule type="expression" dxfId="93" priority="63">
      <formula>AND($B$44&gt;$S$3,$B$3=1)</formula>
    </cfRule>
    <cfRule type="expression" dxfId="92" priority="62">
      <formula>AND($B$44&lt;$R$3,$B$3=0)</formula>
    </cfRule>
    <cfRule type="expression" dxfId="91" priority="61" stopIfTrue="1">
      <formula>AND($C$44&lt;=$S$3,$B$3=1)</formula>
    </cfRule>
    <cfRule type="expression" dxfId="90" priority="60" stopIfTrue="1">
      <formula>AND($C$44&gt;=$R$3,$B$3=0)</formula>
    </cfRule>
  </conditionalFormatting>
  <conditionalFormatting sqref="C64">
    <cfRule type="expression" dxfId="89" priority="69" stopIfTrue="1">
      <formula>AND($C$64&lt;=$S$3,$B$3=1)</formula>
    </cfRule>
    <cfRule type="expression" dxfId="88" priority="70">
      <formula>AND($B$64&lt;$R$3,$B$3=0)</formula>
    </cfRule>
    <cfRule type="expression" dxfId="87" priority="71">
      <formula>AND($B$64&gt;$S$3,$B$3=1)</formula>
    </cfRule>
    <cfRule type="expression" dxfId="86" priority="68" stopIfTrue="1">
      <formula>AND($C$64&gt;=$R$3,$B$3=0)</formula>
    </cfRule>
  </conditionalFormatting>
  <conditionalFormatting sqref="C102:D102">
    <cfRule type="cellIs" dxfId="85" priority="28" operator="lessThan">
      <formula>$R$2</formula>
    </cfRule>
    <cfRule type="cellIs" dxfId="84" priority="27" operator="greaterThanOrEqual">
      <formula>$R$2</formula>
    </cfRule>
  </conditionalFormatting>
  <conditionalFormatting sqref="C84:H84">
    <cfRule type="cellIs" dxfId="83" priority="13" operator="lessThan">
      <formula>$R$3</formula>
    </cfRule>
    <cfRule type="cellIs" dxfId="82" priority="12" operator="greaterThanOrEqual">
      <formula>$R$3</formula>
    </cfRule>
  </conditionalFormatting>
  <conditionalFormatting sqref="D11">
    <cfRule type="containsText" dxfId="81" priority="39" stopIfTrue="1" operator="containsText" text="please remove resistor">
      <formula>NOT(ISERROR(SEARCH("please remove resistor",D11)))</formula>
    </cfRule>
    <cfRule type="cellIs" dxfId="80" priority="41" operator="greaterThan">
      <formula>$S$2</formula>
    </cfRule>
    <cfRule type="cellIs" dxfId="79" priority="40" operator="lessThan">
      <formula>$S$2</formula>
    </cfRule>
  </conditionalFormatting>
  <conditionalFormatting sqref="D11:D12">
    <cfRule type="cellIs" priority="24" stopIfTrue="1" operator="equal">
      <formula>""</formula>
    </cfRule>
  </conditionalFormatting>
  <conditionalFormatting sqref="D12 E18:E19">
    <cfRule type="cellIs" dxfId="78" priority="38" operator="lessThan">
      <formula>$R$2-$N$7</formula>
    </cfRule>
    <cfRule type="cellIs" dxfId="77" priority="37" operator="greaterThanOrEqual">
      <formula>$R$2-$N$7</formula>
    </cfRule>
  </conditionalFormatting>
  <conditionalFormatting sqref="D18:D19">
    <cfRule type="cellIs" dxfId="76" priority="42" operator="lessThanOrEqual">
      <formula>$S$2+$N$7</formula>
    </cfRule>
    <cfRule type="cellIs" dxfId="75" priority="43" operator="greaterThan">
      <formula>$S$2+$N$7</formula>
    </cfRule>
  </conditionalFormatting>
  <conditionalFormatting sqref="E102">
    <cfRule type="cellIs" dxfId="74" priority="11" operator="lessThan">
      <formula>$R$3</formula>
    </cfRule>
    <cfRule type="cellIs" dxfId="73" priority="10" operator="greaterThanOrEqual">
      <formula>$R$3</formula>
    </cfRule>
  </conditionalFormatting>
  <conditionalFormatting sqref="F21">
    <cfRule type="containsText" dxfId="72" priority="9" operator="containsText" text="failed">
      <formula>NOT(ISERROR(SEARCH("failed",F21)))</formula>
    </cfRule>
  </conditionalFormatting>
  <conditionalFormatting sqref="F22">
    <cfRule type="containsText" dxfId="71" priority="8" operator="containsText" text="fail">
      <formula>NOT(ISERROR(SEARCH("fail",F22)))</formula>
    </cfRule>
  </conditionalFormatting>
  <conditionalFormatting sqref="F23">
    <cfRule type="containsText" dxfId="70" priority="7" operator="containsText" text="failed">
      <formula>NOT(ISERROR(SEARCH("failed",F23)))</formula>
    </cfRule>
  </conditionalFormatting>
  <conditionalFormatting sqref="F102:H102">
    <cfRule type="cellIs" dxfId="69" priority="20" operator="greaterThanOrEqual">
      <formula>$R$2</formula>
    </cfRule>
    <cfRule type="cellIs" dxfId="68" priority="21" operator="lessThan">
      <formula>$R$2</formula>
    </cfRule>
  </conditionalFormatting>
  <conditionalFormatting sqref="G18">
    <cfRule type="cellIs" dxfId="67" priority="2" operator="lessThan">
      <formula>$V$2</formula>
    </cfRule>
    <cfRule type="cellIs" dxfId="66" priority="1" operator="greaterThan">
      <formula>$V$2</formula>
    </cfRule>
  </conditionalFormatting>
  <conditionalFormatting sqref="G19">
    <cfRule type="cellIs" dxfId="65" priority="3" operator="greaterThan">
      <formula>$V$3</formula>
    </cfRule>
    <cfRule type="cellIs" dxfId="64" priority="4" operator="lessThan">
      <formula>$V$3</formula>
    </cfRule>
  </conditionalFormatting>
  <conditionalFormatting sqref="I18:I19">
    <cfRule type="cellIs" dxfId="63" priority="6" operator="lessThan">
      <formula>$W$2</formula>
    </cfRule>
    <cfRule type="cellIs" dxfId="62" priority="5" operator="greaterThan">
      <formula>$W$2</formula>
    </cfRule>
  </conditionalFormatting>
  <conditionalFormatting sqref="K12">
    <cfRule type="expression" dxfId="61" priority="72">
      <formula>SEARCH("reduce",$F$23)</formula>
    </cfRule>
    <cfRule type="expression" dxfId="60" priority="73">
      <formula>SEARCH("reduce",$F$21)</formula>
    </cfRule>
  </conditionalFormatting>
  <conditionalFormatting sqref="N2">
    <cfRule type="expression" dxfId="59" priority="74">
      <formula>SEARCH("strength",$F$21)</formula>
    </cfRule>
    <cfRule type="expression" dxfId="58" priority="75">
      <formula>SEARCH("strength",$F$23)</formula>
    </cfRule>
  </conditionalFormatting>
  <hyperlinks>
    <hyperlink ref="N25" location="Summary!A1" display="Link to summary" xr:uid="{7B7F0A7B-F39E-478B-9016-8D180E858D1F}"/>
  </hyperlinks>
  <pageMargins left="0.7" right="0.7" top="0.75" bottom="0.75" header="0.3" footer="0.3"/>
  <pageSetup paperSize="9" orientation="portrait" r:id="rId1"/>
  <drawing r:id="rId2"/>
  <legacyDrawing r:id="rId3"/>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F5BB-C2C4-4789-B020-FF5C41B3D6B2}">
  <dimension ref="A1:AK130"/>
  <sheetViews>
    <sheetView topLeftCell="P92" workbookViewId="0"/>
  </sheetViews>
  <sheetFormatPr defaultRowHeight="14.5" x14ac:dyDescent="0.35"/>
  <cols>
    <col min="1" max="1" width="11.54296875" customWidth="1"/>
    <col min="2" max="2" width="22.81640625" customWidth="1"/>
    <col min="3" max="3" width="23.81640625" bestFit="1" customWidth="1"/>
    <col min="4" max="4" width="22.1796875" customWidth="1"/>
    <col min="5" max="5" width="19" customWidth="1"/>
    <col min="6" max="6" width="20.54296875" customWidth="1"/>
    <col min="7" max="7" width="16.81640625" customWidth="1"/>
    <col min="8" max="8" width="15.1796875" customWidth="1"/>
    <col min="9" max="9" width="14.81640625" customWidth="1"/>
    <col min="10" max="10" width="17.453125" customWidth="1"/>
    <col min="11" max="11" width="16.81640625" customWidth="1"/>
    <col min="12" max="12" width="14.81640625" customWidth="1"/>
    <col min="13" max="13" width="17.54296875" customWidth="1"/>
    <col min="14" max="14" width="20" bestFit="1" customWidth="1"/>
    <col min="15" max="15" width="21.453125" customWidth="1"/>
    <col min="16" max="16" width="18.1796875" customWidth="1"/>
    <col min="17" max="17" width="20.81640625" bestFit="1" customWidth="1"/>
    <col min="18" max="18" width="13.54296875" bestFit="1" customWidth="1"/>
    <col min="19" max="19" width="12.453125" bestFit="1" customWidth="1"/>
    <col min="20" max="20" width="21.54296875" bestFit="1" customWidth="1"/>
    <col min="21" max="21" width="22.1796875" bestFit="1" customWidth="1"/>
    <col min="22" max="22" width="27" customWidth="1"/>
    <col min="23" max="23" width="21.81640625" customWidth="1"/>
    <col min="24" max="24" width="21.1796875" bestFit="1" customWidth="1"/>
    <col min="25" max="25" width="16.453125" customWidth="1"/>
    <col min="26" max="26" width="23" bestFit="1" customWidth="1"/>
    <col min="27" max="28" width="23" customWidth="1"/>
    <col min="29" max="29" width="15.1796875" bestFit="1" customWidth="1"/>
    <col min="30" max="30" width="16.81640625" bestFit="1" customWidth="1"/>
    <col min="31" max="31" width="9.1796875" bestFit="1" customWidth="1"/>
    <col min="32" max="32" width="27.81640625" customWidth="1"/>
    <col min="33" max="33" width="33.81640625" customWidth="1"/>
    <col min="34" max="34" width="9.1796875" customWidth="1"/>
    <col min="35" max="35" width="20.1796875" customWidth="1"/>
    <col min="36" max="37" width="13.54296875" customWidth="1"/>
    <col min="16383" max="16384" width="8.81640625" bestFit="1" customWidth="1"/>
  </cols>
  <sheetData>
    <row r="1" spans="1:37" s="6" customFormat="1" x14ac:dyDescent="0.35">
      <c r="A1" s="6" t="s">
        <v>233</v>
      </c>
      <c r="B1" s="6" t="s">
        <v>234</v>
      </c>
      <c r="C1" s="6" t="s">
        <v>235</v>
      </c>
      <c r="D1" s="6" t="s">
        <v>236</v>
      </c>
      <c r="E1" s="6" t="s">
        <v>237</v>
      </c>
      <c r="F1" s="6" t="s">
        <v>238</v>
      </c>
      <c r="G1" s="6" t="s">
        <v>239</v>
      </c>
      <c r="H1" s="6" t="s">
        <v>240</v>
      </c>
      <c r="I1" s="6" t="s">
        <v>241</v>
      </c>
      <c r="J1" s="6" t="s">
        <v>242</v>
      </c>
      <c r="K1" s="6" t="s">
        <v>243</v>
      </c>
      <c r="L1" s="6" t="s">
        <v>244</v>
      </c>
      <c r="M1" s="6" t="s">
        <v>245</v>
      </c>
      <c r="N1" s="6" t="s">
        <v>246</v>
      </c>
      <c r="O1" s="6" t="s">
        <v>247</v>
      </c>
      <c r="P1" s="6" t="s">
        <v>248</v>
      </c>
      <c r="Q1" s="6" t="s">
        <v>249</v>
      </c>
      <c r="R1" s="6" t="s">
        <v>250</v>
      </c>
      <c r="S1" s="6" t="s">
        <v>251</v>
      </c>
      <c r="T1" s="6" t="s">
        <v>252</v>
      </c>
      <c r="U1" s="6" t="s">
        <v>253</v>
      </c>
      <c r="V1" s="6" t="s">
        <v>254</v>
      </c>
      <c r="W1" s="6" t="s">
        <v>255</v>
      </c>
      <c r="X1" s="14" t="s">
        <v>256</v>
      </c>
      <c r="Y1" s="6" t="s">
        <v>257</v>
      </c>
      <c r="Z1" s="6" t="s">
        <v>258</v>
      </c>
      <c r="AA1" s="6" t="s">
        <v>259</v>
      </c>
      <c r="AB1" s="6" t="s">
        <v>260</v>
      </c>
      <c r="AC1" s="6" t="s">
        <v>261</v>
      </c>
      <c r="AD1" s="6" t="s">
        <v>262</v>
      </c>
      <c r="AE1" s="6" t="s">
        <v>26</v>
      </c>
      <c r="AF1" s="6" t="s">
        <v>27</v>
      </c>
      <c r="AG1" s="6" t="s">
        <v>263</v>
      </c>
      <c r="AH1" s="6" t="s">
        <v>94</v>
      </c>
      <c r="AI1" s="6" t="s">
        <v>96</v>
      </c>
      <c r="AJ1" s="6" t="s">
        <v>232</v>
      </c>
      <c r="AK1" s="6" t="s">
        <v>264</v>
      </c>
    </row>
    <row r="2" spans="1:37" s="3" customFormat="1" x14ac:dyDescent="0.35">
      <c r="A2" s="3" t="s">
        <v>176</v>
      </c>
      <c r="B2" s="3">
        <v>1</v>
      </c>
      <c r="C2" s="10">
        <v>1000000000000</v>
      </c>
      <c r="D2" s="15">
        <v>0.1</v>
      </c>
      <c r="E2" s="15">
        <v>0.1</v>
      </c>
      <c r="F2" s="10">
        <v>1000000000000</v>
      </c>
      <c r="G2" s="15">
        <v>0.1</v>
      </c>
      <c r="H2" s="15">
        <v>0.1</v>
      </c>
      <c r="I2" s="3" t="s">
        <v>265</v>
      </c>
      <c r="J2" s="3">
        <f>Summary!X16</f>
        <v>1.8</v>
      </c>
      <c r="K2" s="10">
        <v>1000000000000</v>
      </c>
      <c r="L2" s="15">
        <v>0.1</v>
      </c>
      <c r="M2" s="15">
        <v>0.1</v>
      </c>
      <c r="N2" s="17">
        <f>Summary!X26</f>
        <v>100</v>
      </c>
      <c r="O2" s="15">
        <f>Summary!X88</f>
        <v>0.25</v>
      </c>
      <c r="P2" s="15">
        <f>Summary!X89</f>
        <v>0.25</v>
      </c>
      <c r="Q2" s="5" t="str">
        <f>Summary!X27</f>
        <v>N/A</v>
      </c>
      <c r="R2" s="5">
        <f>Summary!X51</f>
        <v>0.3</v>
      </c>
      <c r="S2" s="5">
        <f>Summary!X52</f>
        <v>0.7</v>
      </c>
      <c r="T2" s="5">
        <f>Summary!X53</f>
        <v>0.3</v>
      </c>
      <c r="U2" s="5">
        <f>Summary!X54</f>
        <v>0.7</v>
      </c>
      <c r="V2" s="130">
        <f>Summary!X55</f>
        <v>2.9999999999999999E-7</v>
      </c>
      <c r="W2" s="130">
        <f>Summary!X56</f>
        <v>2.9999999999999999E-7</v>
      </c>
      <c r="X2" s="131">
        <f>V2</f>
        <v>2.9999999999999999E-7</v>
      </c>
      <c r="Y2" s="132">
        <f>IF(Summary!X57="","",Summary!X57)</f>
        <v>2E-8</v>
      </c>
      <c r="Z2" s="132">
        <f>IF(Summary!X58="","",Summary!X58)</f>
        <v>6.5454545454545451E-9</v>
      </c>
      <c r="AA2" s="4">
        <f>Summary!X59</f>
        <v>1E-10</v>
      </c>
      <c r="AB2" s="41">
        <f>Summary!X81</f>
        <v>4.9999999999999997E-12</v>
      </c>
      <c r="AC2" s="41">
        <f>Summary!X83</f>
        <v>8.1900000000000013E-12</v>
      </c>
      <c r="AD2" s="3">
        <f>Summary!X84</f>
        <v>0.69</v>
      </c>
      <c r="AE2" s="41">
        <f>Summary!X86</f>
        <v>4.9999999999999997E-12</v>
      </c>
      <c r="AF2" s="5">
        <f>Summary!X87</f>
        <v>2.2999999999999998</v>
      </c>
      <c r="AG2" s="127" t="str">
        <f>Summary!X50</f>
        <v>relative</v>
      </c>
      <c r="AH2" s="3">
        <f>Summary!$AG5</f>
        <v>100</v>
      </c>
      <c r="AI2" s="3" t="s">
        <v>97</v>
      </c>
      <c r="AJ2" s="3">
        <f>Summary!$AG9</f>
        <v>2.1659999999999999E-5</v>
      </c>
      <c r="AK2" s="3">
        <f>Summary!$AG8</f>
        <v>3.1259999999999999</v>
      </c>
    </row>
    <row r="3" spans="1:37" s="3" customFormat="1" x14ac:dyDescent="0.35">
      <c r="A3" s="3" t="s">
        <v>266</v>
      </c>
      <c r="B3" s="3">
        <v>1</v>
      </c>
      <c r="C3" s="10">
        <v>1000000000000</v>
      </c>
      <c r="D3" s="15">
        <v>0.1</v>
      </c>
      <c r="E3" s="15">
        <v>0.1</v>
      </c>
      <c r="F3" s="10">
        <v>1000000000000</v>
      </c>
      <c r="G3" s="15">
        <v>0.1</v>
      </c>
      <c r="H3" s="15">
        <v>0.1</v>
      </c>
      <c r="I3" s="3" t="s">
        <v>265</v>
      </c>
      <c r="J3" s="3">
        <f>Summary!X16</f>
        <v>1.8</v>
      </c>
      <c r="K3" s="10">
        <v>1000000000000</v>
      </c>
      <c r="L3" s="15">
        <v>0.1</v>
      </c>
      <c r="M3" s="15">
        <v>0.1</v>
      </c>
      <c r="N3">
        <f>Summary!X97</f>
        <v>133</v>
      </c>
      <c r="O3" s="15">
        <f>Summary!X98</f>
        <v>0.5</v>
      </c>
      <c r="P3" s="15">
        <f>Summary!X99</f>
        <v>0</v>
      </c>
      <c r="Q3"/>
      <c r="R3" s="5">
        <f>Summary!X38</f>
        <v>0.3</v>
      </c>
      <c r="S3" s="5">
        <f>Summary!X39</f>
        <v>0.7</v>
      </c>
      <c r="T3" s="5">
        <f>Summary!X42</f>
        <v>0.3</v>
      </c>
      <c r="U3" s="5">
        <f>Summary!X43</f>
        <v>0.7</v>
      </c>
      <c r="V3" s="130">
        <f>Summary!X44</f>
        <v>2.9999999999999999E-7</v>
      </c>
      <c r="W3" s="130">
        <f>Summary!X45</f>
        <v>2.9999999999999999E-7</v>
      </c>
      <c r="X3" s="131">
        <f>V3</f>
        <v>2.9999999999999999E-7</v>
      </c>
      <c r="Y3" s="132">
        <f>IF(Summary!X46="","",Summary!X46)</f>
        <v>2E-8</v>
      </c>
      <c r="Z3" s="132">
        <f>IF(Summary!X47="","",Summary!X47)</f>
        <v>6.5454545454545451E-9</v>
      </c>
      <c r="AA3" s="4">
        <f>Summary!X59</f>
        <v>1E-10</v>
      </c>
      <c r="AB3" s="41">
        <f>Summary!X96</f>
        <v>9.9999999999999994E-12</v>
      </c>
      <c r="AG3" s="127" t="str">
        <f>Summary!X37</f>
        <v>relative</v>
      </c>
      <c r="AH3" s="3" t="str">
        <f>IF(Summary!$AH5="","",Summary!$AH5)</f>
        <v/>
      </c>
      <c r="AI3" s="134" t="str">
        <f>Summary!$AH7</f>
        <v>001</v>
      </c>
      <c r="AJ3" s="3">
        <f>IF(Summary!$AH9="","",IF($J$2=1.8,Summary!$AH$9,IF($J$2=3.3,Summary!$AH$11,"n/a")))</f>
        <v>0.63580000000000003</v>
      </c>
      <c r="AK3" s="3">
        <f>IF(Summary!$AH9="","",IF($J$2=1.8,Summary!$AH$8,IF($J$2=3.3,Summary!$AH$10,"n/a")))</f>
        <v>4.8479999999999999</v>
      </c>
    </row>
    <row r="4" spans="1:37" x14ac:dyDescent="0.35">
      <c r="AH4" s="3" t="str">
        <f>IF(Summary!$AI5="","",Summary!$AI5)</f>
        <v/>
      </c>
      <c r="AI4" s="3" t="str">
        <f>IF(Summary!$AI7="","",Summary!$AI7)</f>
        <v>010</v>
      </c>
      <c r="AJ4" s="3">
        <f>IF(Summary!$AI9="","",IF($J$2=1.8,Summary!$AI$9,IF($J$2=3.3,Summary!$AI$11,"n/a")))</f>
        <v>1.256</v>
      </c>
      <c r="AK4" s="3">
        <f>IF(Summary!$AI9="","",IF($J$2=1.8,Summary!$AI$8,IF($J$2=3.3,Summary!$AI$10,"n/a")))</f>
        <v>6.53</v>
      </c>
    </row>
    <row r="5" spans="1:37" x14ac:dyDescent="0.35">
      <c r="B5" s="172" t="s">
        <v>267</v>
      </c>
      <c r="C5" s="173"/>
      <c r="D5" s="173"/>
      <c r="E5" s="174"/>
      <c r="F5" s="172" t="s">
        <v>268</v>
      </c>
      <c r="G5" s="173"/>
      <c r="H5" s="173"/>
      <c r="I5" s="174"/>
      <c r="L5" s="1"/>
      <c r="AH5" s="3" t="str">
        <f>IF(Summary!$AJ5="","",Summary!$AJ5)</f>
        <v/>
      </c>
      <c r="AI5" s="3" t="str">
        <f>IF(Summary!$AJ7="","",Summary!$AJ7)</f>
        <v>011</v>
      </c>
      <c r="AJ5" s="3">
        <f>IF(Summary!$AJ9="","",IF($J$2=1.8,Summary!$AJ$9,IF($J$2=3.3,Summary!$AJ$11,"n/a")))</f>
        <v>1.8879999999999999</v>
      </c>
      <c r="AK5" s="3">
        <f>IF(Summary!$AJ9="","",IF($J$2=1.8,Summary!$AJ$8,IF($J$2=3.3,Summary!$AJ$10,"n/a")))</f>
        <v>8.2360000000000007</v>
      </c>
    </row>
    <row r="6" spans="1:37" x14ac:dyDescent="0.35">
      <c r="B6" s="23" t="s">
        <v>269</v>
      </c>
      <c r="C6" s="50" t="s">
        <v>270</v>
      </c>
      <c r="D6" s="50" t="s">
        <v>271</v>
      </c>
      <c r="E6" s="24" t="s">
        <v>272</v>
      </c>
      <c r="F6" s="29" t="s">
        <v>269</v>
      </c>
      <c r="G6" t="s">
        <v>270</v>
      </c>
      <c r="H6" t="s">
        <v>271</v>
      </c>
      <c r="I6" s="30" t="s">
        <v>272</v>
      </c>
      <c r="J6" s="21" t="s">
        <v>273</v>
      </c>
      <c r="K6" t="s">
        <v>274</v>
      </c>
      <c r="N6" s="21" t="s">
        <v>275</v>
      </c>
      <c r="AI6" s="3" t="str">
        <f>IF(Summary!$AK7="","",Summary!$AK7)</f>
        <v>100</v>
      </c>
      <c r="AJ6" s="3">
        <f>IF(Summary!$AK9="","",IF($J$2=1.8,Summary!$AK$9,IF($J$2=3.3,Summary!$AK$11,"n/a")))</f>
        <v>2.5049999999999999</v>
      </c>
      <c r="AK6" s="3">
        <f>IF(Summary!$AK9="","",IF($J$2=1.8,Summary!$AK$8,IF($J$2=3.3,Summary!$AK$10,"n/a")))</f>
        <v>9.9280000000000008</v>
      </c>
    </row>
    <row r="7" spans="1:37" x14ac:dyDescent="0.35">
      <c r="A7" t="s">
        <v>276</v>
      </c>
      <c r="B7" s="25">
        <f>IF(R2="N/A","", (-B25*B27*B28*B29*B31*B38-B25*B27*B28*B31*B32*B38+B25*B27*B29*B30*B31*B35-B25*B27*B29*B30*B31*B38+B25*B27*B30*B31*B32*B35-B25*B27*B30*B31*B32*B38-B25*B28*B29*B31*B32*B38+B25*B29*B30*B31*B32*B35-B25*B29*B30*B31*B32*B38+B27*B28*B29*B30*B31*B34-B27*B28*B29*B30*B31*B38+B27*B28*B30*B31*B32*B34-B27*B28*B30*B31*B32*B38+B28*B29*B30*B31*B32*B34-B28*B29*B30*B31*B32*B38) / (B25*B27*B28*B29*B38+B25*B27*B28*B31*B38+B25*B27*B28*B32*B38+B25*B27*B29*B30*B38+B25*B27*B29*B31*B38+B25*B27*B30*B31*B38+B25*B27*B30*B32*B38+B25*B27*B31*B32*B38+B25*B28*B29*B32*B38+B25*B28*B31*B32*B38+B25*B29*B30*B32*B38+B25*B29*B31*B32*B38-B25*B30*B31*B32*B36+B25*B30*B31*B32*B38-B27*B28*B29*B30*B34+B27*B28*B29*B30*B38-B27*B28*B30*B31*B34+B27*B28*B30*B31*B38-B27*B28*B30*B32*B34+B27*B28*B30*B32*B38-B27*B29*B30*B31*B34+B27*B29*B30*B31*B38-B27*B30*B31*B32*B34+B27*B30*B31*B32*B38-B28*B29*B30*B32*B34+B28*B29*B30*B32*B38-B28*B30*B31*B32*B34+B28*B30*B31*B32*B38-B29*B30*B31*B32*B34+B29*B30*B31*B32*B38))</f>
        <v>427329345.73263782</v>
      </c>
      <c r="C7" s="26">
        <f>IF(R3="N/A","", (-C25*C27*C28*C29*C31*C40+C25*C27*C28*C31*C32*C35-C25*C27*C28*C31*C32*C40-C25*C27*C29*C30*C31*C40+C25*C27*C30*C31*C32*C35-C25*C27*C30*C31*C32*C40+C25*C28*C29*C31*C32*C36-C25*C28*C29*C31*C32*C40+C25*C29*C30*C31*C32*C36-C25*C29*C30*C31*C32*C40-C27*C28*C29*C30*C31*C40+C27*C28*C30*C31*C32*C35-C27*C28*C30*C31*C32*C40+C28*C29*C30*C31*C32*C36-C28*C29*C30*C31*C32*C40) / (C25*C27*C28*C29*C40+C25*C27*C28*C31*C40+C25*C27*C28*C32*C40+C25*C27*C29*C30*C40+C25*C27*C29*C31*C40+C25*C27*C30*C31*C40+C25*C27*C30*C32*C40+C25*C27*C31*C32*C40-C25*C28*C29*C32*C36+C25*C28*C29*C32*C40-C25*C28*C31*C32*C36+C25*C28*C31*C32*C40-C25*C29*C30*C32*C36+C25*C29*C30*C32*C40-C25*C29*C31*C32*C36+C25*C29*C31*C32*C40-C25*C30*C31*C32*C36+C25*C30*C31*C32*C40+C27*C28*C29*C30*C40+C27*C28*C30*C31*C40+C27*C28*C30*C32*C40+C27*C29*C30*C31*C40-C27*C30*C31*C32*C34+C27*C30*C31*C32*C40-C28*C29*C30*C32*C36+C28*C29*C30*C32*C40-C28*C30*C31*C32*C36+C28*C30*C31*C32*C40-C29*C30*C31*C32*C36+C29*C30*C31*C32*C40))</f>
        <v>427329345.73263782</v>
      </c>
      <c r="D7" s="27">
        <f>IF(R2="N/A","",(-E89*E91*E92*E93*E95*E102-E89*E91*E92*E95*E96*E102+E89*E91*E93*E94*E95*E99-E89*E91*E93*E94*E95*E102+E89*E91*E94*E95*E96*E99-E89*E91*E94*E95*E96*E102-E89*E92*E93*E95*E96*E102+E89*E93*E94*E95*E96*E99-E89*E93*E94*E95*E96*E102+E91*E92*E93*E94*E95*E98-E91*E92*E93*E94*E95*E102+E91*E92*E94*E95*E96*E98-E91*E92*E94*E95*E96*E102+E92*E93*E94*E95*E96*E98-E92*E93*E94*E95*E96*E102)/(
E89*E91*E92*E93*E102+E89*E91*E92*E95*E102+E89*E91*E92*E96*E102+E89*E91*E93*E94*E102+E89*E91*E93*E95*E102+E89*E91*E94*E95*E102+E89*E91*E94*E96*E102+E89*E91*E95*E96*E102+E89*E92*E93*E96*E102+E89*E92*E95*E96*E102+E89*E93*E94*E96*E102+E89*E93*E95*E96*E102-E89*E94*E95*E96*E100+E89*E94*E95*E96*E102-E91*E92*E93*E94*E98+E91*E92*E93*E94*E102-E91*E92*E94*E95*E98+E91*E92*E94*E95*E102-E91*E92*E94*E96*E98+E91*E92*E94*E96*E102-E91*E93*E94*E95*E98+E91*E93*E94*E95*E102-E91*E94*E95*E96*E98+E91*E94*E95*E96*E102-E92*E93*E94*E96*E98+E92*E93*E94*E96*E102-E92*E94*E95*E96*E98+E92*E94*E95*E96*E102-E93*E94*E95*E96*E98+E93*E94*E95*E96*E102))</f>
        <v>397.26612971747522</v>
      </c>
      <c r="E7" s="28">
        <f>IF(R3="N/A","", (-E69*E71*E72*E73*E75*E84+E69*E71*E72*E75*E76*E79-E69*E71*E72*E75*E76*E84-E69*E71*E73*E74*E75*E84+E69*E71*E74*E75*E76*E79-E69*E71*E74*E75*E76*E84+E69*E72*E73*E75*E76*E80-E69*E72*E73*E75*E76*E84+E69*E73*E74*E75*E76*E80-E69*E73*E74*E75*E76*E84-E71*E72*E73*E74*E75*E84+E71*E72*E74*E75*E76*E79-E71*E72*E74*E75*E76*E84+E72*E73*E74*E75*E76*E80-E72*E73*E74*E75*E76*E84) / (E69*E71*E72*E73*E84+E69*E71*E72*E75*E84+E69*E71*E72*E76*E84+E69*E71*E73*E74*E84+E69*E71*E73*E75*E84+E69*E71*E74*E75*E84+E69*E71*E74*E76*E84+E69*E71*E75*E76*E84-E69*E72*E73*E76*E80+E69*E72*E73*E76*E84-E69*E72*E75*E76*E80+E69*E72*E75*E76*E84-E69*E73*E74*E76*E80+E69*E73*E74*E76*E84-E69*E73*E75*E76*E80+E69*E73*E75*E76*E84-E69*E74*E75*E76*E80+E69*E74*E75*E76*E84+E71*E72*E73*E74*E84+E71*E72*E74*E75*E84+E71*E72*E74*E76*E84+E71*E73*E74*E75*E84-E71*E74*E75*E76*E78+E71*E74*E75*E76*E84-E72*E73*E74*E76*E80+E72*E73*E74*E76*E84-E72*E74*E75*E76*E80+E72*E74*E75*E76*E84-E73*E74*E75*E76*E80+E73*E74*E75*E76*E84))</f>
        <v>376.69470675069687</v>
      </c>
      <c r="F7" s="123">
        <f>_xlfn.IFNA(_xlfn.XLOOKUP($X$2,AB34:AB129,P34:P129,,-1), "Out of support PU range")</f>
        <v>1890</v>
      </c>
      <c r="G7" s="124">
        <f>_xlfn.IFNA(_xlfn.XLOOKUP($X$3,S34:S129,P34:P129,,-1), "Out of support PU range")</f>
        <v>1890</v>
      </c>
      <c r="H7" s="124">
        <f>_xlfn.IFNA(MAX(_xlfn.XLOOKUP(MAX($Y$2:$AA$2),AA34:AA129,O34:O129,,1), _xlfn.XLOOKUP($W$2,AD34:AD129,O34:O129,,-1)), "Fail AC VIL")</f>
        <v>408.5</v>
      </c>
      <c r="I7" s="129">
        <f>_xlfn.IFNA(MAX(_xlfn.XLOOKUP(MAX($Y$3:$AA$3),R34:R129,O34:O129,,1), _xlfn.XLOOKUP($W$3,AC34:AC129,O34:O129,,-1)), "Fail AC VIL")</f>
        <v>408.5</v>
      </c>
      <c r="J7" s="21">
        <v>20000</v>
      </c>
      <c r="K7" s="2">
        <f>MIN(
MIN(FLOOR(B7,10^(LEN(ROUND(B7,0))-1))/10,
FLOOR(C7,10^(LEN(ROUND(C7,0))-1))/10,
IF(F7*10&gt;=J7,FLOOR(F7,10^(LEN(ROUND(F7,0))-1))/10,FLOOR(F7,10^(LEN(ROUND(F7,0))-1))),
FLOOR(G7,10^(LEN(ROUND(G7,0))-1))/10),
MAX(I7,J7)
)</f>
        <v>100</v>
      </c>
      <c r="L7" s="1"/>
      <c r="N7" s="71">
        <f>Summary!X62</f>
        <v>0.02</v>
      </c>
      <c r="AI7" s="3" t="str">
        <f>IF(Summary!$AL7="","",Summary!$AL7)</f>
        <v>101</v>
      </c>
      <c r="AJ7" s="3">
        <f>IF(Summary!$AL9="","",IF($J$2=1.8,Summary!$AL$9,IF($J$2=3.3,Summary!$AL$11,"n/a")))</f>
        <v>3.1339999999999999</v>
      </c>
      <c r="AK7" s="3">
        <f>IF(Summary!$AL9="","",IF($J$2=1.8,Summary!$AL$8,IF($J$2=3.3,Summary!$AL$10,"n/a")))</f>
        <v>11.7</v>
      </c>
    </row>
    <row r="8" spans="1:37" x14ac:dyDescent="0.35">
      <c r="A8" t="s">
        <v>277</v>
      </c>
      <c r="B8">
        <f xml:space="preserve"> (-B25*B26*B27*B28*B29*R2-B25*B26*B27*B28*B32*R2-B25*B26*B27*B29*B30*R2-B25*B26*B27*B30*B32*R2-B25*B26*B28*B29*B32*R2-B25*B26*B29*B30*B32*R2+B26*B27*B28*B29*B30*B34-B26*B27*B28*B29*B30*R2+B26*B27*B28*B30*B32*B34-B26*B27*B28*B30*B32*R2+B26*B28*B29*B30*B32*B34-B26*B28*B29*B30*B32*R2) / (B25*B26*B27*B28*R2+B25*B26*B27*B29*R2+B25*B26*B27*B30*R2+B25*B26*B27*B32*R2+B25*B26*B28*B32*R2+B25*B26*B29*B32*R2-B25*B26*B30*B32*B36+B25*B26*B30*B32*R2+B25*B27*B28*B29*R2+B25*B27*B28*B32*R2-B25*B27*B29*B30*B35+B25*B27*B29*B30*R2-B25*B27*B30*B32*B35+B25*B27*B30*B32*R2+B25*B28*B29*B32*R2-B25*B29*B30*B32*B35+B25*B29*B30*B32*R2-B26*B27*B28*B30*B34+B26*B27*B28*B30*R2-B26*B27*B29*B30*B34+B26*B27*B29*B30*R2-B26*B27*B30*B32*B34+B26*B27*B30*B32*R2-B26*B28*B30*B32*B34+B26*B28*B30*B32*R2-B26*B29*B30*B32*B34+B26*B29*B30*B32*R2-B27*B28*B29*B30*B34+B27*B28*B29*B30*R2-B27*B28*B30*B32*B34+B27*B28*B30*B32*R2-B28*B29*B30*B32*B34+B28*B29*B30*B32*R2)</f>
        <v>305.35714252740974</v>
      </c>
      <c r="C8">
        <f xml:space="preserve"> (-C25*C26*C27*C28*C29*R3-C25*C26*C27*C28*C32*R3-C25*C26*C27*C29*C30*R3-C25*C26*C27*C30*C32*R3+C25*C26*C28*C29*C32*C36-C25*C26*C28*C29*C32*R3+C25*C26*C29*C30*C32*C36-C25*C26*C29*C30*C32*R3-C26*C27*C28*C29*C30*R3-C26*C27*C28*C30*C32*R3+C26*C28*C29*C30*C32*C36-C26*C28*C29*C30*C32*R3) / (C25*C26*C27*C28*R3+C25*C26*C27*C29*R3+C25*C26*C27*C30*R3+C25*C26*C27*C32*R3-C25*C26*C28*C32*C36+C25*C26*C28*C32*R3-C25*C26*C29*C32*C36+C25*C26*C29*C32*R3-C25*C26*C30*C32*C36+C25*C26*C30*C32*R3+C25*C27*C28*C29*R3-C25*C27*C28*C32*C35+C25*C27*C28*C32*R3+C25*C27*C29*C30*R3-C25*C27*C30*C32*C35+C25*C27*C30*C32*R3-C25*C28*C29*C32*C36+C25*C28*C29*C32*R3-C25*C29*C30*C32*C36+C25*C29*C30*C32*R3+C26*C27*C28*C30*R3+C26*C27*C29*C30*R3-C26*C27*C30*C32*C34+C26*C27*C30*C32*R3-C26*C28*C30*C32*C36+C26*C28*C30*C32*R3-C26*C29*C30*C32*C36+C26*C29*C30*C32*R3+C27*C28*C29*C30*R3-C27*C28*C30*C32*C35+C27*C28*C30*C32*R3-C28*C29*C30*C32*C36+C28*C29*C30*C32*R3)</f>
        <v>305.35714252740974</v>
      </c>
      <c r="E8">
        <f>X2/(1.204*K18)</f>
        <v>1554.6828759599234</v>
      </c>
      <c r="F8">
        <f>X3/(1.204*K18)</f>
        <v>1554.6828759599234</v>
      </c>
      <c r="H8">
        <f>AA2/(1.204*K18)</f>
        <v>0.51822762531997457</v>
      </c>
      <c r="I8" s="2">
        <f>AA3/(1.204*K18)</f>
        <v>0.51822762531997457</v>
      </c>
      <c r="J8" s="8">
        <v>20000</v>
      </c>
      <c r="K8">
        <f>MIN(MIN(FLOOR(B8,10^(LEN(ROUND(B8,0))-1))/10,FLOOR(C8,10^(LEN(ROUND(C8,0))-1))/10,FLOOR(E8,10^(LEN(ROUND(E8,0))-1))/10,FLOOR(F8,10^(LEN(ROUND(F8,0))-1))/10),MAX(I8,J8))</f>
        <v>30</v>
      </c>
      <c r="N8" s="1"/>
      <c r="AI8" s="3" t="str">
        <f>IF(Summary!$AM7="","",Summary!$AM7)</f>
        <v>110</v>
      </c>
      <c r="AJ8" s="3">
        <f>IF(Summary!$AM9="","",IF($J$2=1.8,Summary!$AM$9,IF($J$2=3.3,Summary!$AM$11,"n/a")))</f>
        <v>3.76</v>
      </c>
      <c r="AK8" s="3">
        <f>IF(Summary!$AM9="","",IF($J$2=1.8,Summary!$AM$8,IF($J$2=3.3,Summary!$AM$10,"n/a")))</f>
        <v>13.42</v>
      </c>
    </row>
    <row r="9" spans="1:37" x14ac:dyDescent="0.35">
      <c r="B9" s="1"/>
      <c r="M9" s="2"/>
      <c r="AI9" s="3">
        <f>IF(Summary!$AN7="","",Summary!$AN7)</f>
        <v>111</v>
      </c>
      <c r="AJ9" s="3">
        <f>IF(Summary!$AN9="","",IF($J$2=1.8,Summary!$AN$9,IF($J$2=3.3,Summary!$AN$11,"n/a")))</f>
        <v>4.3620000000000001</v>
      </c>
      <c r="AK9" s="3">
        <f>IF(Summary!$AN9="","",IF($J$2=1.8,Summary!$AN$8,IF($J$2=3.3,Summary!$AN$10,"n/a")))</f>
        <v>15.09</v>
      </c>
    </row>
    <row r="10" spans="1:37" ht="21" x14ac:dyDescent="0.5">
      <c r="D10" t="s">
        <v>278</v>
      </c>
      <c r="F10" s="7" t="s">
        <v>279</v>
      </c>
      <c r="G10" s="7"/>
      <c r="H10" t="s">
        <v>280</v>
      </c>
      <c r="S10" s="20"/>
      <c r="U10" s="20"/>
      <c r="AI10" s="3" t="str">
        <f>IF(Summary!$AO7="","",Summary!$AO7)</f>
        <v/>
      </c>
      <c r="AJ10" s="3" t="str">
        <f>IF(Summary!$AO9="","",IF($J$2=1.8,Summary!$AO$9,IF($J$2=3.3,Summary!$AO$11,"n/a")))</f>
        <v/>
      </c>
      <c r="AK10" s="3" t="str">
        <f>IF(Summary!$AO9="","",IF($J$2=1.8,Summary!$AO$8,IF($J$2=3.3,Summary!$AO$10,"n/a")))</f>
        <v/>
      </c>
    </row>
    <row r="11" spans="1:37" x14ac:dyDescent="0.35">
      <c r="A11" t="s">
        <v>281</v>
      </c>
      <c r="B11" t="str">
        <f>IF(SUM(B2:B3)=2,
IF(
          (1/(1/F2+1/F3))
          /(
            (1/(1/C2+1/C3))
          +
            (1/(1/F2+1/F3))
          )
&lt;S2,"need resistor","no need"),
"no need")</f>
        <v>need resistor</v>
      </c>
      <c r="C11" s="11">
        <f>Summary!X24</f>
        <v>750</v>
      </c>
      <c r="D11" s="1">
        <f>IF(AND(B11="no need", C11=""), "",IF(AND(B11="no need", C11&gt;0), "please remove resistor",   IF(AND(B11="need resistor", ISBLANK(C11)), "please enter resistor",  (1/(1/F2+1/F3))/(1/(1/(1/(1/C2+1/C3))+1/C11)+(1/(1/F2+1/F3))) ) ))</f>
        <v>0.99999999849999999</v>
      </c>
      <c r="F11" s="7">
        <f>IF(B11="no need", 1000000000, C11)</f>
        <v>750</v>
      </c>
      <c r="G11" s="7" t="s">
        <v>281</v>
      </c>
      <c r="H11" s="62">
        <f>Summary!X25</f>
        <v>0.05</v>
      </c>
      <c r="K11" s="6" t="s">
        <v>282</v>
      </c>
      <c r="N11" s="19" t="s">
        <v>283</v>
      </c>
      <c r="P11" s="19" t="s">
        <v>284</v>
      </c>
      <c r="R11" s="127" t="s">
        <v>285</v>
      </c>
      <c r="S11" s="127">
        <f>($J$2+$J$2*Summary!$X$17)</f>
        <v>1.8900000000000001</v>
      </c>
      <c r="AI11" s="3" t="str">
        <f>IF(Summary!$AP7="","",Summary!$AP7)</f>
        <v/>
      </c>
      <c r="AJ11" s="3" t="str">
        <f>IF(Summary!$AP9="","",IF($J$2=1.8,Summary!$AP$9,IF($J$2=3.3,Summary!$AP$11,"n/a")))</f>
        <v/>
      </c>
      <c r="AK11" s="3" t="str">
        <f>IF(Summary!$AP9="","",IF($J$2=1.8,Summary!$AP$8,IF($J$2=3.3,Summary!$AP$10,"n/a")))</f>
        <v/>
      </c>
    </row>
    <row r="12" spans="1:37" x14ac:dyDescent="0.35">
      <c r="A12" t="s">
        <v>286</v>
      </c>
      <c r="B12" t="str">
        <f>IF(SUM(B2:B3)=0,
IF(
          (1/(1/F2+1/F3))
          /(
            (1/(1/C2+1/C3))
          +
            (1/(1/F2+1/F3))
          )
&gt;R2,"need resistor","no need"),
"no need")</f>
        <v>no need</v>
      </c>
      <c r="C12" t="str">
        <f>IF(B12="need resistor",K8,"")</f>
        <v/>
      </c>
      <c r="D12" s="1" t="str">
        <f>IF(AND(B12="no need", C12=""), "",IF(AND(B12="no need", C12&gt;0), "please remove resistor",   IF(AND(B12="need resistor", ISBLANK(C12)), "please enter resistor",  1/(1/(1/(1/F2+1/F3))+1/C12)/((1/(1/C2+1/C3))+1/(1/(1/(1/F2+1/F3))+1/C12)) )  ))</f>
        <v/>
      </c>
      <c r="F12" s="7">
        <f>IF(B12="no need", 1000000000, C12)</f>
        <v>1000000000</v>
      </c>
      <c r="G12" s="7" t="s">
        <v>286</v>
      </c>
      <c r="H12" s="62">
        <v>0.1</v>
      </c>
      <c r="J12" s="31"/>
      <c r="K12" s="17">
        <f>Summary!X10</f>
        <v>25</v>
      </c>
      <c r="L12" t="s">
        <v>287</v>
      </c>
      <c r="N12" s="4">
        <f>SUM(AB2:AC3,AE2:AE3)</f>
        <v>2.8189999999999998E-11</v>
      </c>
      <c r="O12" t="s">
        <v>288</v>
      </c>
      <c r="P12" s="61">
        <f>Summary!X84+Summary!X87</f>
        <v>2.9899999999999998</v>
      </c>
      <c r="Q12" t="s">
        <v>289</v>
      </c>
      <c r="R12" s="127" t="s">
        <v>290</v>
      </c>
      <c r="S12" s="127">
        <f>($J$2-$J$2*Summary!$X$17)</f>
        <v>1.71</v>
      </c>
      <c r="AI12" s="3" t="str">
        <f>IF(Summary!$AQ7="","",Summary!$AQ7)</f>
        <v/>
      </c>
      <c r="AJ12" s="3" t="str">
        <f>IF(Summary!$AQ9="","",IF($J$2=1.8,Summary!$AQ$9,IF($J$2=3.3,Summary!$AQ$11,"n/a")))</f>
        <v/>
      </c>
      <c r="AK12" s="3" t="str">
        <f>IF(Summary!$AQ9="","",IF($J$2=1.8,Summary!$AQ$8,IF($J$2=3.3,Summary!$AQ$10,"n/a")))</f>
        <v/>
      </c>
    </row>
    <row r="13" spans="1:37" x14ac:dyDescent="0.35">
      <c r="P13" t="s">
        <v>291</v>
      </c>
      <c r="R13" s="127" t="s">
        <v>292</v>
      </c>
      <c r="S13" s="127">
        <f>($J$3+$J$3*Summary!$X$18)</f>
        <v>1.8900000000000001</v>
      </c>
    </row>
    <row r="14" spans="1:37" x14ac:dyDescent="0.35">
      <c r="K14" s="6" t="s">
        <v>293</v>
      </c>
      <c r="N14" s="6" t="s">
        <v>294</v>
      </c>
      <c r="R14" s="127" t="s">
        <v>295</v>
      </c>
      <c r="S14" s="127">
        <f>($J$3-$J$3*Summary!$X$18)</f>
        <v>1.71</v>
      </c>
    </row>
    <row r="15" spans="1:37" x14ac:dyDescent="0.35">
      <c r="B15" s="2"/>
      <c r="C15" s="2"/>
      <c r="K15" s="3">
        <f>Summary!X8</f>
        <v>19.988</v>
      </c>
      <c r="L15" t="s">
        <v>296</v>
      </c>
      <c r="N15" s="41">
        <f>Summary!X9</f>
        <v>2.0800000000000001E-10</v>
      </c>
      <c r="O15" t="s">
        <v>297</v>
      </c>
    </row>
    <row r="16" spans="1:37" x14ac:dyDescent="0.35">
      <c r="A16" t="s">
        <v>298</v>
      </c>
      <c r="F16" t="s">
        <v>299</v>
      </c>
      <c r="H16" t="s">
        <v>300</v>
      </c>
    </row>
    <row r="17" spans="1:26" x14ac:dyDescent="0.35">
      <c r="B17" t="s">
        <v>301</v>
      </c>
      <c r="C17" t="s">
        <v>302</v>
      </c>
      <c r="D17" t="s">
        <v>303</v>
      </c>
      <c r="E17" t="s">
        <v>304</v>
      </c>
      <c r="F17" t="s">
        <v>305</v>
      </c>
      <c r="G17" t="s">
        <v>274</v>
      </c>
      <c r="H17" t="s">
        <v>305</v>
      </c>
      <c r="I17" t="s">
        <v>274</v>
      </c>
      <c r="K17" s="6" t="s">
        <v>306</v>
      </c>
      <c r="L17" s="3"/>
      <c r="M17" s="3"/>
      <c r="N17" s="3"/>
    </row>
    <row r="18" spans="1:26" x14ac:dyDescent="0.35">
      <c r="A18" t="s">
        <v>137</v>
      </c>
      <c r="B18">
        <f>B62</f>
        <v>0.99999912322688955</v>
      </c>
      <c r="C18">
        <f>B42</f>
        <v>0.9999993509581564</v>
      </c>
      <c r="D18">
        <f>B102</f>
        <v>0.99999912322689011</v>
      </c>
      <c r="E18">
        <f>C102</f>
        <v>0.17819347292115212</v>
      </c>
      <c r="F18" s="126">
        <f>_xlfn.LET(
_xlpm.Rbus, (1/(1/((1/(1/($G$91+$G$93)+1/$G$90))+$G$92)+1/($G$89))),
_xlpm.VCC, IF($AG$2="absolute",$S$13,1),
_xlpm.Vspec_abs, $U$2-$N$7,
(LN(1-$T$2/_xlpm.VCC)-LN(1-_xlpm.Vspec_abs/_xlpm.VCC))*$K$19*_xlpm.Rbus
)</f>
        <v>8.0077014611119853E-8</v>
      </c>
      <c r="G18" s="128">
        <f>_xlfn.LET(
_xlpm.Rbus, (1/(1/((1/(1/($D$91+$D$93)+1/$D$90))+$D$92)+1/($D$89))),
_xlpm.VCC, IF($AG$2="absolute",$S$14,1),
_xlpm.Vspec_abs, $U$2+$N$7,
(LN(1-$T$2/_xlpm.VCC)-LN(1-_xlpm.Vspec_abs/_xlpm.VCC))*$K$18*_xlpm.Rbus
)</f>
        <v>1.1880389798128283E-7</v>
      </c>
      <c r="H18" s="126">
        <f>_xlfn.LET(
_xlpm.Rbus, (1/(1/((1/(1/($H$96+$H$93)+1/$H$95))+$H$92)+1/($H$94))),
_xlpm.VCC, IF($AG$2="absolute",$S$14,1),
_xlpm.VL_rel, $H$102,
_xlpm.Vspec_abs, $T$2-$N$7,
_xlpm.Vspec_rel, (_xlpm.Vspec_abs/_xlpm.VCC-_xlpm.VL_rel)/(1-_xlpm.VL_rel),
IFERROR((LN($D$18-_xlpm.VL_rel)-LN(_xlpm.Vspec_rel))*$K$19*_xlpm.Rbus, "Vlow exceeds VIL spec")
)</f>
        <v>1.6952753502055003E-8</v>
      </c>
      <c r="I18" s="128">
        <f>_xlfn.LET(
_xlpm.Rbus, (1/(1/((1/(1/($F$96+$F$93)+1/$F$95))+$F$92)+1/($F$94))),
_xlpm.VCC, IF($AG$2="absolute",$S$13,1),
_xlpm.VL_rel, $F$102,
_xlpm.Vspec_abs, $T$2-$N$7,
_xlpm.Vspec_rel, (_xlpm.Vspec_abs/_xlpm.VCC-_xlpm.VL_rel)/(1-_xlpm.VL_rel),
IFERROR((LN($D$18-_xlpm.VL_rel)-LN(_xlpm.Vspec_rel))*$K$18*_xlpm.Rbus,"Vlow exceeds VIL spec")
)</f>
        <v>4.685137535873332E-8</v>
      </c>
      <c r="J18" s="139" t="s">
        <v>307</v>
      </c>
      <c r="K18" s="4">
        <f>Summary!X102</f>
        <v>1.6027026416052833E-10</v>
      </c>
      <c r="L18" s="22" t="s">
        <v>288</v>
      </c>
      <c r="M18" s="10">
        <f>K18*1000000000000</f>
        <v>160.27026416052834</v>
      </c>
      <c r="N18" t="s">
        <v>308</v>
      </c>
      <c r="O18" s="49">
        <f>N12+K12/39.37*N15</f>
        <v>1.6027026416052833E-10</v>
      </c>
    </row>
    <row r="19" spans="1:26" x14ac:dyDescent="0.35">
      <c r="A19" t="s">
        <v>309</v>
      </c>
      <c r="B19">
        <f>C64</f>
        <v>0.99999912322688955</v>
      </c>
      <c r="C19">
        <f>C44</f>
        <v>0.9999993509581564</v>
      </c>
      <c r="D19">
        <f>B84</f>
        <v>0.99999912322689011</v>
      </c>
      <c r="E19">
        <f>C84</f>
        <v>0.17053979573887276</v>
      </c>
      <c r="F19" s="126">
        <f>_xlfn.LET(
_xlpm.Rbus,(1/(1/((1/(1/($G$77+$G$72)+1/$G$70))+$G$73)+1/($G$71))),
_xlpm.VCC,IF($AG$3="absolute",$S$11,1),
_xlpm.Vspec_abs,$U$3-$N$7,
(LN(1-($T$3/_xlpm.VCC))-LN(1-_xlpm.Vspec_abs/_xlpm.VCC))*$K$19*_xlpm.Rbus
)</f>
        <v>8.0077014611119853E-8</v>
      </c>
      <c r="G19" s="128">
        <f>_xlfn.LET(
_xlpm.Rbus, (1/(1/((1/(1/($D$77+$D$72)+1/$D$70))+$D$73)+1/($D$71))),
_xlpm.VCC, IF($AG$3="absolute",$S$12,1),
_xlpm.Vspec_abs, $U$3+$N$7,
(LN(1-$T$3/_xlpm.VCC)-LN(1-_xlpm.Vspec_abs/_xlpm.VCC))*$K$18*_xlpm.Rbus
)</f>
        <v>1.1880389798128283E-7</v>
      </c>
      <c r="H19" s="126">
        <f>_xlfn.LET(
_xlpm.Rbus, (1/(1/((1/(1/($H$74+$H$72)+1/$H$75))+$H$73)+1/($H$76))),
_xlpm.VCC, IF($AG$3="absolute",$S$12,1),
_xlpm.VL_rel, $H$84,
_xlpm.Vspec_abs, $T$3-$N$7,
_xlpm.Vspec_rel, (_xlpm.Vspec_abs/_xlpm.VCC-_xlpm.VL_rel)/(1-_xlpm.VL_rel),
IFERROR((LN($D$19-_xlpm.VL_rel)-LN(_xlpm.Vspec_rel))*$K$19*_xlpm.Rbus, "Vlow exceeds VIL spec")
)</f>
        <v>1.90471935566848E-8</v>
      </c>
      <c r="I19" s="128">
        <f>_xlfn.LET(
_xlpm.Rbus, (1/(1/((1/(1/($F$74+$F$72)+1/$F$75))+$F$73)+1/($F$76))),
_xlpm.VCC, IF($AG$3="absolute",$S$11,1),
_xlpm.VL_rel, $F$84,
_xlpm.Vspec_abs, $T$3-$N$7,
_xlpm.Vspec_rel, (_xlpm.Vspec_abs/_xlpm.VCC-_xlpm.VL_rel)/(1-_xlpm.VL_rel),
IFERROR((LN($D$19-_xlpm.VL_rel)-LN(_xlpm.Vspec_rel))*$K$18*_xlpm.Rbus,"Vlow exceeds VIL spec")
)</f>
        <v>4.3158717877844123E-8</v>
      </c>
      <c r="J19" s="139" t="s">
        <v>310</v>
      </c>
      <c r="K19" s="122">
        <f>Summary!X101</f>
        <v>1.4358026416052834E-10</v>
      </c>
      <c r="L19" t="s">
        <v>368</v>
      </c>
    </row>
    <row r="20" spans="1:26" x14ac:dyDescent="0.35">
      <c r="J20" s="139"/>
      <c r="K20" s="6" t="s">
        <v>311</v>
      </c>
    </row>
    <row r="21" spans="1:26" x14ac:dyDescent="0.35">
      <c r="E21" s="120" t="s">
        <v>137</v>
      </c>
      <c r="F21" t="str">
        <f>IF(OR(AND(E18&gt;(R2-N7), Summary!X50="relative"), AND(E18&gt;(R2-N7)/(J3+J3*Summary!X18), Summary!X50="absolute")),IF(U29="no solution", "failed DC low, reduce MB trace length or increase trace width (reduce MB trace resistance per length)","failed DC low, make sure board PU is within the recommended range"),IF(OR(G18&gt;V2,I18&gt;W2), "failed max rise/fall time spec, recommendations:" &amp; CHAR(10) &amp; IF(OR(Summary!X24&gt;Summary!X22,Summary!X24&lt;Summary!X21), "- ensure board PU is within recommended range" &amp; CHAR(10),) &amp; "- reduce MB trace length",""))</f>
        <v/>
      </c>
      <c r="J21" s="139" t="s">
        <v>307</v>
      </c>
      <c r="K21" s="5">
        <f>Summary!X104</f>
        <v>21.49240538481077</v>
      </c>
      <c r="L21" t="s">
        <v>289</v>
      </c>
    </row>
    <row r="22" spans="1:26" x14ac:dyDescent="0.35">
      <c r="D22" t="s">
        <v>312</v>
      </c>
      <c r="E22" s="175" t="s">
        <v>157</v>
      </c>
      <c r="F22" t="str" cm="1">
        <f t="array" ref="F22">IF(Q2="N/A","",IF(OR(G19&gt;V3,I19&gt;W3),IF(Q2=MAX(AJ2:AJ11),"","failed max rise/fall time spec, recommended Intel ""current_assist_setting"" strength: "&amp;INDEX(AI2:AI11,MATCH(VLOOKUP(Q2,AI2:AI11,1,FALSE),AI2:AI11,0)+1)),IF(F19&lt;Y3,"failed min rise time spec, recommended to use weaker board PU","")))</f>
        <v/>
      </c>
      <c r="J22" s="139" t="s">
        <v>310</v>
      </c>
      <c r="K22">
        <f>Summary!X103</f>
        <v>15.682405384810767</v>
      </c>
    </row>
    <row r="23" spans="1:26" x14ac:dyDescent="0.35">
      <c r="B23" s="171" t="s">
        <v>313</v>
      </c>
      <c r="C23" s="171"/>
      <c r="D23" t="s">
        <v>314</v>
      </c>
      <c r="E23" s="175"/>
      <c r="F23" t="str">
        <f>IF(F22="",IF(OR(AND(E19&lt;=(R3-N7), Summary!X37="relative"),AND(E19&lt;=(R3-N7)/(J2+J2*Summary!X17), Summary!X37="absolute")),IF(OR(G19&gt;V3,I19&gt;W3), IF(N2=MIN(AH2:AH5), "failed max rise/fall time spec, recommendations:" &amp; CHAR(10) &amp; "-reduce MB trace length" &amp; CHAR(10) &amp; "-increase trace width (reduce MB trace resistance per length)", "failed max rise/fall time spec, recommendations:" &amp; CHAR(10) &amp; IF(OR(Summary!X24&gt;Summary!X22,Summary!X24&lt;Summary!X21), "- ensure board PU is within recommended range" &amp; CHAR(10),) &amp; "- recommended Intel ""toggle PD"" strength: " &amp; VLOOKUP(MAX(N2:N3)-1,AH2:AH5,1,TRUE) &amp; CHAR(10) &amp; "- reduce MB trace length or increase trace width (reduce MB trace resistance per length)"),""),IF(U29="no solution", "failed DC low voltage, recommendations:" &amp; CHAR(10) &amp; "-reduce Intel silicon pulldown value" &amp; CHAR(10) &amp; "-increase trace width (reduce MB trace resistance per length)" &amp; CHAR(10) &amp; "-reduce MB trace length","failed DC low voltage, make sure board PU is within the recommended range")),"")</f>
        <v/>
      </c>
      <c r="K23" s="19" t="s">
        <v>315</v>
      </c>
    </row>
    <row r="24" spans="1:26" x14ac:dyDescent="0.35">
      <c r="B24" t="s">
        <v>316</v>
      </c>
      <c r="C24" t="s">
        <v>317</v>
      </c>
      <c r="K24" s="18">
        <f>Summary!X13</f>
        <v>0</v>
      </c>
      <c r="L24" t="s">
        <v>305</v>
      </c>
    </row>
    <row r="25" spans="1:26" x14ac:dyDescent="0.35">
      <c r="A25" t="s">
        <v>318</v>
      </c>
      <c r="B25" s="11">
        <f>C2*(1-D2)</f>
        <v>900000000000</v>
      </c>
      <c r="C25" s="11">
        <f>C2*(1-D2)</f>
        <v>900000000000</v>
      </c>
      <c r="K25" s="18">
        <f>Summary!X14</f>
        <v>1</v>
      </c>
      <c r="L25" t="s">
        <v>274</v>
      </c>
      <c r="N25" s="72" t="s">
        <v>319</v>
      </c>
    </row>
    <row r="26" spans="1:26" x14ac:dyDescent="0.35">
      <c r="A26" t="s">
        <v>320</v>
      </c>
      <c r="B26" s="11">
        <f>F11*(1-H11)</f>
        <v>712.5</v>
      </c>
      <c r="C26" s="11">
        <f>F11*(1-H11)</f>
        <v>712.5</v>
      </c>
      <c r="Q26" t="s">
        <v>321</v>
      </c>
    </row>
    <row r="27" spans="1:26" x14ac:dyDescent="0.35">
      <c r="A27" t="s">
        <v>322</v>
      </c>
      <c r="B27" s="11">
        <f>C3*(1-D3)</f>
        <v>900000000000</v>
      </c>
      <c r="C27" s="11">
        <f>C3*(1-D3)</f>
        <v>900000000000</v>
      </c>
      <c r="Q27" t="s">
        <v>323</v>
      </c>
    </row>
    <row r="28" spans="1:26" x14ac:dyDescent="0.35">
      <c r="A28" t="s">
        <v>324</v>
      </c>
      <c r="B28" s="1">
        <f>K21</f>
        <v>21.49240538481077</v>
      </c>
      <c r="C28">
        <v>0</v>
      </c>
      <c r="Q28" t="s">
        <v>325</v>
      </c>
      <c r="V28" t="s">
        <v>305</v>
      </c>
      <c r="W28" t="s">
        <v>274</v>
      </c>
      <c r="X28" t="s">
        <v>326</v>
      </c>
    </row>
    <row r="29" spans="1:26" x14ac:dyDescent="0.35">
      <c r="A29" t="s">
        <v>327</v>
      </c>
      <c r="B29">
        <v>0</v>
      </c>
      <c r="C29" s="1">
        <f>K21</f>
        <v>21.49240538481077</v>
      </c>
      <c r="F29" s="11"/>
      <c r="T29" t="s">
        <v>328</v>
      </c>
      <c r="U29">
        <f>IF(IF(ISBLANK(Summary!X25),IF(U30=W82,L30,U30),IF(Summary!X25=5%,L30,U30))=N130,"no solution",IF(ISBLANK(Summary!X25),IF(U30=W82,L30,U30),IF(Summary!X25=5%,L30,U30)))</f>
        <v>910</v>
      </c>
      <c r="V29">
        <f>IFERROR(IF(X29=5%,VLOOKUP(1,M34:N129,2,FALSE),VLOOKUP(1,V34:W81,2,FALSE)),"no solution")</f>
        <v>430</v>
      </c>
      <c r="W29">
        <f>IF(U29="no solution","no solution",IF(X29=5%,VLOOKUP(MAX(M34:M129)-1,M34:N129,2,FALSE),VLOOKUP(MAX(V34:V81)-1,V34:W81,2,FALSE)))</f>
        <v>1800</v>
      </c>
      <c r="X29" s="64">
        <f>Summary!X25</f>
        <v>0.05</v>
      </c>
    </row>
    <row r="30" spans="1:26" x14ac:dyDescent="0.35">
      <c r="A30" t="s">
        <v>329</v>
      </c>
      <c r="B30" s="11">
        <f>F2*(1+H2)</f>
        <v>1100000000000</v>
      </c>
      <c r="C30" s="11">
        <f>F2*(1+H2)</f>
        <v>1100000000000</v>
      </c>
      <c r="K30" t="s">
        <v>330</v>
      </c>
      <c r="L30">
        <f>VLOOKUP(Q31,M34:Q154,2)</f>
        <v>910</v>
      </c>
      <c r="T30" t="s">
        <v>331</v>
      </c>
      <c r="U30">
        <f>VLOOKUP(Z31,V34:W82,2)</f>
        <v>820</v>
      </c>
    </row>
    <row r="31" spans="1:26" x14ac:dyDescent="0.35">
      <c r="A31" t="s">
        <v>332</v>
      </c>
      <c r="B31" s="11">
        <f>F12*(1+H12)</f>
        <v>1100000000</v>
      </c>
      <c r="C31" s="11">
        <f>F12*(1+H12)</f>
        <v>1100000000</v>
      </c>
      <c r="Q31" cm="1">
        <f t="array" ref="Q31">MAX(M34:M129+1)/2</f>
        <v>9</v>
      </c>
      <c r="Z31" cm="1">
        <f t="array" ref="Z31">MAX(V34:V81+1)/2</f>
        <v>4.5</v>
      </c>
    </row>
    <row r="32" spans="1:26" x14ac:dyDescent="0.35">
      <c r="A32" t="s">
        <v>333</v>
      </c>
      <c r="B32" s="11">
        <f>F3*(1+H3)</f>
        <v>1100000000000</v>
      </c>
      <c r="C32" s="11">
        <f>F3*(1+H3)</f>
        <v>1100000000000</v>
      </c>
      <c r="M32" s="16">
        <v>0.05</v>
      </c>
      <c r="V32" s="16">
        <v>0.1</v>
      </c>
    </row>
    <row r="33" spans="1:30" x14ac:dyDescent="0.35">
      <c r="K33" t="s">
        <v>334</v>
      </c>
      <c r="N33" s="16" t="s">
        <v>335</v>
      </c>
      <c r="O33" t="s">
        <v>336</v>
      </c>
      <c r="P33" t="s">
        <v>274</v>
      </c>
      <c r="Q33" t="s">
        <v>337</v>
      </c>
      <c r="R33" s="120" t="s">
        <v>338</v>
      </c>
      <c r="S33" s="120" t="s">
        <v>339</v>
      </c>
      <c r="T33" t="s">
        <v>334</v>
      </c>
      <c r="W33" s="16" t="s">
        <v>335</v>
      </c>
      <c r="X33" t="s">
        <v>336</v>
      </c>
      <c r="Y33" t="s">
        <v>274</v>
      </c>
      <c r="Z33" t="s">
        <v>337</v>
      </c>
      <c r="AA33" s="120" t="s">
        <v>340</v>
      </c>
      <c r="AB33" s="120" t="s">
        <v>341</v>
      </c>
      <c r="AC33" s="120" t="s">
        <v>342</v>
      </c>
      <c r="AD33" s="120" t="s">
        <v>343</v>
      </c>
    </row>
    <row r="34" spans="1:30" x14ac:dyDescent="0.35">
      <c r="A34" t="s">
        <v>344</v>
      </c>
      <c r="B34">
        <v>1</v>
      </c>
      <c r="C34">
        <v>1</v>
      </c>
      <c r="K34">
        <v>1</v>
      </c>
      <c r="L34">
        <v>10</v>
      </c>
      <c r="M34">
        <f>Q34</f>
        <v>0</v>
      </c>
      <c r="N34">
        <f t="shared" ref="N34:N97" si="0">L34*K34</f>
        <v>10</v>
      </c>
      <c r="O34">
        <f t="shared" ref="O34:O97" si="1">N34*(1-$M$32)</f>
        <v>9.5</v>
      </c>
      <c r="P34">
        <f t="shared" ref="P34:P97" si="2">N34*(1+$M$32)</f>
        <v>10.5</v>
      </c>
      <c r="Q34">
        <f>IF($Q$2="N/A",IF(AND((O34&gt;=MAX($H$7:$I$7)),(P34&lt;=MIN($F$7:$G$7)),(P34&lt;=MIN($B$7:$C$7)),(O34&gt;=MAX($D$7:$E$7))),1,0),IF(AND((O34&gt;=MAX($I$7)),(P34&lt;=MIN($G$7)),(P34&lt;=MIN($C$7)),(O34&gt;=MAX($E$7))),1,0))</f>
        <v>0</v>
      </c>
      <c r="R34" s="126">
        <f t="shared" ref="R34:R65" si="3">_xlfn.LET(
_xlpm.PU, O34,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1.0676935306502267E-9</v>
      </c>
      <c r="S34" s="126">
        <f t="shared" ref="S34:S65" si="4">_xlfn.LET(
_xlpm.PU,P34,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4.6982177436677331E-9</v>
      </c>
      <c r="T34">
        <v>1</v>
      </c>
      <c r="U34">
        <v>10</v>
      </c>
      <c r="V34">
        <f>Z34</f>
        <v>0</v>
      </c>
      <c r="W34">
        <f>U34*T34</f>
        <v>10</v>
      </c>
      <c r="X34">
        <f t="shared" ref="X34:X81" si="5">W34*(1-$V$32)</f>
        <v>9</v>
      </c>
      <c r="Y34">
        <f t="shared" ref="Y34:Y81" si="6">W34*(1+$V$32)</f>
        <v>11</v>
      </c>
      <c r="Z34">
        <f>IF($Q$2="N/A",IF(AND((X34&gt;=MAX($H$7:$I$7)),(Y34&lt;=MIN($F$7:$G$7)),(Y34&lt;=MIN($B$7:$C$7)),(X34&gt;=MAX($D$7:$E$7))),1,0),IF(AND((X34&gt;=MAX($I$7)),(Y34&lt;=MIN($G$7)),(Y34&lt;=MIN($C$7)),(X34&gt;=MAX($E$7))),1,0))</f>
        <v>0</v>
      </c>
      <c r="AA34" s="126">
        <f>_xlfn.LET(
_xlpm.PU,O34,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1.0676935306502267E-9</v>
      </c>
      <c r="AB34" s="126">
        <f>_xlfn.LET(
_xlpm.PU,P34,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4.6982177436677331E-9</v>
      </c>
      <c r="AC34" s="126" t="str">
        <f t="shared" ref="AC34:AC65" si="7">_xlfn.LET(
_xlpm.PU, O34,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34" s="126" t="str">
        <f t="shared" ref="AD34:AD65" si="8">_xlfn.LET(
_xlpm.PU, O34,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35" spans="1:30" x14ac:dyDescent="0.35">
      <c r="A35" t="s">
        <v>345</v>
      </c>
      <c r="B35">
        <v>1</v>
      </c>
      <c r="C35">
        <v>1</v>
      </c>
      <c r="K35">
        <v>1</v>
      </c>
      <c r="L35">
        <v>11</v>
      </c>
      <c r="M35">
        <f t="shared" ref="M35:M81" si="9">IF(AND(Q34=1,Q35=0),Q35+M34+1, Q35+M34)</f>
        <v>0</v>
      </c>
      <c r="N35">
        <f t="shared" si="0"/>
        <v>11</v>
      </c>
      <c r="O35">
        <f t="shared" si="1"/>
        <v>10.45</v>
      </c>
      <c r="P35">
        <f t="shared" si="2"/>
        <v>11.55</v>
      </c>
      <c r="Q35">
        <f t="shared" ref="Q35:Q98" si="10">IF($Q$2="N/A",IF(AND((O35&gt;=MAX($H$7:$I$7)),(P35&lt;=MIN($F$7:$G$7)),(P35&lt;=MIN($B$7:$C$7)),(O35&gt;=MAX($D$7:$E$7))),1,0),IF(AND((O35&gt;=MAX($I$7)),(P35&lt;=MIN($G$7)),(P35&lt;=MIN($C$7)),(O35&gt;=MAX($E$7))),1,0))</f>
        <v>0</v>
      </c>
      <c r="R35" s="126">
        <f t="shared" si="3"/>
        <v>1.1744628837115299E-9</v>
      </c>
      <c r="S35" s="126">
        <f t="shared" si="4"/>
        <v>4.8524146091800149E-9</v>
      </c>
      <c r="T35">
        <v>1</v>
      </c>
      <c r="U35">
        <v>12</v>
      </c>
      <c r="V35">
        <f t="shared" ref="V35:V82" si="11">IF(AND(Z34=1,Z35=0),Z35+V34+1, Z35+V34)</f>
        <v>0</v>
      </c>
      <c r="W35">
        <f t="shared" ref="W35:W79" si="12">U35*T35</f>
        <v>12</v>
      </c>
      <c r="X35">
        <f t="shared" si="5"/>
        <v>10.8</v>
      </c>
      <c r="Y35">
        <f t="shared" si="6"/>
        <v>13.200000000000001</v>
      </c>
      <c r="Z35">
        <f t="shared" ref="Z35:Z81" si="13">IF($Q$2="N/A",IF(AND((X35&gt;=MAX($H$7:$I$7)),(Y35&lt;=MIN($F$7:$G$7)),(Y35&lt;=MIN($B$7:$C$7)),(X35&gt;=MAX($D$7:$E$7))),1,0),IF(AND((X35&gt;=MAX($I$7)),(Y35&lt;=MIN($G$7)),(Y35&lt;=MIN($C$7)),(X35&gt;=MAX($E$7))),1,0))</f>
        <v>0</v>
      </c>
      <c r="AA35" s="126">
        <f t="shared" ref="AA35:AA98" si="14">_xlfn.LET(
_xlpm.PU,O35,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1.1744628837115299E-9</v>
      </c>
      <c r="AB35" s="126">
        <f t="shared" ref="AB35:AB98" si="15">_xlfn.LET(
_xlpm.PU,P35,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4.8524146091800149E-9</v>
      </c>
      <c r="AC35" s="126" t="str">
        <f t="shared" si="7"/>
        <v>Vlow exceeds VIL spec</v>
      </c>
      <c r="AD35" s="126" t="str">
        <f t="shared" si="8"/>
        <v>Vlow exceeds VIL spec</v>
      </c>
    </row>
    <row r="36" spans="1:30" x14ac:dyDescent="0.35">
      <c r="A36" t="s">
        <v>346</v>
      </c>
      <c r="B36">
        <v>1</v>
      </c>
      <c r="C36">
        <v>1</v>
      </c>
      <c r="K36">
        <v>1</v>
      </c>
      <c r="L36">
        <v>12</v>
      </c>
      <c r="M36">
        <f t="shared" si="9"/>
        <v>0</v>
      </c>
      <c r="N36">
        <f t="shared" si="0"/>
        <v>12</v>
      </c>
      <c r="O36">
        <f t="shared" si="1"/>
        <v>11.399999999999999</v>
      </c>
      <c r="P36">
        <f t="shared" si="2"/>
        <v>12.600000000000001</v>
      </c>
      <c r="Q36">
        <f t="shared" si="10"/>
        <v>0</v>
      </c>
      <c r="R36" s="126">
        <f t="shared" si="3"/>
        <v>1.281232236772157E-9</v>
      </c>
      <c r="S36" s="126">
        <f t="shared" si="4"/>
        <v>5.0066114746914149E-9</v>
      </c>
      <c r="T36">
        <v>1</v>
      </c>
      <c r="U36">
        <v>15</v>
      </c>
      <c r="V36">
        <f t="shared" si="11"/>
        <v>0</v>
      </c>
      <c r="W36">
        <f t="shared" si="12"/>
        <v>15</v>
      </c>
      <c r="X36">
        <f t="shared" si="5"/>
        <v>13.5</v>
      </c>
      <c r="Y36">
        <f t="shared" si="6"/>
        <v>16.5</v>
      </c>
      <c r="Z36">
        <f t="shared" si="13"/>
        <v>0</v>
      </c>
      <c r="AA36" s="126">
        <f t="shared" si="14"/>
        <v>1.281232236772157E-9</v>
      </c>
      <c r="AB36" s="126">
        <f t="shared" si="15"/>
        <v>5.0066114746914149E-9</v>
      </c>
      <c r="AC36" s="126" t="str">
        <f t="shared" si="7"/>
        <v>Vlow exceeds VIL spec</v>
      </c>
      <c r="AD36" s="126" t="str">
        <f t="shared" si="8"/>
        <v>Vlow exceeds VIL spec</v>
      </c>
    </row>
    <row r="37" spans="1:30" x14ac:dyDescent="0.35">
      <c r="K37">
        <v>1</v>
      </c>
      <c r="L37">
        <v>13</v>
      </c>
      <c r="M37">
        <f t="shared" si="9"/>
        <v>0</v>
      </c>
      <c r="N37">
        <f t="shared" si="0"/>
        <v>13</v>
      </c>
      <c r="O37">
        <f t="shared" si="1"/>
        <v>12.35</v>
      </c>
      <c r="P37">
        <f t="shared" si="2"/>
        <v>13.65</v>
      </c>
      <c r="Q37">
        <f t="shared" si="10"/>
        <v>0</v>
      </c>
      <c r="R37" s="126">
        <f t="shared" si="3"/>
        <v>1.3880015898321084E-9</v>
      </c>
      <c r="S37" s="126">
        <f t="shared" si="4"/>
        <v>5.1608083402019298E-9</v>
      </c>
      <c r="T37">
        <v>1</v>
      </c>
      <c r="U37">
        <v>18</v>
      </c>
      <c r="V37">
        <f t="shared" si="11"/>
        <v>0</v>
      </c>
      <c r="W37">
        <f t="shared" si="12"/>
        <v>18</v>
      </c>
      <c r="X37">
        <f t="shared" si="5"/>
        <v>16.2</v>
      </c>
      <c r="Y37">
        <f t="shared" si="6"/>
        <v>19.8</v>
      </c>
      <c r="Z37">
        <f t="shared" si="13"/>
        <v>0</v>
      </c>
      <c r="AA37" s="126">
        <f t="shared" si="14"/>
        <v>1.3880015898321084E-9</v>
      </c>
      <c r="AB37" s="126">
        <f t="shared" si="15"/>
        <v>5.1608083402019298E-9</v>
      </c>
      <c r="AC37" s="126" t="str">
        <f t="shared" si="7"/>
        <v>Vlow exceeds VIL spec</v>
      </c>
      <c r="AD37" s="126" t="str">
        <f t="shared" si="8"/>
        <v>Vlow exceeds VIL spec</v>
      </c>
    </row>
    <row r="38" spans="1:30" x14ac:dyDescent="0.35">
      <c r="A38" t="s">
        <v>347</v>
      </c>
      <c r="B38" s="125">
        <f>IF(Summary!X50="absolute",(S2+N7)/(J3-J3*Summary!X18),S2+N7)</f>
        <v>0.72</v>
      </c>
      <c r="K38">
        <v>1</v>
      </c>
      <c r="L38">
        <v>15</v>
      </c>
      <c r="M38">
        <f t="shared" si="9"/>
        <v>0</v>
      </c>
      <c r="N38">
        <f t="shared" si="0"/>
        <v>15</v>
      </c>
      <c r="O38">
        <f t="shared" si="1"/>
        <v>14.25</v>
      </c>
      <c r="P38">
        <f t="shared" si="2"/>
        <v>15.75</v>
      </c>
      <c r="Q38">
        <f t="shared" si="10"/>
        <v>0</v>
      </c>
      <c r="R38" s="126">
        <f t="shared" si="3"/>
        <v>1.601540295949982E-9</v>
      </c>
      <c r="S38" s="126">
        <f t="shared" si="4"/>
        <v>5.4692020712203119E-9</v>
      </c>
      <c r="T38">
        <v>1</v>
      </c>
      <c r="U38">
        <v>22</v>
      </c>
      <c r="V38">
        <f t="shared" si="11"/>
        <v>0</v>
      </c>
      <c r="W38">
        <f t="shared" si="12"/>
        <v>22</v>
      </c>
      <c r="X38">
        <f t="shared" si="5"/>
        <v>19.8</v>
      </c>
      <c r="Y38">
        <f t="shared" si="6"/>
        <v>24.200000000000003</v>
      </c>
      <c r="Z38">
        <f t="shared" si="13"/>
        <v>0</v>
      </c>
      <c r="AA38" s="126">
        <f t="shared" si="14"/>
        <v>1.601540295949982E-9</v>
      </c>
      <c r="AB38" s="126">
        <f t="shared" si="15"/>
        <v>5.4692020712203119E-9</v>
      </c>
      <c r="AC38" s="126" t="str">
        <f t="shared" si="7"/>
        <v>Vlow exceeds VIL spec</v>
      </c>
      <c r="AD38" s="126" t="str">
        <f t="shared" si="8"/>
        <v>Vlow exceeds VIL spec</v>
      </c>
    </row>
    <row r="39" spans="1:30" x14ac:dyDescent="0.35">
      <c r="A39" t="s">
        <v>348</v>
      </c>
      <c r="K39">
        <v>1</v>
      </c>
      <c r="L39">
        <v>16</v>
      </c>
      <c r="M39">
        <f t="shared" si="9"/>
        <v>0</v>
      </c>
      <c r="N39">
        <f t="shared" si="0"/>
        <v>16</v>
      </c>
      <c r="O39">
        <f t="shared" si="1"/>
        <v>15.2</v>
      </c>
      <c r="P39">
        <f t="shared" si="2"/>
        <v>16.8</v>
      </c>
      <c r="Q39">
        <f t="shared" si="10"/>
        <v>0</v>
      </c>
      <c r="R39" s="126">
        <f t="shared" si="3"/>
        <v>1.7083096490079043E-9</v>
      </c>
      <c r="S39" s="126">
        <f t="shared" si="4"/>
        <v>5.623398936728179E-9</v>
      </c>
      <c r="T39">
        <v>1</v>
      </c>
      <c r="U39">
        <v>27</v>
      </c>
      <c r="V39">
        <f t="shared" si="11"/>
        <v>0</v>
      </c>
      <c r="W39">
        <f t="shared" si="12"/>
        <v>27</v>
      </c>
      <c r="X39">
        <f t="shared" si="5"/>
        <v>24.3</v>
      </c>
      <c r="Y39">
        <f t="shared" si="6"/>
        <v>29.700000000000003</v>
      </c>
      <c r="Z39">
        <f t="shared" si="13"/>
        <v>0</v>
      </c>
      <c r="AA39" s="126">
        <f t="shared" si="14"/>
        <v>1.7083096490079043E-9</v>
      </c>
      <c r="AB39" s="126">
        <f t="shared" si="15"/>
        <v>5.623398936728179E-9</v>
      </c>
      <c r="AC39" s="126" t="str">
        <f t="shared" si="7"/>
        <v>Vlow exceeds VIL spec</v>
      </c>
      <c r="AD39" s="126" t="str">
        <f t="shared" si="8"/>
        <v>Vlow exceeds VIL spec</v>
      </c>
    </row>
    <row r="40" spans="1:30" x14ac:dyDescent="0.35">
      <c r="A40" t="s">
        <v>349</v>
      </c>
      <c r="C40" s="125">
        <f>IF(Summary!X37="absolute",(S3+N7)/(J2-J2*Summary!X17),S3+N7)</f>
        <v>0.72</v>
      </c>
      <c r="K40">
        <v>1</v>
      </c>
      <c r="L40">
        <v>18</v>
      </c>
      <c r="M40">
        <f t="shared" si="9"/>
        <v>0</v>
      </c>
      <c r="N40">
        <f t="shared" si="0"/>
        <v>18</v>
      </c>
      <c r="O40">
        <f t="shared" si="1"/>
        <v>17.099999999999998</v>
      </c>
      <c r="P40">
        <f t="shared" si="2"/>
        <v>18.900000000000002</v>
      </c>
      <c r="Q40">
        <f t="shared" si="10"/>
        <v>0</v>
      </c>
      <c r="R40" s="126">
        <f t="shared" si="3"/>
        <v>1.9218483551217202E-9</v>
      </c>
      <c r="S40" s="126">
        <f t="shared" si="4"/>
        <v>5.9317926677412604E-9</v>
      </c>
      <c r="T40">
        <v>1</v>
      </c>
      <c r="U40">
        <v>33</v>
      </c>
      <c r="V40">
        <f t="shared" si="11"/>
        <v>0</v>
      </c>
      <c r="W40">
        <f t="shared" si="12"/>
        <v>33</v>
      </c>
      <c r="X40">
        <f t="shared" si="5"/>
        <v>29.7</v>
      </c>
      <c r="Y40">
        <f t="shared" si="6"/>
        <v>36.300000000000004</v>
      </c>
      <c r="Z40">
        <f t="shared" si="13"/>
        <v>0</v>
      </c>
      <c r="AA40" s="126">
        <f t="shared" si="14"/>
        <v>1.9218483551217202E-9</v>
      </c>
      <c r="AB40" s="126">
        <f t="shared" si="15"/>
        <v>5.9317926677412604E-9</v>
      </c>
      <c r="AC40" s="126" t="str">
        <f t="shared" si="7"/>
        <v>Vlow exceeds VIL spec</v>
      </c>
      <c r="AD40" s="126" t="str">
        <f t="shared" si="8"/>
        <v>Vlow exceeds VIL spec</v>
      </c>
    </row>
    <row r="41" spans="1:30" x14ac:dyDescent="0.35">
      <c r="C41" s="1"/>
      <c r="K41">
        <v>1</v>
      </c>
      <c r="L41">
        <v>20</v>
      </c>
      <c r="M41">
        <f t="shared" si="9"/>
        <v>0</v>
      </c>
      <c r="N41">
        <f t="shared" si="0"/>
        <v>20</v>
      </c>
      <c r="O41">
        <f t="shared" si="1"/>
        <v>19</v>
      </c>
      <c r="P41">
        <f t="shared" si="2"/>
        <v>21</v>
      </c>
      <c r="Q41">
        <f t="shared" si="10"/>
        <v>0</v>
      </c>
      <c r="R41" s="126">
        <f t="shared" si="3"/>
        <v>2.1353870612328322E-9</v>
      </c>
      <c r="S41" s="126">
        <f t="shared" si="4"/>
        <v>6.2401863987508115E-9</v>
      </c>
      <c r="T41">
        <v>1</v>
      </c>
      <c r="U41">
        <v>39</v>
      </c>
      <c r="V41">
        <f t="shared" si="11"/>
        <v>0</v>
      </c>
      <c r="W41">
        <f t="shared" si="12"/>
        <v>39</v>
      </c>
      <c r="X41">
        <f t="shared" si="5"/>
        <v>35.1</v>
      </c>
      <c r="Y41">
        <f t="shared" si="6"/>
        <v>42.900000000000006</v>
      </c>
      <c r="Z41">
        <f t="shared" si="13"/>
        <v>0</v>
      </c>
      <c r="AA41" s="126">
        <f t="shared" si="14"/>
        <v>2.1353870612328322E-9</v>
      </c>
      <c r="AB41" s="126">
        <f t="shared" si="15"/>
        <v>6.2401863987508115E-9</v>
      </c>
      <c r="AC41" s="126" t="str">
        <f t="shared" si="7"/>
        <v>Vlow exceeds VIL spec</v>
      </c>
      <c r="AD41" s="126" t="str">
        <f t="shared" si="8"/>
        <v>Vlow exceeds VIL spec</v>
      </c>
    </row>
    <row r="42" spans="1:30" x14ac:dyDescent="0.35">
      <c r="A42" t="s">
        <v>350</v>
      </c>
      <c r="B42">
        <f xml:space="preserve"> (B25*B26*B30*B31*B32*B36+B25*B27*B29*B30*B31*B35+B25*B27*B30*B31*B32*B35+B25*B29*B30*B31*B32*B35+B26*B27*B28*B29*B30*B34+B26*B27*B28*B30*B31*B34+B26*B27*B28*B30*B32*B34+B26*B27*B29*B30*B31*B34+B26*B27*B30*B31*B32*B34+B26*B28*B29*B30*B32*B34+B26*B28*B30*B31*B32*B34+B26*B29*B30*B31*B32*B34+B27*B28*B29*B30*B31*B34+B27*B28*B30*B31*B32*B34+B28*B29*B30*B31*B32*B34)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0.9999993509581564</v>
      </c>
      <c r="C42" s="13">
        <f xml:space="preserve"> (C25*C26*C30*C31*C32*C36+C25*C27*C29*C30*C31*C35+C25*C27*C30*C31*C32*C35+C25*C29*C30*C31*C32*C35+C26*C27*C28*C29*C30*C34+C26*C27*C28*C30*C31*C34+C26*C27*C28*C30*C32*C34+C26*C27*C29*C30*C31*C34+C26*C27*C30*C31*C32*C34+C26*C28*C29*C30*C32*C34+C26*C28*C30*C31*C32*C34+C26*C29*C30*C31*C32*C34+C27*C28*C29*C30*C31*C34+C27*C28*C30*C31*C32*C34+C28*C29*C30*C31*C32*C34)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0.9999993509776951</v>
      </c>
      <c r="K42">
        <v>1</v>
      </c>
      <c r="L42">
        <v>22</v>
      </c>
      <c r="M42">
        <f t="shared" si="9"/>
        <v>0</v>
      </c>
      <c r="N42">
        <f t="shared" si="0"/>
        <v>22</v>
      </c>
      <c r="O42">
        <f t="shared" si="1"/>
        <v>20.9</v>
      </c>
      <c r="P42">
        <f t="shared" si="2"/>
        <v>23.1</v>
      </c>
      <c r="Q42">
        <f t="shared" si="10"/>
        <v>0</v>
      </c>
      <c r="R42" s="126">
        <f t="shared" si="3"/>
        <v>2.3489257673412385E-9</v>
      </c>
      <c r="S42" s="126">
        <f t="shared" si="4"/>
        <v>6.5485801297568305E-9</v>
      </c>
      <c r="T42">
        <v>1</v>
      </c>
      <c r="U42">
        <v>47</v>
      </c>
      <c r="V42">
        <f t="shared" si="11"/>
        <v>0</v>
      </c>
      <c r="W42">
        <f t="shared" si="12"/>
        <v>47</v>
      </c>
      <c r="X42">
        <f t="shared" si="5"/>
        <v>42.300000000000004</v>
      </c>
      <c r="Y42">
        <f t="shared" si="6"/>
        <v>51.7</v>
      </c>
      <c r="Z42">
        <f t="shared" si="13"/>
        <v>0</v>
      </c>
      <c r="AA42" s="126">
        <f t="shared" si="14"/>
        <v>2.3489257673412385E-9</v>
      </c>
      <c r="AB42" s="126">
        <f t="shared" si="15"/>
        <v>6.5485801297568305E-9</v>
      </c>
      <c r="AC42" s="126" t="str">
        <f t="shared" si="7"/>
        <v>Vlow exceeds VIL spec</v>
      </c>
      <c r="AD42" s="126" t="str">
        <f t="shared" si="8"/>
        <v>Vlow exceeds VIL spec</v>
      </c>
    </row>
    <row r="43" spans="1:30" x14ac:dyDescent="0.35">
      <c r="A43" t="s">
        <v>351</v>
      </c>
      <c r="B43" s="13">
        <f xml:space="preserve"> (B25*B26*B28*B31*B32*B36+B25*B26*B30*B31*B32*B36+B25*B27*B28*B29*B31*B35+B25*B27*B28*B31*B32*B35+B25*B27*B29*B30*B31*B35+B25*B27*B30*B31*B32*B35+B25*B28*B29*B31*B32*B35+B25*B29*B30*B31*B32*B35+B26*B27*B29*B30*B31*B34+B26*B27*B30*B31*B32*B34+B26*B28*B30*B31*B32*B36+B26*B29*B30*B31*B32*B34+B27*B28*B29*B30*B31*B35+B27*B28*B30*B31*B32*B35+B28*B29*B30*B31*B32*B35)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0.9999993509776951</v>
      </c>
      <c r="C43" s="13">
        <f xml:space="preserve"> (C25*C26*C28*C31*C32*C36+C25*C26*C30*C31*C32*C36+C25*C27*C28*C29*C31*C35+C25*C27*C28*C31*C32*C35+C25*C27*C29*C30*C31*C35+C25*C27*C30*C31*C32*C35+C25*C28*C29*C31*C32*C35+C25*C29*C30*C31*C32*C35+C26*C27*C29*C30*C31*C34+C26*C27*C30*C31*C32*C34+C26*C28*C30*C31*C32*C36+C26*C29*C30*C31*C32*C34+C27*C28*C29*C30*C31*C35+C27*C28*C30*C31*C32*C35+C28*C29*C30*C31*C32*C35)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0.9999993509776951</v>
      </c>
      <c r="K43">
        <v>1</v>
      </c>
      <c r="L43">
        <v>24</v>
      </c>
      <c r="M43">
        <f t="shared" si="9"/>
        <v>0</v>
      </c>
      <c r="N43">
        <f t="shared" si="0"/>
        <v>24</v>
      </c>
      <c r="O43">
        <f t="shared" si="1"/>
        <v>22.799999999999997</v>
      </c>
      <c r="P43">
        <f t="shared" si="2"/>
        <v>25.200000000000003</v>
      </c>
      <c r="Q43">
        <f t="shared" si="10"/>
        <v>0</v>
      </c>
      <c r="R43" s="126">
        <f t="shared" si="3"/>
        <v>2.5624644734469403E-9</v>
      </c>
      <c r="S43" s="126">
        <f t="shared" si="4"/>
        <v>6.8569738607593166E-9</v>
      </c>
      <c r="T43">
        <v>1</v>
      </c>
      <c r="U43">
        <v>56</v>
      </c>
      <c r="V43">
        <f t="shared" si="11"/>
        <v>0</v>
      </c>
      <c r="W43">
        <f t="shared" si="12"/>
        <v>56</v>
      </c>
      <c r="X43">
        <f t="shared" si="5"/>
        <v>50.4</v>
      </c>
      <c r="Y43">
        <f t="shared" si="6"/>
        <v>61.600000000000009</v>
      </c>
      <c r="Z43">
        <f t="shared" si="13"/>
        <v>0</v>
      </c>
      <c r="AA43" s="126">
        <f t="shared" si="14"/>
        <v>2.5624644734469403E-9</v>
      </c>
      <c r="AB43" s="126">
        <f t="shared" si="15"/>
        <v>6.8569738607593166E-9</v>
      </c>
      <c r="AC43" s="126" t="str">
        <f t="shared" si="7"/>
        <v>Vlow exceeds VIL spec</v>
      </c>
      <c r="AD43" s="126" t="str">
        <f t="shared" si="8"/>
        <v>Vlow exceeds VIL spec</v>
      </c>
    </row>
    <row r="44" spans="1:30" x14ac:dyDescent="0.35">
      <c r="A44" t="s">
        <v>352</v>
      </c>
      <c r="B44" s="13">
        <f xml:space="preserve"> (B25*B26*B28*B29*B32*B36+B25*B26*B28*B31*B32*B36+B25*B26*B29*B30*B32*B36+B25*B26*B29*B31*B32*B36+B25*B26*B30*B31*B32*B36+B25*B27*B28*B31*B32*B35+B25*B27*B30*B31*B32*B35+B25*B28*B29*B31*B32*B36+B25*B29*B30*B31*B32*B36+B26*B27*B30*B31*B32*B34+B26*B28*B29*B30*B32*B36+B26*B28*B30*B31*B32*B36+B26*B29*B30*B31*B32*B36+B27*B28*B30*B31*B32*B35+B28*B29*B30*B31*B32*B36) / (B25*B26*B27*B28*B29+B25*B26*B27*B28*B31+B25*B26*B27*B28*B32+B25*B26*B27*B29*B30+B25*B26*B27*B29*B31+B25*B26*B27*B30*B31+B25*B26*B27*B30*B32+B25*B26*B27*B31*B32+B25*B26*B28*B29*B32+B25*B26*B28*B31*B32+B25*B26*B29*B30*B32+B25*B26*B29*B31*B32+B25*B26*B30*B31*B32+B25*B27*B28*B29*B31+B25*B27*B28*B31*B32+B25*B27*B29*B30*B31+B25*B27*B30*B31*B32+B25*B28*B29*B31*B32+B25*B29*B30*B31*B32+B26*B27*B28*B29*B30+B26*B27*B28*B30*B31+B26*B27*B28*B30*B32+B26*B27*B29*B30*B31+B26*B27*B30*B31*B32+B26*B28*B29*B30*B32+B26*B28*B30*B31*B32+B26*B29*B30*B31*B32+B27*B28*B29*B30*B31+B27*B28*B30*B31*B32+B28*B29*B30*B31*B32)</f>
        <v>0.9999993509776951</v>
      </c>
      <c r="C44">
        <f xml:space="preserve"> (C25*C26*C28*C29*C32*C36+C25*C26*C28*C31*C32*C36+C25*C26*C29*C30*C32*C36+C25*C26*C29*C31*C32*C36+C25*C26*C30*C31*C32*C36+C25*C27*C28*C31*C32*C35+C25*C27*C30*C31*C32*C35+C25*C28*C29*C31*C32*C36+C25*C29*C30*C31*C32*C36+C26*C27*C30*C31*C32*C34+C26*C28*C29*C30*C32*C36+C26*C28*C30*C31*C32*C36+C26*C29*C30*C31*C32*C36+C27*C28*C30*C31*C32*C35+C28*C29*C30*C31*C32*C36) / (C25*C26*C27*C28*C29+C25*C26*C27*C28*C31+C25*C26*C27*C28*C32+C25*C26*C27*C29*C30+C25*C26*C27*C29*C31+C25*C26*C27*C30*C31+C25*C26*C27*C30*C32+C25*C26*C27*C31*C32+C25*C26*C28*C29*C32+C25*C26*C28*C31*C32+C25*C26*C29*C30*C32+C25*C26*C29*C31*C32+C25*C26*C30*C31*C32+C25*C27*C28*C29*C31+C25*C27*C28*C31*C32+C25*C27*C29*C30*C31+C25*C27*C30*C31*C32+C25*C28*C29*C31*C32+C25*C29*C30*C31*C32+C26*C27*C28*C29*C30+C26*C27*C28*C30*C31+C26*C27*C28*C30*C32+C26*C27*C29*C30*C31+C26*C27*C30*C31*C32+C26*C28*C29*C30*C32+C26*C28*C30*C31*C32+C26*C29*C30*C31*C32+C27*C28*C29*C30*C31+C27*C28*C30*C31*C32+C28*C29*C30*C31*C32)</f>
        <v>0.9999993509581564</v>
      </c>
      <c r="K44">
        <v>1</v>
      </c>
      <c r="L44">
        <v>27</v>
      </c>
      <c r="M44">
        <f t="shared" si="9"/>
        <v>0</v>
      </c>
      <c r="N44">
        <f t="shared" si="0"/>
        <v>27</v>
      </c>
      <c r="O44">
        <f t="shared" si="1"/>
        <v>25.65</v>
      </c>
      <c r="P44">
        <f t="shared" si="2"/>
        <v>28.35</v>
      </c>
      <c r="Q44">
        <f t="shared" si="10"/>
        <v>0</v>
      </c>
      <c r="R44" s="126">
        <f t="shared" si="3"/>
        <v>2.8827725326004216E-9</v>
      </c>
      <c r="S44" s="126">
        <f t="shared" si="4"/>
        <v>7.3195644572564209E-9</v>
      </c>
      <c r="T44">
        <v>1</v>
      </c>
      <c r="U44">
        <v>68</v>
      </c>
      <c r="V44">
        <f t="shared" si="11"/>
        <v>0</v>
      </c>
      <c r="W44">
        <f t="shared" si="12"/>
        <v>68</v>
      </c>
      <c r="X44">
        <f t="shared" si="5"/>
        <v>61.2</v>
      </c>
      <c r="Y44">
        <f t="shared" si="6"/>
        <v>74.800000000000011</v>
      </c>
      <c r="Z44">
        <f t="shared" si="13"/>
        <v>0</v>
      </c>
      <c r="AA44" s="126">
        <f t="shared" si="14"/>
        <v>2.8827725326004216E-9</v>
      </c>
      <c r="AB44" s="126">
        <f t="shared" si="15"/>
        <v>7.3195644572564209E-9</v>
      </c>
      <c r="AC44" s="126" t="str">
        <f t="shared" si="7"/>
        <v>Vlow exceeds VIL spec</v>
      </c>
      <c r="AD44" s="126" t="str">
        <f t="shared" si="8"/>
        <v>Vlow exceeds VIL spec</v>
      </c>
    </row>
    <row r="45" spans="1:30" x14ac:dyDescent="0.35">
      <c r="K45">
        <v>1</v>
      </c>
      <c r="L45">
        <v>30</v>
      </c>
      <c r="M45">
        <f t="shared" si="9"/>
        <v>0</v>
      </c>
      <c r="N45">
        <f t="shared" si="0"/>
        <v>30</v>
      </c>
      <c r="O45">
        <f t="shared" si="1"/>
        <v>28.5</v>
      </c>
      <c r="P45">
        <f t="shared" si="2"/>
        <v>31.5</v>
      </c>
      <c r="Q45">
        <f t="shared" si="10"/>
        <v>0</v>
      </c>
      <c r="R45" s="126">
        <f t="shared" si="3"/>
        <v>3.2030805917478173E-9</v>
      </c>
      <c r="S45" s="126">
        <f t="shared" si="4"/>
        <v>7.7821550537455768E-9</v>
      </c>
      <c r="T45">
        <v>1</v>
      </c>
      <c r="U45">
        <v>82</v>
      </c>
      <c r="V45">
        <f t="shared" si="11"/>
        <v>0</v>
      </c>
      <c r="W45">
        <f t="shared" si="12"/>
        <v>82</v>
      </c>
      <c r="X45">
        <f t="shared" si="5"/>
        <v>73.8</v>
      </c>
      <c r="Y45">
        <f t="shared" si="6"/>
        <v>90.2</v>
      </c>
      <c r="Z45">
        <f t="shared" si="13"/>
        <v>0</v>
      </c>
      <c r="AA45" s="126">
        <f t="shared" si="14"/>
        <v>3.2030805917478173E-9</v>
      </c>
      <c r="AB45" s="126">
        <f t="shared" si="15"/>
        <v>7.7821550537455768E-9</v>
      </c>
      <c r="AC45" s="126" t="str">
        <f t="shared" si="7"/>
        <v>Vlow exceeds VIL spec</v>
      </c>
      <c r="AD45" s="126" t="str">
        <f t="shared" si="8"/>
        <v>Vlow exceeds VIL spec</v>
      </c>
    </row>
    <row r="46" spans="1:30" x14ac:dyDescent="0.35">
      <c r="K46">
        <v>1</v>
      </c>
      <c r="L46">
        <v>33</v>
      </c>
      <c r="M46">
        <f t="shared" si="9"/>
        <v>0</v>
      </c>
      <c r="N46">
        <f t="shared" si="0"/>
        <v>33</v>
      </c>
      <c r="O46">
        <f t="shared" si="1"/>
        <v>31.349999999999998</v>
      </c>
      <c r="P46">
        <f t="shared" si="2"/>
        <v>34.65</v>
      </c>
      <c r="Q46">
        <f t="shared" si="10"/>
        <v>0</v>
      </c>
      <c r="R46" s="126">
        <f t="shared" si="3"/>
        <v>3.5233886508891263E-9</v>
      </c>
      <c r="S46" s="126">
        <f t="shared" si="4"/>
        <v>8.244745650226786E-9</v>
      </c>
      <c r="T46">
        <v>10</v>
      </c>
      <c r="U46">
        <v>10</v>
      </c>
      <c r="V46">
        <f t="shared" si="11"/>
        <v>0</v>
      </c>
      <c r="W46">
        <f t="shared" si="12"/>
        <v>100</v>
      </c>
      <c r="X46">
        <f t="shared" si="5"/>
        <v>90</v>
      </c>
      <c r="Y46">
        <f t="shared" si="6"/>
        <v>110.00000000000001</v>
      </c>
      <c r="Z46">
        <f t="shared" si="13"/>
        <v>0</v>
      </c>
      <c r="AA46" s="126">
        <f t="shared" si="14"/>
        <v>3.5233886508891263E-9</v>
      </c>
      <c r="AB46" s="126">
        <f t="shared" si="15"/>
        <v>8.244745650226786E-9</v>
      </c>
      <c r="AC46" s="126" t="str">
        <f t="shared" si="7"/>
        <v>Vlow exceeds VIL spec</v>
      </c>
      <c r="AD46" s="126" t="str">
        <f t="shared" si="8"/>
        <v>Vlow exceeds VIL spec</v>
      </c>
    </row>
    <row r="47" spans="1:30" x14ac:dyDescent="0.35">
      <c r="B47" s="171" t="s">
        <v>353</v>
      </c>
      <c r="C47" s="171"/>
      <c r="K47">
        <v>1</v>
      </c>
      <c r="L47">
        <v>36</v>
      </c>
      <c r="M47">
        <f t="shared" si="9"/>
        <v>0</v>
      </c>
      <c r="N47">
        <f t="shared" si="0"/>
        <v>36</v>
      </c>
      <c r="O47">
        <f t="shared" si="1"/>
        <v>34.199999999999996</v>
      </c>
      <c r="P47">
        <f t="shared" si="2"/>
        <v>37.800000000000004</v>
      </c>
      <c r="Q47">
        <f t="shared" si="10"/>
        <v>0</v>
      </c>
      <c r="R47" s="126">
        <f t="shared" si="3"/>
        <v>3.8436967100243492E-9</v>
      </c>
      <c r="S47" s="126">
        <f t="shared" si="4"/>
        <v>8.7073362467000476E-9</v>
      </c>
      <c r="T47">
        <v>10</v>
      </c>
      <c r="U47">
        <v>12</v>
      </c>
      <c r="V47">
        <f t="shared" si="11"/>
        <v>0</v>
      </c>
      <c r="W47">
        <f>U47*T47</f>
        <v>120</v>
      </c>
      <c r="X47">
        <f t="shared" si="5"/>
        <v>108</v>
      </c>
      <c r="Y47">
        <f t="shared" si="6"/>
        <v>132</v>
      </c>
      <c r="Z47">
        <f t="shared" si="13"/>
        <v>0</v>
      </c>
      <c r="AA47" s="126">
        <f t="shared" si="14"/>
        <v>3.8436967100243492E-9</v>
      </c>
      <c r="AB47" s="126">
        <f t="shared" si="15"/>
        <v>8.7073362467000476E-9</v>
      </c>
      <c r="AC47" s="126" t="str">
        <f t="shared" si="7"/>
        <v>Vlow exceeds VIL spec</v>
      </c>
      <c r="AD47" s="126" t="str">
        <f t="shared" si="8"/>
        <v>Vlow exceeds VIL spec</v>
      </c>
    </row>
    <row r="48" spans="1:30" x14ac:dyDescent="0.35">
      <c r="B48" t="s">
        <v>316</v>
      </c>
      <c r="C48" t="s">
        <v>317</v>
      </c>
      <c r="K48">
        <v>1</v>
      </c>
      <c r="L48">
        <v>39</v>
      </c>
      <c r="M48">
        <f t="shared" si="9"/>
        <v>0</v>
      </c>
      <c r="N48">
        <f t="shared" si="0"/>
        <v>39</v>
      </c>
      <c r="O48">
        <f t="shared" si="1"/>
        <v>37.049999999999997</v>
      </c>
      <c r="P48">
        <f t="shared" si="2"/>
        <v>40.950000000000003</v>
      </c>
      <c r="Q48">
        <f t="shared" si="10"/>
        <v>0</v>
      </c>
      <c r="R48" s="126">
        <f t="shared" si="3"/>
        <v>4.164004769153487E-9</v>
      </c>
      <c r="S48" s="126">
        <f t="shared" si="4"/>
        <v>9.16992684316536E-9</v>
      </c>
      <c r="T48">
        <v>10</v>
      </c>
      <c r="U48">
        <v>15</v>
      </c>
      <c r="V48">
        <f t="shared" si="11"/>
        <v>0</v>
      </c>
      <c r="W48">
        <f t="shared" si="12"/>
        <v>150</v>
      </c>
      <c r="X48">
        <f t="shared" si="5"/>
        <v>135</v>
      </c>
      <c r="Y48">
        <f t="shared" si="6"/>
        <v>165</v>
      </c>
      <c r="Z48">
        <f t="shared" si="13"/>
        <v>0</v>
      </c>
      <c r="AA48" s="126">
        <f t="shared" si="14"/>
        <v>4.164004769153487E-9</v>
      </c>
      <c r="AB48" s="126">
        <f t="shared" si="15"/>
        <v>9.16992684316536E-9</v>
      </c>
      <c r="AC48" s="126" t="str">
        <f t="shared" si="7"/>
        <v>Vlow exceeds VIL spec</v>
      </c>
      <c r="AD48" s="126" t="str">
        <f t="shared" si="8"/>
        <v>Vlow exceeds VIL spec</v>
      </c>
    </row>
    <row r="49" spans="1:30" x14ac:dyDescent="0.35">
      <c r="A49" t="s">
        <v>318</v>
      </c>
      <c r="B49" s="11">
        <f>C2*(1+E2)</f>
        <v>1100000000000</v>
      </c>
      <c r="C49" s="11">
        <f>C2*(1+E2)</f>
        <v>1100000000000</v>
      </c>
      <c r="K49">
        <v>1</v>
      </c>
      <c r="L49">
        <v>43</v>
      </c>
      <c r="M49">
        <f t="shared" si="9"/>
        <v>0</v>
      </c>
      <c r="N49">
        <f t="shared" si="0"/>
        <v>43</v>
      </c>
      <c r="O49">
        <f t="shared" si="1"/>
        <v>40.85</v>
      </c>
      <c r="P49">
        <f t="shared" si="2"/>
        <v>45.15</v>
      </c>
      <c r="Q49">
        <f t="shared" si="10"/>
        <v>0</v>
      </c>
      <c r="R49" s="126">
        <f t="shared" si="3"/>
        <v>4.5910821813162061E-9</v>
      </c>
      <c r="S49" s="126">
        <f t="shared" si="4"/>
        <v>9.7867143051067485E-9</v>
      </c>
      <c r="T49">
        <v>10</v>
      </c>
      <c r="U49">
        <v>18</v>
      </c>
      <c r="V49">
        <f t="shared" si="11"/>
        <v>0</v>
      </c>
      <c r="W49">
        <f t="shared" si="12"/>
        <v>180</v>
      </c>
      <c r="X49">
        <f t="shared" si="5"/>
        <v>162</v>
      </c>
      <c r="Y49">
        <f t="shared" si="6"/>
        <v>198.00000000000003</v>
      </c>
      <c r="Z49">
        <f t="shared" si="13"/>
        <v>0</v>
      </c>
      <c r="AA49" s="126">
        <f t="shared" si="14"/>
        <v>4.5910821813162061E-9</v>
      </c>
      <c r="AB49" s="126">
        <f t="shared" si="15"/>
        <v>9.7867143051067485E-9</v>
      </c>
      <c r="AC49" s="126" t="str">
        <f t="shared" si="7"/>
        <v>Vlow exceeds VIL spec</v>
      </c>
      <c r="AD49" s="126" t="str">
        <f t="shared" si="8"/>
        <v>Vlow exceeds VIL spec</v>
      </c>
    </row>
    <row r="50" spans="1:30" x14ac:dyDescent="0.35">
      <c r="A50" t="s">
        <v>320</v>
      </c>
      <c r="B50" s="11">
        <f>F11*(1+H11)</f>
        <v>787.5</v>
      </c>
      <c r="C50" s="11">
        <f>F11*(1+H11)</f>
        <v>787.5</v>
      </c>
      <c r="K50">
        <v>1</v>
      </c>
      <c r="L50">
        <v>47</v>
      </c>
      <c r="M50">
        <f t="shared" si="9"/>
        <v>0</v>
      </c>
      <c r="N50">
        <f t="shared" si="0"/>
        <v>47</v>
      </c>
      <c r="O50">
        <f t="shared" si="1"/>
        <v>44.65</v>
      </c>
      <c r="P50">
        <f t="shared" si="2"/>
        <v>49.35</v>
      </c>
      <c r="Q50">
        <f t="shared" si="10"/>
        <v>0</v>
      </c>
      <c r="R50" s="126">
        <f t="shared" si="3"/>
        <v>5.0181595934681032E-9</v>
      </c>
      <c r="S50" s="126">
        <f t="shared" si="4"/>
        <v>1.0403501767034002E-8</v>
      </c>
      <c r="T50">
        <v>10</v>
      </c>
      <c r="U50">
        <v>22</v>
      </c>
      <c r="V50">
        <f t="shared" si="11"/>
        <v>0</v>
      </c>
      <c r="W50">
        <f t="shared" si="12"/>
        <v>220</v>
      </c>
      <c r="X50">
        <f t="shared" si="5"/>
        <v>198</v>
      </c>
      <c r="Y50">
        <f t="shared" si="6"/>
        <v>242.00000000000003</v>
      </c>
      <c r="Z50">
        <f t="shared" si="13"/>
        <v>0</v>
      </c>
      <c r="AA50" s="126">
        <f t="shared" si="14"/>
        <v>5.0181595934681032E-9</v>
      </c>
      <c r="AB50" s="126">
        <f t="shared" si="15"/>
        <v>1.0403501767034002E-8</v>
      </c>
      <c r="AC50" s="126" t="str">
        <f t="shared" si="7"/>
        <v>Vlow exceeds VIL spec</v>
      </c>
      <c r="AD50" s="126" t="str">
        <f t="shared" si="8"/>
        <v>Vlow exceeds VIL spec</v>
      </c>
    </row>
    <row r="51" spans="1:30" x14ac:dyDescent="0.35">
      <c r="A51" t="s">
        <v>322</v>
      </c>
      <c r="B51" s="11">
        <f>C3*(1+E3)</f>
        <v>1100000000000</v>
      </c>
      <c r="C51" s="11">
        <f>C3*(1+E3)</f>
        <v>1100000000000</v>
      </c>
      <c r="K51">
        <v>1</v>
      </c>
      <c r="L51">
        <v>51</v>
      </c>
      <c r="M51">
        <f t="shared" si="9"/>
        <v>0</v>
      </c>
      <c r="N51">
        <f t="shared" si="0"/>
        <v>51</v>
      </c>
      <c r="O51">
        <f t="shared" si="1"/>
        <v>48.449999999999996</v>
      </c>
      <c r="P51">
        <f t="shared" si="2"/>
        <v>53.550000000000004</v>
      </c>
      <c r="Q51">
        <f t="shared" si="10"/>
        <v>0</v>
      </c>
      <c r="R51" s="126">
        <f t="shared" si="3"/>
        <v>5.44523700560918E-9</v>
      </c>
      <c r="S51" s="126">
        <f t="shared" si="4"/>
        <v>1.1020289228947131E-8</v>
      </c>
      <c r="T51">
        <v>10</v>
      </c>
      <c r="U51">
        <v>27</v>
      </c>
      <c r="V51">
        <f t="shared" si="11"/>
        <v>0</v>
      </c>
      <c r="W51">
        <f t="shared" si="12"/>
        <v>270</v>
      </c>
      <c r="X51">
        <f t="shared" si="5"/>
        <v>243</v>
      </c>
      <c r="Y51">
        <f t="shared" si="6"/>
        <v>297</v>
      </c>
      <c r="Z51">
        <f t="shared" si="13"/>
        <v>0</v>
      </c>
      <c r="AA51" s="126">
        <f t="shared" si="14"/>
        <v>5.44523700560918E-9</v>
      </c>
      <c r="AB51" s="126">
        <f t="shared" si="15"/>
        <v>1.1020289228947131E-8</v>
      </c>
      <c r="AC51" s="126" t="str">
        <f t="shared" si="7"/>
        <v>Vlow exceeds VIL spec</v>
      </c>
      <c r="AD51" s="126" t="str">
        <f t="shared" si="8"/>
        <v>Vlow exceeds VIL spec</v>
      </c>
    </row>
    <row r="52" spans="1:30" x14ac:dyDescent="0.35">
      <c r="A52" t="s">
        <v>324</v>
      </c>
      <c r="B52" s="1">
        <f>K21</f>
        <v>21.49240538481077</v>
      </c>
      <c r="C52">
        <v>0</v>
      </c>
      <c r="K52">
        <v>1</v>
      </c>
      <c r="L52">
        <v>56</v>
      </c>
      <c r="M52">
        <f t="shared" si="9"/>
        <v>0</v>
      </c>
      <c r="N52">
        <f t="shared" si="0"/>
        <v>56</v>
      </c>
      <c r="O52">
        <f t="shared" si="1"/>
        <v>53.199999999999996</v>
      </c>
      <c r="P52">
        <f t="shared" si="2"/>
        <v>58.800000000000004</v>
      </c>
      <c r="Q52">
        <f t="shared" si="10"/>
        <v>0</v>
      </c>
      <c r="R52" s="126">
        <f t="shared" si="3"/>
        <v>5.9790837707703136E-9</v>
      </c>
      <c r="S52" s="126">
        <f t="shared" si="4"/>
        <v>1.1791273556318669E-8</v>
      </c>
      <c r="T52">
        <v>10</v>
      </c>
      <c r="U52">
        <v>33</v>
      </c>
      <c r="V52">
        <f t="shared" si="11"/>
        <v>0</v>
      </c>
      <c r="W52">
        <f t="shared" si="12"/>
        <v>330</v>
      </c>
      <c r="X52">
        <f t="shared" si="5"/>
        <v>297</v>
      </c>
      <c r="Y52">
        <f t="shared" si="6"/>
        <v>363.00000000000006</v>
      </c>
      <c r="Z52">
        <f t="shared" si="13"/>
        <v>0</v>
      </c>
      <c r="AA52" s="126">
        <f t="shared" si="14"/>
        <v>5.9790837707703136E-9</v>
      </c>
      <c r="AB52" s="126">
        <f t="shared" si="15"/>
        <v>1.1791273556318669E-8</v>
      </c>
      <c r="AC52" s="126" t="str">
        <f t="shared" si="7"/>
        <v>Vlow exceeds VIL spec</v>
      </c>
      <c r="AD52" s="126" t="str">
        <f t="shared" si="8"/>
        <v>Vlow exceeds VIL spec</v>
      </c>
    </row>
    <row r="53" spans="1:30" x14ac:dyDescent="0.35">
      <c r="A53" t="s">
        <v>327</v>
      </c>
      <c r="B53">
        <v>0</v>
      </c>
      <c r="C53" s="1">
        <f>K21</f>
        <v>21.49240538481077</v>
      </c>
      <c r="K53">
        <v>1</v>
      </c>
      <c r="L53">
        <v>62</v>
      </c>
      <c r="M53">
        <f t="shared" si="9"/>
        <v>0</v>
      </c>
      <c r="N53">
        <f t="shared" si="0"/>
        <v>62</v>
      </c>
      <c r="O53">
        <f t="shared" si="1"/>
        <v>58.9</v>
      </c>
      <c r="P53">
        <f t="shared" si="2"/>
        <v>65.100000000000009</v>
      </c>
      <c r="Q53">
        <f t="shared" si="10"/>
        <v>0</v>
      </c>
      <c r="R53" s="126">
        <f t="shared" si="3"/>
        <v>6.6196998889413597E-9</v>
      </c>
      <c r="S53" s="126">
        <f t="shared" si="4"/>
        <v>1.2716454749135371E-8</v>
      </c>
      <c r="T53">
        <v>10</v>
      </c>
      <c r="U53">
        <v>39</v>
      </c>
      <c r="V53">
        <f t="shared" si="11"/>
        <v>0</v>
      </c>
      <c r="W53">
        <f t="shared" si="12"/>
        <v>390</v>
      </c>
      <c r="X53">
        <f t="shared" si="5"/>
        <v>351</v>
      </c>
      <c r="Y53">
        <f t="shared" si="6"/>
        <v>429.00000000000006</v>
      </c>
      <c r="Z53">
        <f t="shared" si="13"/>
        <v>0</v>
      </c>
      <c r="AA53" s="126">
        <f t="shared" si="14"/>
        <v>6.6196998889413597E-9</v>
      </c>
      <c r="AB53" s="126">
        <f t="shared" si="15"/>
        <v>1.2716454749135371E-8</v>
      </c>
      <c r="AC53" s="126" t="str">
        <f t="shared" si="7"/>
        <v>Vlow exceeds VIL spec</v>
      </c>
      <c r="AD53" s="126" t="str">
        <f t="shared" si="8"/>
        <v>Vlow exceeds VIL spec</v>
      </c>
    </row>
    <row r="54" spans="1:30" x14ac:dyDescent="0.35">
      <c r="A54" t="s">
        <v>329</v>
      </c>
      <c r="B54" s="11">
        <f>F2*(1-G2)</f>
        <v>900000000000</v>
      </c>
      <c r="C54" s="11">
        <f>F2*(1-G2)</f>
        <v>900000000000</v>
      </c>
      <c r="K54">
        <v>1</v>
      </c>
      <c r="L54">
        <v>68</v>
      </c>
      <c r="M54">
        <f t="shared" si="9"/>
        <v>0</v>
      </c>
      <c r="N54">
        <f t="shared" si="0"/>
        <v>68</v>
      </c>
      <c r="O54">
        <f t="shared" si="1"/>
        <v>64.599999999999994</v>
      </c>
      <c r="P54">
        <f t="shared" si="2"/>
        <v>71.400000000000006</v>
      </c>
      <c r="Q54">
        <f t="shared" si="10"/>
        <v>0</v>
      </c>
      <c r="R54" s="126">
        <f t="shared" si="3"/>
        <v>7.2603160070880602E-9</v>
      </c>
      <c r="S54" s="126">
        <f t="shared" si="4"/>
        <v>1.3641635941920278E-8</v>
      </c>
      <c r="T54">
        <v>10</v>
      </c>
      <c r="U54">
        <v>47</v>
      </c>
      <c r="V54">
        <f t="shared" si="11"/>
        <v>1</v>
      </c>
      <c r="W54">
        <f t="shared" si="12"/>
        <v>470</v>
      </c>
      <c r="X54">
        <f t="shared" si="5"/>
        <v>423</v>
      </c>
      <c r="Y54">
        <f t="shared" si="6"/>
        <v>517</v>
      </c>
      <c r="Z54">
        <f t="shared" si="13"/>
        <v>1</v>
      </c>
      <c r="AA54" s="126">
        <f t="shared" si="14"/>
        <v>7.2603160070880602E-9</v>
      </c>
      <c r="AB54" s="126">
        <f t="shared" si="15"/>
        <v>1.3641635941920278E-8</v>
      </c>
      <c r="AC54" s="126" t="str">
        <f t="shared" si="7"/>
        <v>Vlow exceeds VIL spec</v>
      </c>
      <c r="AD54" s="126" t="str">
        <f t="shared" si="8"/>
        <v>Vlow exceeds VIL spec</v>
      </c>
    </row>
    <row r="55" spans="1:30" x14ac:dyDescent="0.35">
      <c r="A55" t="s">
        <v>332</v>
      </c>
      <c r="B55" s="11">
        <f>F12*(1-H12)</f>
        <v>900000000</v>
      </c>
      <c r="C55" s="11">
        <f>F12*(1-H12)</f>
        <v>900000000</v>
      </c>
      <c r="K55">
        <v>1</v>
      </c>
      <c r="L55">
        <v>75</v>
      </c>
      <c r="M55">
        <f t="shared" si="9"/>
        <v>0</v>
      </c>
      <c r="N55">
        <f t="shared" si="0"/>
        <v>75</v>
      </c>
      <c r="O55">
        <f t="shared" si="1"/>
        <v>71.25</v>
      </c>
      <c r="P55">
        <f t="shared" si="2"/>
        <v>78.75</v>
      </c>
      <c r="Q55">
        <f t="shared" si="10"/>
        <v>0</v>
      </c>
      <c r="R55" s="126">
        <f t="shared" si="3"/>
        <v>8.0077014782284446E-9</v>
      </c>
      <c r="S55" s="126">
        <f t="shared" si="4"/>
        <v>1.4721014000129157E-8</v>
      </c>
      <c r="T55">
        <v>10</v>
      </c>
      <c r="U55">
        <v>56</v>
      </c>
      <c r="V55">
        <f t="shared" si="11"/>
        <v>2</v>
      </c>
      <c r="W55">
        <f t="shared" si="12"/>
        <v>560</v>
      </c>
      <c r="X55">
        <f t="shared" si="5"/>
        <v>504</v>
      </c>
      <c r="Y55">
        <f t="shared" si="6"/>
        <v>616</v>
      </c>
      <c r="Z55">
        <f t="shared" si="13"/>
        <v>1</v>
      </c>
      <c r="AA55" s="126">
        <f t="shared" si="14"/>
        <v>8.0077014782284446E-9</v>
      </c>
      <c r="AB55" s="126">
        <f t="shared" si="15"/>
        <v>1.4721014000129157E-8</v>
      </c>
      <c r="AC55" s="126" t="str">
        <f t="shared" si="7"/>
        <v>Vlow exceeds VIL spec</v>
      </c>
      <c r="AD55" s="126" t="str">
        <f t="shared" si="8"/>
        <v>Vlow exceeds VIL spec</v>
      </c>
    </row>
    <row r="56" spans="1:30" x14ac:dyDescent="0.35">
      <c r="A56" t="s">
        <v>333</v>
      </c>
      <c r="B56" s="11">
        <f>F3*(1-G3)</f>
        <v>900000000000</v>
      </c>
      <c r="C56" s="11">
        <f>F3*(1-G3)</f>
        <v>900000000000</v>
      </c>
      <c r="K56">
        <v>1</v>
      </c>
      <c r="L56">
        <v>82</v>
      </c>
      <c r="M56">
        <f t="shared" si="9"/>
        <v>0</v>
      </c>
      <c r="N56">
        <f t="shared" si="0"/>
        <v>82</v>
      </c>
      <c r="O56">
        <f t="shared" si="1"/>
        <v>77.899999999999991</v>
      </c>
      <c r="P56">
        <f t="shared" si="2"/>
        <v>86.100000000000009</v>
      </c>
      <c r="Q56">
        <f t="shared" si="10"/>
        <v>0</v>
      </c>
      <c r="R56" s="126">
        <f t="shared" si="3"/>
        <v>8.7550869493356963E-9</v>
      </c>
      <c r="S56" s="126">
        <f t="shared" si="4"/>
        <v>1.5800392058294765E-8</v>
      </c>
      <c r="T56">
        <v>10</v>
      </c>
      <c r="U56">
        <v>68</v>
      </c>
      <c r="V56">
        <f t="shared" si="11"/>
        <v>3</v>
      </c>
      <c r="W56">
        <f t="shared" si="12"/>
        <v>680</v>
      </c>
      <c r="X56">
        <f t="shared" si="5"/>
        <v>612</v>
      </c>
      <c r="Y56">
        <f t="shared" si="6"/>
        <v>748.00000000000011</v>
      </c>
      <c r="Z56">
        <f t="shared" si="13"/>
        <v>1</v>
      </c>
      <c r="AA56" s="126">
        <f t="shared" si="14"/>
        <v>8.7550869493356963E-9</v>
      </c>
      <c r="AB56" s="126">
        <f t="shared" si="15"/>
        <v>1.5800392058294765E-8</v>
      </c>
      <c r="AC56" s="126" t="str">
        <f t="shared" si="7"/>
        <v>Vlow exceeds VIL spec</v>
      </c>
      <c r="AD56" s="126" t="str">
        <f t="shared" si="8"/>
        <v>Vlow exceeds VIL spec</v>
      </c>
    </row>
    <row r="57" spans="1:30" x14ac:dyDescent="0.35">
      <c r="K57">
        <v>1</v>
      </c>
      <c r="L57">
        <v>91</v>
      </c>
      <c r="M57">
        <f t="shared" si="9"/>
        <v>0</v>
      </c>
      <c r="N57">
        <f t="shared" si="0"/>
        <v>91</v>
      </c>
      <c r="O57">
        <f t="shared" si="1"/>
        <v>86.45</v>
      </c>
      <c r="P57">
        <f t="shared" si="2"/>
        <v>95.55</v>
      </c>
      <c r="Q57">
        <f t="shared" si="10"/>
        <v>0</v>
      </c>
      <c r="R57" s="126">
        <f t="shared" si="3"/>
        <v>9.7160111264249028E-9</v>
      </c>
      <c r="S57" s="126">
        <f t="shared" si="4"/>
        <v>1.7188163847301242E-8</v>
      </c>
      <c r="T57">
        <v>10</v>
      </c>
      <c r="U57">
        <v>82</v>
      </c>
      <c r="V57">
        <f t="shared" si="11"/>
        <v>4</v>
      </c>
      <c r="W57">
        <f t="shared" si="12"/>
        <v>820</v>
      </c>
      <c r="X57">
        <f t="shared" si="5"/>
        <v>738</v>
      </c>
      <c r="Y57">
        <f t="shared" si="6"/>
        <v>902.00000000000011</v>
      </c>
      <c r="Z57">
        <f t="shared" si="13"/>
        <v>1</v>
      </c>
      <c r="AA57" s="126">
        <f t="shared" si="14"/>
        <v>9.7160111264249028E-9</v>
      </c>
      <c r="AB57" s="126">
        <f t="shared" si="15"/>
        <v>1.7188163847301242E-8</v>
      </c>
      <c r="AC57" s="126" t="str">
        <f t="shared" si="7"/>
        <v>Vlow exceeds VIL spec</v>
      </c>
      <c r="AD57" s="126" t="str">
        <f t="shared" si="8"/>
        <v>Vlow exceeds VIL spec</v>
      </c>
    </row>
    <row r="58" spans="1:30" x14ac:dyDescent="0.35">
      <c r="A58" t="s">
        <v>344</v>
      </c>
      <c r="B58">
        <v>1</v>
      </c>
      <c r="C58">
        <v>1</v>
      </c>
      <c r="K58">
        <v>10</v>
      </c>
      <c r="L58">
        <v>10</v>
      </c>
      <c r="M58">
        <f t="shared" si="9"/>
        <v>0</v>
      </c>
      <c r="N58">
        <f t="shared" si="0"/>
        <v>100</v>
      </c>
      <c r="O58">
        <f t="shared" si="1"/>
        <v>95</v>
      </c>
      <c r="P58">
        <f t="shared" si="2"/>
        <v>105</v>
      </c>
      <c r="Q58">
        <f t="shared" si="10"/>
        <v>0</v>
      </c>
      <c r="R58" s="126">
        <f t="shared" si="3"/>
        <v>1.0676935303459338E-8</v>
      </c>
      <c r="S58" s="126">
        <f t="shared" si="4"/>
        <v>1.8575935636236185E-8</v>
      </c>
      <c r="T58">
        <v>100</v>
      </c>
      <c r="U58">
        <v>10</v>
      </c>
      <c r="V58">
        <f t="shared" si="11"/>
        <v>5</v>
      </c>
      <c r="W58">
        <f t="shared" si="12"/>
        <v>1000</v>
      </c>
      <c r="X58">
        <f t="shared" si="5"/>
        <v>900</v>
      </c>
      <c r="Y58">
        <f t="shared" si="6"/>
        <v>1100</v>
      </c>
      <c r="Z58">
        <f t="shared" si="13"/>
        <v>1</v>
      </c>
      <c r="AA58" s="126">
        <f t="shared" si="14"/>
        <v>1.0676935303459338E-8</v>
      </c>
      <c r="AB58" s="126">
        <f t="shared" si="15"/>
        <v>1.8575935636236185E-8</v>
      </c>
      <c r="AC58" s="126" t="str">
        <f t="shared" si="7"/>
        <v>Vlow exceeds VIL spec</v>
      </c>
      <c r="AD58" s="126" t="str">
        <f t="shared" si="8"/>
        <v>Vlow exceeds VIL spec</v>
      </c>
    </row>
    <row r="59" spans="1:30" x14ac:dyDescent="0.35">
      <c r="A59" t="s">
        <v>345</v>
      </c>
      <c r="B59">
        <v>1</v>
      </c>
      <c r="C59">
        <v>1</v>
      </c>
      <c r="K59">
        <v>10</v>
      </c>
      <c r="L59">
        <v>11</v>
      </c>
      <c r="M59">
        <f t="shared" si="9"/>
        <v>0</v>
      </c>
      <c r="N59">
        <f t="shared" si="0"/>
        <v>110</v>
      </c>
      <c r="O59">
        <f t="shared" si="1"/>
        <v>104.5</v>
      </c>
      <c r="P59">
        <f t="shared" si="2"/>
        <v>115.5</v>
      </c>
      <c r="Q59">
        <f t="shared" si="10"/>
        <v>0</v>
      </c>
      <c r="R59" s="126">
        <f t="shared" si="3"/>
        <v>1.1744628833433358E-8</v>
      </c>
      <c r="S59" s="126">
        <f t="shared" si="4"/>
        <v>2.0117904290524454E-8</v>
      </c>
      <c r="T59">
        <v>100</v>
      </c>
      <c r="U59">
        <v>12</v>
      </c>
      <c r="V59">
        <f t="shared" si="11"/>
        <v>6</v>
      </c>
      <c r="W59">
        <f t="shared" si="12"/>
        <v>1200</v>
      </c>
      <c r="X59">
        <f t="shared" si="5"/>
        <v>1080</v>
      </c>
      <c r="Y59">
        <f t="shared" si="6"/>
        <v>1320</v>
      </c>
      <c r="Z59">
        <f t="shared" si="13"/>
        <v>1</v>
      </c>
      <c r="AA59" s="126">
        <f t="shared" si="14"/>
        <v>1.1744628833433358E-8</v>
      </c>
      <c r="AB59" s="126">
        <f t="shared" si="15"/>
        <v>2.0117904290524454E-8</v>
      </c>
      <c r="AC59" s="126" t="str">
        <f t="shared" si="7"/>
        <v>Vlow exceeds VIL spec</v>
      </c>
      <c r="AD59" s="126" t="str">
        <f t="shared" si="8"/>
        <v>Vlow exceeds VIL spec</v>
      </c>
    </row>
    <row r="60" spans="1:30" x14ac:dyDescent="0.35">
      <c r="A60" t="s">
        <v>346</v>
      </c>
      <c r="B60">
        <v>1</v>
      </c>
      <c r="C60">
        <v>1</v>
      </c>
      <c r="K60">
        <v>10</v>
      </c>
      <c r="L60">
        <v>12</v>
      </c>
      <c r="M60">
        <f t="shared" si="9"/>
        <v>0</v>
      </c>
      <c r="N60">
        <f t="shared" si="0"/>
        <v>120</v>
      </c>
      <c r="O60">
        <f t="shared" si="1"/>
        <v>114</v>
      </c>
      <c r="P60">
        <f t="shared" si="2"/>
        <v>126</v>
      </c>
      <c r="Q60">
        <f t="shared" si="10"/>
        <v>0</v>
      </c>
      <c r="R60" s="126">
        <f t="shared" si="3"/>
        <v>1.2812322363339758E-8</v>
      </c>
      <c r="S60" s="126">
        <f t="shared" si="4"/>
        <v>2.1659872944724406E-8</v>
      </c>
      <c r="T60">
        <v>100</v>
      </c>
      <c r="U60">
        <v>15</v>
      </c>
      <c r="V60">
        <f t="shared" si="11"/>
        <v>7</v>
      </c>
      <c r="W60">
        <f t="shared" si="12"/>
        <v>1500</v>
      </c>
      <c r="X60">
        <f t="shared" si="5"/>
        <v>1350</v>
      </c>
      <c r="Y60">
        <f t="shared" si="6"/>
        <v>1650.0000000000002</v>
      </c>
      <c r="Z60">
        <f t="shared" si="13"/>
        <v>1</v>
      </c>
      <c r="AA60" s="126">
        <f t="shared" si="14"/>
        <v>1.2812322363339758E-8</v>
      </c>
      <c r="AB60" s="126">
        <f t="shared" si="15"/>
        <v>2.1659872944724406E-8</v>
      </c>
      <c r="AC60" s="126" t="str">
        <f t="shared" si="7"/>
        <v>Vlow exceeds VIL spec</v>
      </c>
      <c r="AD60" s="126" t="str">
        <f t="shared" si="8"/>
        <v>Vlow exceeds VIL spec</v>
      </c>
    </row>
    <row r="61" spans="1:30" x14ac:dyDescent="0.35">
      <c r="K61">
        <v>10</v>
      </c>
      <c r="L61">
        <v>13</v>
      </c>
      <c r="M61">
        <f t="shared" si="9"/>
        <v>0</v>
      </c>
      <c r="N61">
        <f t="shared" si="0"/>
        <v>130</v>
      </c>
      <c r="O61">
        <f t="shared" si="1"/>
        <v>123.5</v>
      </c>
      <c r="P61">
        <f t="shared" si="2"/>
        <v>136.5</v>
      </c>
      <c r="Q61">
        <f t="shared" si="10"/>
        <v>0</v>
      </c>
      <c r="R61" s="126">
        <f t="shared" si="3"/>
        <v>1.3880015893178537E-8</v>
      </c>
      <c r="S61" s="126">
        <f t="shared" si="4"/>
        <v>2.3201841598836042E-8</v>
      </c>
      <c r="T61">
        <v>100</v>
      </c>
      <c r="U61">
        <v>18</v>
      </c>
      <c r="V61">
        <f t="shared" si="11"/>
        <v>8</v>
      </c>
      <c r="W61">
        <f t="shared" si="12"/>
        <v>1800</v>
      </c>
      <c r="X61">
        <f t="shared" si="5"/>
        <v>1620</v>
      </c>
      <c r="Y61">
        <f t="shared" si="6"/>
        <v>1980.0000000000002</v>
      </c>
      <c r="Z61">
        <f t="shared" si="13"/>
        <v>0</v>
      </c>
      <c r="AA61" s="126">
        <f t="shared" si="14"/>
        <v>1.3880015893178537E-8</v>
      </c>
      <c r="AB61" s="126">
        <f t="shared" si="15"/>
        <v>2.3201841598836042E-8</v>
      </c>
      <c r="AC61" s="126" t="str">
        <f t="shared" si="7"/>
        <v>Vlow exceeds VIL spec</v>
      </c>
      <c r="AD61" s="126" t="str">
        <f t="shared" si="8"/>
        <v>Vlow exceeds VIL spec</v>
      </c>
    </row>
    <row r="62" spans="1:30" x14ac:dyDescent="0.35">
      <c r="A62" t="s">
        <v>350</v>
      </c>
      <c r="B62">
        <f xml:space="preserve"> (B49*B50*B54*B55*B56*B60+B49*B51*B53*B54*B55*B59+B49*B51*B54*B55*B56*B59+B49*B53*B54*B55*B56*B59+B50*B51*B52*B53*B54*B58+B50*B51*B52*B54*B55*B58+B50*B51*B52*B54*B56*B58+B50*B51*B53*B54*B55*B58+B50*B51*B54*B55*B56*B58+B50*B52*B53*B54*B56*B58+B50*B52*B54*B55*B56*B58+B50*B53*B54*B55*B56*B58+B51*B52*B53*B54*B55*B58+B51*B52*B54*B55*B56*B58+B52*B53*B54*B55*B56*B58)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0.99999912322688955</v>
      </c>
      <c r="C62" s="13">
        <f xml:space="preserve"> (C49*C50*C54*C55*C56*C60+C49*C51*C53*C54*C55*C59+C49*C51*C54*C55*C56*C59+C49*C53*C54*C55*C56*C59+C50*C51*C52*C53*C54*C58+C50*C51*C52*C54*C55*C58+C50*C51*C52*C54*C56*C58+C50*C51*C53*C54*C55*C58+C50*C51*C54*C55*C56*C58+C50*C52*C53*C54*C56*C58+C50*C52*C54*C55*C56*C58+C50*C53*C54*C55*C56*C58+C51*C52*C53*C54*C55*C58+C51*C52*C54*C55*C56*C58+C52*C53*C54*C55*C56*C58)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0.99999912325076989</v>
      </c>
      <c r="K62">
        <v>10</v>
      </c>
      <c r="L62">
        <v>15</v>
      </c>
      <c r="M62">
        <f t="shared" si="9"/>
        <v>0</v>
      </c>
      <c r="N62">
        <f t="shared" si="0"/>
        <v>150</v>
      </c>
      <c r="O62">
        <f t="shared" si="1"/>
        <v>142.5</v>
      </c>
      <c r="P62">
        <f t="shared" si="2"/>
        <v>157.5</v>
      </c>
      <c r="Q62">
        <f t="shared" si="10"/>
        <v>0</v>
      </c>
      <c r="R62" s="126">
        <f t="shared" si="3"/>
        <v>1.6015402952653235E-8</v>
      </c>
      <c r="S62" s="126">
        <f t="shared" si="4"/>
        <v>2.6285778906794384E-8</v>
      </c>
      <c r="T62">
        <v>100</v>
      </c>
      <c r="U62">
        <v>22</v>
      </c>
      <c r="V62">
        <f t="shared" si="11"/>
        <v>8</v>
      </c>
      <c r="W62">
        <f t="shared" si="12"/>
        <v>2200</v>
      </c>
      <c r="X62">
        <f t="shared" si="5"/>
        <v>1980</v>
      </c>
      <c r="Y62">
        <f t="shared" si="6"/>
        <v>2420</v>
      </c>
      <c r="Z62">
        <f t="shared" si="13"/>
        <v>0</v>
      </c>
      <c r="AA62" s="126">
        <f t="shared" si="14"/>
        <v>1.6015402952653235E-8</v>
      </c>
      <c r="AB62" s="126">
        <f t="shared" si="15"/>
        <v>2.6285778906794384E-8</v>
      </c>
      <c r="AC62" s="126" t="str">
        <f t="shared" si="7"/>
        <v>Vlow exceeds VIL spec</v>
      </c>
      <c r="AD62" s="126" t="str">
        <f t="shared" si="8"/>
        <v>Vlow exceeds VIL spec</v>
      </c>
    </row>
    <row r="63" spans="1:30" x14ac:dyDescent="0.35">
      <c r="A63" t="s">
        <v>351</v>
      </c>
      <c r="B63" s="13">
        <f xml:space="preserve"> (B49*B50*B52*B55*B56*B60+B49*B50*B54*B55*B56*B60+B49*B51*B52*B53*B55*B59+B49*B51*B52*B55*B56*B59+B49*B51*B53*B54*B55*B59+B49*B51*B54*B55*B56*B59+B49*B52*B53*B55*B56*B59+B49*B53*B54*B55*B56*B59+B50*B51*B53*B54*B55*B58+B50*B51*B54*B55*B56*B58+B50*B52*B54*B55*B56*B60+B50*B53*B54*B55*B56*B58+B51*B52*B53*B54*B55*B59+B51*B52*B54*B55*B56*B59+B52*B53*B54*B55*B56*B59)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0.99999912325076989</v>
      </c>
      <c r="C63" s="13">
        <f xml:space="preserve"> (C49*C50*C52*C55*C56*C60+C49*C50*C54*C55*C56*C60+C49*C51*C52*C53*C55*C59+C49*C51*C52*C55*C56*C59+C49*C51*C53*C54*C55*C59+C49*C51*C54*C55*C56*C59+C49*C52*C53*C55*C56*C59+C49*C53*C54*C55*C56*C59+C50*C51*C53*C54*C55*C58+C50*C51*C54*C55*C56*C58+C50*C52*C54*C55*C56*C60+C50*C53*C54*C55*C56*C58+C51*C52*C53*C54*C55*C59+C51*C52*C54*C55*C56*C59+C52*C53*C54*C55*C56*C59)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0.99999912325076989</v>
      </c>
      <c r="K63">
        <v>10</v>
      </c>
      <c r="L63">
        <v>16</v>
      </c>
      <c r="M63">
        <f t="shared" si="9"/>
        <v>0</v>
      </c>
      <c r="N63">
        <f t="shared" si="0"/>
        <v>160</v>
      </c>
      <c r="O63">
        <f t="shared" si="1"/>
        <v>152</v>
      </c>
      <c r="P63">
        <f t="shared" si="2"/>
        <v>168</v>
      </c>
      <c r="Q63">
        <f t="shared" si="10"/>
        <v>0</v>
      </c>
      <c r="R63" s="126">
        <f t="shared" si="3"/>
        <v>1.7083096482289151E-8</v>
      </c>
      <c r="S63" s="126">
        <f t="shared" si="4"/>
        <v>2.7827747560641084E-8</v>
      </c>
      <c r="T63">
        <v>100</v>
      </c>
      <c r="U63">
        <v>27</v>
      </c>
      <c r="V63">
        <f t="shared" si="11"/>
        <v>8</v>
      </c>
      <c r="W63">
        <f t="shared" si="12"/>
        <v>2700</v>
      </c>
      <c r="X63">
        <f t="shared" si="5"/>
        <v>2430</v>
      </c>
      <c r="Y63">
        <f t="shared" si="6"/>
        <v>2970.0000000000005</v>
      </c>
      <c r="Z63">
        <f t="shared" si="13"/>
        <v>0</v>
      </c>
      <c r="AA63" s="126">
        <f t="shared" si="14"/>
        <v>1.7083096482289151E-8</v>
      </c>
      <c r="AB63" s="126">
        <f t="shared" si="15"/>
        <v>2.7827747560641084E-8</v>
      </c>
      <c r="AC63" s="126" t="str">
        <f t="shared" si="7"/>
        <v>Vlow exceeds VIL spec</v>
      </c>
      <c r="AD63" s="126" t="str">
        <f t="shared" si="8"/>
        <v>Vlow exceeds VIL spec</v>
      </c>
    </row>
    <row r="64" spans="1:30" x14ac:dyDescent="0.35">
      <c r="A64" t="s">
        <v>352</v>
      </c>
      <c r="B64" s="13">
        <f xml:space="preserve"> (B49*B50*B52*B53*B56*B60+B49*B50*B52*B55*B56*B60+B49*B50*B53*B54*B56*B60+B49*B50*B53*B55*B56*B60+B49*B50*B54*B55*B56*B60+B49*B51*B52*B55*B56*B59+B49*B51*B54*B55*B56*B59+B49*B52*B53*B55*B56*B60+B49*B53*B54*B55*B56*B60+B50*B51*B54*B55*B56*B58+B50*B52*B53*B54*B56*B60+B50*B52*B54*B55*B56*B60+B50*B53*B54*B55*B56*B60+B51*B52*B54*B55*B56*B59+B52*B53*B54*B55*B56*B60) / (B49*B50*B51*B52*B53+B49*B50*B51*B52*B55+B49*B50*B51*B52*B56+B49*B50*B51*B53*B54+B49*B50*B51*B53*B55+B49*B50*B51*B54*B55+B49*B50*B51*B54*B56+B49*B50*B51*B55*B56+B49*B50*B52*B53*B56+B49*B50*B52*B55*B56+B49*B50*B53*B54*B56+B49*B50*B53*B55*B56+B49*B50*B54*B55*B56+B49*B51*B52*B53*B55+B49*B51*B52*B55*B56+B49*B51*B53*B54*B55+B49*B51*B54*B55*B56+B49*B52*B53*B55*B56+B49*B53*B54*B55*B56+B50*B51*B52*B53*B54+B50*B51*B52*B54*B55+B50*B51*B52*B54*B56+B50*B51*B53*B54*B55+B50*B51*B54*B55*B56+B50*B52*B53*B54*B56+B50*B52*B54*B55*B56+B50*B53*B54*B55*B56+B51*B52*B53*B54*B55+B51*B52*B54*B55*B56+B52*B53*B54*B55*B56)</f>
        <v>0.99999912325076989</v>
      </c>
      <c r="C64">
        <f xml:space="preserve"> (C49*C50*C52*C53*C56*C60+C49*C50*C52*C55*C56*C60+C49*C50*C53*C54*C56*C60+C49*C50*C53*C55*C56*C60+C49*C50*C54*C55*C56*C60+C49*C51*C52*C55*C56*C59+C49*C51*C54*C55*C56*C59+C49*C52*C53*C55*C56*C60+C49*C53*C54*C55*C56*C60+C50*C51*C54*C55*C56*C58+C50*C52*C53*C54*C56*C60+C50*C52*C54*C55*C56*C60+C50*C53*C54*C55*C56*C60+C51*C52*C54*C55*C56*C59+C52*C53*C54*C55*C56*C60) / (C49*C50*C51*C52*C53+C49*C50*C51*C52*C55+C49*C50*C51*C52*C56+C49*C50*C51*C53*C54+C49*C50*C51*C53*C55+C49*C50*C51*C54*C55+C49*C50*C51*C54*C56+C49*C50*C51*C55*C56+C49*C50*C52*C53*C56+C49*C50*C52*C55*C56+C49*C50*C53*C54*C56+C49*C50*C53*C55*C56+C49*C50*C54*C55*C56+C49*C51*C52*C53*C55+C49*C51*C52*C55*C56+C49*C51*C53*C54*C55+C49*C51*C54*C55*C56+C49*C52*C53*C55*C56+C49*C53*C54*C55*C56+C50*C51*C52*C53*C54+C50*C51*C52*C54*C55+C50*C51*C52*C54*C56+C50*C51*C53*C54*C55+C50*C51*C54*C55*C56+C50*C52*C53*C54*C56+C50*C52*C54*C55*C56+C50*C53*C54*C55*C56+C51*C52*C53*C54*C55+C51*C52*C54*C55*C56+C52*C53*C54*C55*C56)</f>
        <v>0.99999912322688955</v>
      </c>
      <c r="K64">
        <v>10</v>
      </c>
      <c r="L64">
        <v>18</v>
      </c>
      <c r="M64">
        <f t="shared" si="9"/>
        <v>0</v>
      </c>
      <c r="N64">
        <f t="shared" si="0"/>
        <v>180</v>
      </c>
      <c r="O64">
        <f t="shared" si="1"/>
        <v>171</v>
      </c>
      <c r="P64">
        <f t="shared" si="2"/>
        <v>189</v>
      </c>
      <c r="Q64">
        <f t="shared" si="10"/>
        <v>0</v>
      </c>
      <c r="R64" s="126">
        <f t="shared" si="3"/>
        <v>1.9218483541358125E-8</v>
      </c>
      <c r="S64" s="126">
        <f t="shared" si="4"/>
        <v>3.0911684868069551E-8</v>
      </c>
      <c r="T64">
        <v>100</v>
      </c>
      <c r="U64">
        <v>33</v>
      </c>
      <c r="V64">
        <f t="shared" si="11"/>
        <v>8</v>
      </c>
      <c r="W64">
        <f t="shared" si="12"/>
        <v>3300</v>
      </c>
      <c r="X64">
        <f t="shared" si="5"/>
        <v>2970</v>
      </c>
      <c r="Y64">
        <f t="shared" si="6"/>
        <v>3630.0000000000005</v>
      </c>
      <c r="Z64">
        <f t="shared" si="13"/>
        <v>0</v>
      </c>
      <c r="AA64" s="126">
        <f t="shared" si="14"/>
        <v>1.9218483541358125E-8</v>
      </c>
      <c r="AB64" s="126">
        <f t="shared" si="15"/>
        <v>3.0911684868069551E-8</v>
      </c>
      <c r="AC64" s="126" t="str">
        <f t="shared" si="7"/>
        <v>Vlow exceeds VIL spec</v>
      </c>
      <c r="AD64" s="126" t="str">
        <f t="shared" si="8"/>
        <v>Vlow exceeds VIL spec</v>
      </c>
    </row>
    <row r="65" spans="1:31" x14ac:dyDescent="0.35">
      <c r="K65">
        <v>10</v>
      </c>
      <c r="L65">
        <v>20</v>
      </c>
      <c r="M65">
        <f t="shared" si="9"/>
        <v>0</v>
      </c>
      <c r="N65">
        <f t="shared" si="0"/>
        <v>200</v>
      </c>
      <c r="O65">
        <f t="shared" si="1"/>
        <v>190</v>
      </c>
      <c r="P65">
        <f t="shared" si="2"/>
        <v>210</v>
      </c>
      <c r="Q65">
        <f t="shared" si="10"/>
        <v>0</v>
      </c>
      <c r="R65" s="126">
        <f t="shared" si="3"/>
        <v>2.1353870600156614E-8</v>
      </c>
      <c r="S65" s="126">
        <f t="shared" si="4"/>
        <v>3.3995622175144755E-8</v>
      </c>
      <c r="T65">
        <v>100</v>
      </c>
      <c r="U65">
        <v>39</v>
      </c>
      <c r="V65">
        <f t="shared" si="11"/>
        <v>8</v>
      </c>
      <c r="W65">
        <f t="shared" si="12"/>
        <v>3900</v>
      </c>
      <c r="X65">
        <f t="shared" si="5"/>
        <v>3510</v>
      </c>
      <c r="Y65">
        <f t="shared" si="6"/>
        <v>4290</v>
      </c>
      <c r="Z65">
        <f t="shared" si="13"/>
        <v>0</v>
      </c>
      <c r="AA65" s="126">
        <f t="shared" si="14"/>
        <v>2.1353870600156614E-8</v>
      </c>
      <c r="AB65" s="126">
        <f t="shared" si="15"/>
        <v>3.3995622175144755E-8</v>
      </c>
      <c r="AC65" s="126" t="str">
        <f t="shared" si="7"/>
        <v>Vlow exceeds VIL spec</v>
      </c>
      <c r="AD65" s="126" t="str">
        <f t="shared" si="8"/>
        <v>Vlow exceeds VIL spec</v>
      </c>
    </row>
    <row r="66" spans="1:31" x14ac:dyDescent="0.35">
      <c r="I66" s="128"/>
      <c r="J66" s="128"/>
      <c r="K66">
        <v>10</v>
      </c>
      <c r="L66">
        <v>22</v>
      </c>
      <c r="M66">
        <f t="shared" si="9"/>
        <v>0</v>
      </c>
      <c r="N66">
        <f t="shared" si="0"/>
        <v>220</v>
      </c>
      <c r="O66">
        <f t="shared" si="1"/>
        <v>209</v>
      </c>
      <c r="P66">
        <f t="shared" si="2"/>
        <v>231</v>
      </c>
      <c r="Q66">
        <f t="shared" si="10"/>
        <v>0</v>
      </c>
      <c r="R66" s="126">
        <f t="shared" ref="R66:R97" si="16">_xlfn.LET(
_xlpm.PU, O66,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2.3489257658684622E-8</v>
      </c>
      <c r="S66" s="126">
        <f t="shared" ref="S66:S97" si="17">_xlfn.LET(
_xlpm.PU,P66,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3.7079559481866714E-8</v>
      </c>
      <c r="T66">
        <v>100</v>
      </c>
      <c r="U66">
        <v>47</v>
      </c>
      <c r="V66">
        <f t="shared" si="11"/>
        <v>8</v>
      </c>
      <c r="W66">
        <f t="shared" si="12"/>
        <v>4700</v>
      </c>
      <c r="X66">
        <f t="shared" si="5"/>
        <v>4230</v>
      </c>
      <c r="Y66">
        <f t="shared" si="6"/>
        <v>5170</v>
      </c>
      <c r="Z66">
        <f t="shared" si="13"/>
        <v>0</v>
      </c>
      <c r="AA66" s="126">
        <f t="shared" si="14"/>
        <v>2.3489257658684622E-8</v>
      </c>
      <c r="AB66" s="126">
        <f t="shared" si="15"/>
        <v>3.7079559481866714E-8</v>
      </c>
      <c r="AC66" s="126" t="str">
        <f t="shared" ref="AC66:AC97" si="18">_xlfn.LET(
_xlpm.PU, O66,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Vlow exceeds VIL spec</v>
      </c>
      <c r="AD66" s="126" t="str">
        <f t="shared" ref="AD66:AD97" si="19">_xlfn.LET(
_xlpm.PU, O66,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Vlow exceeds VIL spec</v>
      </c>
    </row>
    <row r="67" spans="1:31" x14ac:dyDescent="0.35">
      <c r="B67" s="171" t="s">
        <v>354</v>
      </c>
      <c r="C67" s="171"/>
      <c r="I67" s="128"/>
      <c r="K67">
        <v>10</v>
      </c>
      <c r="L67">
        <v>24</v>
      </c>
      <c r="M67">
        <f t="shared" si="9"/>
        <v>0</v>
      </c>
      <c r="N67">
        <f t="shared" si="0"/>
        <v>240</v>
      </c>
      <c r="O67">
        <f t="shared" si="1"/>
        <v>228</v>
      </c>
      <c r="P67">
        <f t="shared" si="2"/>
        <v>252</v>
      </c>
      <c r="Q67">
        <f t="shared" si="10"/>
        <v>0</v>
      </c>
      <c r="R67" s="126">
        <f t="shared" si="16"/>
        <v>2.5624644716942152E-8</v>
      </c>
      <c r="S67" s="126">
        <f t="shared" si="17"/>
        <v>4.0163496788235427E-8</v>
      </c>
      <c r="T67">
        <v>100</v>
      </c>
      <c r="U67">
        <v>56</v>
      </c>
      <c r="V67">
        <f t="shared" si="11"/>
        <v>8</v>
      </c>
      <c r="W67">
        <f t="shared" si="12"/>
        <v>5600</v>
      </c>
      <c r="X67">
        <f t="shared" si="5"/>
        <v>5040</v>
      </c>
      <c r="Y67">
        <f t="shared" si="6"/>
        <v>6160.0000000000009</v>
      </c>
      <c r="Z67">
        <f t="shared" si="13"/>
        <v>0</v>
      </c>
      <c r="AA67" s="126">
        <f t="shared" si="14"/>
        <v>2.5624644716942152E-8</v>
      </c>
      <c r="AB67" s="126">
        <f t="shared" si="15"/>
        <v>4.0163496788235427E-8</v>
      </c>
      <c r="AC67" s="126" t="str">
        <f t="shared" si="18"/>
        <v>Vlow exceeds VIL spec</v>
      </c>
      <c r="AD67" s="126" t="str">
        <f t="shared" si="19"/>
        <v>Vlow exceeds VIL spec</v>
      </c>
    </row>
    <row r="68" spans="1:31" ht="28.4" customHeight="1" x14ac:dyDescent="0.35">
      <c r="B68" s="32" t="s">
        <v>355</v>
      </c>
      <c r="C68" s="32" t="s">
        <v>356</v>
      </c>
      <c r="D68" s="32" t="s">
        <v>357</v>
      </c>
      <c r="E68" s="32" t="str">
        <f>IF(Summary!X37="absolute","find min R2, so that max (Vz) = " &amp; TRUNC(R3/J2,3),"find min R2, so that max (Vz) = " &amp; R3)</f>
        <v>find min R2, so that max (Vz) = 0.3</v>
      </c>
      <c r="F68" s="32" t="s">
        <v>358</v>
      </c>
      <c r="G68" s="32" t="s">
        <v>359</v>
      </c>
      <c r="H68" s="32" t="s">
        <v>360</v>
      </c>
      <c r="I68" s="49"/>
      <c r="J68" s="49"/>
      <c r="K68">
        <v>10</v>
      </c>
      <c r="L68">
        <v>27</v>
      </c>
      <c r="M68">
        <f t="shared" si="9"/>
        <v>0</v>
      </c>
      <c r="N68">
        <f t="shared" si="0"/>
        <v>270</v>
      </c>
      <c r="O68">
        <f t="shared" si="1"/>
        <v>256.5</v>
      </c>
      <c r="P68">
        <f t="shared" si="2"/>
        <v>283.5</v>
      </c>
      <c r="Q68">
        <f t="shared" si="10"/>
        <v>0</v>
      </c>
      <c r="R68" s="126">
        <f t="shared" si="16"/>
        <v>2.8827725303821282E-8</v>
      </c>
      <c r="S68" s="126">
        <f t="shared" si="17"/>
        <v>4.478940274712614E-8</v>
      </c>
      <c r="T68">
        <v>100</v>
      </c>
      <c r="U68">
        <v>68</v>
      </c>
      <c r="V68">
        <f t="shared" si="11"/>
        <v>8</v>
      </c>
      <c r="W68">
        <f t="shared" si="12"/>
        <v>6800</v>
      </c>
      <c r="X68">
        <f t="shared" si="5"/>
        <v>6120</v>
      </c>
      <c r="Y68">
        <f t="shared" si="6"/>
        <v>7480.0000000000009</v>
      </c>
      <c r="Z68">
        <f t="shared" si="13"/>
        <v>0</v>
      </c>
      <c r="AA68" s="126">
        <f t="shared" si="14"/>
        <v>2.8827725303821282E-8</v>
      </c>
      <c r="AB68" s="126">
        <f t="shared" si="15"/>
        <v>4.478940274712614E-8</v>
      </c>
      <c r="AC68" s="126" t="str">
        <f t="shared" si="18"/>
        <v>Vlow exceeds VIL spec</v>
      </c>
      <c r="AD68" s="126" t="str">
        <f t="shared" si="19"/>
        <v>Vlow exceeds VIL spec</v>
      </c>
    </row>
    <row r="69" spans="1:31" x14ac:dyDescent="0.35">
      <c r="A69" t="s">
        <v>318</v>
      </c>
      <c r="B69" s="11">
        <f>1/(1/(C2*(1+E2))+1/(K2*(1+M2)))</f>
        <v>550000000000</v>
      </c>
      <c r="C69" s="11">
        <f>C2*(1-D2)</f>
        <v>900000000000</v>
      </c>
      <c r="D69" s="121">
        <f>1/(1/(C2*(1+E2))+1/(K2*(1+M2)))</f>
        <v>550000000000</v>
      </c>
      <c r="E69" s="11">
        <f>C2*(1-D2)</f>
        <v>900000000000</v>
      </c>
      <c r="F69" s="121">
        <f>1/(1/(C2*(1-D2))+1/(K2*(1-L2)))</f>
        <v>450000000000</v>
      </c>
      <c r="G69" s="121">
        <f xml:space="preserve"> 1/(1/(C2*(1-D2))+1/(K2*(1-L2)))</f>
        <v>450000000000</v>
      </c>
      <c r="H69" s="121">
        <f>1/(1/(C2*(1+E2))+1/(K2*(1+M2)))</f>
        <v>550000000000</v>
      </c>
      <c r="K69">
        <v>10</v>
      </c>
      <c r="L69">
        <v>30</v>
      </c>
      <c r="M69">
        <f t="shared" si="9"/>
        <v>0</v>
      </c>
      <c r="N69">
        <f t="shared" si="0"/>
        <v>300</v>
      </c>
      <c r="O69">
        <f t="shared" si="1"/>
        <v>285</v>
      </c>
      <c r="P69">
        <f t="shared" si="2"/>
        <v>315</v>
      </c>
      <c r="Q69">
        <f t="shared" si="10"/>
        <v>0</v>
      </c>
      <c r="R69" s="126">
        <f t="shared" si="16"/>
        <v>3.2030805890091832E-8</v>
      </c>
      <c r="S69" s="126">
        <f t="shared" si="17"/>
        <v>4.9415308705222044E-8</v>
      </c>
      <c r="T69">
        <v>100</v>
      </c>
      <c r="U69">
        <v>82</v>
      </c>
      <c r="V69">
        <f t="shared" si="11"/>
        <v>8</v>
      </c>
      <c r="W69">
        <f t="shared" si="12"/>
        <v>8200</v>
      </c>
      <c r="X69">
        <f t="shared" si="5"/>
        <v>7380</v>
      </c>
      <c r="Y69">
        <f t="shared" si="6"/>
        <v>9020</v>
      </c>
      <c r="Z69">
        <f t="shared" si="13"/>
        <v>0</v>
      </c>
      <c r="AA69" s="126">
        <f t="shared" si="14"/>
        <v>3.2030805890091832E-8</v>
      </c>
      <c r="AB69" s="126">
        <f t="shared" si="15"/>
        <v>4.9415308705222044E-8</v>
      </c>
      <c r="AC69" s="126" t="str">
        <f t="shared" si="18"/>
        <v>Vlow exceeds VIL spec</v>
      </c>
      <c r="AD69" s="126" t="str">
        <f t="shared" si="19"/>
        <v>Vlow exceeds VIL spec</v>
      </c>
    </row>
    <row r="70" spans="1:31" x14ac:dyDescent="0.35">
      <c r="A70" t="s">
        <v>320</v>
      </c>
      <c r="B70" s="11">
        <f>F11*(1+H11)</f>
        <v>787.5</v>
      </c>
      <c r="C70" s="11">
        <f>F11*(1-H11)</f>
        <v>712.5</v>
      </c>
      <c r="D70" s="11">
        <f>F11*(1+H11)</f>
        <v>787.5</v>
      </c>
      <c r="E70" s="11"/>
      <c r="F70" s="11">
        <f>F11*(1-H11)</f>
        <v>712.5</v>
      </c>
      <c r="G70" s="11">
        <f>F11*(1-H11)</f>
        <v>712.5</v>
      </c>
      <c r="H70" s="11">
        <f>F11*(1+H11)</f>
        <v>787.5</v>
      </c>
      <c r="K70">
        <v>10</v>
      </c>
      <c r="L70">
        <v>33</v>
      </c>
      <c r="M70">
        <f t="shared" si="9"/>
        <v>0</v>
      </c>
      <c r="N70">
        <f t="shared" si="0"/>
        <v>330</v>
      </c>
      <c r="O70">
        <f t="shared" si="1"/>
        <v>313.5</v>
      </c>
      <c r="P70">
        <f t="shared" si="2"/>
        <v>346.5</v>
      </c>
      <c r="Q70">
        <f t="shared" si="10"/>
        <v>0</v>
      </c>
      <c r="R70" s="126">
        <f t="shared" si="16"/>
        <v>3.5233886475753796E-8</v>
      </c>
      <c r="S70" s="126">
        <f t="shared" si="17"/>
        <v>5.4041214662523141E-8</v>
      </c>
      <c r="T70">
        <v>1000</v>
      </c>
      <c r="U70">
        <v>10</v>
      </c>
      <c r="V70">
        <f t="shared" si="11"/>
        <v>8</v>
      </c>
      <c r="W70">
        <f t="shared" si="12"/>
        <v>10000</v>
      </c>
      <c r="X70">
        <f t="shared" si="5"/>
        <v>9000</v>
      </c>
      <c r="Y70">
        <f t="shared" si="6"/>
        <v>11000</v>
      </c>
      <c r="Z70">
        <f t="shared" si="13"/>
        <v>0</v>
      </c>
      <c r="AA70" s="126">
        <f t="shared" si="14"/>
        <v>3.5233886475753796E-8</v>
      </c>
      <c r="AB70" s="126">
        <f t="shared" si="15"/>
        <v>5.4041214662523141E-8</v>
      </c>
      <c r="AC70" s="126" t="str">
        <f t="shared" si="18"/>
        <v>Vlow exceeds VIL spec</v>
      </c>
      <c r="AD70" s="126" t="str">
        <f t="shared" si="19"/>
        <v>Vlow exceeds VIL spec</v>
      </c>
    </row>
    <row r="71" spans="1:31" x14ac:dyDescent="0.35">
      <c r="A71" t="s">
        <v>322</v>
      </c>
      <c r="B71" s="11">
        <f>C3*(1+E3)</f>
        <v>1100000000000</v>
      </c>
      <c r="C71" s="11">
        <f>C3*(1-E3)</f>
        <v>900000000000</v>
      </c>
      <c r="D71" s="11">
        <f>C3*(1+E3)</f>
        <v>1100000000000</v>
      </c>
      <c r="E71" s="11">
        <f>C3*(1-E3)</f>
        <v>900000000000</v>
      </c>
      <c r="F71" s="11">
        <f>C3*(1-D3)</f>
        <v>900000000000</v>
      </c>
      <c r="G71" s="11">
        <f>C3*(1-D3)</f>
        <v>900000000000</v>
      </c>
      <c r="H71" s="11">
        <f>C3*(1+E3)</f>
        <v>1100000000000</v>
      </c>
      <c r="K71">
        <v>10</v>
      </c>
      <c r="L71">
        <v>36</v>
      </c>
      <c r="M71">
        <f t="shared" si="9"/>
        <v>0</v>
      </c>
      <c r="N71">
        <f t="shared" si="0"/>
        <v>360</v>
      </c>
      <c r="O71">
        <f t="shared" si="1"/>
        <v>342</v>
      </c>
      <c r="P71">
        <f t="shared" si="2"/>
        <v>378</v>
      </c>
      <c r="Q71">
        <f t="shared" si="10"/>
        <v>0</v>
      </c>
      <c r="R71" s="126">
        <f t="shared" si="16"/>
        <v>3.8436967060807173E-8</v>
      </c>
      <c r="S71" s="126">
        <f t="shared" si="17"/>
        <v>5.866712061902941E-8</v>
      </c>
      <c r="T71">
        <v>1000</v>
      </c>
      <c r="U71">
        <v>12</v>
      </c>
      <c r="V71">
        <f t="shared" si="11"/>
        <v>8</v>
      </c>
      <c r="W71">
        <f t="shared" si="12"/>
        <v>12000</v>
      </c>
      <c r="X71">
        <f t="shared" si="5"/>
        <v>10800</v>
      </c>
      <c r="Y71">
        <f t="shared" si="6"/>
        <v>13200.000000000002</v>
      </c>
      <c r="Z71">
        <f t="shared" si="13"/>
        <v>0</v>
      </c>
      <c r="AA71" s="126">
        <f t="shared" si="14"/>
        <v>3.8436967060807173E-8</v>
      </c>
      <c r="AB71" s="126">
        <f t="shared" si="15"/>
        <v>5.866712061902941E-8</v>
      </c>
      <c r="AC71" s="126" t="str">
        <f t="shared" si="18"/>
        <v>Vlow exceeds VIL spec</v>
      </c>
      <c r="AD71" s="126" t="str">
        <f t="shared" si="19"/>
        <v>Vlow exceeds VIL spec</v>
      </c>
    </row>
    <row r="72" spans="1:31" x14ac:dyDescent="0.35">
      <c r="A72" t="s">
        <v>324</v>
      </c>
      <c r="B72" s="1">
        <f>K21*MIN(K25,K24)</f>
        <v>0</v>
      </c>
      <c r="C72" s="1">
        <f>K21*MAX(K25,K24)</f>
        <v>21.49240538481077</v>
      </c>
      <c r="D72" s="1">
        <f>K21*MIN(K25,K24)</f>
        <v>0</v>
      </c>
      <c r="E72" s="1">
        <f>K21*MAX(K25,K24)</f>
        <v>21.49240538481077</v>
      </c>
      <c r="F72" s="125">
        <f>K21*MAX(K25,K24)</f>
        <v>21.49240538481077</v>
      </c>
      <c r="G72" s="125">
        <f>K22*MAX(K25,K24)</f>
        <v>15.682405384810767</v>
      </c>
      <c r="H72" s="1">
        <f>K22*MIN(K25,K24)</f>
        <v>0</v>
      </c>
      <c r="K72">
        <v>10</v>
      </c>
      <c r="L72">
        <v>39</v>
      </c>
      <c r="M72">
        <f t="shared" si="9"/>
        <v>0</v>
      </c>
      <c r="N72">
        <f t="shared" si="0"/>
        <v>390</v>
      </c>
      <c r="O72">
        <f t="shared" si="1"/>
        <v>370.5</v>
      </c>
      <c r="P72">
        <f t="shared" si="2"/>
        <v>409.5</v>
      </c>
      <c r="Q72">
        <f t="shared" si="10"/>
        <v>0</v>
      </c>
      <c r="R72" s="126">
        <f t="shared" si="16"/>
        <v>4.164004764525197E-8</v>
      </c>
      <c r="S72" s="126">
        <f t="shared" si="17"/>
        <v>6.3293026574740864E-8</v>
      </c>
      <c r="T72">
        <v>1000</v>
      </c>
      <c r="U72">
        <v>15</v>
      </c>
      <c r="V72">
        <f t="shared" si="11"/>
        <v>8</v>
      </c>
      <c r="W72">
        <f t="shared" si="12"/>
        <v>15000</v>
      </c>
      <c r="X72">
        <f t="shared" si="5"/>
        <v>13500</v>
      </c>
      <c r="Y72">
        <f t="shared" si="6"/>
        <v>16500</v>
      </c>
      <c r="Z72">
        <f t="shared" si="13"/>
        <v>0</v>
      </c>
      <c r="AA72" s="126">
        <f t="shared" si="14"/>
        <v>4.164004764525197E-8</v>
      </c>
      <c r="AB72" s="126">
        <f t="shared" si="15"/>
        <v>6.3293026574740864E-8</v>
      </c>
      <c r="AC72" s="126" t="str">
        <f t="shared" si="18"/>
        <v>Vlow exceeds VIL spec</v>
      </c>
      <c r="AD72" s="126" t="str">
        <f t="shared" si="19"/>
        <v>Vlow exceeds VIL spec</v>
      </c>
    </row>
    <row r="73" spans="1:31" x14ac:dyDescent="0.35">
      <c r="A73" t="s">
        <v>327</v>
      </c>
      <c r="B73" s="1">
        <f>K21-B72</f>
        <v>21.49240538481077</v>
      </c>
      <c r="C73" s="1">
        <f>K21-C72</f>
        <v>0</v>
      </c>
      <c r="D73" s="1">
        <f>K21-D72</f>
        <v>21.49240538481077</v>
      </c>
      <c r="E73" s="1">
        <f>K21-E72</f>
        <v>0</v>
      </c>
      <c r="F73" s="1">
        <f>K21-F72</f>
        <v>0</v>
      </c>
      <c r="G73" s="1">
        <f>K22-G72</f>
        <v>0</v>
      </c>
      <c r="H73" s="1">
        <f>K22-H72</f>
        <v>15.682405384810767</v>
      </c>
      <c r="K73">
        <v>10</v>
      </c>
      <c r="L73">
        <v>43</v>
      </c>
      <c r="M73">
        <f t="shared" si="9"/>
        <v>1</v>
      </c>
      <c r="N73">
        <f t="shared" si="0"/>
        <v>430</v>
      </c>
      <c r="O73">
        <f t="shared" si="1"/>
        <v>408.5</v>
      </c>
      <c r="P73">
        <f t="shared" si="2"/>
        <v>451.5</v>
      </c>
      <c r="Q73">
        <f t="shared" si="10"/>
        <v>1</v>
      </c>
      <c r="R73" s="126">
        <f t="shared" si="16"/>
        <v>4.5910821756898344E-8</v>
      </c>
      <c r="S73" s="126">
        <f t="shared" si="17"/>
        <v>6.9460901181119772E-8</v>
      </c>
      <c r="T73">
        <v>1000</v>
      </c>
      <c r="U73">
        <v>18</v>
      </c>
      <c r="V73">
        <f t="shared" si="11"/>
        <v>8</v>
      </c>
      <c r="W73">
        <f t="shared" si="12"/>
        <v>18000</v>
      </c>
      <c r="X73">
        <f t="shared" si="5"/>
        <v>16200</v>
      </c>
      <c r="Y73">
        <f t="shared" si="6"/>
        <v>19800</v>
      </c>
      <c r="Z73">
        <f t="shared" si="13"/>
        <v>0</v>
      </c>
      <c r="AA73" s="126">
        <f t="shared" si="14"/>
        <v>4.5910821756898344E-8</v>
      </c>
      <c r="AB73" s="126">
        <f t="shared" si="15"/>
        <v>6.9460901181119772E-8</v>
      </c>
      <c r="AC73" s="126">
        <f t="shared" si="18"/>
        <v>8.2628876152687342E-8</v>
      </c>
      <c r="AD73" s="126">
        <f t="shared" si="19"/>
        <v>1.1255517447633173E-7</v>
      </c>
    </row>
    <row r="74" spans="1:31" x14ac:dyDescent="0.35">
      <c r="A74" t="s">
        <v>329</v>
      </c>
      <c r="B74" s="11">
        <f>F2*(1-H2)</f>
        <v>900000000000</v>
      </c>
      <c r="C74" s="11">
        <f>1/(1/(F2*(1+H2))+1/(N2*(1+P2)))</f>
        <v>124.99999998579545</v>
      </c>
      <c r="D74" s="11">
        <f>1/(1/(F2*(1-G2))+1/(N2*(1-O2)))</f>
        <v>74.999999993749995</v>
      </c>
      <c r="E74" s="11">
        <f>1/(1/(F2*(1+H2))+1/(N2*(1+P2)))</f>
        <v>124.99999998579545</v>
      </c>
      <c r="F74" s="11">
        <f>1/(1/(F2*(1+H2))+1/(N2*(1+P2)))</f>
        <v>124.99999998579545</v>
      </c>
      <c r="G74" s="11">
        <f>1/(1/(F2*(1+H2))+1/(N2*(1+P2)))</f>
        <v>124.99999998579545</v>
      </c>
      <c r="H74" s="11">
        <f>1/(1/(F2*(1-G2))+1/(N2*(1-O2)))</f>
        <v>74.999999993749995</v>
      </c>
      <c r="K74">
        <v>10</v>
      </c>
      <c r="L74">
        <v>47</v>
      </c>
      <c r="M74">
        <f t="shared" si="9"/>
        <v>2</v>
      </c>
      <c r="N74">
        <f t="shared" si="0"/>
        <v>470</v>
      </c>
      <c r="O74">
        <f t="shared" si="1"/>
        <v>446.5</v>
      </c>
      <c r="P74">
        <f t="shared" si="2"/>
        <v>493.5</v>
      </c>
      <c r="Q74">
        <f t="shared" si="10"/>
        <v>1</v>
      </c>
      <c r="R74" s="126">
        <f t="shared" si="16"/>
        <v>5.0181595867462772E-8</v>
      </c>
      <c r="S74" s="126">
        <f t="shared" si="17"/>
        <v>7.562877578608567E-8</v>
      </c>
      <c r="T74">
        <v>1000</v>
      </c>
      <c r="U74">
        <v>22</v>
      </c>
      <c r="V74">
        <f t="shared" si="11"/>
        <v>8</v>
      </c>
      <c r="W74">
        <f t="shared" si="12"/>
        <v>22000</v>
      </c>
      <c r="X74">
        <f t="shared" si="5"/>
        <v>19800</v>
      </c>
      <c r="Y74">
        <f t="shared" si="6"/>
        <v>24200.000000000004</v>
      </c>
      <c r="Z74">
        <f t="shared" si="13"/>
        <v>0</v>
      </c>
      <c r="AA74" s="126">
        <f t="shared" si="14"/>
        <v>5.0181595867462772E-8</v>
      </c>
      <c r="AB74" s="126">
        <f t="shared" si="15"/>
        <v>7.562877578608567E-8</v>
      </c>
      <c r="AC74" s="126">
        <f t="shared" si="18"/>
        <v>6.6794843288373197E-8</v>
      </c>
      <c r="AD74" s="126">
        <f t="shared" si="19"/>
        <v>7.8755319879815781E-8</v>
      </c>
    </row>
    <row r="75" spans="1:31" x14ac:dyDescent="0.35">
      <c r="A75" t="s">
        <v>332</v>
      </c>
      <c r="B75" s="11">
        <f>F12*(1-H12)</f>
        <v>900000000</v>
      </c>
      <c r="C75" s="11">
        <f>F12*(1+H12)</f>
        <v>1100000000</v>
      </c>
      <c r="D75" s="11">
        <f>F12*(1-H12)</f>
        <v>900000000</v>
      </c>
      <c r="E75" s="11">
        <f>F12*(1+H12)</f>
        <v>1100000000</v>
      </c>
      <c r="F75" s="11">
        <f>F12*(1+H12)</f>
        <v>1100000000</v>
      </c>
      <c r="G75" s="11">
        <f>F12*(1+H12)</f>
        <v>1100000000</v>
      </c>
      <c r="H75" s="11">
        <f>F12*(1-H12)</f>
        <v>900000000</v>
      </c>
      <c r="K75">
        <v>10</v>
      </c>
      <c r="L75">
        <v>51</v>
      </c>
      <c r="M75">
        <f t="shared" si="9"/>
        <v>3</v>
      </c>
      <c r="N75">
        <f t="shared" si="0"/>
        <v>510</v>
      </c>
      <c r="O75">
        <f t="shared" si="1"/>
        <v>484.5</v>
      </c>
      <c r="P75">
        <f t="shared" si="2"/>
        <v>535.5</v>
      </c>
      <c r="Q75">
        <f t="shared" si="10"/>
        <v>1</v>
      </c>
      <c r="R75" s="126">
        <f t="shared" si="16"/>
        <v>5.4452369976945294E-8</v>
      </c>
      <c r="S75" s="126">
        <f t="shared" si="17"/>
        <v>8.1796650389638572E-8</v>
      </c>
      <c r="T75">
        <v>1000</v>
      </c>
      <c r="U75">
        <v>27</v>
      </c>
      <c r="V75">
        <f t="shared" si="11"/>
        <v>8</v>
      </c>
      <c r="W75">
        <f t="shared" si="12"/>
        <v>27000</v>
      </c>
      <c r="X75">
        <f t="shared" si="5"/>
        <v>24300</v>
      </c>
      <c r="Y75">
        <f t="shared" si="6"/>
        <v>29700.000000000004</v>
      </c>
      <c r="Z75">
        <f t="shared" si="13"/>
        <v>0</v>
      </c>
      <c r="AA75" s="126">
        <f t="shared" si="14"/>
        <v>5.4452369976945294E-8</v>
      </c>
      <c r="AB75" s="126">
        <f t="shared" si="15"/>
        <v>8.1796650389638572E-8</v>
      </c>
      <c r="AC75" s="126">
        <f t="shared" si="18"/>
        <v>5.8967785846825851E-8</v>
      </c>
      <c r="AD75" s="126">
        <f t="shared" si="19"/>
        <v>6.7118733542111348E-8</v>
      </c>
    </row>
    <row r="76" spans="1:31" x14ac:dyDescent="0.35">
      <c r="A76" t="s">
        <v>333</v>
      </c>
      <c r="B76" s="11">
        <f>F3*(1-G3)</f>
        <v>900000000000</v>
      </c>
      <c r="C76" s="11">
        <f>F3*(1+H3)</f>
        <v>1100000000000</v>
      </c>
      <c r="D76" s="11">
        <f>F3*(1-G3)</f>
        <v>900000000000</v>
      </c>
      <c r="E76" s="11">
        <f>F3*(1+H3)</f>
        <v>1100000000000</v>
      </c>
      <c r="F76" s="11">
        <f>F3*(1+H3)</f>
        <v>1100000000000</v>
      </c>
      <c r="G76" s="11">
        <f>F3*(1+H3)</f>
        <v>1100000000000</v>
      </c>
      <c r="H76" s="11">
        <f>F3*(1-G3)</f>
        <v>900000000000</v>
      </c>
      <c r="K76">
        <v>10</v>
      </c>
      <c r="L76">
        <v>56</v>
      </c>
      <c r="M76">
        <f t="shared" si="9"/>
        <v>4</v>
      </c>
      <c r="N76">
        <f t="shared" si="0"/>
        <v>560</v>
      </c>
      <c r="O76">
        <f t="shared" si="1"/>
        <v>532</v>
      </c>
      <c r="P76">
        <f t="shared" si="2"/>
        <v>588</v>
      </c>
      <c r="Q76">
        <f t="shared" si="10"/>
        <v>1</v>
      </c>
      <c r="R76" s="126">
        <f t="shared" si="16"/>
        <v>5.9790837612276972E-8</v>
      </c>
      <c r="S76" s="126">
        <f t="shared" si="17"/>
        <v>8.950649364209266E-8</v>
      </c>
      <c r="T76">
        <v>1000</v>
      </c>
      <c r="U76">
        <v>33</v>
      </c>
      <c r="V76">
        <f t="shared" si="11"/>
        <v>8</v>
      </c>
      <c r="W76">
        <f t="shared" si="12"/>
        <v>33000</v>
      </c>
      <c r="X76">
        <f t="shared" si="5"/>
        <v>29700</v>
      </c>
      <c r="Y76">
        <f t="shared" si="6"/>
        <v>36300</v>
      </c>
      <c r="Z76">
        <f t="shared" si="13"/>
        <v>0</v>
      </c>
      <c r="AA76" s="126">
        <f t="shared" si="14"/>
        <v>5.9790837612276972E-8</v>
      </c>
      <c r="AB76" s="126">
        <f t="shared" si="15"/>
        <v>8.950649364209266E-8</v>
      </c>
      <c r="AC76" s="126">
        <f t="shared" si="18"/>
        <v>5.3084260998021961E-8</v>
      </c>
      <c r="AD76" s="126">
        <f t="shared" si="19"/>
        <v>5.9211226852877785E-8</v>
      </c>
    </row>
    <row r="77" spans="1:31" x14ac:dyDescent="0.35">
      <c r="A77" t="s">
        <v>361</v>
      </c>
      <c r="B77" s="11"/>
      <c r="C77" s="11"/>
      <c r="D77" s="121">
        <f>IF(OR($Q$2="disable",$Q$2="N/A"),D$69,$J$2/(2*VLOOKUP($Q$2,$AI$2:$AK$11,2,FALSE)/1000))</f>
        <v>550000000000</v>
      </c>
      <c r="E77" s="11"/>
      <c r="F77" s="121"/>
      <c r="G77" s="121">
        <f>IF(OR($Q$2="disable",$Q$2="N/A"),G$69,$J$2/(2*VLOOKUP($Q$2,$AI$2:$AK$11,3,FALSE)/1000))</f>
        <v>450000000000</v>
      </c>
      <c r="H77" s="121"/>
      <c r="K77">
        <v>10</v>
      </c>
      <c r="L77">
        <v>62</v>
      </c>
      <c r="M77">
        <f t="shared" si="9"/>
        <v>5</v>
      </c>
      <c r="N77">
        <f t="shared" si="0"/>
        <v>620</v>
      </c>
      <c r="O77">
        <f t="shared" si="1"/>
        <v>589</v>
      </c>
      <c r="P77">
        <f t="shared" si="2"/>
        <v>651</v>
      </c>
      <c r="Q77">
        <f t="shared" si="10"/>
        <v>1</v>
      </c>
      <c r="R77" s="126">
        <f t="shared" si="16"/>
        <v>6.6196998772443504E-8</v>
      </c>
      <c r="S77" s="126">
        <f t="shared" si="17"/>
        <v>9.8758305542123213E-8</v>
      </c>
      <c r="T77">
        <v>1000</v>
      </c>
      <c r="U77">
        <v>39</v>
      </c>
      <c r="V77">
        <f t="shared" si="11"/>
        <v>8</v>
      </c>
      <c r="W77">
        <f t="shared" si="12"/>
        <v>39000</v>
      </c>
      <c r="X77">
        <f t="shared" si="5"/>
        <v>35100</v>
      </c>
      <c r="Y77">
        <f t="shared" si="6"/>
        <v>42900</v>
      </c>
      <c r="Z77">
        <f t="shared" si="13"/>
        <v>0</v>
      </c>
      <c r="AA77" s="126">
        <f t="shared" si="14"/>
        <v>6.6196998772443504E-8</v>
      </c>
      <c r="AB77" s="126">
        <f t="shared" si="15"/>
        <v>9.8758305542123213E-8</v>
      </c>
      <c r="AC77" s="126">
        <f t="shared" si="18"/>
        <v>4.8629615153403158E-8</v>
      </c>
      <c r="AD77" s="126">
        <f t="shared" si="19"/>
        <v>5.3540945579008994E-8</v>
      </c>
    </row>
    <row r="78" spans="1:31" x14ac:dyDescent="0.35">
      <c r="A78" t="s">
        <v>344</v>
      </c>
      <c r="B78">
        <v>1</v>
      </c>
      <c r="C78">
        <v>1</v>
      </c>
      <c r="D78">
        <v>1</v>
      </c>
      <c r="E78">
        <v>1</v>
      </c>
      <c r="F78">
        <v>1</v>
      </c>
      <c r="G78">
        <v>1</v>
      </c>
      <c r="H78">
        <v>1</v>
      </c>
      <c r="K78">
        <v>10</v>
      </c>
      <c r="L78">
        <v>68</v>
      </c>
      <c r="M78">
        <f t="shared" si="9"/>
        <v>6</v>
      </c>
      <c r="N78">
        <f t="shared" si="0"/>
        <v>680</v>
      </c>
      <c r="O78">
        <f t="shared" si="1"/>
        <v>646</v>
      </c>
      <c r="P78">
        <f t="shared" si="2"/>
        <v>714</v>
      </c>
      <c r="Q78">
        <f t="shared" si="10"/>
        <v>1</v>
      </c>
      <c r="R78" s="126">
        <f t="shared" si="16"/>
        <v>7.2603159930175676E-8</v>
      </c>
      <c r="S78" s="126">
        <f t="shared" si="17"/>
        <v>1.0801011743897453E-7</v>
      </c>
      <c r="T78">
        <v>1000</v>
      </c>
      <c r="U78">
        <v>47</v>
      </c>
      <c r="V78">
        <f t="shared" si="11"/>
        <v>8</v>
      </c>
      <c r="W78">
        <f t="shared" si="12"/>
        <v>47000</v>
      </c>
      <c r="X78">
        <f t="shared" si="5"/>
        <v>42300</v>
      </c>
      <c r="Y78">
        <f t="shared" si="6"/>
        <v>51700.000000000007</v>
      </c>
      <c r="Z78">
        <f t="shared" si="13"/>
        <v>0</v>
      </c>
      <c r="AA78" s="126">
        <f t="shared" si="14"/>
        <v>7.2603159930175676E-8</v>
      </c>
      <c r="AB78" s="126">
        <f t="shared" si="15"/>
        <v>1.0801011743897453E-7</v>
      </c>
      <c r="AC78" s="126">
        <f t="shared" si="18"/>
        <v>4.5631041713224469E-8</v>
      </c>
      <c r="AD78" s="126">
        <f t="shared" si="19"/>
        <v>4.9841794716873356E-8</v>
      </c>
    </row>
    <row r="79" spans="1:31" x14ac:dyDescent="0.35">
      <c r="A79" t="s">
        <v>345</v>
      </c>
      <c r="B79">
        <v>1</v>
      </c>
      <c r="C79">
        <v>1</v>
      </c>
      <c r="D79">
        <v>1</v>
      </c>
      <c r="E79">
        <v>1</v>
      </c>
      <c r="F79">
        <v>1</v>
      </c>
      <c r="G79">
        <v>1</v>
      </c>
      <c r="H79">
        <v>1</v>
      </c>
      <c r="K79">
        <v>10</v>
      </c>
      <c r="L79">
        <v>75</v>
      </c>
      <c r="M79">
        <f t="shared" si="9"/>
        <v>7</v>
      </c>
      <c r="N79">
        <f t="shared" si="0"/>
        <v>750</v>
      </c>
      <c r="O79">
        <f t="shared" si="1"/>
        <v>712.5</v>
      </c>
      <c r="P79">
        <f t="shared" si="2"/>
        <v>787.5</v>
      </c>
      <c r="Q79">
        <f t="shared" si="10"/>
        <v>1</v>
      </c>
      <c r="R79" s="126">
        <f t="shared" si="16"/>
        <v>8.0077014611119853E-8</v>
      </c>
      <c r="S79" s="126">
        <f t="shared" si="17"/>
        <v>1.1880389798128283E-7</v>
      </c>
      <c r="T79">
        <v>1000</v>
      </c>
      <c r="U79">
        <v>56</v>
      </c>
      <c r="V79">
        <f t="shared" si="11"/>
        <v>8</v>
      </c>
      <c r="W79">
        <f t="shared" si="12"/>
        <v>56000</v>
      </c>
      <c r="X79">
        <f t="shared" si="5"/>
        <v>50400</v>
      </c>
      <c r="Y79">
        <f t="shared" si="6"/>
        <v>61600.000000000007</v>
      </c>
      <c r="Z79">
        <f t="shared" si="13"/>
        <v>0</v>
      </c>
      <c r="AA79" s="126">
        <f t="shared" si="14"/>
        <v>8.0077014611119853E-8</v>
      </c>
      <c r="AB79" s="126">
        <f t="shared" si="15"/>
        <v>1.1880389798128283E-7</v>
      </c>
      <c r="AC79" s="126">
        <f t="shared" si="18"/>
        <v>4.3158717877844123E-8</v>
      </c>
      <c r="AD79" s="126">
        <f t="shared" si="19"/>
        <v>4.685137535873332E-8</v>
      </c>
      <c r="AE79" s="128"/>
    </row>
    <row r="80" spans="1:31" x14ac:dyDescent="0.35">
      <c r="A80" t="s">
        <v>346</v>
      </c>
      <c r="B80">
        <v>1</v>
      </c>
      <c r="C80">
        <v>1</v>
      </c>
      <c r="D80">
        <v>1</v>
      </c>
      <c r="E80">
        <v>1</v>
      </c>
      <c r="F80">
        <v>1</v>
      </c>
      <c r="G80">
        <v>1</v>
      </c>
      <c r="H80">
        <v>1</v>
      </c>
      <c r="K80">
        <v>10</v>
      </c>
      <c r="L80">
        <v>82</v>
      </c>
      <c r="M80">
        <f t="shared" si="9"/>
        <v>8</v>
      </c>
      <c r="N80">
        <f t="shared" si="0"/>
        <v>820</v>
      </c>
      <c r="O80">
        <f t="shared" si="1"/>
        <v>779</v>
      </c>
      <c r="P80">
        <f t="shared" si="2"/>
        <v>861</v>
      </c>
      <c r="Q80">
        <f t="shared" si="10"/>
        <v>1</v>
      </c>
      <c r="R80" s="126">
        <f t="shared" si="16"/>
        <v>8.7550869288750583E-8</v>
      </c>
      <c r="S80" s="126">
        <f t="shared" si="17"/>
        <v>1.2959767851926382E-7</v>
      </c>
      <c r="T80">
        <v>1000</v>
      </c>
      <c r="U80">
        <v>68</v>
      </c>
      <c r="V80">
        <f t="shared" si="11"/>
        <v>8</v>
      </c>
      <c r="W80">
        <f>U80*T80</f>
        <v>68000</v>
      </c>
      <c r="X80">
        <f t="shared" si="5"/>
        <v>61200</v>
      </c>
      <c r="Y80">
        <f t="shared" si="6"/>
        <v>74800</v>
      </c>
      <c r="Z80">
        <f t="shared" si="13"/>
        <v>0</v>
      </c>
      <c r="AA80" s="126">
        <f t="shared" si="14"/>
        <v>8.7550869288750583E-8</v>
      </c>
      <c r="AB80" s="126">
        <f t="shared" si="15"/>
        <v>1.2959767851926382E-7</v>
      </c>
      <c r="AC80" s="126">
        <f t="shared" si="18"/>
        <v>4.1355971058400861E-8</v>
      </c>
      <c r="AD80" s="126">
        <f t="shared" si="19"/>
        <v>4.4700942420852091E-8</v>
      </c>
      <c r="AE80" s="128"/>
    </row>
    <row r="81" spans="1:31" x14ac:dyDescent="0.35">
      <c r="K81">
        <v>10</v>
      </c>
      <c r="L81">
        <v>91</v>
      </c>
      <c r="M81">
        <f t="shared" si="9"/>
        <v>9</v>
      </c>
      <c r="N81">
        <f t="shared" si="0"/>
        <v>910</v>
      </c>
      <c r="O81">
        <f t="shared" si="1"/>
        <v>864.5</v>
      </c>
      <c r="P81">
        <f t="shared" si="2"/>
        <v>955.5</v>
      </c>
      <c r="Q81">
        <f t="shared" si="10"/>
        <v>1</v>
      </c>
      <c r="R81" s="126">
        <f t="shared" si="16"/>
        <v>9.716011101226428E-8</v>
      </c>
      <c r="S81" s="126">
        <f t="shared" si="17"/>
        <v>1.4347539634745224E-7</v>
      </c>
      <c r="T81">
        <v>1000</v>
      </c>
      <c r="U81">
        <v>82</v>
      </c>
      <c r="V81">
        <f t="shared" si="11"/>
        <v>8</v>
      </c>
      <c r="W81">
        <f t="shared" ref="W81" si="20">U81*T81</f>
        <v>82000</v>
      </c>
      <c r="X81">
        <f t="shared" si="5"/>
        <v>73800</v>
      </c>
      <c r="Y81">
        <f t="shared" si="6"/>
        <v>90200.000000000015</v>
      </c>
      <c r="Z81">
        <f t="shared" si="13"/>
        <v>0</v>
      </c>
      <c r="AA81" s="126">
        <f t="shared" si="14"/>
        <v>9.716011101226428E-8</v>
      </c>
      <c r="AB81" s="126">
        <f t="shared" si="15"/>
        <v>1.4347539634745224E-7</v>
      </c>
      <c r="AC81" s="126">
        <f t="shared" si="18"/>
        <v>3.9647065987272363E-8</v>
      </c>
      <c r="AD81" s="126">
        <f t="shared" si="19"/>
        <v>4.2683888484615042E-8</v>
      </c>
      <c r="AE81" s="128"/>
    </row>
    <row r="82" spans="1:31" x14ac:dyDescent="0.35">
      <c r="A82" t="s">
        <v>350</v>
      </c>
      <c r="B82" s="13">
        <f xml:space="preserve"> (B69*B70*B74*B75*B76*B80+B69*B71*B73*B74*B75*B79+B69*B71*B74*B75*B76*B79+B69*B73*B74*B75*B76*B79+B70*B71*B72*B73*B74*B78+B70*B71*B72*B74*B75*B78+B70*B71*B72*B74*B76*B78+B70*B71*B73*B74*B75*B78+B70*B71*B74*B75*B76*B78+B70*B72*B73*B74*B76*B78+B70*B72*B74*B75*B76*B78+B70*B73*B74*B75*B76*B78+B71*B72*B73*B74*B75*B78+B71*B72*B74*B75*B76*B78+B72*B73*B74*B75*B76*B78)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0.99999912325077045</v>
      </c>
      <c r="C82" s="13">
        <f xml:space="preserve"> (C69*C70*C74*C75*C76*C80+C69*C71*C73*C74*C75*C79+C69*C71*C74*C75*C76*C79+C69*C73*C74*C75*C76*C79+C70*C71*C72*C73*C74*C78+C70*C71*C72*C74*C75*C78+C70*C71*C72*C74*C76*C78+C70*C71*C73*C74*C75*C78+C70*C71*C74*C75*C76*C78+C70*C72*C73*C74*C76*C78+C70*C72*C74*C75*C76*C78+C70*C73*C74*C75*C76*C78+C71*C72*C73*C74*C75*C78+C71*C72*C74*C75*C76*C78+C72*C73*C74*C75*C76*C78)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0.14551931489934217</v>
      </c>
      <c r="D82" s="13">
        <f xml:space="preserve"> (D69*D70*D74*D75*D76*D80+D69*D71*D73*D74*D75*D79+D69*D71*D74*D75*D76*D79+D69*D73*D74*D75*D76*D79+D70*D71*D72*D73*D74*D78+D70*D71*D72*D74*D75*D78+D70*D71*D72*D74*D76*D78+D70*D71*D73*D74*D75*D78+D70*D71*D74*D75*D76*D78+D70*D72*D73*D74*D76*D78+D70*D72*D74*D75*D76*D78+D70*D73*D74*D75*D76*D78+D71*D72*D73*D74*D75*D78+D71*D72*D74*D75*D76*D78+D72*D73*D74*D75*D76*D78)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8.6956515280160324E-2</v>
      </c>
      <c r="E82" s="13">
        <f xml:space="preserve"> (E69*E70*E74*E75*E76*E80+E69*E71*E73*E74*E75*E79+E69*E71*E74*E75*E76*E79+E69*E73*E74*E75*E76*E79+E70*E71*E72*E73*E74*E78+E70*E71*E72*E74*E75*E78+E70*E71*E72*E74*E76*E78+E70*E71*E73*E74*E75*E78+E70*E71*E74*E75*E76*E78+E70*E72*E73*E74*E76*E78+E70*E72*E74*E75*E76*E78+E70*E73*E74*E75*E76*E78+E71*E72*E73*E74*E75*E78+E71*E72*E74*E75*E76*E78+E72*E73*E74*E75*E76*E78)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0.85328655550436283</v>
      </c>
      <c r="F82" s="13"/>
      <c r="K82">
        <v>100</v>
      </c>
      <c r="L82">
        <v>10</v>
      </c>
      <c r="M82">
        <f>IF(AND(Q81=1,Q82=0),Q82+M81+1, Q82+M81)</f>
        <v>10</v>
      </c>
      <c r="N82">
        <f t="shared" si="0"/>
        <v>1000</v>
      </c>
      <c r="O82">
        <f t="shared" si="1"/>
        <v>950</v>
      </c>
      <c r="P82">
        <f t="shared" si="2"/>
        <v>1050</v>
      </c>
      <c r="Q82">
        <f t="shared" si="10"/>
        <v>1</v>
      </c>
      <c r="R82" s="126">
        <f t="shared" si="16"/>
        <v>1.0676935273030072E-7</v>
      </c>
      <c r="S82" s="126">
        <f t="shared" si="17"/>
        <v>1.5735311416848741E-7</v>
      </c>
      <c r="V82">
        <f t="shared" si="11"/>
        <v>8</v>
      </c>
      <c r="W82">
        <v>9999999</v>
      </c>
      <c r="AA82" s="126">
        <f t="shared" si="14"/>
        <v>1.0676935273030072E-7</v>
      </c>
      <c r="AB82" s="126">
        <f t="shared" si="15"/>
        <v>1.5735311416848741E-7</v>
      </c>
      <c r="AC82" s="126">
        <f t="shared" si="18"/>
        <v>3.8377717130002233E-8</v>
      </c>
      <c r="AD82" s="126">
        <f t="shared" si="19"/>
        <v>4.1198332923643467E-8</v>
      </c>
      <c r="AE82" s="128"/>
    </row>
    <row r="83" spans="1:31" x14ac:dyDescent="0.35">
      <c r="A83" t="s">
        <v>351</v>
      </c>
      <c r="B83" s="13">
        <f xml:space="preserve"> (B69*B70*B72*B75*B76*B80+B69*B70*B74*B75*B76*B80+B69*B71*B72*B73*B75*B79+B69*B71*B72*B75*B76*B79+B69*B71*B73*B74*B75*B79+B69*B71*B74*B75*B76*B79+B69*B72*B73*B75*B76*B79+B69*B73*B74*B75*B76*B79+B70*B71*B73*B74*B75*B78+B70*B71*B74*B75*B76*B78+B70*B72*B74*B75*B76*B80+B70*B73*B74*B75*B76*B78+B71*B72*B73*B74*B75*B79+B71*B72*B74*B75*B76*B79+B72*B73*B74*B75*B76*B79)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0.99999912325077045</v>
      </c>
      <c r="C83" s="13">
        <f xml:space="preserve"> (C69*C70*C72*C75*C76*C80+C69*C70*C74*C75*C76*C80+C69*C71*C72*C73*C75*C79+C69*C71*C72*C75*C76*C79+C69*C71*C73*C74*C75*C79+C69*C71*C74*C75*C76*C79+C69*C72*C73*C75*C76*C79+C69*C73*C74*C75*C76*C79+C70*C71*C73*C74*C75*C78+C70*C71*C74*C75*C76*C78+C70*C72*C74*C75*C76*C80+C70*C73*C74*C75*C76*C78+C71*C72*C73*C74*C75*C79+C71*C72*C74*C75*C76*C79+C72*C73*C74*C75*C76*C79)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0.17053979573887276</v>
      </c>
      <c r="D83" s="13">
        <f xml:space="preserve"> (D69*D70*D72*D75*D76*D80+D69*D70*D74*D75*D76*D80+D69*D71*D72*D73*D75*D79+D69*D71*D72*D75*D76*D79+D69*D71*D73*D74*D75*D79+D69*D71*D74*D75*D76*D79+D69*D72*D73*D75*D76*D79+D69*D73*D74*D75*D76*D79+D70*D71*D73*D74*D75*D78+D70*D71*D74*D75*D76*D78+D70*D72*D74*D75*D76*D80+D70*D73*D74*D75*D76*D78+D71*D72*D73*D74*D75*D79+D71*D72*D74*D75*D76*D79+D72*D73*D74*D75*D76*D79)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8.6956515280160324E-2</v>
      </c>
      <c r="E83" s="13">
        <f xml:space="preserve"> (E69*E70*E72*E75*E76*E80+E69*E70*E74*E75*E76*E80+E69*E71*E72*E73*E75*E79+E69*E71*E72*E75*E76*E79+E69*E71*E73*E74*E75*E79+E69*E71*E74*E75*E76*E79+E69*E72*E73*E75*E76*E79+E69*E73*E74*E75*E76*E79+E70*E71*E73*E74*E75*E78+E70*E71*E74*E75*E76*E78+E70*E72*E74*E75*E76*E80+E70*E73*E74*E75*E76*E78+E71*E72*E73*E74*E75*E79+E71*E72*E74*E75*E76*E79+E72*E73*E74*E75*E76*E79) / (E69*E70*E71*E72*E73+E69*E70*E71*E72*E75+E69*E70*E71*E72*E76+E69*E70*E71*E73*E74+E69*E70*E71*E73*E75+E69*E70*E71*E74*E75+E69*E70*E71*E74*E76+E69*E70*E71*E75*E76+E69*E70*E72*E73*E76+E69*E70*E72*E75*E76+E69*E70*E73*E74*E76+E69*E70*E73*E75*E76+E69*E70*E74*E75*E76+E69*E71*E72*E73*E75+E69*E71*E72*E75*E76+E69*E71*E73*E74*E75+E69*E71*E74*E75*E76+E69*E72*E73*E75*E76+E69*E73*E74*E75*E76+E70*E71*E72*E73*E74+E70*E71*E72*E74*E75+E70*E71*E72*E74*E76+E70*E71*E73*E74*E75+E70*E71*E74*E75*E76+E70*E72*E73*E74*E76+E70*E72*E74*E75*E76+E70*E73*E74*E75*E76+E71*E72*E73*E74*E75+E71*E72*E74*E75*E76+E72*E73*E74*E75*E76)</f>
        <v>1</v>
      </c>
      <c r="F83" s="13"/>
      <c r="K83">
        <v>100</v>
      </c>
      <c r="L83">
        <v>11</v>
      </c>
      <c r="M83">
        <f t="shared" ref="M83:M130" si="21">IF(AND(Q82=1,Q83=0),Q83+M82+1, Q83+M82)</f>
        <v>11</v>
      </c>
      <c r="N83">
        <f t="shared" si="0"/>
        <v>1100</v>
      </c>
      <c r="O83">
        <f t="shared" si="1"/>
        <v>1045</v>
      </c>
      <c r="P83">
        <f t="shared" si="2"/>
        <v>1155</v>
      </c>
      <c r="Q83">
        <f t="shared" si="10"/>
        <v>1</v>
      </c>
      <c r="R83" s="126">
        <f t="shared" si="16"/>
        <v>1.1744628796613945E-7</v>
      </c>
      <c r="S83" s="126">
        <f t="shared" si="17"/>
        <v>1.7277280062791452E-7</v>
      </c>
      <c r="AA83" s="126">
        <f t="shared" si="14"/>
        <v>1.1744628796613945E-7</v>
      </c>
      <c r="AB83" s="126">
        <f t="shared" si="15"/>
        <v>1.7277280062791452E-7</v>
      </c>
      <c r="AC83" s="126">
        <f t="shared" si="18"/>
        <v>3.7302486690006057E-8</v>
      </c>
      <c r="AD83" s="126">
        <f t="shared" si="19"/>
        <v>3.9948037010357522E-8</v>
      </c>
      <c r="AE83" s="128"/>
    </row>
    <row r="84" spans="1:31" x14ac:dyDescent="0.35">
      <c r="A84" t="s">
        <v>352</v>
      </c>
      <c r="B84" s="12">
        <f xml:space="preserve"> (B69*B70*B72*B73*B76*B80+B69*B70*B72*B75*B76*B80+B69*B70*B73*B74*B76*B80+B69*B70*B73*B75*B76*B80+B69*B70*B74*B75*B76*B80+B69*B71*B72*B75*B76*B79+B69*B71*B74*B75*B76*B79+B69*B72*B73*B75*B76*B80+B69*B73*B74*B75*B76*B80+B70*B71*B74*B75*B76*B78+B70*B72*B73*B74*B76*B80+B70*B72*B74*B75*B76*B80+B70*B73*B74*B75*B76*B80+B71*B72*B74*B75*B76*B79+B72*B73*B74*B75*B76*B80) / (B69*B70*B71*B72*B73+B69*B70*B71*B72*B75+B69*B70*B71*B72*B76+B69*B70*B71*B73*B74+B69*B70*B71*B73*B75+B69*B70*B71*B74*B75+B69*B70*B71*B74*B76+B69*B70*B71*B75*B76+B69*B70*B72*B73*B76+B69*B70*B72*B75*B76+B69*B70*B73*B74*B76+B69*B70*B73*B75*B76+B69*B70*B74*B75*B76+B69*B71*B72*B73*B75+B69*B71*B72*B75*B76+B69*B71*B73*B74*B75+B69*B71*B74*B75*B76+B69*B72*B73*B75*B76+B69*B73*B74*B75*B76+B70*B71*B72*B73*B74+B70*B71*B72*B74*B75+B70*B71*B72*B74*B76+B70*B71*B73*B74*B75+B70*B71*B74*B75*B76+B70*B72*B73*B74*B76+B70*B72*B74*B75*B76+B70*B73*B74*B75*B76+B71*B72*B73*B74*B75+B71*B72*B74*B75*B76+B72*B73*B74*B75*B76)</f>
        <v>0.99999912322689011</v>
      </c>
      <c r="C84" s="12">
        <f xml:space="preserve"> (C69*C70*C72*C73*C76*C80+C69*C70*C72*C75*C76*C80+C69*C70*C73*C74*C76*C80+C69*C70*C73*C75*C76*C80+C69*C70*C74*C75*C76*C80+C69*C71*C72*C75*C76*C79+C69*C71*C74*C75*C76*C79+C69*C72*C73*C75*C76*C80+C69*C73*C74*C75*C76*C80+C70*C71*C74*C75*C76*C78+C70*C72*C73*C74*C76*C80+C70*C72*C74*C75*C76*C80+C70*C73*C74*C75*C76*C80+C71*C72*C74*C75*C76*C79+C72*C73*C74*C75*C76*C80) / (C69*C70*C71*C72*C73+C69*C70*C71*C72*C75+C69*C70*C71*C72*C76+C69*C70*C71*C73*C74+C69*C70*C71*C73*C75+C69*C70*C71*C74*C75+C69*C70*C71*C74*C76+C69*C70*C71*C75*C76+C69*C70*C72*C73*C76+C69*C70*C72*C75*C76+C69*C70*C73*C74*C76+C69*C70*C73*C75*C76+C69*C70*C74*C75*C76+C69*C71*C72*C73*C75+C69*C71*C72*C75*C76+C69*C71*C73*C74*C75+C69*C71*C74*C75*C76+C69*C72*C73*C75*C76+C69*C73*C74*C75*C76+C70*C71*C72*C73*C74+C70*C71*C72*C74*C75+C70*C71*C72*C74*C76+C70*C71*C73*C74*C75+C70*C71*C74*C75*C76+C70*C72*C73*C74*C76+C70*C72*C74*C75*C76+C70*C73*C74*C75*C76+C71*C72*C73*C74*C75+C71*C72*C74*C75*C76+C72*C73*C74*C75*C76)</f>
        <v>0.17053979573887276</v>
      </c>
      <c r="D84" s="12">
        <f xml:space="preserve"> (D69*D70*D72*D73*D76*D80+D69*D70*D72*D75*D76*D80+D69*D70*D73*D74*D76*D80+D69*D70*D73*D75*D76*D80+D69*D70*D74*D75*D76*D80+D69*D71*D72*D75*D76*D79+D69*D71*D74*D75*D76*D79+D69*D72*D73*D75*D76*D80+D69*D73*D74*D75*D76*D80+D70*D71*D74*D75*D76*D78+D70*D72*D73*D74*D76*D80+D70*D72*D74*D75*D76*D80+D70*D73*D74*D75*D76*D80+D71*D72*D74*D75*D76*D79+D72*D73*D74*D75*D76*D80) / (D69*D70*D71*D72*D73+D69*D70*D71*D72*D75+D69*D70*D71*D72*D76+D69*D70*D71*D73*D74+D69*D70*D71*D73*D75+D69*D70*D71*D74*D75+D69*D70*D71*D74*D76+D69*D70*D71*D75*D76+D69*D70*D72*D73*D76+D69*D70*D72*D75*D76+D69*D70*D73*D74*D76+D69*D70*D73*D75*D76+D69*D70*D74*D75*D76+D69*D71*D72*D73*D75+D69*D71*D72*D75*D76+D69*D71*D73*D74*D75+D69*D71*D74*D75*D76+D69*D72*D73*D75*D76+D69*D73*D74*D75*D76+D70*D71*D72*D73*D74+D70*D71*D72*D74*D75+D70*D71*D72*D74*D76+D70*D71*D73*D74*D75+D70*D71*D74*D75*D76+D70*D72*D73*D74*D76+D70*D72*D74*D75*D76+D70*D73*D74*D75*D76+D71*D72*D73*D74*D75+D71*D72*D74*D75*D76+D72*D73*D74*D75*D76)</f>
        <v>8.6956515295923312E-2</v>
      </c>
      <c r="E84" s="12">
        <f>IF(Summary!X37="absolute",(R3-N7)/(J2+J2*Summary!X17),R3-N7)</f>
        <v>0.27999999999999997</v>
      </c>
      <c r="F84" s="12">
        <f xml:space="preserve"> (F69*F70*F72*F73*F76*F80+F69*F70*F72*F75*F76*F80+F69*F70*F73*F74*F76*F80+F69*F70*F73*F75*F76*F80+F69*F70*F74*F75*F76*F80+F69*F71*F72*F75*F76*F79+F69*F71*F74*F75*F76*F79+F69*F72*F73*F75*F76*F80+F69*F73*F74*F75*F76*F80+F70*F71*F74*F75*F76*F78+F70*F72*F73*F74*F76*F80+F70*F72*F74*F75*F76*F80+F70*F73*F74*F75*F76*F80+F71*F72*F74*F75*F76*F79+F72*F73*F74*F75*F76*F80) / (F69*F70*F71*F72*F73+F69*F70*F71*F72*F75+F69*F70*F71*F72*F76+F69*F70*F71*F73*F74+F69*F70*F71*F73*F75+F69*F70*F71*F74*F75+F69*F70*F71*F74*F76+F69*F70*F71*F75*F76+F69*F70*F72*F73*F76+F69*F70*F72*F75*F76+F69*F70*F73*F74*F76+F69*F70*F73*F75*F76+F69*F70*F74*F75*F76+F69*F71*F72*F73*F75+F69*F71*F72*F75*F76+F69*F71*F73*F74*F75+F69*F71*F74*F75*F76+F69*F72*F73*F75*F76+F69*F73*F74*F75*F76+F70*F71*F72*F73*F74+F70*F71*F72*F74*F75+F70*F71*F72*F74*F76+F70*F71*F73*F74*F75+F70*F71*F74*F75*F76+F70*F72*F73*F74*F76+F70*F72*F74*F75*F76+F70*F73*F74*F75*F76+F71*F72*F73*F74*F75+F71*F72*F74*F75*F76+F72*F73*F74*F75*F76)</f>
        <v>0.17053979583731135</v>
      </c>
      <c r="G84" s="12">
        <f t="shared" ref="G84" si="22" xml:space="preserve"> (G69*G70*G72*G73*G76*G80+G69*G70*G72*G75*G76*G80+G69*G70*G73*G74*G76*G80+G69*G70*G73*G75*G76*G80+G69*G70*G74*G75*G76*G80+G69*G71*G72*G75*G76*G79+G69*G71*G74*G75*G76*G79+G69*G72*G73*G75*G76*G80+G69*G73*G74*G75*G76*G80+G70*G71*G74*G75*G76*G78+G70*G72*G73*G74*G76*G80+G70*G72*G74*G75*G76*G80+G70*G73*G74*G75*G76*G80+G71*G72*G74*G75*G76*G79+G72*G73*G74*G75*G76*G80) / (G69*G70*G71*G72*G73+G69*G70*G71*G72*G75+G69*G70*G71*G72*G76+G69*G70*G71*G73*G74+G69*G70*G71*G73*G75+G69*G70*G71*G74*G75+G69*G70*G71*G74*G76+G69*G70*G71*G75*G76+G69*G70*G72*G73*G76+G69*G70*G72*G75*G76+G69*G70*G73*G74*G76+G69*G70*G73*G75*G76+G69*G70*G74*G75*G76+G69*G71*G72*G73*G75+G69*G71*G72*G75*G76+G69*G71*G73*G74*G75+G69*G71*G74*G75*G76+G69*G72*G73*G75*G76+G69*G73*G74*G75*G76+G70*G71*G72*G73*G74+G70*G71*G72*G74*G75+G70*G71*G72*G74*G76+G70*G71*G73*G74*G75+G70*G71*G74*G75*G76+G70*G72*G73*G74*G76+G70*G72*G74*G75*G76+G70*G73*G74*G75*G76+G71*G72*G73*G74*G75+G71*G72*G74*G75*G76+G72*G73*G74*G75*G76)</f>
        <v>0.16489134059306956</v>
      </c>
      <c r="H84" s="12">
        <f xml:space="preserve"> (H69*H70*H72*H73*H76*H80+H69*H70*H72*H75*H76*H80+H69*H70*H73*H74*H76*H80+H69*H70*H73*H75*H76*H80+H69*H70*H74*H75*H76*H80+H69*H71*H72*H75*H76*H79+H69*H71*H74*H75*H76*H79+H69*H72*H73*H75*H76*H80+H69*H73*H74*H75*H76*H80+H70*H71*H74*H75*H76*H78+H70*H72*H73*H74*H76*H80+H70*H72*H74*H75*H76*H80+H70*H73*H74*H75*H76*H80+H71*H72*H74*H75*H76*H79+H72*H73*H74*H75*H76*H80) / (H69*H70*H71*H72*H73+H69*H70*H71*H72*H75+H69*H70*H71*H72*H76+H69*H70*H71*H73*H74+H69*H70*H71*H73*H75+H69*H70*H71*H74*H75+H69*H70*H71*H74*H76+H69*H70*H71*H75*H76+H69*H70*H72*H73*H76+H69*H70*H72*H75*H76+H69*H70*H73*H74*H76+H69*H70*H73*H75*H76+H69*H70*H74*H75*H76+H69*H71*H72*H73*H75+H69*H71*H72*H75*H76+H69*H71*H73*H74*H75+H69*H71*H74*H75*H76+H69*H72*H73*H75*H76+H69*H73*H74*H75*H76+H70*H71*H72*H73*H74+H70*H71*H72*H74*H75+H70*H71*H72*H74*H76+H70*H71*H73*H74*H75+H70*H71*H74*H75*H76+H70*H72*H73*H74*H76+H70*H72*H74*H75*H76+H70*H73*H74*H75*H76+H71*H72*H73*H74*H75+H71*H72*H74*H75*H76+H72*H73*H74*H75*H76)</f>
        <v>8.6956515291662095E-2</v>
      </c>
      <c r="K84">
        <v>100</v>
      </c>
      <c r="L84">
        <v>12</v>
      </c>
      <c r="M84">
        <f t="shared" si="21"/>
        <v>12</v>
      </c>
      <c r="N84">
        <f t="shared" si="0"/>
        <v>1200</v>
      </c>
      <c r="O84">
        <f t="shared" si="1"/>
        <v>1140</v>
      </c>
      <c r="P84">
        <f t="shared" si="2"/>
        <v>1260</v>
      </c>
      <c r="Q84">
        <f t="shared" si="10"/>
        <v>1</v>
      </c>
      <c r="R84" s="126">
        <f t="shared" si="16"/>
        <v>1.2812322319521616E-7</v>
      </c>
      <c r="S84" s="126">
        <f t="shared" si="17"/>
        <v>1.8819248707851031E-7</v>
      </c>
      <c r="AA84" s="126">
        <f t="shared" si="14"/>
        <v>1.2812322319521616E-7</v>
      </c>
      <c r="AB84" s="126">
        <f t="shared" si="15"/>
        <v>1.8819248707851031E-7</v>
      </c>
      <c r="AC84" s="126">
        <f t="shared" si="18"/>
        <v>3.6466585660208735E-8</v>
      </c>
      <c r="AD84" s="126">
        <f t="shared" si="19"/>
        <v>3.8981006930466399E-8</v>
      </c>
      <c r="AE84" s="128"/>
    </row>
    <row r="85" spans="1:31" x14ac:dyDescent="0.35">
      <c r="E85" s="73"/>
      <c r="K85">
        <v>100</v>
      </c>
      <c r="L85">
        <v>13</v>
      </c>
      <c r="M85">
        <f t="shared" si="21"/>
        <v>13</v>
      </c>
      <c r="N85">
        <f t="shared" si="0"/>
        <v>1300</v>
      </c>
      <c r="O85">
        <f t="shared" si="1"/>
        <v>1235</v>
      </c>
      <c r="P85">
        <f t="shared" si="2"/>
        <v>1365</v>
      </c>
      <c r="Q85">
        <f t="shared" si="10"/>
        <v>1</v>
      </c>
      <c r="R85" s="126">
        <f t="shared" si="16"/>
        <v>1.388001584175308E-7</v>
      </c>
      <c r="S85" s="126">
        <f t="shared" si="17"/>
        <v>2.0361217352027488E-7</v>
      </c>
      <c r="AA85" s="126">
        <f t="shared" si="14"/>
        <v>1.388001584175308E-7</v>
      </c>
      <c r="AB85" s="126">
        <f t="shared" si="15"/>
        <v>2.0361217352027488E-7</v>
      </c>
      <c r="AC85" s="126">
        <f t="shared" si="18"/>
        <v>3.5798361148295061E-8</v>
      </c>
      <c r="AD85" s="126">
        <f t="shared" si="19"/>
        <v>3.8211026025907818E-8</v>
      </c>
      <c r="AE85" s="128"/>
    </row>
    <row r="86" spans="1:31" x14ac:dyDescent="0.35">
      <c r="K86">
        <v>100</v>
      </c>
      <c r="L86">
        <v>15</v>
      </c>
      <c r="M86">
        <f t="shared" si="21"/>
        <v>14</v>
      </c>
      <c r="N86">
        <f t="shared" si="0"/>
        <v>1500</v>
      </c>
      <c r="O86">
        <f t="shared" si="1"/>
        <v>1425</v>
      </c>
      <c r="P86">
        <f t="shared" si="2"/>
        <v>1575</v>
      </c>
      <c r="Q86">
        <f t="shared" si="10"/>
        <v>1</v>
      </c>
      <c r="R86" s="126">
        <f t="shared" si="16"/>
        <v>1.601540288418739E-7</v>
      </c>
      <c r="S86" s="126">
        <f t="shared" si="17"/>
        <v>2.3445154637731012E-7</v>
      </c>
      <c r="AA86" s="126">
        <f t="shared" si="14"/>
        <v>1.601540288418739E-7</v>
      </c>
      <c r="AB86" s="126">
        <f t="shared" si="15"/>
        <v>2.3445154637731012E-7</v>
      </c>
      <c r="AC86" s="126">
        <f t="shared" si="18"/>
        <v>3.4797479168908112E-8</v>
      </c>
      <c r="AD86" s="126">
        <f t="shared" si="19"/>
        <v>3.7062771382269856E-8</v>
      </c>
      <c r="AE86" s="128"/>
    </row>
    <row r="87" spans="1:31" x14ac:dyDescent="0.35">
      <c r="B87" s="171" t="s">
        <v>362</v>
      </c>
      <c r="C87" s="171"/>
      <c r="K87">
        <v>100</v>
      </c>
      <c r="L87">
        <v>16</v>
      </c>
      <c r="M87">
        <f t="shared" si="21"/>
        <v>15</v>
      </c>
      <c r="N87">
        <f t="shared" si="0"/>
        <v>1600</v>
      </c>
      <c r="O87">
        <f t="shared" si="1"/>
        <v>1520</v>
      </c>
      <c r="P87">
        <f t="shared" si="2"/>
        <v>1680</v>
      </c>
      <c r="Q87">
        <f t="shared" si="10"/>
        <v>1</v>
      </c>
      <c r="R87" s="126">
        <f t="shared" si="16"/>
        <v>1.7083096404390233E-7</v>
      </c>
      <c r="S87" s="126">
        <f t="shared" si="17"/>
        <v>2.4987123279258082E-7</v>
      </c>
      <c r="AA87" s="126">
        <f t="shared" si="14"/>
        <v>1.7083096404390233E-7</v>
      </c>
      <c r="AB87" s="126">
        <f t="shared" si="15"/>
        <v>2.4987123279258082E-7</v>
      </c>
      <c r="AC87" s="126">
        <f t="shared" si="18"/>
        <v>3.4413211840334713E-8</v>
      </c>
      <c r="AD87" s="126">
        <f t="shared" si="19"/>
        <v>3.6623521679853724E-8</v>
      </c>
      <c r="AE87" s="128"/>
    </row>
    <row r="88" spans="1:31" ht="29" x14ac:dyDescent="0.35">
      <c r="B88" t="s">
        <v>355</v>
      </c>
      <c r="C88" t="s">
        <v>363</v>
      </c>
      <c r="D88" t="s">
        <v>364</v>
      </c>
      <c r="E88" s="32" t="str">
        <f>IF(Summary!X37="absolute","find min R2, so that max (Vx) = " &amp; TRUNC(R2/J3,3),"find min R2, so that max (Vx) = " &amp; R2)</f>
        <v>find min R2, so that max (Vx) = 0.3</v>
      </c>
      <c r="F88" s="32" t="s">
        <v>365</v>
      </c>
      <c r="G88" s="32" t="s">
        <v>366</v>
      </c>
      <c r="H88" s="32" t="s">
        <v>367</v>
      </c>
      <c r="K88">
        <v>100</v>
      </c>
      <c r="L88">
        <v>18</v>
      </c>
      <c r="M88">
        <f t="shared" si="21"/>
        <v>16</v>
      </c>
      <c r="N88">
        <f t="shared" si="0"/>
        <v>1800</v>
      </c>
      <c r="O88">
        <f t="shared" si="1"/>
        <v>1710</v>
      </c>
      <c r="P88">
        <f t="shared" si="2"/>
        <v>1890</v>
      </c>
      <c r="Q88">
        <f t="shared" si="10"/>
        <v>1</v>
      </c>
      <c r="R88" s="126">
        <f t="shared" si="16"/>
        <v>1.9218483442767305E-7</v>
      </c>
      <c r="S88" s="126">
        <f t="shared" si="17"/>
        <v>2.8071060559662841E-7</v>
      </c>
      <c r="AA88" s="126">
        <f t="shared" si="14"/>
        <v>1.9218483442767305E-7</v>
      </c>
      <c r="AB88" s="126">
        <f t="shared" si="15"/>
        <v>2.8071060559662841E-7</v>
      </c>
      <c r="AC88" s="126">
        <f t="shared" si="18"/>
        <v>3.3799502242660326E-8</v>
      </c>
      <c r="AD88" s="126">
        <f t="shared" si="19"/>
        <v>3.5923840717038013E-8</v>
      </c>
      <c r="AE88" s="128"/>
    </row>
    <row r="89" spans="1:31" x14ac:dyDescent="0.35">
      <c r="A89" t="s">
        <v>318</v>
      </c>
      <c r="B89" s="11">
        <f>C2*(1+E2)</f>
        <v>1100000000000</v>
      </c>
      <c r="C89" s="11">
        <f>C2*(1-D2)</f>
        <v>900000000000</v>
      </c>
      <c r="D89" s="11">
        <f>C2*(1+E2)</f>
        <v>1100000000000</v>
      </c>
      <c r="E89" s="11">
        <f>C2*(1-D2)</f>
        <v>900000000000</v>
      </c>
      <c r="F89" s="11">
        <f>C2*(1-D2)</f>
        <v>900000000000</v>
      </c>
      <c r="G89" s="11">
        <f>C2*(1-D2)</f>
        <v>900000000000</v>
      </c>
      <c r="H89" s="11">
        <f>C2*(1+E2)</f>
        <v>1100000000000</v>
      </c>
      <c r="K89">
        <v>100</v>
      </c>
      <c r="L89">
        <v>20</v>
      </c>
      <c r="M89">
        <f t="shared" si="21"/>
        <v>17</v>
      </c>
      <c r="N89">
        <f t="shared" si="0"/>
        <v>2000</v>
      </c>
      <c r="O89">
        <f t="shared" si="1"/>
        <v>1900</v>
      </c>
      <c r="P89">
        <f t="shared" si="2"/>
        <v>2100</v>
      </c>
      <c r="Q89">
        <f t="shared" si="10"/>
        <v>0</v>
      </c>
      <c r="R89" s="126">
        <f t="shared" si="16"/>
        <v>2.1353870478439558E-7</v>
      </c>
      <c r="S89" s="126">
        <f t="shared" si="17"/>
        <v>3.1154997836535102E-7</v>
      </c>
      <c r="AA89" s="126">
        <f t="shared" si="14"/>
        <v>2.1353870478439558E-7</v>
      </c>
      <c r="AB89" s="126">
        <f t="shared" si="15"/>
        <v>3.1154997836535102E-7</v>
      </c>
      <c r="AC89" s="126">
        <f t="shared" si="18"/>
        <v>3.3331370920814574E-8</v>
      </c>
      <c r="AD89" s="126">
        <f t="shared" si="19"/>
        <v>3.539166079756809E-8</v>
      </c>
      <c r="AE89" s="128"/>
    </row>
    <row r="90" spans="1:31" x14ac:dyDescent="0.35">
      <c r="A90" t="s">
        <v>320</v>
      </c>
      <c r="B90" s="11">
        <f>F11*(1+H11)</f>
        <v>787.5</v>
      </c>
      <c r="C90" s="11">
        <f>F11*(1-H11)</f>
        <v>712.5</v>
      </c>
      <c r="D90" s="11">
        <f>F11*(1+H11)</f>
        <v>787.5</v>
      </c>
      <c r="E90" s="11"/>
      <c r="F90" s="11">
        <f>F11*(1-H11)</f>
        <v>712.5</v>
      </c>
      <c r="G90">
        <f>F11*(1-H11)</f>
        <v>712.5</v>
      </c>
      <c r="H90">
        <f>F11*(1+H11)</f>
        <v>787.5</v>
      </c>
      <c r="K90">
        <v>100</v>
      </c>
      <c r="L90">
        <v>22</v>
      </c>
      <c r="M90">
        <f t="shared" si="21"/>
        <v>17</v>
      </c>
      <c r="N90">
        <f t="shared" si="0"/>
        <v>2200</v>
      </c>
      <c r="O90">
        <f t="shared" si="1"/>
        <v>2090</v>
      </c>
      <c r="P90">
        <f t="shared" si="2"/>
        <v>2310</v>
      </c>
      <c r="Q90">
        <f t="shared" si="10"/>
        <v>0</v>
      </c>
      <c r="R90" s="126">
        <f t="shared" si="16"/>
        <v>2.3489257511406977E-7</v>
      </c>
      <c r="S90" s="126">
        <f t="shared" si="17"/>
        <v>3.4238935109874844E-7</v>
      </c>
      <c r="AA90" s="126">
        <f t="shared" si="14"/>
        <v>2.3489257511406977E-7</v>
      </c>
      <c r="AB90" s="126">
        <f t="shared" si="15"/>
        <v>3.4238935109874844E-7</v>
      </c>
      <c r="AC90" s="126">
        <f t="shared" si="18"/>
        <v>3.2962690185107433E-8</v>
      </c>
      <c r="AD90" s="126">
        <f t="shared" si="19"/>
        <v>3.4973478018447311E-8</v>
      </c>
      <c r="AE90" s="128"/>
    </row>
    <row r="91" spans="1:31" x14ac:dyDescent="0.35">
      <c r="A91" t="s">
        <v>322</v>
      </c>
      <c r="B91" s="11">
        <f>1/(1/(C3*(1+E3))+1/(K3*(1+M3)))</f>
        <v>550000000000</v>
      </c>
      <c r="C91" s="11">
        <f>C3*(1-D3)</f>
        <v>900000000000</v>
      </c>
      <c r="D91" s="11">
        <f>1/(1/(C3*(1+E3))+1/(K3*(1+M3)))</f>
        <v>550000000000</v>
      </c>
      <c r="E91" s="11">
        <f>C3*(1-D3)</f>
        <v>900000000000</v>
      </c>
      <c r="F91" s="11">
        <f>1/(1/(C3*(1-D3))+1/(K3*(1-L3)))</f>
        <v>450000000000</v>
      </c>
      <c r="G91" s="11">
        <f>1/(1/(C3*(1-D3))+1/(K3*(1-L3)))</f>
        <v>450000000000</v>
      </c>
      <c r="H91" s="11">
        <f>1/(1/(C3*(1+E3))+1/(K3*(1+M3)))</f>
        <v>550000000000</v>
      </c>
      <c r="K91">
        <v>100</v>
      </c>
      <c r="L91">
        <v>24</v>
      </c>
      <c r="M91">
        <f t="shared" si="21"/>
        <v>17</v>
      </c>
      <c r="N91">
        <f t="shared" si="0"/>
        <v>2400</v>
      </c>
      <c r="O91">
        <f t="shared" si="1"/>
        <v>2280</v>
      </c>
      <c r="P91">
        <f t="shared" si="2"/>
        <v>2520</v>
      </c>
      <c r="Q91">
        <f t="shared" si="10"/>
        <v>0</v>
      </c>
      <c r="R91" s="126">
        <f t="shared" si="16"/>
        <v>2.562464454166958E-7</v>
      </c>
      <c r="S91" s="126">
        <f t="shared" si="17"/>
        <v>3.7322872379682072E-7</v>
      </c>
      <c r="AA91" s="126">
        <f t="shared" si="14"/>
        <v>2.562464454166958E-7</v>
      </c>
      <c r="AB91" s="126">
        <f t="shared" si="15"/>
        <v>3.7322872379682072E-7</v>
      </c>
      <c r="AC91" s="126">
        <f t="shared" si="18"/>
        <v>3.2664917933954189E-8</v>
      </c>
      <c r="AD91" s="126">
        <f t="shared" si="19"/>
        <v>3.4636335276600612E-8</v>
      </c>
      <c r="AE91" s="128"/>
    </row>
    <row r="92" spans="1:31" x14ac:dyDescent="0.35">
      <c r="A92" t="s">
        <v>324</v>
      </c>
      <c r="B92" s="1">
        <f>K21-B93</f>
        <v>21.49240538481077</v>
      </c>
      <c r="C92" s="1">
        <f>K21-C93</f>
        <v>0</v>
      </c>
      <c r="D92" s="1">
        <f>K21-D93</f>
        <v>21.49240538481077</v>
      </c>
      <c r="E92" s="1">
        <f>K21-E93</f>
        <v>0</v>
      </c>
      <c r="F92" s="1">
        <f>K21-F93</f>
        <v>0</v>
      </c>
      <c r="G92" s="1">
        <f>K22-G93</f>
        <v>0</v>
      </c>
      <c r="H92" s="1">
        <f>K22-H93</f>
        <v>15.682405384810767</v>
      </c>
      <c r="K92">
        <v>100</v>
      </c>
      <c r="L92">
        <v>27</v>
      </c>
      <c r="M92">
        <f t="shared" si="21"/>
        <v>17</v>
      </c>
      <c r="N92">
        <f t="shared" si="0"/>
        <v>2700</v>
      </c>
      <c r="O92">
        <f t="shared" si="1"/>
        <v>2565</v>
      </c>
      <c r="P92">
        <f t="shared" si="2"/>
        <v>2835</v>
      </c>
      <c r="Q92">
        <f t="shared" si="10"/>
        <v>0</v>
      </c>
      <c r="R92" s="126">
        <f t="shared" si="16"/>
        <v>2.8827725081991944E-7</v>
      </c>
      <c r="S92" s="126">
        <f t="shared" si="17"/>
        <v>4.1948778277769463E-7</v>
      </c>
      <c r="AA92" s="126">
        <f t="shared" si="14"/>
        <v>2.8827725081991944E-7</v>
      </c>
      <c r="AB92" s="126">
        <f t="shared" si="15"/>
        <v>4.1948778277769463E-7</v>
      </c>
      <c r="AC92" s="126">
        <f t="shared" si="18"/>
        <v>3.2312231620917366E-8</v>
      </c>
      <c r="AD92" s="126">
        <f t="shared" si="19"/>
        <v>3.4237732535144179E-8</v>
      </c>
      <c r="AE92" s="128"/>
    </row>
    <row r="93" spans="1:31" x14ac:dyDescent="0.35">
      <c r="A93" t="s">
        <v>327</v>
      </c>
      <c r="B93" s="1">
        <f>K21*(1-MAX(K25,K24))</f>
        <v>0</v>
      </c>
      <c r="C93" s="1">
        <f>K21*(1-MIN(K25,K24))</f>
        <v>21.49240538481077</v>
      </c>
      <c r="D93" s="1">
        <f>K21*(1-MAX(K25,K24))</f>
        <v>0</v>
      </c>
      <c r="E93" s="1">
        <f>K21*(1-MIN(K25,K24))</f>
        <v>21.49240538481077</v>
      </c>
      <c r="F93" s="125">
        <f>K21*(1-MIN(K25,K24))</f>
        <v>21.49240538481077</v>
      </c>
      <c r="G93" s="125">
        <f>K22*(1-MIN(K25,K24))</f>
        <v>15.682405384810767</v>
      </c>
      <c r="H93" s="1">
        <f>K22*(1-MAX(K25,K24))</f>
        <v>0</v>
      </c>
      <c r="K93">
        <v>100</v>
      </c>
      <c r="L93">
        <v>30</v>
      </c>
      <c r="M93">
        <f t="shared" si="21"/>
        <v>17</v>
      </c>
      <c r="N93">
        <f t="shared" si="0"/>
        <v>3000</v>
      </c>
      <c r="O93">
        <f t="shared" si="1"/>
        <v>2850</v>
      </c>
      <c r="P93">
        <f t="shared" si="2"/>
        <v>3150</v>
      </c>
      <c r="Q93">
        <f t="shared" si="10"/>
        <v>0</v>
      </c>
      <c r="R93" s="126">
        <f t="shared" si="16"/>
        <v>3.2030805616228445E-7</v>
      </c>
      <c r="S93" s="126">
        <f t="shared" si="17"/>
        <v>4.6574684167908704E-7</v>
      </c>
      <c r="AA93" s="126">
        <f t="shared" si="14"/>
        <v>3.2030805616228445E-7</v>
      </c>
      <c r="AB93" s="126">
        <f t="shared" si="15"/>
        <v>4.6574684167908704E-7</v>
      </c>
      <c r="AC93" s="126">
        <f t="shared" si="18"/>
        <v>3.2038703633364705E-8</v>
      </c>
      <c r="AD93" s="126">
        <f t="shared" si="19"/>
        <v>3.3929134573185086E-8</v>
      </c>
      <c r="AE93" s="128"/>
    </row>
    <row r="94" spans="1:31" x14ac:dyDescent="0.35">
      <c r="A94" t="s">
        <v>329</v>
      </c>
      <c r="B94" s="11">
        <f>F2*(1-G2)</f>
        <v>900000000000</v>
      </c>
      <c r="C94" s="11">
        <f>F2*(1+H2)</f>
        <v>1100000000000</v>
      </c>
      <c r="D94" s="11">
        <f>F2*(1-G2)</f>
        <v>900000000000</v>
      </c>
      <c r="E94" s="11">
        <f>F2*(1+H2)</f>
        <v>1100000000000</v>
      </c>
      <c r="F94" s="11">
        <f>F2*(1+H2)</f>
        <v>1100000000000</v>
      </c>
      <c r="G94" s="11">
        <f>F2*(1+H2)</f>
        <v>1100000000000</v>
      </c>
      <c r="H94" s="11">
        <f>F2*(1-G2)</f>
        <v>900000000000</v>
      </c>
      <c r="K94">
        <v>100</v>
      </c>
      <c r="L94">
        <v>33</v>
      </c>
      <c r="M94">
        <f t="shared" si="21"/>
        <v>17</v>
      </c>
      <c r="N94">
        <f t="shared" si="0"/>
        <v>3300</v>
      </c>
      <c r="O94">
        <f t="shared" si="1"/>
        <v>3135</v>
      </c>
      <c r="P94">
        <f t="shared" si="2"/>
        <v>3465</v>
      </c>
      <c r="Q94">
        <f t="shared" si="10"/>
        <v>0</v>
      </c>
      <c r="R94" s="126">
        <f t="shared" si="16"/>
        <v>3.5233886144379104E-7</v>
      </c>
      <c r="S94" s="126">
        <f t="shared" si="17"/>
        <v>5.1200590050099801E-7</v>
      </c>
      <c r="AA94" s="126">
        <f t="shared" si="14"/>
        <v>3.5233886144379104E-7</v>
      </c>
      <c r="AB94" s="126">
        <f t="shared" si="15"/>
        <v>5.1200590050099801E-7</v>
      </c>
      <c r="AC94" s="126">
        <f t="shared" si="18"/>
        <v>3.1820434904978599E-8</v>
      </c>
      <c r="AD94" s="126">
        <f t="shared" si="19"/>
        <v>3.3683224720293402E-8</v>
      </c>
      <c r="AE94" s="128"/>
    </row>
    <row r="95" spans="1:31" x14ac:dyDescent="0.35">
      <c r="A95" t="s">
        <v>332</v>
      </c>
      <c r="B95" s="11">
        <f>F12*(1-H12)</f>
        <v>900000000</v>
      </c>
      <c r="C95" s="11">
        <f>F12*(1+H12)</f>
        <v>1100000000</v>
      </c>
      <c r="D95" s="11">
        <f>F12*(1-H12)</f>
        <v>900000000</v>
      </c>
      <c r="E95" s="11">
        <f>F12*(1+H12)</f>
        <v>1100000000</v>
      </c>
      <c r="F95" s="11">
        <f>F12*(1+H12)</f>
        <v>1100000000</v>
      </c>
      <c r="G95">
        <f>F12*(1+H12)</f>
        <v>1100000000</v>
      </c>
      <c r="H95">
        <f>F12*(1-H12)</f>
        <v>900000000</v>
      </c>
      <c r="K95">
        <v>100</v>
      </c>
      <c r="L95">
        <v>36</v>
      </c>
      <c r="M95">
        <f t="shared" si="21"/>
        <v>17</v>
      </c>
      <c r="N95">
        <f t="shared" si="0"/>
        <v>3600</v>
      </c>
      <c r="O95">
        <f t="shared" si="1"/>
        <v>3420</v>
      </c>
      <c r="P95">
        <f t="shared" si="2"/>
        <v>3780</v>
      </c>
      <c r="Q95">
        <f t="shared" si="10"/>
        <v>0</v>
      </c>
      <c r="R95" s="126">
        <f t="shared" si="16"/>
        <v>3.8436966666443901E-7</v>
      </c>
      <c r="S95" s="126">
        <f t="shared" si="17"/>
        <v>5.5826495924342749E-7</v>
      </c>
      <c r="AA95" s="126">
        <f t="shared" si="14"/>
        <v>3.8436966666443901E-7</v>
      </c>
      <c r="AB95" s="126">
        <f t="shared" si="15"/>
        <v>5.5826495924342749E-7</v>
      </c>
      <c r="AC95" s="126">
        <f t="shared" si="18"/>
        <v>3.1642251867174038E-8</v>
      </c>
      <c r="AD95" s="126">
        <f t="shared" si="19"/>
        <v>3.3482706253124125E-8</v>
      </c>
      <c r="AE95" s="128"/>
    </row>
    <row r="96" spans="1:31" x14ac:dyDescent="0.35">
      <c r="A96" t="s">
        <v>333</v>
      </c>
      <c r="B96" s="11">
        <f>F3*(1-G3)</f>
        <v>900000000000</v>
      </c>
      <c r="C96" s="11">
        <f>1/(1/(F3*(1+H3))+1/(N3*(1+P3)))</f>
        <v>132.99999998391911</v>
      </c>
      <c r="D96" s="11">
        <f>1/(1/(F3*(1-G3))+1/(N3*(1-O3)))</f>
        <v>66.499999995086398</v>
      </c>
      <c r="E96" s="11">
        <f>1/(1/(F3*(1+H3))+1/(N3*(1+P3)))</f>
        <v>132.99999998391911</v>
      </c>
      <c r="F96" s="11">
        <f>1/(1/(F3*(1+H3))+1/(N3*(1+P3)))</f>
        <v>132.99999998391911</v>
      </c>
      <c r="G96">
        <f>1/(1/(F3*(1+H3))+1/(N3*(1+P3)))</f>
        <v>132.99999998391911</v>
      </c>
      <c r="H96">
        <f>1/(1/(F3*(1-G3))+1/(N3*(1-O3)))</f>
        <v>66.499999995086398</v>
      </c>
      <c r="K96">
        <v>100</v>
      </c>
      <c r="L96">
        <v>39</v>
      </c>
      <c r="M96">
        <f t="shared" si="21"/>
        <v>17</v>
      </c>
      <c r="N96">
        <f t="shared" si="0"/>
        <v>3900</v>
      </c>
      <c r="O96">
        <f t="shared" si="1"/>
        <v>3705</v>
      </c>
      <c r="P96">
        <f t="shared" si="2"/>
        <v>4095</v>
      </c>
      <c r="Q96">
        <f t="shared" si="10"/>
        <v>0</v>
      </c>
      <c r="R96" s="126">
        <f t="shared" si="16"/>
        <v>4.164004718242285E-7</v>
      </c>
      <c r="S96" s="126">
        <f t="shared" si="17"/>
        <v>6.0452401790637552E-7</v>
      </c>
      <c r="AA96" s="126">
        <f t="shared" si="14"/>
        <v>4.164004718242285E-7</v>
      </c>
      <c r="AB96" s="126">
        <f t="shared" si="15"/>
        <v>6.0452401790637552E-7</v>
      </c>
      <c r="AC96" s="126">
        <f t="shared" si="18"/>
        <v>3.1494061984893363E-8</v>
      </c>
      <c r="AD96" s="126">
        <f t="shared" si="19"/>
        <v>3.3316099525961013E-8</v>
      </c>
      <c r="AE96" s="128"/>
    </row>
    <row r="97" spans="1:31" x14ac:dyDescent="0.35">
      <c r="K97">
        <v>100</v>
      </c>
      <c r="L97">
        <v>43</v>
      </c>
      <c r="M97">
        <f t="shared" si="21"/>
        <v>17</v>
      </c>
      <c r="N97">
        <f t="shared" si="0"/>
        <v>4300</v>
      </c>
      <c r="O97">
        <f t="shared" si="1"/>
        <v>4085</v>
      </c>
      <c r="P97">
        <f t="shared" si="2"/>
        <v>4515</v>
      </c>
      <c r="Q97">
        <f t="shared" si="10"/>
        <v>0</v>
      </c>
      <c r="R97" s="126">
        <f t="shared" si="16"/>
        <v>4.5910821194261226E-7</v>
      </c>
      <c r="S97" s="126">
        <f t="shared" si="17"/>
        <v>6.6620276266666833E-7</v>
      </c>
      <c r="AA97" s="126">
        <f t="shared" si="14"/>
        <v>4.5910821194261226E-7</v>
      </c>
      <c r="AB97" s="126">
        <f t="shared" si="15"/>
        <v>6.6620276266666833E-7</v>
      </c>
      <c r="AC97" s="126">
        <f t="shared" si="18"/>
        <v>3.1331384632613638E-8</v>
      </c>
      <c r="AD97" s="126">
        <f t="shared" si="19"/>
        <v>3.3133372985798658E-8</v>
      </c>
      <c r="AE97" s="128"/>
    </row>
    <row r="98" spans="1:31" x14ac:dyDescent="0.35">
      <c r="A98" t="s">
        <v>344</v>
      </c>
      <c r="B98">
        <v>1</v>
      </c>
      <c r="C98">
        <v>1</v>
      </c>
      <c r="D98">
        <v>1</v>
      </c>
      <c r="E98">
        <v>1</v>
      </c>
      <c r="F98">
        <v>1</v>
      </c>
      <c r="G98">
        <v>1</v>
      </c>
      <c r="H98">
        <v>1</v>
      </c>
      <c r="K98">
        <v>100</v>
      </c>
      <c r="L98">
        <v>47</v>
      </c>
      <c r="M98">
        <f t="shared" si="21"/>
        <v>17</v>
      </c>
      <c r="N98">
        <f t="shared" ref="N98:N129" si="23">L98*K98</f>
        <v>4700</v>
      </c>
      <c r="O98">
        <f t="shared" ref="O98:O129" si="24">N98*(1-$M$32)</f>
        <v>4465</v>
      </c>
      <c r="P98">
        <f t="shared" ref="P98:P129" si="25">N98*(1+$M$32)</f>
        <v>4935</v>
      </c>
      <c r="Q98">
        <f t="shared" si="10"/>
        <v>0</v>
      </c>
      <c r="R98" s="126">
        <f t="shared" ref="R98:R129" si="26">_xlfn.LET(
_xlpm.PU, O98,
_xlpm.VCC, IF($AG$3="absolute",$S$11,1),
_xlpm.Vspec_abs, $U$3-$N$7,
_xlpm.Rbus, (1/(1/((1/(1/($G$69+$G$72)+1/_xlpm.PU))+$G$73)+1/($G$71))),
_xlpm.Vz, ($G$69*_xlpm.PU*$G$72*$G$73*$G$76*$G$80+$G$69*_xlpm.PU*$G$72*$G$75*$G$76*$G$80+$G$69*_xlpm.PU*$G$73*$G$74*$G$76*$G$80+$G$69*_xlpm.PU*$G$73*$G$75*$G$76*$G$80+$G$69*_xlpm.PU*$G$74*$G$75*$G$76*$G$80+$G$69*$G$71*$G$72*$G$75*$G$76*$G$79+$G$69*$G$71*$G$74*$G$75*$G$76*$G$79+$G$69*$G$72*$G$73*$G$75*$G$76*$G$80+$G$69*$G$73*$G$74*$G$75*$G$76*$G$80+_xlpm.PU*$G$71*$G$74*$G$75*$G$76*$G$78+_xlpm.PU*$G$72*$G$73*$G$74*$G$76*$G$80+_xlpm.PU*$G$72*$G$74*$G$75*$G$76*$G$80+_xlpm.PU*$G$73*$G$74*$G$75*$G$76*$G$80+$G$71*$G$72*$G$74*$G$75*$G$76*$G$79+$G$72*$G$73*$G$74*$G$75*$G$76*$G$80) / ($G$69*_xlpm.PU*$G$71*$G$72*$G$73+$G$69*_xlpm.PU*$G$71*$G$72*$G$75+$G$69*_xlpm.PU*$G$71*$G$72*$G$76+$G$69*_xlpm.PU*$G$71*$G$73*$G$74+$G$69*_xlpm.PU*$G$71*$G$73*$G$75+$G$69*_xlpm.PU*$G$71*$G$74*$G$75+$G$69*_xlpm.PU*$G$71*$G$74*$G$76+$G$69*_xlpm.PU*$G$71*$G$75*$G$76+$G$69*_xlpm.PU*$G$72*$G$73*$G$76+$G$69*_xlpm.PU*$G$72*$G$75*$G$76+$G$69*_xlpm.PU*$G$73*$G$74*$G$76+$G$69*_xlpm.PU*$G$73*$G$75*$G$76+$G$69*_xlpm.PU*$G$74*$G$75*$G$76+$G$69*$G$71*$G$72*$G$73*$G$75+$G$69*$G$71*$G$72*$G$75*$G$76+$G$69*$G$71*$G$73*$G$74*$G$75+$G$69*$G$71*$G$74*$G$75*$G$76+$G$69*$G$72*$G$73*$G$75*$G$76+$G$69*$G$73*$G$74*$G$75*$G$76+_xlpm.PU*$G$71*$G$72*$G$73*$G$74+_xlpm.PU*$G$71*$G$72*$G$74*$G$75+_xlpm.PU*$G$71*$G$72*$G$74*$G$76+_xlpm.PU*$G$71*$G$73*$G$74*$G$75+_xlpm.PU*$G$71*$G$74*$G$75*$G$76+_xlpm.PU*$G$72*$G$73*$G$74*$G$76+_xlpm.PU*$G$72*$G$74*$G$75*$G$76+_xlpm.PU*$G$73*$G$74*$G$75*$G$76+$G$71*$G$72*$G$73*$G$74*$G$75+$G$71*$G$72*$G$74*$G$75*$G$76+$G$72*$G$73*$G$74*$G$75*$G$76),
(LN(1-$T$3/_xlpm.VCC)-LN(1-_xlpm.Vspec_abs/_xlpm.VCC))*$K$19*_xlpm.Rbus
)</f>
        <v>5.0181595195280307E-7</v>
      </c>
      <c r="S98" s="126">
        <f t="shared" ref="S98:S129" si="27">_xlfn.LET(
_xlpm.PU,P98,
_xlpm.VCC, IF($AG$3="absolute",$S$12,1),
_xlpm.Vspec_abs, $U$3+$N$7,
_xlpm.Rbus, (1/(1/((1/(1/($D$69+$D$72)+1/_xlpm.PU))+$D$73)+1/($D$71))),
_xlpm.Vz, ($D$69*_xlpm.PU*$D$72*$D$73*$D$76*$D$80+$D$69*_xlpm.PU*$D$72*$D$75*$D$76*$D$80+$D$69*_xlpm.PU*$D$73*$D$74*$D$76*$D$80+$D$69*_xlpm.PU*$D$73*$D$75*$D$76*$D$80+$D$69*_xlpm.PU*$D$74*$D$75*$D$76*$D$80+$D$69*$D$71*$D$72*$D$75*$D$76*$D$79+$D$69*$D$71*$D$74*$D$75*$D$76*$D$79+$D$69*$D$72*$D$73*$D$75*$D$76*$D$80+$D$69*$D$73*$D$74*$D$75*$D$76*$D$80+_xlpm.PU*$D$71*$D$74*$D$75*$D$76*$D$78+_xlpm.PU*$D$72*$D$73*$D$74*$D$76*$D$80+_xlpm.PU*$D$72*$D$74*$D$75*$D$76*$D$80+_xlpm.PU*$D$73*$D$74*$D$75*$D$76*$D$80+$D$71*$D$72*$D$74*$D$75*$D$76*$D$79+$D$72*$D$73*$D$74*$D$75*$D$76*$D$80) / ($D$69*_xlpm.PU*$D$71*$D$72*$D$73+$D$69*_xlpm.PU*$D$71*$D$72*$D$75+$D$69*_xlpm.PU*$D$71*$D$72*$D$76+$D$69*_xlpm.PU*$D$71*$D$73*$D$74+$D$69*_xlpm.PU*$D$71*$D$73*$D$75+$D$69*_xlpm.PU*$D$71*$D$74*$D$75+$D$69*_xlpm.PU*$D$71*$D$74*$D$76+$D$69*_xlpm.PU*$D$71*$D$75*$D$76+$D$69*_xlpm.PU*$D$72*$D$73*$D$76+$D$69*_xlpm.PU*$D$72*$D$75*$D$76+$D$69*_xlpm.PU*$D$73*$D$74*$D$76+$D$69*_xlpm.PU*$D$73*$D$75*$D$76+$D$69*_xlpm.PU*$D$74*$D$75*$D$76+$D$69*$D$71*$D$72*$D$73*$D$75+$D$69*$D$71*$D$72*$D$75*$D$76+$D$69*$D$71*$D$73*$D$74*$D$75+$D$69*$D$71*$D$74*$D$75*$D$76+$D$69*$D$72*$D$73*$D$75*$D$76+$D$69*$D$73*$D$74*$D$75*$D$76+_xlpm.PU*$D$71*$D$72*$D$73*$D$74+_xlpm.PU*$D$71*$D$72*$D$74*$D$75+_xlpm.PU*$D$71*$D$72*$D$74*$D$76+_xlpm.PU*$D$71*$D$73*$D$74*$D$75+_xlpm.PU*$D$71*$D$74*$D$75*$D$76+_xlpm.PU*$D$72*$D$73*$D$74*$D$76+_xlpm.PU*$D$72*$D$74*$D$75*$D$76+_xlpm.PU*$D$73*$D$74*$D$75*$D$76+$D$71*$D$72*$D$73*$D$74*$D$75+$D$71*$D$72*$D$74*$D$75*$D$76+$D$72*$D$73*$D$74*$D$75*$D$76),
(LN(1-$T$3/_xlpm.VCC)-LN(1-_xlpm.Vspec_abs/_xlpm.VCC))*$K$18*_xlpm.Rbus
)</f>
        <v>7.278815072856609E-7</v>
      </c>
      <c r="AA98" s="126">
        <f t="shared" si="14"/>
        <v>5.0181595195280307E-7</v>
      </c>
      <c r="AB98" s="126">
        <f t="shared" si="15"/>
        <v>7.278815072856609E-7</v>
      </c>
      <c r="AC98" s="126">
        <f t="shared" ref="AC98:AC129" si="28">_xlfn.LET(
_xlpm.PU, O98,
_xlpm.VCC, IF($AG$3="absolute",$S$11,1),
_xlpm.Vspec_abs, $T$3-$N$7,
_xlpm.Rbus, (1/(1/((1/(1/($F$74+$F$72)+1/$F$75))+$F$73)+1/($F$76))),
_xlpm.VL_rel, ($F$69*_xlpm.PU*$F$72*$F$73*$F$76*$F$80+$F$69*_xlpm.PU*$F$72*$F$75*$F$76*$F$80+$F$69*_xlpm.PU*$F$73*$F$74*$F$76*$F$80+$F$69*_xlpm.PU*$F$73*$F$75*$F$76*$F$80+$F$69*_xlpm.PU*$F$74*$F$75*$F$76*$F$80+$F$69*$F$71*$F$72*$F$75*$F$76*$F$79+$F$69*$F$71*$F$74*$F$75*$F$76*$F$79+$F$69*$F$72*$F$73*$F$75*$F$76*$F$80+$F$69*$F$73*$F$74*$F$75*$F$76*$F$80+_xlpm.PU*$F$71*$F$74*$F$75*$F$76*$F$78+_xlpm.PU*$F$72*$F$73*$F$74*$F$76*$F$80+_xlpm.PU*$F$72*$F$74*$F$75*$F$76*$F$80+_xlpm.PU*$F$73*$F$74*$F$75*$F$76*$F$80+$F$71*$F$72*$F$74*$F$75*$F$76*$F$79+$F$72*$F$73*$F$74*$F$75*$F$76*$F$80) / ($F$69*_xlpm.PU*$F$71*$F$72*$F$73+$F$69*_xlpm.PU*$F$71*$F$72*$F$75+$F$69*_xlpm.PU*$F$71*$F$72*$F$76+$F$69*_xlpm.PU*$F$71*$F$73*$F$74+$F$69*_xlpm.PU*$F$71*$F$73*$F$75+$F$69*_xlpm.PU*$F$71*$F$74*$F$75+$F$69*_xlpm.PU*$F$71*$F$74*$F$76+$F$69*_xlpm.PU*$F$71*$F$75*$F$76+$F$69*_xlpm.PU*$F$72*$F$73*$F$76+$F$69*_xlpm.PU*$F$72*$F$75*$F$76+$F$69*_xlpm.PU*$F$73*$F$74*$F$76+$F$69*_xlpm.PU*$F$73*$F$75*$F$76+$F$69*_xlpm.PU*$F$74*$F$75*$F$76+$F$69*$F$71*$F$72*$F$73*$F$75+$F$69*$F$71*$F$72*$F$75*$F$76+$F$69*$F$71*$F$73*$F$74*$F$75+$F$69*$F$71*$F$74*$F$75*$F$76+$F$69*$F$72*$F$73*$F$75*$F$76+$F$69*$F$73*$F$74*$F$75*$F$76+_xlpm.PU*$F$71*$F$72*$F$73*$F$74+_xlpm.PU*$F$71*$F$72*$F$74*$F$75+_xlpm.PU*$F$71*$F$72*$F$74*$F$76+_xlpm.PU*$F$71*$F$73*$F$74*$F$75+_xlpm.PU*$F$71*$F$74*$F$75*$F$76+_xlpm.PU*$F$72*$F$73*$F$74*$F$76+_xlpm.PU*$F$72*$F$74*$F$75*$F$76+_xlpm.PU*$F$73*$F$74*$F$75*$F$76+$F$71*$F$72*$F$73*$F$74*$F$75+$F$71*$F$72*$F$74*$F$75*$F$76+$F$72*$F$73*$F$74*$F$75*$F$76),
_xlpm.Vspec_rel, (_xlpm.Vspec_abs/_xlpm.VCC-_xlpm.VL_rel)/(1-_xlpm.VL_rel),
_xlpm.Tf_max, (LN($D$19-_xlpm.VL_rel)-LN(_xlpm.Vspec_rel))*$K$18*_xlpm.Rbus,
IF(_xlpm.Vspec_rel&lt;=0,"Vlow exceeds VIL spec",_xlpm.Tf_max)
)</f>
        <v>3.1198558796579964E-8</v>
      </c>
      <c r="AD98" s="126">
        <f t="shared" ref="AD98:AD129" si="29">_xlfn.LET(
_xlpm.PU, O98,
_xlpm.VCC, IF($AG$2="absolute",$S$13,1),
_xlpm.Vspec_abs, $T$2-$N$7,
_xlpm.Rbus, (1/(1/((1/(1/($F$96+$F$93)+1/$F$95))+$F$92)+1/($F$94))),
_xlpm.VL_rel, ($F$89*_xlpm.PU*$F$94*$F$95*$F$96*$F$100+$F$89*$F$91*$F$93*$F$94*$F$95*$F$99+$F$89*$F$91*$F$94*$F$95*$F$96*$F$99+$F$89*$F$93*$F$94*$F$95*$F$96*$F$99+_xlpm.PU*$F$91*$F$92*$F$93*$F$94*$F$98+_xlpm.PU*$F$91*$F$92*$F$94*$F$95*$F$98+_xlpm.PU*$F$91*$F$92*$F$94*$F$96*$F$98+_xlpm.PU*$F$91*$F$93*$F$94*$F$95*$F$98+_xlpm.PU*$F$91*$F$94*$F$95*$F$96*$F$98+_xlpm.PU*$F$92*$F$93*$F$94*$F$96*$F$98+_xlpm.PU*$F$92*$F$94*$F$95*$F$96*$F$98+_xlpm.PU*$F$93*$F$94*$F$95*$F$96*$F$98+$F$91*$F$92*$F$93*$F$94*$F$95*$F$98+$F$91*$F$92*$F$94*$F$95*$F$96*$F$98+$F$92*$F$93*$F$94*$F$95*$F$96*$F$98) / ($F$89*_xlpm.PU*$F$91*$F$92*$F$93+$F$89*_xlpm.PU*$F$91*$F$92*$F$95+$F$89*_xlpm.PU*$F$91*$F$92*$F$96+$F$89*_xlpm.PU*$F$91*$F$93*$F$94+$F$89*_xlpm.PU*$F$91*$F$93*$F$95+$F$89*_xlpm.PU*$F$91*$F$94*$F$95+$F$89*_xlpm.PU*$F$91*$F$94*$F$96+$F$89*_xlpm.PU*$F$91*$F$95*$F$96+$F$89*_xlpm.PU*$F$92*$F$93*$F$96+$F$89*_xlpm.PU*$F$92*$F$95*$F$96+$F$89*_xlpm.PU*$F$93*$F$94*$F$96+$F$89*_xlpm.PU*$F$93*$F$95*$F$96+$F$89*_xlpm.PU*$F$94*$F$95*$F$96+$F$89*$F$91*$F$92*$F$93*$F$95+$F$89*$F$91*$F$92*$F$95*$F$96+$F$89*$F$91*$F$93*$F$94*$F$95+$F$89*$F$91*$F$94*$F$95*$F$96+$F$89*$F$92*$F$93*$F$95*$F$96+$F$89*$F$93*$F$94*$F$95*$F$96+_xlpm.PU*$F$91*$F$92*$F$93*$F$94+_xlpm.PU*$F$91*$F$92*$F$94*$F$95+_xlpm.PU*$F$91*$F$92*$F$94*$F$96+_xlpm.PU*$F$91*$F$93*$F$94*$F$95+_xlpm.PU*$F$91*$F$94*$F$95*$F$96+_xlpm.PU*$F$92*$F$93*$F$94*$F$96+_xlpm.PU*$F$92*$F$94*$F$95*$F$96+_xlpm.PU*$F$93*$F$94*$F$95*$F$96+$F$91*$F$92*$F$93*$F$94*$F$95+$F$91*$F$92*$F$94*$F$95*$F$96+$F$92*$F$93*$F$94*$F$95*$F$96),
_xlpm.Vspec_rel, (_xlpm.Vspec_abs/_xlpm.VCC-_xlpm.VL_rel)/(1-_xlpm.VL_rel),
_xlpm.Tf_max, (LN($D$18-_xlpm.VL_rel)-LN(_xlpm.Vspec_rel))*$K$18*_xlpm.Rbus,
IF(_xlpm.Vspec_rel&lt;=0,"Vlow exceeds VIL spec",_xlpm.Tf_max)
)</f>
        <v>3.2984309043743867E-8</v>
      </c>
      <c r="AE98" s="128"/>
    </row>
    <row r="99" spans="1:31" x14ac:dyDescent="0.35">
      <c r="A99" t="s">
        <v>345</v>
      </c>
      <c r="B99">
        <v>1</v>
      </c>
      <c r="C99">
        <v>1</v>
      </c>
      <c r="D99">
        <v>1</v>
      </c>
      <c r="E99">
        <v>1</v>
      </c>
      <c r="F99">
        <v>1</v>
      </c>
      <c r="G99">
        <v>1</v>
      </c>
      <c r="H99">
        <v>1</v>
      </c>
      <c r="K99">
        <v>100</v>
      </c>
      <c r="L99">
        <v>51</v>
      </c>
      <c r="M99">
        <f t="shared" si="21"/>
        <v>17</v>
      </c>
      <c r="N99">
        <f t="shared" si="23"/>
        <v>5100</v>
      </c>
      <c r="O99">
        <f t="shared" si="24"/>
        <v>4845</v>
      </c>
      <c r="P99">
        <f t="shared" si="25"/>
        <v>5355</v>
      </c>
      <c r="Q99">
        <f t="shared" ref="Q99:Q129" si="30">IF($Q$2="N/A",IF(AND((O99&gt;=MAX($H$7:$I$7)),(P99&lt;=MIN($F$7:$G$7)),(P99&lt;=MIN($B$7:$C$7)),(O99&gt;=MAX($D$7:$E$7))),1,0),IF(AND((O99&gt;=MAX($I$7)),(P99&lt;=MIN($G$7)),(P99&lt;=MIN($C$7)),(O99&gt;=MAX($E$7))),1,0))</f>
        <v>0</v>
      </c>
      <c r="R99" s="126">
        <f t="shared" si="26"/>
        <v>5.445236918548012E-7</v>
      </c>
      <c r="S99" s="126">
        <f t="shared" si="27"/>
        <v>7.8956025176335292E-7</v>
      </c>
      <c r="AA99" s="126">
        <f t="shared" ref="AA99:AA129" si="31">_xlfn.LET(
_xlpm.PU,O99,
_xlpm.VCC, IF($AG$2="absolute",$S$13,1),
_xlpm.Vspec_abs, $U$2-$N$7,
_xlpm.Rbus, (1/(1/((1/(1/($G$91+$G$93)+1/_xlpm.PU))+$G$92)+1/($G$89))),
_xlpm.Vz, ($G$89*_xlpm.PU*$G$94*$G$95*$G$96*$G$100+$G$89*$G$91*$G$93*$G$94*$G$95*$G$99+$G$89*$G$91*$G$94*$G$95*$G$96*$G$99+$G$89*$G$93*$G$94*$G$95*$G$96*$G$99+_xlpm.PU*$G$91*$G$92*$G$93*$G$94*$G$98+_xlpm.PU*$G$91*$G$92*$G$94*$G$95*$G$98+_xlpm.PU*$G$91*$G$92*$G$94*$G$96*$G$98+_xlpm.PU*$G$91*$G$93*$G$94*$G$95*$G$98+_xlpm.PU*$G$91*$G$94*$G$95*$G$96*$G$98+_xlpm.PU*$G$92*$G$93*$G$94*$G$96*$G$98+_xlpm.PU*$G$92*$G$94*$G$95*$G$96*$G$98+_xlpm.PU*$G$93*$G$94*$G$95*$G$96*$G$98+$G$91*$G$92*$G$93*$G$94*$G$95*$G$98+$G$91*$G$92*$G$94*$G$95*$G$96*$G$98+$G$92*$G$93*$G$94*$G$95*$G$96*$G$98) / ($G$89*_xlpm.PU*$G$91*$G$92*$G$93+$G$89*_xlpm.PU*$G$91*$G$92*$G$95+$G$89*_xlpm.PU*$G$91*$G$92*$G$96+$G$89*_xlpm.PU*$G$91*$G$93*$G$94+$G$89*_xlpm.PU*$G$91*$G$93*$G$95+$G$89*_xlpm.PU*$G$91*$G$94*$G$95+$G$89*_xlpm.PU*$G$91*$G$94*$G$96+$G$89*_xlpm.PU*$G$91*$G$95*$G$96+$G$89*_xlpm.PU*$G$92*$G$93*$G$96+$G$89*_xlpm.PU*$G$92*$G$95*$G$96+$G$89*_xlpm.PU*$G$93*$G$94*$G$96+$G$89*_xlpm.PU*$G$93*$G$95*$G$96+$G$89*_xlpm.PU*$G$94*$G$95*$G$96+$G$89*$G$91*$G$92*$G$93*$G$95+$G$89*$G$91*$G$92*$G$95*$G$96+$G$89*$G$91*$G$93*$G$94*$G$95+$G$89*$G$91*$G$94*$G$95*$G$96+$G$89*$G$92*$G$93*$G$95*$G$96+$G$89*$G$93*$G$94*$G$95*$G$96+_xlpm.PU*$G$91*$G$92*$G$93*$G$94+_xlpm.PU*$G$91*$G$92*$G$94*$G$95+_xlpm.PU*$G$91*$G$92*$G$94*$G$96+_xlpm.PU*$G$91*$G$93*$G$94*$G$95+_xlpm.PU*$G$91*$G$94*$G$95*$G$96+_xlpm.PU*$G$92*$G$93*$G$94*$G$96+_xlpm.PU*$G$92*$G$94*$G$95*$G$96+_xlpm.PU*$G$93*$G$94*$G$95*$G$96+$G$91*$G$92*$G$93*$G$94*$G$95+$G$91*$G$92*$G$94*$G$95*$G$96+$G$92*$G$93*$G$94*$G$95*$G$96),
(LN(1-$T$2/_xlpm.VCC)-LN(1-_xlpm.Vspec_abs/_xlpm.VCC))*$K$19*_xlpm.Rbus
)</f>
        <v>5.445236918548012E-7</v>
      </c>
      <c r="AB99" s="126">
        <f t="shared" ref="AB99:AB129" si="32">_xlfn.LET(
_xlpm.PU,P99,
_xlpm.VCC, IF($AG$2="absolute",$S$14,1),
_xlpm.Vspec_abs, $U$2+$N$7,
_xlpm.Rbus, (1/(1/((1/(1/($D$91+$D$93)+1/_xlpm.PU))+$D$92)+1/($D$89))),
_xlpm.Vz, ($D$89*_xlpm.PU*$D$94*$D$95*$D$96*$D$100+$D$89*$D$91*$D$93*$D$94*$D$95*$D$99+$D$89*$D$91*$D$94*$D$95*$D$96*$D$99+$D$89*$D$93*$D$94*$D$95*$D$96*$D$99+_xlpm.PU*$D$91*$D$92*$D$93*$D$94*$D$98+_xlpm.PU*$D$91*$D$92*$D$94*$D$95*$D$98+_xlpm.PU*$D$91*$D$92*$D$94*$D$96*$D$98+_xlpm.PU*$D$91*$D$93*$D$94*$D$95*$D$98+_xlpm.PU*$D$91*$D$94*$D$95*$D$96*$D$98+_xlpm.PU*$D$92*$D$93*$D$94*$D$96*$D$98+_xlpm.PU*$D$92*$D$94*$D$95*$D$96*$D$98+_xlpm.PU*$D$93*$D$94*$D$95*$D$96*$D$98+$D$91*$D$92*$D$93*$D$94*$D$95*$D$98+$D$91*$D$92*$D$94*$D$95*$D$96*$D$98+$D$92*$D$93*$D$94*$D$95*$D$96*$D$98) / ($D$89*_xlpm.PU*$D$91*$D$92*$D$93+$D$89*_xlpm.PU*$D$91*$D$92*$D$95+$D$89*_xlpm.PU*$D$91*$D$92*$D$96+$D$89*_xlpm.PU*$D$91*$D$93*$D$94+$D$89*_xlpm.PU*$D$91*$D$93*$D$95+$D$89*_xlpm.PU*$D$91*$D$94*$D$95+$D$89*_xlpm.PU*$D$91*$D$94*$D$96+$D$89*_xlpm.PU*$D$91*$D$95*$D$96+$D$89*_xlpm.PU*$D$92*$D$93*$D$96+$D$89*_xlpm.PU*$D$92*$D$95*$D$96+$D$89*_xlpm.PU*$D$93*$D$94*$D$96+$D$89*_xlpm.PU*$D$93*$D$95*$D$96+$D$89*_xlpm.PU*$D$94*$D$95*$D$96+$D$89*$D$91*$D$92*$D$93*$D$95+$D$89*$D$91*$D$92*$D$95*$D$96+$D$89*$D$91*$D$93*$D$94*$D$95+$D$89*$D$91*$D$94*$D$95*$D$96+$D$89*$D$92*$D$93*$D$95*$D$96+$D$89*$D$93*$D$94*$D$95*$D$96+_xlpm.PU*$D$91*$D$92*$D$93*$D$94+_xlpm.PU*$D$91*$D$92*$D$94*$D$95+_xlpm.PU*$D$91*$D$92*$D$94*$D$96+_xlpm.PU*$D$91*$D$93*$D$94*$D$95+_xlpm.PU*$D$91*$D$94*$D$95*$D$96+_xlpm.PU*$D$92*$D$93*$D$94*$D$96+_xlpm.PU*$D$92*$D$94*$D$95*$D$96+_xlpm.PU*$D$93*$D$94*$D$95*$D$96+$D$91*$D$92*$D$93*$D$94*$D$95+$D$91*$D$92*$D$94*$D$95*$D$96+$D$92*$D$93*$D$94*$D$95*$D$96),
(LN(1-$T$2/_xlpm.VCC)-LN(1-_xlpm.Vspec_abs/_xlpm.VCC))*$K$18*_xlpm.Rbus
)</f>
        <v>7.8956025176335292E-7</v>
      </c>
      <c r="AC99" s="126">
        <f t="shared" si="28"/>
        <v>3.1088069083767819E-8</v>
      </c>
      <c r="AD99" s="126">
        <f t="shared" si="29"/>
        <v>3.286040330743357E-8</v>
      </c>
      <c r="AE99" s="128"/>
    </row>
    <row r="100" spans="1:31" x14ac:dyDescent="0.35">
      <c r="A100" t="s">
        <v>346</v>
      </c>
      <c r="B100">
        <v>1</v>
      </c>
      <c r="C100">
        <v>1</v>
      </c>
      <c r="D100">
        <v>1</v>
      </c>
      <c r="E100">
        <v>1</v>
      </c>
      <c r="F100">
        <v>1</v>
      </c>
      <c r="G100">
        <v>1</v>
      </c>
      <c r="H100">
        <v>1</v>
      </c>
      <c r="K100">
        <v>100</v>
      </c>
      <c r="L100">
        <v>56</v>
      </c>
      <c r="M100">
        <f t="shared" si="21"/>
        <v>17</v>
      </c>
      <c r="N100">
        <f t="shared" si="23"/>
        <v>5600</v>
      </c>
      <c r="O100">
        <f t="shared" si="24"/>
        <v>5320</v>
      </c>
      <c r="P100">
        <f t="shared" si="25"/>
        <v>5880</v>
      </c>
      <c r="Q100">
        <f t="shared" si="30"/>
        <v>0</v>
      </c>
      <c r="R100" s="126">
        <f t="shared" si="26"/>
        <v>5.9790836658015212E-7</v>
      </c>
      <c r="S100" s="126">
        <f t="shared" si="27"/>
        <v>8.6665868216176428E-7</v>
      </c>
      <c r="AA100" s="126">
        <f t="shared" si="31"/>
        <v>5.9790836658015212E-7</v>
      </c>
      <c r="AB100" s="126">
        <f t="shared" si="32"/>
        <v>8.6665868216176428E-7</v>
      </c>
      <c r="AC100" s="126">
        <f t="shared" si="28"/>
        <v>3.0973609813302237E-8</v>
      </c>
      <c r="AD100" s="126">
        <f t="shared" si="29"/>
        <v>3.2732134559162508E-8</v>
      </c>
      <c r="AE100" s="128"/>
    </row>
    <row r="101" spans="1:31" x14ac:dyDescent="0.35">
      <c r="K101">
        <v>100</v>
      </c>
      <c r="L101">
        <v>62</v>
      </c>
      <c r="M101">
        <f t="shared" si="21"/>
        <v>17</v>
      </c>
      <c r="N101">
        <f t="shared" si="23"/>
        <v>6200</v>
      </c>
      <c r="O101">
        <f t="shared" si="24"/>
        <v>5890</v>
      </c>
      <c r="P101">
        <f t="shared" si="25"/>
        <v>6510</v>
      </c>
      <c r="Q101">
        <f t="shared" si="30"/>
        <v>0</v>
      </c>
      <c r="R101" s="126">
        <f t="shared" si="26"/>
        <v>6.6196997602742545E-7</v>
      </c>
      <c r="S101" s="126">
        <f t="shared" si="27"/>
        <v>9.5917679834842591E-7</v>
      </c>
      <c r="AA101" s="126">
        <f t="shared" si="31"/>
        <v>6.6196997602742545E-7</v>
      </c>
      <c r="AB101" s="126">
        <f t="shared" si="32"/>
        <v>9.5917679834842591E-7</v>
      </c>
      <c r="AC101" s="126">
        <f t="shared" si="28"/>
        <v>3.0862071660097264E-8</v>
      </c>
      <c r="AD101" s="126">
        <f t="shared" si="29"/>
        <v>3.2607226972418462E-8</v>
      </c>
      <c r="AE101" s="128"/>
    </row>
    <row r="102" spans="1:31" x14ac:dyDescent="0.35">
      <c r="A102" t="s">
        <v>350</v>
      </c>
      <c r="B102" s="12">
        <f xml:space="preserve"> (B89*B90*B94*B95*B96*B100+B89*B91*B93*B94*B95*B99+B89*B91*B94*B95*B96*B99+B89*B93*B94*B95*B96*B99+B90*B91*B92*B93*B94*B98+B90*B91*B92*B94*B95*B98+B90*B91*B92*B94*B96*B98+B90*B91*B93*B94*B95*B98+B90*B91*B94*B95*B96*B98+B90*B92*B93*B94*B96*B98+B90*B92*B94*B95*B96*B98+B90*B93*B94*B95*B96*B98+B91*B92*B93*B94*B95*B98+B91*B92*B94*B95*B96*B98+B92*B93*B94*B95*B96*B98)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0.99999912322689011</v>
      </c>
      <c r="C102" s="12">
        <f xml:space="preserve"> (C89*C90*C94*C95*C96*C100+C89*C91*C93*C94*C95*C99+C89*C91*C94*C95*C96*C99+C89*C93*C94*C95*C96*C99+C90*C91*C92*C93*C94*C98+C90*C91*C92*C94*C95*C98+C90*C91*C92*C94*C96*C98+C90*C91*C93*C94*C95*C98+C90*C91*C94*C95*C96*C98+C90*C92*C93*C94*C96*C98+C90*C92*C94*C95*C96*C98+C90*C93*C94*C95*C96*C98+C91*C92*C93*C94*C95*C98+C91*C92*C94*C95*C96*C98+C92*C93*C94*C95*C96*C98)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0.17819347292115212</v>
      </c>
      <c r="D102" s="12">
        <f xml:space="preserve"> (D89*D90*D94*D95*D96*D100+D89*D91*D93*D94*D95*D99+D89*D91*D94*D95*D96*D99+D89*D93*D94*D95*D96*D99+D90*D91*D92*D93*D94*D98+D90*D91*D92*D94*D95*D98+D90*D91*D92*D94*D96*D98+D90*D91*D93*D94*D95*D98+D90*D91*D94*D95*D96*D98+D90*D92*D93*D94*D96*D98+D90*D92*D94*D95*D96*D98+D90*D93*D94*D95*D96*D98+D91*D92*D93*D94*D95*D98+D91*D92*D94*D95*D96*D98+D92*D93*D94*D95*D96*D98)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7.7868847313167899E-2</v>
      </c>
      <c r="E102" s="12">
        <f>IF(Summary!X50="absolute",(R2-N7)/(J3+J3*Summary!X18),R2-N7)</f>
        <v>0.27999999999999997</v>
      </c>
      <c r="F102" s="12">
        <f xml:space="preserve"> (F89*F90*F94*F95*F96*F100+F89*F91*F93*F94*F95*F99+F89*F91*F94*F95*F96*F99+F89*F93*F94*F95*F96*F99+F90*F91*F92*F93*F94*F98+F90*F91*F92*F94*F95*F98+F90*F91*F92*F94*F96*F98+F90*F91*F93*F94*F95*F98+F90*F91*F94*F95*F96*F98+F90*F92*F93*F94*F96*F98+F90*F92*F94*F95*F96*F98+F90*F93*F94*F95*F96*F98+F91*F92*F93*F94*F95*F98+F91*F92*F94*F95*F96*F98+F92*F93*F94*F95*F96*F98)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0.17819347302396674</v>
      </c>
      <c r="G102" s="12">
        <f t="shared" ref="G102:H102" si="33" xml:space="preserve"> (G89*G90*G94*G95*G96*G100+G89*G91*G93*G94*G95*G99+G89*G91*G94*G95*G96*G99+G89*G93*G94*G95*G96*G99+G90*G91*G92*G93*G94*G98+G90*G91*G92*G94*G95*G98+G90*G91*G92*G94*G96*G98+G90*G91*G93*G94*G95*G98+G90*G91*G94*G95*G96*G98+G90*G92*G93*G94*G96*G98+G90*G92*G94*G95*G96*G98+G90*G93*G94*G95*G96*G98+G91*G92*G93*G94*G95*G98+G91*G92*G94*G95*G96*G98+G92*G93*G94*G95*G96*G98) / (G89*G90*G91*G92*G93+G89*G90*G91*G92*G95+G89*G90*G91*G92*G96+G89*G90*G91*G93*G94+G89*G90*G91*G93*G95+G89*G90*G91*G94*G95+G89*G90*G91*G94*G96+G89*G90*G91*G95*G96+G89*G90*G92*G93*G96+G89*G90*G92*G95*G96+G89*G90*G93*G94*G96+G89*G90*G93*G95*G96+G89*G90*G94*G95*G96+G89*G91*G92*G93*G95+G89*G91*G92*G95*G96+G89*G91*G93*G94*G95+G89*G91*G94*G95*G96+G89*G92*G93*G95*G96+G89*G93*G94*G95*G96+G90*G91*G92*G93*G94+G90*G91*G92*G94*G95+G90*G91*G92*G94*G96+G90*G91*G93*G94*G95+G90*G91*G94*G95*G96+G90*G92*G93*G94*G96+G90*G92*G94*G95*G96+G90*G93*G94*G95*G96+G91*G92*G93*G94*G95+G91*G92*G94*G95*G96+G92*G93*G94*G95*G96)</f>
        <v>0.1726491252881576</v>
      </c>
      <c r="H102" s="12">
        <f t="shared" si="33"/>
        <v>7.7868847308800018E-2</v>
      </c>
      <c r="K102">
        <v>100</v>
      </c>
      <c r="L102">
        <v>68</v>
      </c>
      <c r="M102">
        <f t="shared" si="21"/>
        <v>17</v>
      </c>
      <c r="N102">
        <f t="shared" si="23"/>
        <v>6800</v>
      </c>
      <c r="O102">
        <f t="shared" si="24"/>
        <v>6460</v>
      </c>
      <c r="P102">
        <f t="shared" si="25"/>
        <v>7140</v>
      </c>
      <c r="Q102">
        <f t="shared" si="30"/>
        <v>0</v>
      </c>
      <c r="R102" s="126">
        <f t="shared" si="26"/>
        <v>7.2603158523126469E-7</v>
      </c>
      <c r="S102" s="126">
        <f t="shared" si="27"/>
        <v>1.0516949142171617E-6</v>
      </c>
      <c r="AA102" s="126">
        <f t="shared" si="31"/>
        <v>7.2603158523126469E-7</v>
      </c>
      <c r="AB102" s="126">
        <f t="shared" si="32"/>
        <v>1.0516949142171617E-6</v>
      </c>
      <c r="AC102" s="126">
        <f t="shared" si="28"/>
        <v>3.0771281431185866E-8</v>
      </c>
      <c r="AD102" s="126">
        <f t="shared" si="29"/>
        <v>3.2505618766022429E-8</v>
      </c>
      <c r="AE102" s="128"/>
    </row>
    <row r="103" spans="1:31" x14ac:dyDescent="0.35">
      <c r="A103" t="s">
        <v>351</v>
      </c>
      <c r="B103" s="13">
        <f xml:space="preserve"> (B89*B90*B92*B95*B96*B100+B89*B90*B94*B95*B96*B100+B89*B91*B92*B93*B95*B99+B89*B91*B92*B95*B96*B99+B89*B91*B93*B94*B95*B99+B89*B91*B94*B95*B96*B99+B89*B92*B93*B95*B96*B99+B89*B93*B94*B95*B96*B99+B90*B91*B93*B94*B95*B98+B90*B91*B94*B95*B96*B98+B90*B92*B94*B95*B96*B100+B90*B93*B94*B95*B96*B98+B91*B92*B93*B94*B95*B99+B91*B92*B94*B95*B96*B99+B92*B93*B94*B95*B96*B99)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0.99999912325077067</v>
      </c>
      <c r="C103" s="13">
        <f xml:space="preserve"> (C89*C90*C92*C95*C96*C100+C89*C90*C94*C95*C96*C100+C89*C91*C92*C93*C95*C99+C89*C91*C92*C95*C96*C99+C89*C91*C93*C94*C95*C99+C89*C91*C94*C95*C96*C99+C89*C92*C93*C95*C96*C99+C89*C93*C94*C95*C96*C99+C90*C91*C93*C94*C95*C98+C90*C91*C94*C95*C96*C98+C90*C92*C94*C95*C96*C100+C90*C93*C94*C95*C96*C98+C91*C92*C93*C94*C95*C99+C91*C92*C94*C95*C96*C99+C92*C93*C94*C95*C96*C99)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0.17819347292115212</v>
      </c>
      <c r="D103" s="13">
        <f xml:space="preserve"> (D89*D90*D92*D95*D96*D100+D89*D90*D94*D95*D96*D100+D89*D91*D92*D93*D95*D99+D89*D91*D92*D95*D96*D99+D89*D91*D93*D94*D95*D99+D89*D91*D94*D95*D96*D99+D89*D92*D93*D95*D96*D99+D89*D93*D94*D95*D96*D99+D90*D91*D93*D94*D95*D98+D90*D91*D94*D95*D96*D98+D90*D92*D94*D95*D96*D100+D90*D93*D94*D95*D96*D98+D91*D92*D93*D94*D95*D99+D91*D92*D94*D95*D96*D99+D92*D93*D94*D95*D96*D99)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7.7868847297010338E-2</v>
      </c>
      <c r="E103" s="13">
        <f xml:space="preserve"> (E89*E90*E92*E95*E96*E100+E89*E90*E94*E95*E96*E100+E89*E91*E92*E93*E95*E99+E89*E91*E92*E95*E96*E99+E89*E91*E93*E94*E95*E99+E89*E91*E94*E95*E96*E99+E89*E92*E93*E95*E96*E99+E89*E93*E94*E95*E96*E99+E90*E91*E93*E94*E95*E98+E90*E91*E94*E95*E96*E98+E90*E92*E94*E95*E96*E100+E90*E93*E94*E95*E96*E98+E91*E92*E93*E94*E95*E99+E91*E92*E94*E95*E96*E99+E92*E93*E94*E95*E96*E99)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1</v>
      </c>
      <c r="F103" s="13">
        <f xml:space="preserve"> (F89*F90*F92*F95*F96*F100+F89*F90*F94*F95*F96*F100+F89*F91*F92*F93*F95*F99+F89*F91*F92*F95*F96*F99+F89*F91*F93*F94*F95*F99+F89*F91*F94*F95*F96*F99+F89*F92*F93*F95*F96*F99+F89*F93*F94*F95*F96*F99+F90*F91*F93*F94*F95*F98+F90*F91*F94*F95*F96*F98+F90*F92*F94*F95*F96*F100+F90*F93*F94*F95*F96*F98+F91*F92*F93*F94*F95*F99+F91*F92*F94*F95*F96*F99+F92*F93*F94*F95*F96*F99)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0.17819347302396674</v>
      </c>
      <c r="K103">
        <v>100</v>
      </c>
      <c r="L103">
        <v>75</v>
      </c>
      <c r="M103">
        <f t="shared" si="21"/>
        <v>17</v>
      </c>
      <c r="N103">
        <f t="shared" si="23"/>
        <v>7500</v>
      </c>
      <c r="O103">
        <f t="shared" si="24"/>
        <v>7125</v>
      </c>
      <c r="P103">
        <f t="shared" si="25"/>
        <v>7875</v>
      </c>
      <c r="Q103">
        <f t="shared" si="30"/>
        <v>0</v>
      </c>
      <c r="R103" s="126">
        <f t="shared" si="26"/>
        <v>8.0077012899473694E-7</v>
      </c>
      <c r="S103" s="126">
        <f t="shared" si="27"/>
        <v>1.1596327156621971E-6</v>
      </c>
      <c r="AA103" s="126">
        <f t="shared" si="31"/>
        <v>8.0077012899473694E-7</v>
      </c>
      <c r="AB103" s="126">
        <f t="shared" si="32"/>
        <v>1.1596327156621971E-6</v>
      </c>
      <c r="AC103" s="126">
        <f t="shared" si="28"/>
        <v>3.0684620518352232E-8</v>
      </c>
      <c r="AD103" s="126">
        <f t="shared" si="29"/>
        <v>3.2408686460596937E-8</v>
      </c>
      <c r="AE103" s="128"/>
    </row>
    <row r="104" spans="1:31" x14ac:dyDescent="0.35">
      <c r="A104" t="s">
        <v>352</v>
      </c>
      <c r="B104" s="13">
        <f xml:space="preserve"> (B89*B90*B92*B93*B96*B100+B89*B90*B92*B95*B96*B100+B89*B90*B93*B94*B96*B100+B89*B90*B93*B95*B96*B100+B89*B90*B94*B95*B96*B100+B89*B91*B92*B95*B96*B99+B89*B91*B94*B95*B96*B99+B89*B92*B93*B95*B96*B100+B89*B93*B94*B95*B96*B100+B90*B91*B94*B95*B96*B98+B90*B92*B93*B94*B96*B100+B90*B92*B94*B95*B96*B100+B90*B93*B94*B95*B96*B100+B91*B92*B94*B95*B96*B99+B92*B93*B94*B95*B96*B100) / (B89*B90*B91*B92*B93+B89*B90*B91*B92*B95+B89*B90*B91*B92*B96+B89*B90*B91*B93*B94+B89*B90*B91*B93*B95+B89*B90*B91*B94*B95+B89*B90*B91*B94*B96+B89*B90*B91*B95*B96+B89*B90*B92*B93*B96+B89*B90*B92*B95*B96+B89*B90*B93*B94*B96+B89*B90*B93*B95*B96+B89*B90*B94*B95*B96+B89*B91*B92*B93*B95+B89*B91*B92*B95*B96+B89*B91*B93*B94*B95+B89*B91*B94*B95*B96+B89*B92*B93*B95*B96+B89*B93*B94*B95*B96+B90*B91*B92*B93*B94+B90*B91*B92*B94*B95+B90*B91*B92*B94*B96+B90*B91*B93*B94*B95+B90*B91*B94*B95*B96+B90*B92*B93*B94*B96+B90*B92*B94*B95*B96+B90*B93*B94*B95*B96+B91*B92*B93*B94*B95+B91*B92*B94*B95*B96+B92*B93*B94*B95*B96)</f>
        <v>0.99999912325077067</v>
      </c>
      <c r="C104" s="13">
        <f xml:space="preserve"> (C89*C90*C92*C93*C96*C100+C89*C90*C92*C95*C96*C100+C89*C90*C93*C94*C96*C100+C89*C90*C93*C95*C96*C100+C89*C90*C94*C95*C96*C100+C89*C91*C92*C95*C96*C99+C89*C91*C94*C95*C96*C99+C89*C92*C93*C95*C96*C100+C89*C93*C94*C95*C96*C100+C90*C91*C94*C95*C96*C98+C90*C92*C93*C94*C96*C100+C90*C92*C94*C95*C96*C100+C90*C93*C94*C95*C96*C100+C91*C92*C94*C95*C96*C99+C92*C93*C94*C95*C96*C100) / (C89*C90*C91*C92*C93+C89*C90*C91*C92*C95+C89*C90*C91*C92*C96+C89*C90*C91*C93*C94+C89*C90*C91*C93*C95+C89*C90*C91*C94*C95+C89*C90*C91*C94*C96+C89*C90*C91*C95*C96+C89*C90*C92*C93*C96+C89*C90*C92*C95*C96+C89*C90*C93*C94*C96+C89*C90*C93*C95*C96+C89*C90*C94*C95*C96+C89*C91*C92*C93*C95+C89*C91*C92*C95*C96+C89*C91*C93*C94*C95+C89*C91*C94*C95*C96+C89*C92*C93*C95*C96+C89*C93*C94*C95*C96+C90*C91*C92*C93*C94+C90*C91*C92*C94*C95+C90*C91*C92*C94*C96+C90*C91*C93*C94*C95+C90*C91*C94*C95*C96+C90*C92*C93*C94*C96+C90*C92*C94*C95*C96+C90*C93*C94*C95*C96+C91*C92*C93*C94*C95+C91*C92*C94*C95*C96+C92*C93*C94*C95*C96)</f>
        <v>0.1534038637159672</v>
      </c>
      <c r="D104" s="13">
        <f xml:space="preserve"> (D89*D90*D92*D93*D96*D100+D89*D90*D92*D95*D96*D100+D89*D90*D93*D94*D96*D100+D89*D90*D93*D95*D96*D100+D89*D90*D94*D95*D96*D100+D89*D91*D92*D95*D96*D99+D89*D91*D94*D95*D96*D99+D89*D92*D93*D95*D96*D100+D89*D93*D94*D95*D96*D100+D90*D91*D94*D95*D96*D98+D90*D92*D93*D94*D96*D100+D90*D92*D94*D95*D96*D100+D90*D93*D94*D95*D96*D100+D91*D92*D94*D95*D96*D99+D92*D93*D94*D95*D96*D100) / (D89*D90*D91*D92*D93+D89*D90*D91*D92*D95+D89*D90*D91*D92*D96+D89*D90*D91*D93*D94+D89*D90*D91*D93*D95+D89*D90*D91*D94*D95+D89*D90*D91*D94*D96+D89*D90*D91*D95*D96+D89*D90*D92*D93*D96+D89*D90*D92*D95*D96+D89*D90*D93*D94*D96+D89*D90*D93*D95*D96+D89*D90*D94*D95*D96+D89*D91*D92*D93*D95+D89*D91*D92*D95*D96+D89*D91*D93*D94*D95+D89*D91*D94*D95*D96+D89*D92*D93*D95*D96+D89*D93*D94*D95*D96+D90*D91*D92*D93*D94+D90*D91*D92*D94*D95+D90*D91*D92*D94*D96+D90*D91*D93*D94*D95+D90*D91*D94*D95*D96+D90*D92*D93*D94*D96+D90*D92*D94*D95*D96+D90*D93*D94*D95*D96+D91*D92*D93*D94*D95+D91*D92*D94*D95*D96+D92*D93*D94*D95*D96)</f>
        <v>7.7868847297010338E-2</v>
      </c>
      <c r="E104" s="13">
        <f xml:space="preserve"> (E89*E90*E92*E93*E96*E100+E89*E90*E92*E95*E96*E100+E89*E90*E93*E94*E96*E100+E89*E90*E93*E95*E96*E100+E89*E90*E94*E95*E96*E100+E89*E91*E92*E95*E96*E99+E89*E91*E94*E95*E96*E99+E89*E92*E93*E95*E96*E100+E89*E93*E94*E95*E96*E100+E90*E91*E94*E95*E96*E98+E90*E92*E93*E94*E96*E100+E90*E92*E94*E95*E96*E100+E90*E93*E94*E95*E96*E100+E91*E92*E94*E95*E96*E99+E92*E93*E94*E95*E96*E100) / (E89*E90*E91*E92*E93+E89*E90*E91*E92*E95+E89*E90*E91*E92*E96+E89*E90*E91*E93*E94+E89*E90*E91*E93*E95+E89*E90*E91*E94*E95+E89*E90*E91*E94*E96+E89*E90*E91*E95*E96+E89*E90*E92*E93*E96+E89*E90*E92*E95*E96+E89*E90*E93*E94*E96+E89*E90*E93*E95*E96+E89*E90*E94*E95*E96+E89*E91*E92*E93*E95+E89*E91*E92*E95*E96+E89*E91*E93*E94*E95+E89*E91*E94*E95*E96+E89*E92*E93*E95*E96+E89*E93*E94*E95*E96+E90*E91*E92*E93*E94+E90*E91*E92*E94*E95+E90*E91*E92*E94*E96+E90*E91*E93*E94*E95+E90*E91*E94*E95*E96+E90*E92*E93*E94*E96+E90*E92*E94*E95*E96+E90*E93*E94*E95*E96+E91*E92*E93*E94*E95+E91*E92*E94*E95*E96+E92*E93*E94*E95*E96)</f>
        <v>0.86088374161129411</v>
      </c>
      <c r="F104" s="13">
        <f xml:space="preserve"> (F89*F90*F92*F93*F96*F100+F89*F90*F92*F95*F96*F100+F89*F90*F93*F94*F96*F100+F89*F90*F93*F95*F96*F100+F89*F90*F94*F95*F96*F100+F89*F91*F92*F95*F96*F99+F89*F91*F94*F95*F96*F99+F89*F92*F93*F95*F96*F100+F89*F93*F94*F95*F96*F100+F90*F91*F94*F95*F96*F98+F90*F92*F93*F94*F96*F100+F90*F92*F94*F95*F96*F100+F90*F93*F94*F95*F96*F100+F91*F92*F94*F95*F96*F99+F92*F93*F94*F95*F96*F100) / (F89*F90*F91*F92*F93+F89*F90*F91*F92*F95+F89*F90*F91*F92*F96+F89*F90*F91*F93*F94+F89*F90*F91*F93*F95+F89*F90*F91*F94*F95+F89*F90*F91*F94*F96+F89*F90*F91*F95*F96+F89*F90*F92*F93*F96+F89*F90*F92*F95*F96+F89*F90*F93*F94*F96+F89*F90*F93*F95*F96+F89*F90*F94*F95*F96+F89*F91*F92*F93*F95+F89*F91*F92*F95*F96+F89*F91*F93*F94*F95+F89*F91*F94*F95*F96+F89*F92*F93*F95*F96+F89*F93*F94*F95*F96+F90*F91*F92*F93*F94+F90*F91*F92*F94*F95+F90*F91*F92*F94*F96+F90*F91*F93*F94*F95+F90*F91*F94*F95*F96+F90*F92*F93*F94*F96+F90*F92*F94*F95*F96+F90*F93*F94*F95*F96+F91*F92*F93*F94*F95+F91*F92*F94*F95*F96+F92*F93*F94*F95*F96)</f>
        <v>0.1534038638218832</v>
      </c>
      <c r="K104">
        <v>100</v>
      </c>
      <c r="L104">
        <v>82</v>
      </c>
      <c r="M104">
        <f t="shared" si="21"/>
        <v>17</v>
      </c>
      <c r="N104">
        <f t="shared" si="23"/>
        <v>8200</v>
      </c>
      <c r="O104">
        <f t="shared" si="24"/>
        <v>7790</v>
      </c>
      <c r="P104">
        <f t="shared" si="25"/>
        <v>8610</v>
      </c>
      <c r="Q104">
        <f t="shared" si="30"/>
        <v>0</v>
      </c>
      <c r="R104" s="126">
        <f t="shared" si="26"/>
        <v>8.7550867242686811E-7</v>
      </c>
      <c r="S104" s="126">
        <f t="shared" si="27"/>
        <v>1.2675705166744999E-6</v>
      </c>
      <c r="AA104" s="126">
        <f t="shared" si="31"/>
        <v>8.7550867242686811E-7</v>
      </c>
      <c r="AB104" s="126">
        <f t="shared" si="32"/>
        <v>1.2675705166744999E-6</v>
      </c>
      <c r="AC104" s="126">
        <f t="shared" si="28"/>
        <v>3.0613420337400651E-8</v>
      </c>
      <c r="AD104" s="126">
        <f t="shared" si="29"/>
        <v>3.2329087595218333E-8</v>
      </c>
      <c r="AE104" s="128"/>
    </row>
    <row r="105" spans="1:31" x14ac:dyDescent="0.35">
      <c r="K105">
        <v>100</v>
      </c>
      <c r="L105">
        <v>91</v>
      </c>
      <c r="M105">
        <f t="shared" si="21"/>
        <v>17</v>
      </c>
      <c r="N105">
        <f t="shared" si="23"/>
        <v>9100</v>
      </c>
      <c r="O105">
        <f t="shared" si="24"/>
        <v>8645</v>
      </c>
      <c r="P105">
        <f t="shared" si="25"/>
        <v>9555</v>
      </c>
      <c r="Q105">
        <f t="shared" si="30"/>
        <v>0</v>
      </c>
      <c r="R105" s="126">
        <f t="shared" si="26"/>
        <v>9.7160108492416891E-7</v>
      </c>
      <c r="S105" s="126">
        <f t="shared" si="27"/>
        <v>1.4063476887687518E-6</v>
      </c>
      <c r="AA105" s="126">
        <f t="shared" si="31"/>
        <v>9.7160108492416891E-7</v>
      </c>
      <c r="AB105" s="126">
        <f t="shared" si="32"/>
        <v>1.4063476887687518E-6</v>
      </c>
      <c r="AC105" s="126">
        <f t="shared" si="28"/>
        <v>3.0538624949053995E-8</v>
      </c>
      <c r="AD105" s="126">
        <f t="shared" si="29"/>
        <v>3.2245508876938708E-8</v>
      </c>
      <c r="AE105" s="128"/>
    </row>
    <row r="106" spans="1:31" x14ac:dyDescent="0.35">
      <c r="K106">
        <v>1000</v>
      </c>
      <c r="L106">
        <v>10</v>
      </c>
      <c r="M106">
        <f t="shared" si="21"/>
        <v>17</v>
      </c>
      <c r="N106">
        <f t="shared" si="23"/>
        <v>10000</v>
      </c>
      <c r="O106">
        <f t="shared" si="24"/>
        <v>9500</v>
      </c>
      <c r="P106">
        <f t="shared" si="25"/>
        <v>10500</v>
      </c>
      <c r="Q106">
        <f t="shared" si="30"/>
        <v>0</v>
      </c>
      <c r="R106" s="126">
        <f t="shared" si="26"/>
        <v>1.0676934968737427E-6</v>
      </c>
      <c r="S106" s="126">
        <f t="shared" si="27"/>
        <v>1.5451248601476705E-6</v>
      </c>
      <c r="AA106" s="126">
        <f t="shared" si="31"/>
        <v>1.0676934968737427E-6</v>
      </c>
      <c r="AB106" s="126">
        <f t="shared" si="32"/>
        <v>1.5451248601476705E-6</v>
      </c>
      <c r="AC106" s="126">
        <f t="shared" si="28"/>
        <v>3.0477789636650516E-8</v>
      </c>
      <c r="AD106" s="126">
        <f t="shared" si="29"/>
        <v>3.2177559629822902E-8</v>
      </c>
      <c r="AE106" s="128"/>
    </row>
    <row r="107" spans="1:31" x14ac:dyDescent="0.35">
      <c r="K107">
        <v>1000</v>
      </c>
      <c r="L107">
        <v>11</v>
      </c>
      <c r="M107">
        <f t="shared" si="21"/>
        <v>17</v>
      </c>
      <c r="N107">
        <f t="shared" si="23"/>
        <v>11000</v>
      </c>
      <c r="O107">
        <f t="shared" si="24"/>
        <v>10450</v>
      </c>
      <c r="P107">
        <f t="shared" si="25"/>
        <v>11550</v>
      </c>
      <c r="Q107">
        <f t="shared" si="30"/>
        <v>0</v>
      </c>
      <c r="R107" s="126">
        <f t="shared" si="26"/>
        <v>1.1744628428419847E-6</v>
      </c>
      <c r="S107" s="126">
        <f t="shared" si="27"/>
        <v>1.699321716396387E-6</v>
      </c>
      <c r="AA107" s="126">
        <f t="shared" si="31"/>
        <v>1.1744628428419847E-6</v>
      </c>
      <c r="AB107" s="126">
        <f t="shared" si="32"/>
        <v>1.699321716396387E-6</v>
      </c>
      <c r="AC107" s="126">
        <f t="shared" si="28"/>
        <v>3.0422262433068176E-8</v>
      </c>
      <c r="AD107" s="126">
        <f t="shared" si="29"/>
        <v>3.2115562916894233E-8</v>
      </c>
      <c r="AE107" s="128"/>
    </row>
    <row r="108" spans="1:31" x14ac:dyDescent="0.35">
      <c r="K108">
        <v>1000</v>
      </c>
      <c r="L108">
        <v>12</v>
      </c>
      <c r="M108">
        <f t="shared" si="21"/>
        <v>17</v>
      </c>
      <c r="N108">
        <f t="shared" si="23"/>
        <v>12000</v>
      </c>
      <c r="O108">
        <f t="shared" si="24"/>
        <v>11400</v>
      </c>
      <c r="P108">
        <f t="shared" si="25"/>
        <v>12600</v>
      </c>
      <c r="Q108">
        <f t="shared" si="30"/>
        <v>0</v>
      </c>
      <c r="R108" s="126">
        <f t="shared" si="26"/>
        <v>1.2812321881340211E-6</v>
      </c>
      <c r="S108" s="126">
        <f t="shared" si="27"/>
        <v>1.8535185717619759E-6</v>
      </c>
      <c r="AA108" s="126">
        <f t="shared" si="31"/>
        <v>1.2812321881340211E-6</v>
      </c>
      <c r="AB108" s="126">
        <f t="shared" si="32"/>
        <v>1.8535185717619759E-6</v>
      </c>
      <c r="AC108" s="126">
        <f t="shared" si="28"/>
        <v>3.0376274944294811E-8</v>
      </c>
      <c r="AD108" s="126">
        <f t="shared" si="29"/>
        <v>3.2064234641658629E-8</v>
      </c>
      <c r="AE108" s="128"/>
    </row>
    <row r="109" spans="1:31" x14ac:dyDescent="0.35">
      <c r="K109">
        <v>1000</v>
      </c>
      <c r="L109">
        <v>13</v>
      </c>
      <c r="M109">
        <f t="shared" si="21"/>
        <v>17</v>
      </c>
      <c r="N109">
        <f t="shared" si="23"/>
        <v>13000</v>
      </c>
      <c r="O109">
        <f t="shared" si="24"/>
        <v>12350</v>
      </c>
      <c r="P109">
        <f t="shared" si="25"/>
        <v>13650</v>
      </c>
      <c r="Q109">
        <f t="shared" si="30"/>
        <v>0</v>
      </c>
      <c r="R109" s="126">
        <f t="shared" si="26"/>
        <v>1.3880015327498513E-6</v>
      </c>
      <c r="S109" s="126">
        <f t="shared" si="27"/>
        <v>2.0077154262444377E-6</v>
      </c>
      <c r="AA109" s="126">
        <f t="shared" si="31"/>
        <v>1.3880015327498513E-6</v>
      </c>
      <c r="AB109" s="126">
        <f t="shared" si="32"/>
        <v>2.0077154262444377E-6</v>
      </c>
      <c r="AC109" s="126">
        <f t="shared" si="28"/>
        <v>3.033756388342182E-8</v>
      </c>
      <c r="AD109" s="126">
        <f t="shared" si="29"/>
        <v>3.2021040030453235E-8</v>
      </c>
      <c r="AE109" s="128"/>
    </row>
    <row r="110" spans="1:31" x14ac:dyDescent="0.35">
      <c r="K110">
        <v>1000</v>
      </c>
      <c r="L110">
        <v>15</v>
      </c>
      <c r="M110">
        <f t="shared" si="21"/>
        <v>17</v>
      </c>
      <c r="N110">
        <f t="shared" si="23"/>
        <v>15000</v>
      </c>
      <c r="O110">
        <f t="shared" si="24"/>
        <v>14250</v>
      </c>
      <c r="P110">
        <f t="shared" si="25"/>
        <v>15750</v>
      </c>
      <c r="Q110">
        <f t="shared" si="30"/>
        <v>0</v>
      </c>
      <c r="R110" s="126">
        <f t="shared" si="26"/>
        <v>1.6015402199528948E-6</v>
      </c>
      <c r="S110" s="126">
        <f t="shared" si="27"/>
        <v>2.3161091325599784E-6</v>
      </c>
      <c r="AA110" s="126">
        <f t="shared" si="31"/>
        <v>1.6015402199528948E-6</v>
      </c>
      <c r="AB110" s="126">
        <f t="shared" si="32"/>
        <v>2.3161091325599784E-6</v>
      </c>
      <c r="AC110" s="126">
        <f t="shared" si="28"/>
        <v>3.0276008134054209E-8</v>
      </c>
      <c r="AD110" s="126">
        <f t="shared" si="29"/>
        <v>3.195237791807252E-8</v>
      </c>
      <c r="AE110" s="128"/>
    </row>
    <row r="111" spans="1:31" x14ac:dyDescent="0.35">
      <c r="K111">
        <v>1000</v>
      </c>
      <c r="L111">
        <v>16</v>
      </c>
      <c r="M111">
        <f t="shared" si="21"/>
        <v>17</v>
      </c>
      <c r="N111">
        <f t="shared" si="23"/>
        <v>16000</v>
      </c>
      <c r="O111">
        <f t="shared" si="24"/>
        <v>15200</v>
      </c>
      <c r="P111">
        <f t="shared" si="25"/>
        <v>16800</v>
      </c>
      <c r="Q111">
        <f t="shared" si="30"/>
        <v>0</v>
      </c>
      <c r="R111" s="126">
        <f t="shared" si="26"/>
        <v>1.7083095625401078E-6</v>
      </c>
      <c r="S111" s="126">
        <f t="shared" si="27"/>
        <v>2.4703059843930584E-6</v>
      </c>
      <c r="AA111" s="126">
        <f t="shared" si="31"/>
        <v>1.7083095625401078E-6</v>
      </c>
      <c r="AB111" s="126">
        <f t="shared" si="32"/>
        <v>2.4703059843930584E-6</v>
      </c>
      <c r="AC111" s="126">
        <f t="shared" si="28"/>
        <v>3.0251134757601766E-8</v>
      </c>
      <c r="AD111" s="126">
        <f t="shared" si="29"/>
        <v>3.1924641094127202E-8</v>
      </c>
      <c r="AE111" s="128"/>
    </row>
    <row r="112" spans="1:31" x14ac:dyDescent="0.35">
      <c r="K112">
        <v>1000</v>
      </c>
      <c r="L112">
        <v>18</v>
      </c>
      <c r="M112">
        <f t="shared" si="21"/>
        <v>17</v>
      </c>
      <c r="N112">
        <f t="shared" si="23"/>
        <v>18000</v>
      </c>
      <c r="O112">
        <f t="shared" si="24"/>
        <v>17100</v>
      </c>
      <c r="P112">
        <f t="shared" si="25"/>
        <v>18900</v>
      </c>
      <c r="Q112">
        <f t="shared" si="30"/>
        <v>0</v>
      </c>
      <c r="R112" s="126">
        <f t="shared" si="26"/>
        <v>1.9218482456859162E-6</v>
      </c>
      <c r="S112" s="126">
        <f t="shared" si="27"/>
        <v>2.778699685409835E-6</v>
      </c>
      <c r="AA112" s="126">
        <f t="shared" si="31"/>
        <v>1.9218482456859162E-6</v>
      </c>
      <c r="AB112" s="126">
        <f t="shared" si="32"/>
        <v>2.778699685409835E-6</v>
      </c>
      <c r="AC112" s="126">
        <f t="shared" si="28"/>
        <v>3.0209849901451398E-8</v>
      </c>
      <c r="AD112" s="126">
        <f t="shared" si="29"/>
        <v>3.187861381413875E-8</v>
      </c>
      <c r="AE112" s="128"/>
    </row>
    <row r="113" spans="11:31" x14ac:dyDescent="0.35">
      <c r="K113">
        <v>1000</v>
      </c>
      <c r="L113">
        <v>20</v>
      </c>
      <c r="M113">
        <f t="shared" si="21"/>
        <v>17</v>
      </c>
      <c r="N113">
        <f t="shared" si="23"/>
        <v>20000</v>
      </c>
      <c r="O113">
        <f t="shared" si="24"/>
        <v>19000</v>
      </c>
      <c r="P113">
        <f t="shared" si="25"/>
        <v>21000</v>
      </c>
      <c r="Q113">
        <f t="shared" si="30"/>
        <v>0</v>
      </c>
      <c r="R113" s="126">
        <f t="shared" si="26"/>
        <v>2.1353869261269018E-6</v>
      </c>
      <c r="S113" s="126">
        <f t="shared" si="27"/>
        <v>3.0870933828941021E-6</v>
      </c>
      <c r="AA113" s="126">
        <f t="shared" si="31"/>
        <v>2.1353869261269018E-6</v>
      </c>
      <c r="AB113" s="126">
        <f t="shared" si="32"/>
        <v>3.0870933828941021E-6</v>
      </c>
      <c r="AC113" s="126">
        <f t="shared" si="28"/>
        <v>3.0176975136952358E-8</v>
      </c>
      <c r="AD113" s="126">
        <f t="shared" si="29"/>
        <v>3.1841971961391926E-8</v>
      </c>
      <c r="AE113" s="128"/>
    </row>
    <row r="114" spans="11:31" x14ac:dyDescent="0.35">
      <c r="K114">
        <v>1000</v>
      </c>
      <c r="L114">
        <v>22</v>
      </c>
      <c r="M114">
        <f t="shared" si="21"/>
        <v>17</v>
      </c>
      <c r="N114">
        <f t="shared" si="23"/>
        <v>22000</v>
      </c>
      <c r="O114">
        <f t="shared" si="24"/>
        <v>20900</v>
      </c>
      <c r="P114">
        <f t="shared" si="25"/>
        <v>23100</v>
      </c>
      <c r="Q114">
        <f t="shared" si="30"/>
        <v>0</v>
      </c>
      <c r="R114" s="126">
        <f t="shared" si="26"/>
        <v>2.3489256038630638E-6</v>
      </c>
      <c r="S114" s="126">
        <f t="shared" si="27"/>
        <v>3.3954870768458599E-6</v>
      </c>
      <c r="AA114" s="126">
        <f t="shared" si="31"/>
        <v>2.3489256038630638E-6</v>
      </c>
      <c r="AB114" s="126">
        <f t="shared" si="32"/>
        <v>3.3954870768458599E-6</v>
      </c>
      <c r="AC114" s="126">
        <f t="shared" si="28"/>
        <v>3.015017845375177E-8</v>
      </c>
      <c r="AD114" s="126">
        <f t="shared" si="29"/>
        <v>3.1812110774561334E-8</v>
      </c>
      <c r="AE114" s="128"/>
    </row>
    <row r="115" spans="11:31" x14ac:dyDescent="0.35">
      <c r="K115">
        <v>1000</v>
      </c>
      <c r="L115">
        <v>24</v>
      </c>
      <c r="M115">
        <f t="shared" si="21"/>
        <v>17</v>
      </c>
      <c r="N115">
        <f t="shared" si="23"/>
        <v>24000</v>
      </c>
      <c r="O115">
        <f t="shared" si="24"/>
        <v>22800</v>
      </c>
      <c r="P115">
        <f t="shared" si="25"/>
        <v>25200</v>
      </c>
      <c r="Q115">
        <f t="shared" si="30"/>
        <v>0</v>
      </c>
      <c r="R115" s="126">
        <f t="shared" si="26"/>
        <v>2.5624642788944031E-6</v>
      </c>
      <c r="S115" s="126">
        <f t="shared" si="27"/>
        <v>3.7038807672651091E-6</v>
      </c>
      <c r="AA115" s="126">
        <f t="shared" si="31"/>
        <v>2.5624642788944031E-6</v>
      </c>
      <c r="AB115" s="126">
        <f t="shared" si="32"/>
        <v>3.7038807672651091E-6</v>
      </c>
      <c r="AC115" s="126">
        <f t="shared" si="28"/>
        <v>3.0127917005403065E-8</v>
      </c>
      <c r="AD115" s="126">
        <f t="shared" si="29"/>
        <v>3.1787307662367689E-8</v>
      </c>
      <c r="AE115" s="128"/>
    </row>
    <row r="116" spans="11:31" x14ac:dyDescent="0.35">
      <c r="K116">
        <v>1000</v>
      </c>
      <c r="L116">
        <v>27</v>
      </c>
      <c r="M116">
        <f t="shared" si="21"/>
        <v>17</v>
      </c>
      <c r="N116">
        <f t="shared" si="23"/>
        <v>27000</v>
      </c>
      <c r="O116">
        <f t="shared" si="24"/>
        <v>25650</v>
      </c>
      <c r="P116">
        <f t="shared" si="25"/>
        <v>28350</v>
      </c>
      <c r="Q116">
        <f t="shared" si="30"/>
        <v>0</v>
      </c>
      <c r="R116" s="126">
        <f t="shared" si="26"/>
        <v>2.8827722863698686E-6</v>
      </c>
      <c r="S116" s="126">
        <f t="shared" si="27"/>
        <v>4.166471296270527E-6</v>
      </c>
      <c r="AA116" s="126">
        <f t="shared" si="31"/>
        <v>2.8827722863698686E-6</v>
      </c>
      <c r="AB116" s="126">
        <f t="shared" si="32"/>
        <v>4.166471296270527E-6</v>
      </c>
      <c r="AC116" s="126">
        <f t="shared" si="28"/>
        <v>3.0100793657591034E-8</v>
      </c>
      <c r="AD116" s="126">
        <f t="shared" si="29"/>
        <v>3.1757092702310698E-8</v>
      </c>
      <c r="AE116" s="128"/>
    </row>
    <row r="117" spans="11:31" x14ac:dyDescent="0.35">
      <c r="K117">
        <v>1000</v>
      </c>
      <c r="L117">
        <v>30</v>
      </c>
      <c r="M117">
        <f t="shared" si="21"/>
        <v>17</v>
      </c>
      <c r="N117">
        <f t="shared" si="23"/>
        <v>30000</v>
      </c>
      <c r="O117">
        <f t="shared" si="24"/>
        <v>28500</v>
      </c>
      <c r="P117">
        <f t="shared" si="25"/>
        <v>31500</v>
      </c>
      <c r="Q117">
        <f t="shared" si="30"/>
        <v>0</v>
      </c>
      <c r="R117" s="126">
        <f t="shared" si="26"/>
        <v>3.2030802877594832E-6</v>
      </c>
      <c r="S117" s="126">
        <f t="shared" si="27"/>
        <v>4.6290618173278002E-6</v>
      </c>
      <c r="AA117" s="126">
        <f t="shared" si="31"/>
        <v>3.2030802877594832E-6</v>
      </c>
      <c r="AB117" s="126">
        <f t="shared" si="32"/>
        <v>4.6290618173278002E-6</v>
      </c>
      <c r="AC117" s="126">
        <f t="shared" si="28"/>
        <v>3.0079162189059275E-8</v>
      </c>
      <c r="AD117" s="126">
        <f t="shared" si="29"/>
        <v>3.1732999674205066E-8</v>
      </c>
      <c r="AE117" s="128"/>
    </row>
    <row r="118" spans="11:31" x14ac:dyDescent="0.35">
      <c r="K118">
        <v>1000</v>
      </c>
      <c r="L118">
        <v>33</v>
      </c>
      <c r="M118">
        <f t="shared" si="21"/>
        <v>17</v>
      </c>
      <c r="N118">
        <f t="shared" si="23"/>
        <v>33000</v>
      </c>
      <c r="O118">
        <f t="shared" si="24"/>
        <v>31350</v>
      </c>
      <c r="P118">
        <f t="shared" si="25"/>
        <v>34650</v>
      </c>
      <c r="Q118">
        <f t="shared" si="30"/>
        <v>0</v>
      </c>
      <c r="R118" s="126">
        <f t="shared" si="26"/>
        <v>3.5233882830632454E-6</v>
      </c>
      <c r="S118" s="126">
        <f t="shared" si="27"/>
        <v>5.0916523304369246E-6</v>
      </c>
      <c r="AA118" s="126">
        <f t="shared" si="31"/>
        <v>3.5233882830632454E-6</v>
      </c>
      <c r="AB118" s="126">
        <f t="shared" si="32"/>
        <v>5.0916523304369246E-6</v>
      </c>
      <c r="AC118" s="126">
        <f t="shared" si="28"/>
        <v>3.0061508039459477E-8</v>
      </c>
      <c r="AD118" s="126">
        <f t="shared" si="29"/>
        <v>3.1713339250055408E-8</v>
      </c>
      <c r="AE118" s="128"/>
    </row>
    <row r="119" spans="11:31" x14ac:dyDescent="0.35">
      <c r="K119">
        <v>1000</v>
      </c>
      <c r="L119">
        <v>36</v>
      </c>
      <c r="M119">
        <f t="shared" si="21"/>
        <v>17</v>
      </c>
      <c r="N119">
        <f t="shared" si="23"/>
        <v>36000</v>
      </c>
      <c r="O119">
        <f t="shared" si="24"/>
        <v>34200</v>
      </c>
      <c r="P119">
        <f t="shared" si="25"/>
        <v>37800</v>
      </c>
      <c r="Q119">
        <f t="shared" si="30"/>
        <v>0</v>
      </c>
      <c r="R119" s="126">
        <f t="shared" si="26"/>
        <v>3.8436962722811567E-6</v>
      </c>
      <c r="S119" s="126">
        <f t="shared" si="27"/>
        <v>5.5542428355979059E-6</v>
      </c>
      <c r="AA119" s="126">
        <f t="shared" si="31"/>
        <v>3.8436962722811567E-6</v>
      </c>
      <c r="AB119" s="126">
        <f t="shared" si="32"/>
        <v>5.5542428355979059E-6</v>
      </c>
      <c r="AC119" s="126">
        <f t="shared" si="28"/>
        <v>3.0046826659133956E-8</v>
      </c>
      <c r="AD119" s="126">
        <f t="shared" si="29"/>
        <v>3.1696991272863733E-8</v>
      </c>
      <c r="AE119" s="128"/>
    </row>
    <row r="120" spans="11:31" x14ac:dyDescent="0.35">
      <c r="K120">
        <v>1000</v>
      </c>
      <c r="L120">
        <v>39</v>
      </c>
      <c r="M120">
        <f t="shared" si="21"/>
        <v>17</v>
      </c>
      <c r="N120">
        <f t="shared" si="23"/>
        <v>39000</v>
      </c>
      <c r="O120">
        <f t="shared" si="24"/>
        <v>37050</v>
      </c>
      <c r="P120">
        <f t="shared" si="25"/>
        <v>40950</v>
      </c>
      <c r="Q120">
        <f t="shared" si="30"/>
        <v>0</v>
      </c>
      <c r="R120" s="126">
        <f t="shared" si="26"/>
        <v>4.1640042554132176E-6</v>
      </c>
      <c r="S120" s="126">
        <f t="shared" si="27"/>
        <v>6.0168333328107434E-6</v>
      </c>
      <c r="AA120" s="126">
        <f t="shared" si="31"/>
        <v>4.1640042554132176E-6</v>
      </c>
      <c r="AB120" s="126">
        <f t="shared" si="32"/>
        <v>6.0168333328107434E-6</v>
      </c>
      <c r="AC120" s="126">
        <f t="shared" si="28"/>
        <v>3.0034425509768948E-8</v>
      </c>
      <c r="AD120" s="126">
        <f t="shared" si="29"/>
        <v>3.1683183679707771E-8</v>
      </c>
      <c r="AE120" s="128"/>
    </row>
    <row r="121" spans="11:31" x14ac:dyDescent="0.35">
      <c r="K121">
        <v>1000</v>
      </c>
      <c r="L121">
        <v>43</v>
      </c>
      <c r="M121">
        <f t="shared" si="21"/>
        <v>17</v>
      </c>
      <c r="N121">
        <f t="shared" si="23"/>
        <v>43000</v>
      </c>
      <c r="O121">
        <f t="shared" si="24"/>
        <v>40850</v>
      </c>
      <c r="P121">
        <f t="shared" si="25"/>
        <v>45150</v>
      </c>
      <c r="Q121">
        <f t="shared" si="30"/>
        <v>0</v>
      </c>
      <c r="R121" s="126">
        <f t="shared" si="26"/>
        <v>4.5910815567890853E-6</v>
      </c>
      <c r="S121" s="126">
        <f t="shared" si="27"/>
        <v>6.6336206500640777E-6</v>
      </c>
      <c r="AA121" s="126">
        <f t="shared" si="31"/>
        <v>4.5910815567890853E-6</v>
      </c>
      <c r="AB121" s="126">
        <f t="shared" si="32"/>
        <v>6.6336206500640777E-6</v>
      </c>
      <c r="AC121" s="126">
        <f t="shared" si="28"/>
        <v>3.0020605671010201E-8</v>
      </c>
      <c r="AD121" s="126">
        <f t="shared" si="29"/>
        <v>3.1667797912687458E-8</v>
      </c>
      <c r="AE121" s="128"/>
    </row>
    <row r="122" spans="11:31" x14ac:dyDescent="0.35">
      <c r="K122">
        <v>1000</v>
      </c>
      <c r="L122">
        <v>47</v>
      </c>
      <c r="M122">
        <f t="shared" si="21"/>
        <v>17</v>
      </c>
      <c r="N122">
        <f t="shared" si="23"/>
        <v>47000</v>
      </c>
      <c r="O122">
        <f t="shared" si="24"/>
        <v>44650</v>
      </c>
      <c r="P122">
        <f t="shared" si="25"/>
        <v>49350</v>
      </c>
      <c r="Q122">
        <f t="shared" si="30"/>
        <v>0</v>
      </c>
      <c r="R122" s="126">
        <f t="shared" si="26"/>
        <v>5.0181588473456631E-6</v>
      </c>
      <c r="S122" s="126">
        <f t="shared" si="27"/>
        <v>7.2504079531873768E-6</v>
      </c>
      <c r="AA122" s="126">
        <f t="shared" si="31"/>
        <v>5.0181588473456631E-6</v>
      </c>
      <c r="AB122" s="126">
        <f t="shared" si="32"/>
        <v>7.2504079531873768E-6</v>
      </c>
      <c r="AC122" s="126">
        <f t="shared" si="28"/>
        <v>3.0009156782882362E-8</v>
      </c>
      <c r="AD122" s="126">
        <f t="shared" si="29"/>
        <v>3.1655052878883296E-8</v>
      </c>
      <c r="AE122" s="128"/>
    </row>
    <row r="123" spans="11:31" x14ac:dyDescent="0.35">
      <c r="K123">
        <v>1000</v>
      </c>
      <c r="L123">
        <v>51</v>
      </c>
      <c r="M123">
        <f t="shared" si="21"/>
        <v>17</v>
      </c>
      <c r="N123">
        <f t="shared" si="23"/>
        <v>51000</v>
      </c>
      <c r="O123">
        <f t="shared" si="24"/>
        <v>48450</v>
      </c>
      <c r="P123">
        <f t="shared" si="25"/>
        <v>53550</v>
      </c>
      <c r="Q123">
        <f t="shared" si="30"/>
        <v>0</v>
      </c>
      <c r="R123" s="126">
        <f t="shared" si="26"/>
        <v>5.4452361270829519E-6</v>
      </c>
      <c r="S123" s="126">
        <f t="shared" si="27"/>
        <v>7.8671952421806426E-6</v>
      </c>
      <c r="AA123" s="126">
        <f t="shared" si="31"/>
        <v>5.4452361270829519E-6</v>
      </c>
      <c r="AB123" s="126">
        <f t="shared" si="32"/>
        <v>7.8671952421806426E-6</v>
      </c>
      <c r="AC123" s="126">
        <f t="shared" si="28"/>
        <v>2.9999516915902657E-8</v>
      </c>
      <c r="AD123" s="126">
        <f t="shared" si="29"/>
        <v>3.1644322463499253E-8</v>
      </c>
      <c r="AE123" s="128"/>
    </row>
    <row r="124" spans="11:31" x14ac:dyDescent="0.35">
      <c r="K124">
        <v>1000</v>
      </c>
      <c r="L124">
        <v>56</v>
      </c>
      <c r="M124">
        <f t="shared" si="21"/>
        <v>17</v>
      </c>
      <c r="N124">
        <f t="shared" si="23"/>
        <v>56000</v>
      </c>
      <c r="O124">
        <f t="shared" si="24"/>
        <v>53200</v>
      </c>
      <c r="P124">
        <f t="shared" si="25"/>
        <v>58800</v>
      </c>
      <c r="Q124">
        <f t="shared" si="30"/>
        <v>0</v>
      </c>
      <c r="R124" s="126">
        <f t="shared" si="26"/>
        <v>5.9790827115399383E-6</v>
      </c>
      <c r="S124" s="126">
        <f t="shared" si="27"/>
        <v>8.6381793335518632E-6</v>
      </c>
      <c r="AA124" s="126">
        <f t="shared" si="31"/>
        <v>5.9790827115399383E-6</v>
      </c>
      <c r="AB124" s="126">
        <f t="shared" si="32"/>
        <v>8.6381793335518632E-6</v>
      </c>
      <c r="AC124" s="126">
        <f t="shared" si="28"/>
        <v>2.9989416546589611E-8</v>
      </c>
      <c r="AD124" s="126">
        <f t="shared" si="29"/>
        <v>3.1633080230849872E-8</v>
      </c>
      <c r="AE124" s="128"/>
    </row>
    <row r="125" spans="11:31" x14ac:dyDescent="0.35">
      <c r="K125">
        <v>1000</v>
      </c>
      <c r="L125">
        <v>62</v>
      </c>
      <c r="M125">
        <f t="shared" si="21"/>
        <v>17</v>
      </c>
      <c r="N125">
        <f t="shared" si="23"/>
        <v>62000</v>
      </c>
      <c r="O125">
        <f t="shared" si="24"/>
        <v>58900</v>
      </c>
      <c r="P125">
        <f t="shared" si="25"/>
        <v>65100</v>
      </c>
      <c r="Q125">
        <f t="shared" si="30"/>
        <v>0</v>
      </c>
      <c r="R125" s="126">
        <f t="shared" si="26"/>
        <v>6.6196985905735367E-6</v>
      </c>
      <c r="S125" s="126">
        <f t="shared" si="27"/>
        <v>9.5633602140541361E-6</v>
      </c>
      <c r="AA125" s="126">
        <f t="shared" si="31"/>
        <v>6.6196985905735367E-6</v>
      </c>
      <c r="AB125" s="126">
        <f t="shared" si="32"/>
        <v>9.5633602140541361E-6</v>
      </c>
      <c r="AC125" s="126">
        <f t="shared" si="28"/>
        <v>2.9979459428575389E-8</v>
      </c>
      <c r="AD125" s="126">
        <f t="shared" si="29"/>
        <v>3.1621998228003438E-8</v>
      </c>
      <c r="AE125" s="128"/>
    </row>
    <row r="126" spans="11:31" x14ac:dyDescent="0.35">
      <c r="K126">
        <v>1000</v>
      </c>
      <c r="L126">
        <v>68</v>
      </c>
      <c r="M126">
        <f t="shared" si="21"/>
        <v>17</v>
      </c>
      <c r="N126">
        <f t="shared" si="23"/>
        <v>68000</v>
      </c>
      <c r="O126">
        <f t="shared" si="24"/>
        <v>64600</v>
      </c>
      <c r="P126">
        <f t="shared" si="25"/>
        <v>71400</v>
      </c>
      <c r="Q126">
        <f t="shared" si="30"/>
        <v>0</v>
      </c>
      <c r="R126" s="126">
        <f t="shared" si="26"/>
        <v>7.2603144452637376E-6</v>
      </c>
      <c r="S126" s="126">
        <f t="shared" si="27"/>
        <v>1.0488541062763834E-5</v>
      </c>
      <c r="AA126" s="126">
        <f t="shared" si="31"/>
        <v>7.2603144452637376E-6</v>
      </c>
      <c r="AB126" s="126">
        <f t="shared" si="32"/>
        <v>1.0488541062763834E-5</v>
      </c>
      <c r="AC126" s="126">
        <f t="shared" si="28"/>
        <v>2.9971269079843629E-8</v>
      </c>
      <c r="AD126" s="126">
        <f t="shared" si="29"/>
        <v>3.1612883175650505E-8</v>
      </c>
      <c r="AE126" s="128"/>
    </row>
    <row r="127" spans="11:31" x14ac:dyDescent="0.35">
      <c r="K127">
        <v>1000</v>
      </c>
      <c r="L127">
        <v>75</v>
      </c>
      <c r="M127">
        <f t="shared" si="21"/>
        <v>17</v>
      </c>
      <c r="N127">
        <f t="shared" si="23"/>
        <v>75000</v>
      </c>
      <c r="O127">
        <f t="shared" si="24"/>
        <v>71250</v>
      </c>
      <c r="P127">
        <f t="shared" si="25"/>
        <v>78750</v>
      </c>
      <c r="Q127">
        <f t="shared" si="30"/>
        <v>0</v>
      </c>
      <c r="R127" s="126">
        <f t="shared" si="26"/>
        <v>8.0076995783016263E-6</v>
      </c>
      <c r="S127" s="126">
        <f t="shared" si="27"/>
        <v>1.1567918679409537E-5</v>
      </c>
      <c r="AA127" s="126">
        <f t="shared" si="31"/>
        <v>8.0076995783016263E-6</v>
      </c>
      <c r="AB127" s="126">
        <f t="shared" si="32"/>
        <v>1.1567918679409537E-5</v>
      </c>
      <c r="AC127" s="126">
        <f t="shared" si="28"/>
        <v>2.9963378175736218E-8</v>
      </c>
      <c r="AD127" s="126">
        <f t="shared" si="29"/>
        <v>3.1604101875044048E-8</v>
      </c>
      <c r="AE127" s="128"/>
    </row>
    <row r="128" spans="11:31" x14ac:dyDescent="0.35">
      <c r="K128">
        <v>1000</v>
      </c>
      <c r="L128">
        <v>82</v>
      </c>
      <c r="M128">
        <f t="shared" si="21"/>
        <v>17</v>
      </c>
      <c r="N128">
        <f t="shared" si="23"/>
        <v>82000</v>
      </c>
      <c r="O128">
        <f t="shared" si="24"/>
        <v>77900</v>
      </c>
      <c r="P128">
        <f t="shared" si="25"/>
        <v>86100</v>
      </c>
      <c r="Q128">
        <f t="shared" si="30"/>
        <v>0</v>
      </c>
      <c r="R128" s="126">
        <f t="shared" si="26"/>
        <v>8.7550846782054452E-6</v>
      </c>
      <c r="S128" s="126">
        <f t="shared" si="27"/>
        <v>1.2647296252782025E-5</v>
      </c>
      <c r="AA128" s="126">
        <f t="shared" si="31"/>
        <v>8.7550846782054452E-6</v>
      </c>
      <c r="AB128" s="126">
        <f t="shared" si="32"/>
        <v>1.2647296252782025E-5</v>
      </c>
      <c r="AC128" s="126">
        <f t="shared" si="28"/>
        <v>2.9956840624843007E-8</v>
      </c>
      <c r="AD128" s="126">
        <f t="shared" si="29"/>
        <v>3.1596827009389568E-8</v>
      </c>
      <c r="AE128" s="128"/>
    </row>
    <row r="129" spans="11:31" x14ac:dyDescent="0.35">
      <c r="K129">
        <v>1000</v>
      </c>
      <c r="L129">
        <v>91</v>
      </c>
      <c r="M129">
        <f t="shared" si="21"/>
        <v>17</v>
      </c>
      <c r="N129">
        <f t="shared" si="23"/>
        <v>91000</v>
      </c>
      <c r="O129">
        <f t="shared" si="24"/>
        <v>86450</v>
      </c>
      <c r="P129">
        <f t="shared" si="25"/>
        <v>95550</v>
      </c>
      <c r="Q129">
        <f t="shared" si="30"/>
        <v>0</v>
      </c>
      <c r="R129" s="126">
        <f t="shared" si="26"/>
        <v>9.7160083293949993E-6</v>
      </c>
      <c r="S129" s="126">
        <f t="shared" si="27"/>
        <v>1.403506735496151E-5</v>
      </c>
      <c r="AA129" s="126">
        <f t="shared" si="31"/>
        <v>9.7160083293949993E-6</v>
      </c>
      <c r="AB129" s="126">
        <f t="shared" si="32"/>
        <v>1.403506735496151E-5</v>
      </c>
      <c r="AC129" s="126">
        <f t="shared" si="28"/>
        <v>2.9949919134670275E-8</v>
      </c>
      <c r="AD129" s="126">
        <f t="shared" si="29"/>
        <v>3.1589125270615376E-8</v>
      </c>
      <c r="AE129" s="128"/>
    </row>
    <row r="130" spans="11:31" x14ac:dyDescent="0.35">
      <c r="M130">
        <f t="shared" si="21"/>
        <v>17</v>
      </c>
      <c r="N130">
        <v>9999999</v>
      </c>
      <c r="R130" s="126"/>
      <c r="S130" s="126"/>
      <c r="AA130" s="126"/>
      <c r="AB130" s="126"/>
      <c r="AC130" s="126"/>
    </row>
  </sheetData>
  <mergeCells count="7">
    <mergeCell ref="B87:C87"/>
    <mergeCell ref="B5:E5"/>
    <mergeCell ref="F5:I5"/>
    <mergeCell ref="E22:E23"/>
    <mergeCell ref="B23:C23"/>
    <mergeCell ref="B47:C47"/>
    <mergeCell ref="B67:C67"/>
  </mergeCells>
  <conditionalFormatting sqref="B11">
    <cfRule type="expression" dxfId="57" priority="32" stopIfTrue="1">
      <formula>AND($B$11="need resistor",$C$11&gt;0)</formula>
    </cfRule>
    <cfRule type="containsText" dxfId="56" priority="36" operator="containsText" text="need resistor">
      <formula>NOT(ISERROR(SEARCH("need resistor",B11)))</formula>
    </cfRule>
  </conditionalFormatting>
  <conditionalFormatting sqref="B11:B12">
    <cfRule type="containsText" dxfId="55" priority="34" operator="containsText" text="no need">
      <formula>NOT(ISERROR(SEARCH("no need",B11)))</formula>
    </cfRule>
  </conditionalFormatting>
  <conditionalFormatting sqref="B12">
    <cfRule type="expression" dxfId="54" priority="31" stopIfTrue="1">
      <formula>AND($B$12="need resistor",$C$12&gt;0)</formula>
    </cfRule>
    <cfRule type="containsText" dxfId="53" priority="33" operator="containsText" text="need resistor">
      <formula>NOT(ISERROR(SEARCH("need resistor",B12)))</formula>
    </cfRule>
  </conditionalFormatting>
  <conditionalFormatting sqref="B42">
    <cfRule type="expression" dxfId="52" priority="59">
      <formula>AND($B$42&gt;$S$2,$B$2=1)</formula>
    </cfRule>
    <cfRule type="expression" dxfId="51" priority="58">
      <formula>AND($B$42&lt;$R$2,$B$2=0)</formula>
    </cfRule>
    <cfRule type="expression" dxfId="50" priority="57" stopIfTrue="1">
      <formula>AND($B$42&lt;=$S$2,$B$2=1)</formula>
    </cfRule>
    <cfRule type="expression" dxfId="49" priority="56" stopIfTrue="1">
      <formula>AND($B$42&gt;=$R$2,$B$2=0)</formula>
    </cfRule>
  </conditionalFormatting>
  <conditionalFormatting sqref="B62">
    <cfRule type="expression" dxfId="48" priority="67">
      <formula>AND($B$62&gt;$S$2,$B$2=1)</formula>
    </cfRule>
    <cfRule type="expression" dxfId="47" priority="66">
      <formula>AND($B$62&lt;$R$2,$B$2=0)</formula>
    </cfRule>
    <cfRule type="expression" dxfId="46" priority="65" stopIfTrue="1">
      <formula>AND($B$62&lt;=$S$2,$B$2=1)</formula>
    </cfRule>
    <cfRule type="expression" dxfId="45" priority="64" stopIfTrue="1">
      <formula>AND($B$62&gt;=$R$2,$B$2=0)</formula>
    </cfRule>
  </conditionalFormatting>
  <conditionalFormatting sqref="B84">
    <cfRule type="cellIs" dxfId="44" priority="45" operator="greaterThan">
      <formula>$S$3</formula>
    </cfRule>
    <cfRule type="cellIs" dxfId="43" priority="44" operator="lessThanOrEqual">
      <formula>$S$3</formula>
    </cfRule>
  </conditionalFormatting>
  <conditionalFormatting sqref="B102">
    <cfRule type="cellIs" dxfId="42" priority="48" operator="lessThanOrEqual">
      <formula>$S$2</formula>
    </cfRule>
    <cfRule type="cellIs" dxfId="41" priority="49" operator="greaterThan">
      <formula>$S$2</formula>
    </cfRule>
  </conditionalFormatting>
  <conditionalFormatting sqref="B18:C18">
    <cfRule type="expression" dxfId="40" priority="53">
      <formula>OR(AND($B$2=0,$C$18&lt;$R$2),AND($B$2=1,$C$18&gt;$S$2))</formula>
    </cfRule>
    <cfRule type="expression" dxfId="39" priority="52" stopIfTrue="1">
      <formula>OR(AND($B$2=0,$C$18&gt;=$R$2),AND($B$2=1,$C$18&lt;=$S$2))</formula>
    </cfRule>
  </conditionalFormatting>
  <conditionalFormatting sqref="B19:C19">
    <cfRule type="expression" dxfId="38" priority="55">
      <formula>OR(AND($B$3=0,$C$19&lt;$R$3),AND($B$3=1,$C$19&gt;$S$3))</formula>
    </cfRule>
    <cfRule type="expression" dxfId="37" priority="54" stopIfTrue="1">
      <formula>OR(AND($B$3=0,$C$19&gt;=$R$3),AND($B$3=1,$C$19&lt;=$S$3))</formula>
    </cfRule>
  </conditionalFormatting>
  <conditionalFormatting sqref="C14">
    <cfRule type="cellIs" dxfId="36" priority="26" operator="equal">
      <formula>"no solution"</formula>
    </cfRule>
  </conditionalFormatting>
  <conditionalFormatting sqref="C44">
    <cfRule type="expression" dxfId="35" priority="63">
      <formula>AND($B$44&gt;$S$3,$B$3=1)</formula>
    </cfRule>
    <cfRule type="expression" dxfId="34" priority="62">
      <formula>AND($B$44&lt;$R$3,$B$3=0)</formula>
    </cfRule>
    <cfRule type="expression" dxfId="33" priority="61" stopIfTrue="1">
      <formula>AND($C$44&lt;=$S$3,$B$3=1)</formula>
    </cfRule>
    <cfRule type="expression" dxfId="32" priority="60" stopIfTrue="1">
      <formula>AND($C$44&gt;=$R$3,$B$3=0)</formula>
    </cfRule>
  </conditionalFormatting>
  <conditionalFormatting sqref="C64">
    <cfRule type="expression" dxfId="31" priority="69" stopIfTrue="1">
      <formula>AND($C$64&lt;=$S$3,$B$3=1)</formula>
    </cfRule>
    <cfRule type="expression" dxfId="30" priority="70">
      <formula>AND($B$64&lt;$R$3,$B$3=0)</formula>
    </cfRule>
    <cfRule type="expression" dxfId="29" priority="71">
      <formula>AND($B$64&gt;$S$3,$B$3=1)</formula>
    </cfRule>
    <cfRule type="expression" dxfId="28" priority="68" stopIfTrue="1">
      <formula>AND($C$64&gt;=$R$3,$B$3=0)</formula>
    </cfRule>
  </conditionalFormatting>
  <conditionalFormatting sqref="C102:D102">
    <cfRule type="cellIs" dxfId="27" priority="28" operator="lessThan">
      <formula>$R$2</formula>
    </cfRule>
    <cfRule type="cellIs" dxfId="26" priority="27" operator="greaterThanOrEqual">
      <formula>$R$2</formula>
    </cfRule>
  </conditionalFormatting>
  <conditionalFormatting sqref="C84:H84">
    <cfRule type="cellIs" dxfId="25" priority="13" operator="lessThan">
      <formula>$R$3</formula>
    </cfRule>
    <cfRule type="cellIs" dxfId="24" priority="12" operator="greaterThanOrEqual">
      <formula>$R$3</formula>
    </cfRule>
  </conditionalFormatting>
  <conditionalFormatting sqref="D11">
    <cfRule type="containsText" dxfId="23" priority="39" stopIfTrue="1" operator="containsText" text="please remove resistor">
      <formula>NOT(ISERROR(SEARCH("please remove resistor",D11)))</formula>
    </cfRule>
    <cfRule type="cellIs" dxfId="22" priority="41" operator="greaterThan">
      <formula>$S$2</formula>
    </cfRule>
    <cfRule type="cellIs" dxfId="21" priority="40" operator="lessThan">
      <formula>$S$2</formula>
    </cfRule>
  </conditionalFormatting>
  <conditionalFormatting sqref="D11:D12">
    <cfRule type="cellIs" priority="24" stopIfTrue="1" operator="equal">
      <formula>""</formula>
    </cfRule>
  </conditionalFormatting>
  <conditionalFormatting sqref="D12 E18:E19">
    <cfRule type="cellIs" dxfId="20" priority="38" operator="lessThan">
      <formula>$R$2-$N$7</formula>
    </cfRule>
    <cfRule type="cellIs" dxfId="19" priority="37" operator="greaterThanOrEqual">
      <formula>$R$2-$N$7</formula>
    </cfRule>
  </conditionalFormatting>
  <conditionalFormatting sqref="D18:D19">
    <cfRule type="cellIs" dxfId="18" priority="42" operator="lessThanOrEqual">
      <formula>$S$2+$N$7</formula>
    </cfRule>
    <cfRule type="cellIs" dxfId="17" priority="43" operator="greaterThan">
      <formula>$S$2+$N$7</formula>
    </cfRule>
  </conditionalFormatting>
  <conditionalFormatting sqref="E102">
    <cfRule type="cellIs" dxfId="16" priority="11" operator="lessThan">
      <formula>$R$3</formula>
    </cfRule>
    <cfRule type="cellIs" dxfId="15" priority="10" operator="greaterThanOrEqual">
      <formula>$R$3</formula>
    </cfRule>
  </conditionalFormatting>
  <conditionalFormatting sqref="F21">
    <cfRule type="containsText" dxfId="14" priority="9" operator="containsText" text="failed">
      <formula>NOT(ISERROR(SEARCH("failed",F21)))</formula>
    </cfRule>
  </conditionalFormatting>
  <conditionalFormatting sqref="F22">
    <cfRule type="containsText" dxfId="13" priority="8" operator="containsText" text="fail">
      <formula>NOT(ISERROR(SEARCH("fail",F22)))</formula>
    </cfRule>
  </conditionalFormatting>
  <conditionalFormatting sqref="F23">
    <cfRule type="containsText" dxfId="12" priority="7" operator="containsText" text="failed">
      <formula>NOT(ISERROR(SEARCH("failed",F23)))</formula>
    </cfRule>
  </conditionalFormatting>
  <conditionalFormatting sqref="F102:H102">
    <cfRule type="cellIs" dxfId="11" priority="20" operator="greaterThanOrEqual">
      <formula>$R$2</formula>
    </cfRule>
    <cfRule type="cellIs" dxfId="10" priority="21" operator="lessThan">
      <formula>$R$2</formula>
    </cfRule>
  </conditionalFormatting>
  <conditionalFormatting sqref="G18">
    <cfRule type="cellIs" dxfId="9" priority="2" operator="lessThan">
      <formula>$V$2</formula>
    </cfRule>
    <cfRule type="cellIs" dxfId="8" priority="1" operator="greaterThan">
      <formula>$V$2</formula>
    </cfRule>
  </conditionalFormatting>
  <conditionalFormatting sqref="G19">
    <cfRule type="cellIs" dxfId="7" priority="3" operator="greaterThan">
      <formula>$V$3</formula>
    </cfRule>
    <cfRule type="cellIs" dxfId="6" priority="4" operator="lessThan">
      <formula>$V$3</formula>
    </cfRule>
  </conditionalFormatting>
  <conditionalFormatting sqref="I18:I19">
    <cfRule type="cellIs" dxfId="5" priority="6" operator="lessThan">
      <formula>$W$2</formula>
    </cfRule>
    <cfRule type="cellIs" dxfId="4" priority="5" operator="greaterThan">
      <formula>$W$2</formula>
    </cfRule>
  </conditionalFormatting>
  <conditionalFormatting sqref="K12">
    <cfRule type="expression" dxfId="3" priority="72">
      <formula>SEARCH("reduce",$F$23)</formula>
    </cfRule>
    <cfRule type="expression" dxfId="2" priority="73">
      <formula>SEARCH("reduce",$F$21)</formula>
    </cfRule>
  </conditionalFormatting>
  <conditionalFormatting sqref="N2">
    <cfRule type="expression" dxfId="1" priority="74">
      <formula>SEARCH("strength",$F$21)</formula>
    </cfRule>
    <cfRule type="expression" dxfId="0" priority="75">
      <formula>SEARCH("strength",$F$23)</formula>
    </cfRule>
  </conditionalFormatting>
  <hyperlinks>
    <hyperlink ref="N25" location="Summary!A1" display="Link to summary" xr:uid="{6463A75A-729D-41C2-8278-2A87ED069C24}"/>
  </hyperlinks>
  <pageMargins left="0.7" right="0.7" top="0.75" bottom="0.75" header="0.3" footer="0.3"/>
  <pageSetup paperSize="9" orientation="portrait" r:id="rId1"/>
  <drawing r:id="rId2"/>
  <legacy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C010-7A92-484F-999E-FCD0C3B01E5C}">
  <sheetPr codeName="Sheet4"/>
  <dimension ref="A1:U89"/>
  <sheetViews>
    <sheetView workbookViewId="0"/>
  </sheetViews>
  <sheetFormatPr defaultRowHeight="14.5" x14ac:dyDescent="0.35"/>
  <cols>
    <col min="1" max="1" width="10.54296875" customWidth="1"/>
  </cols>
  <sheetData>
    <row r="1" spans="1:5" x14ac:dyDescent="0.35">
      <c r="A1" t="s">
        <v>373</v>
      </c>
    </row>
    <row r="3" spans="1:5" x14ac:dyDescent="0.35">
      <c r="A3" t="s">
        <v>374</v>
      </c>
      <c r="D3" t="s">
        <v>375</v>
      </c>
      <c r="E3" t="s">
        <v>376</v>
      </c>
    </row>
    <row r="4" spans="1:5" x14ac:dyDescent="0.35">
      <c r="D4" t="s">
        <v>377</v>
      </c>
      <c r="E4" t="s">
        <v>378</v>
      </c>
    </row>
    <row r="5" spans="1:5" x14ac:dyDescent="0.35">
      <c r="A5" t="s">
        <v>379</v>
      </c>
      <c r="D5" t="s">
        <v>380</v>
      </c>
      <c r="E5" t="s">
        <v>381</v>
      </c>
    </row>
    <row r="8" spans="1:5" x14ac:dyDescent="0.35">
      <c r="A8" t="s">
        <v>318</v>
      </c>
      <c r="B8" s="9">
        <v>1000000000000000</v>
      </c>
      <c r="C8" t="s">
        <v>382</v>
      </c>
    </row>
    <row r="9" spans="1:5" x14ac:dyDescent="0.35">
      <c r="A9" t="s">
        <v>320</v>
      </c>
      <c r="B9">
        <v>1700</v>
      </c>
      <c r="C9" t="s">
        <v>383</v>
      </c>
    </row>
    <row r="10" spans="1:5" x14ac:dyDescent="0.35">
      <c r="A10" t="s">
        <v>322</v>
      </c>
      <c r="B10" s="9">
        <v>1000000000000000</v>
      </c>
      <c r="C10" t="s">
        <v>384</v>
      </c>
    </row>
    <row r="11" spans="1:5" x14ac:dyDescent="0.35">
      <c r="A11" t="s">
        <v>324</v>
      </c>
      <c r="B11">
        <v>456</v>
      </c>
      <c r="C11" t="s">
        <v>385</v>
      </c>
    </row>
    <row r="12" spans="1:5" x14ac:dyDescent="0.35">
      <c r="A12" t="s">
        <v>327</v>
      </c>
      <c r="B12" s="9">
        <v>50000</v>
      </c>
      <c r="C12" t="s">
        <v>386</v>
      </c>
    </row>
    <row r="13" spans="1:5" x14ac:dyDescent="0.35">
      <c r="A13" t="s">
        <v>329</v>
      </c>
      <c r="B13">
        <v>100</v>
      </c>
      <c r="C13" t="s">
        <v>387</v>
      </c>
    </row>
    <row r="14" spans="1:5" x14ac:dyDescent="0.35">
      <c r="A14" t="s">
        <v>332</v>
      </c>
      <c r="B14" s="9">
        <v>1000000000000000</v>
      </c>
      <c r="C14" t="s">
        <v>388</v>
      </c>
    </row>
    <row r="15" spans="1:5" x14ac:dyDescent="0.35">
      <c r="A15" t="s">
        <v>333</v>
      </c>
      <c r="B15" s="9">
        <v>1000000000000000</v>
      </c>
      <c r="C15" t="s">
        <v>389</v>
      </c>
    </row>
    <row r="16" spans="1:5" x14ac:dyDescent="0.35">
      <c r="A16" t="s">
        <v>390</v>
      </c>
      <c r="B16">
        <v>3.0000000000000001E-3</v>
      </c>
      <c r="C16" t="s">
        <v>391</v>
      </c>
    </row>
    <row r="17" spans="1:21" x14ac:dyDescent="0.35">
      <c r="A17" t="s">
        <v>344</v>
      </c>
      <c r="B17">
        <v>1</v>
      </c>
      <c r="C17" t="s">
        <v>392</v>
      </c>
    </row>
    <row r="18" spans="1:21" x14ac:dyDescent="0.35">
      <c r="A18" t="s">
        <v>345</v>
      </c>
      <c r="B18">
        <v>8</v>
      </c>
      <c r="C18" t="s">
        <v>393</v>
      </c>
    </row>
    <row r="19" spans="1:21" x14ac:dyDescent="0.35">
      <c r="A19" t="s">
        <v>346</v>
      </c>
      <c r="B19">
        <v>1</v>
      </c>
      <c r="C19" t="s">
        <v>394</v>
      </c>
    </row>
    <row r="21" spans="1:21" x14ac:dyDescent="0.35">
      <c r="A21" t="s">
        <v>350</v>
      </c>
      <c r="B21">
        <f xml:space="preserve"> (B8*B9*B13*B14*B15*B19+B8*B10*B12*B13*B14*B18+B8*B10*B13*B14*B15*B18+B8*B12*B13*B14*B15*B18+B9*B10*B11*B12*B13*B17+B9*B10*B11*B13*B14*B17+B9*B10*B11*B13*B15*B17+B9*B10*B12*B13*B14*B17+B9*B10*B13*B14*B15*B17+B9*B11*B12*B13*B15*B17+B9*B11*B13*B14*B15*B17+B9*B12*B13*B14*B15*B17+B10*B11*B12*B13*B14*B17+B10*B11*B13*B14*B15*B17+B11*B12*B13*B14*B15*B17) / (B8*B9*B10*B11*B12+B8*B9*B10*B11*B14+B8*B9*B10*B11*B15+B8*B9*B10*B12*B13+B8*B9*B10*B12*B14+B8*B9*B10*B13*B14+B8*B9*B10*B13*B15+B8*B9*B10*B14*B15+B8*B9*B11*B12*B15+B8*B9*B11*B14*B15+B8*B9*B12*B13*B15+B8*B9*B12*B14*B15+B8*B9*B13*B14*B15+B8*B10*B11*B12*B14+B8*B10*B11*B14*B15+B8*B10*B12*B13*B14+B8*B10*B13*B14*B15+B8*B11*B12*B14*B15+B8*B12*B13*B14*B15+B9*B10*B11*B12*B13+B9*B10*B11*B13*B14+B9*B10*B11*B13*B15+B9*B10*B12*B13*B14+B9*B10*B13*B14*B15+B9*B11*B12*B13*B15+B9*B11*B13*B14*B15+B9*B12*B13*B14*B15+B10*B11*B12*B13*B14+B10*B11*B13*B14*B15+B11*B12*B13*B14*B15)</f>
        <v>0.3546099290777055</v>
      </c>
      <c r="C21" t="s">
        <v>375</v>
      </c>
    </row>
    <row r="22" spans="1:21" x14ac:dyDescent="0.35">
      <c r="A22" t="s">
        <v>351</v>
      </c>
      <c r="B22">
        <f xml:space="preserve"> (B8*B9*B11*B14*B15*B19+B8*B9*B13*B14*B15*B19+B8*B10*B11*B12*B14*B18+B8*B10*B11*B14*B15*B18+B8*B10*B12*B13*B14*B18+B8*B10*B13*B14*B15*B18+B8*B11*B12*B14*B15*B18+B8*B12*B13*B14*B15*B18+B9*B10*B12*B13*B14*B17+B9*B10*B13*B14*B15*B17+B9*B11*B13*B14*B15*B19+B9*B12*B13*B14*B15*B17+B10*B11*B12*B13*B14*B18+B10*B11*B13*B14*B15*B18+B11*B12*B13*B14*B15*B18) / (B8*B9*B10*B11*B12+B8*B9*B10*B11*B14+B8*B9*B10*B11*B15+B8*B9*B10*B12*B13+B8*B9*B10*B12*B14+B8*B9*B10*B13*B14+B8*B9*B10*B13*B15+B8*B9*B10*B14*B15+B8*B9*B11*B12*B15+B8*B9*B11*B14*B15+B8*B9*B12*B13*B15+B8*B9*B12*B14*B15+B8*B9*B13*B14*B15+B8*B10*B11*B12*B14+B8*B10*B11*B14*B15+B8*B10*B12*B13*B14+B8*B10*B13*B14*B15+B8*B11*B12*B14*B15+B8*B12*B13*B14*B15+B9*B10*B11*B12*B13+B9*B10*B11*B13*B14+B9*B10*B11*B13*B15+B9*B10*B12*B13*B14+B9*B10*B13*B14*B15+B9*B11*B12*B13*B15+B9*B11*B13*B14*B15+B9*B12*B13*B14*B15+B10*B11*B12*B13*B14+B10*B11*B13*B14*B15+B11*B12*B13*B14*B15)</f>
        <v>1.971631205671748</v>
      </c>
      <c r="C22" t="s">
        <v>377</v>
      </c>
      <c r="E22" t="s">
        <v>395</v>
      </c>
    </row>
    <row r="23" spans="1:21" x14ac:dyDescent="0.35">
      <c r="A23" t="s">
        <v>352</v>
      </c>
      <c r="B23">
        <f xml:space="preserve"> (B8*B9*B11*B12*B15*B19+B8*B9*B11*B14*B15*B19+B8*B9*B12*B13*B15*B19+B8*B9*B12*B14*B15*B19+B8*B9*B13*B14*B15*B19+B8*B10*B11*B14*B15*B18+B8*B10*B13*B14*B15*B18+B8*B11*B12*B14*B15*B19+B8*B12*B13*B14*B15*B19+B9*B10*B13*B14*B15*B17+B9*B11*B12*B13*B15*B19+B9*B11*B13*B14*B15*B19+B9*B12*B13*B14*B15*B19+B10*B11*B13*B14*B15*B18+B11*B12*B13*B14*B15*B19) / (B8*B9*B10*B11*B12+B8*B9*B10*B11*B14+B8*B9*B10*B11*B15+B8*B9*B10*B12*B13+B8*B9*B10*B12*B14+B8*B9*B10*B13*B14+B8*B9*B10*B13*B15+B8*B9*B10*B14*B15+B8*B9*B11*B12*B15+B8*B9*B11*B14*B15+B8*B9*B12*B13*B15+B8*B9*B12*B14*B15+B8*B9*B13*B14*B15+B8*B10*B11*B12*B14+B8*B10*B11*B14*B15+B8*B10*B12*B13*B14+B8*B10*B13*B14*B15+B8*B11*B12*B14*B15+B8*B12*B13*B14*B15+B9*B10*B11*B12*B13+B9*B10*B11*B13*B14+B9*B10*B11*B13*B15+B9*B10*B12*B13*B14+B9*B10*B13*B14*B15+B9*B11*B12*B13*B15+B9*B11*B13*B14*B15+B9*B12*B13*B14*B15+B10*B11*B12*B13*B14+B10*B11*B13*B14*B15+B11*B12*B13*B14*B15)</f>
        <v>1.9716312055245848</v>
      </c>
      <c r="C23" t="s">
        <v>380</v>
      </c>
      <c r="E23" t="s">
        <v>396</v>
      </c>
      <c r="U23" s="9"/>
    </row>
    <row r="24" spans="1:21" x14ac:dyDescent="0.35">
      <c r="E24" t="s">
        <v>397</v>
      </c>
    </row>
    <row r="25" spans="1:21" x14ac:dyDescent="0.35">
      <c r="A25" t="s">
        <v>398</v>
      </c>
    </row>
    <row r="26" spans="1:21" x14ac:dyDescent="0.35">
      <c r="A26" t="s">
        <v>399</v>
      </c>
      <c r="B26">
        <f xml:space="preserve"> (-B8*B10*B11*B12*B14*B27-B8*B10*B11*B14*B15*B27+B8*B10*B12*B13*B14*B18-B8*B10*B12*B13*B14*B27+B8*B10*B13*B14*B15*B18-B8*B10*B13*B14*B15*B27-B8*B11*B12*B14*B15*B27+B8*B12*B13*B14*B15*B18-B8*B12*B13*B14*B15*B27+B10*B11*B12*B13*B14*B17-B10*B11*B12*B13*B14*B27+B10*B11*B13*B14*B15*B17-B10*B11*B13*B14*B15*B27+B11*B12*B13*B14*B15*B17-B11*B12*B13*B14*B15*B27) / (B8*B10*B11*B12*B27+B8*B10*B11*B14*B27+B8*B10*B11*B15*B27+B8*B10*B12*B13*B27+B8*B10*B12*B14*B27+B8*B10*B13*B14*B27+B8*B10*B13*B15*B27+B8*B10*B14*B15*B27+B8*B11*B12*B15*B27+B8*B11*B14*B15*B27+B8*B12*B13*B15*B27+B8*B12*B14*B15*B27-B8*B13*B14*B15*B19+B8*B13*B14*B15*B27-B10*B11*B12*B13*B17+B10*B11*B12*B13*B27-B10*B11*B13*B14*B17+B10*B11*B13*B14*B27-B10*B11*B13*B15*B17+B10*B11*B13*B15*B27-B10*B12*B13*B14*B17+B10*B12*B13*B14*B27-B10*B13*B14*B15*B17+B10*B13*B14*B15*B27-B11*B12*B13*B15*B17+B11*B12*B13*B15*B27-B11*B13*B14*B15*B17+B11*B13*B14*B15*B27-B12*B13*B14*B15*B17+B12*B13*B14*B15*B27)</f>
        <v>586.8571428562924</v>
      </c>
      <c r="E26" t="s">
        <v>400</v>
      </c>
    </row>
    <row r="27" spans="1:21" x14ac:dyDescent="0.35">
      <c r="A27" t="s">
        <v>401</v>
      </c>
      <c r="B27">
        <f>0.7*B17</f>
        <v>0.7</v>
      </c>
      <c r="E27" t="s">
        <v>402</v>
      </c>
    </row>
    <row r="29" spans="1:21" x14ac:dyDescent="0.35">
      <c r="A29" t="s">
        <v>403</v>
      </c>
      <c r="B29">
        <f>2^2</f>
        <v>4</v>
      </c>
    </row>
    <row r="30" spans="1:21" x14ac:dyDescent="0.35">
      <c r="A30" t="s">
        <v>404</v>
      </c>
      <c r="B30">
        <v>0.3</v>
      </c>
    </row>
    <row r="33" spans="1:5" x14ac:dyDescent="0.35">
      <c r="A33" t="s">
        <v>405</v>
      </c>
      <c r="B33">
        <f xml:space="preserve"> (-B8*B9*B10*B11*B12*B34-B8*B9*B10*B11*B15*B34-B8*B9*B10*B12*B13*B34-B8*B9*B10*B13*B15*B34-B8*B9*B11*B12*B15*B34-B8*B9*B12*B13*B15*B34+B9*B10*B11*B12*B13*B17-B9*B10*B11*B12*B13*B34+B9*B10*B11*B13*B15*B17-B9*B10*B11*B13*B15*B34+B9*B11*B12*B13*B15*B17-B9*B11*B12*B13*B15*B34) / (B8*B9*B10*B11*B34+B8*B9*B10*B12*B34+B8*B9*B10*B13*B34+B8*B9*B10*B15*B34+B8*B9*B11*B15*B34+B8*B9*B12*B15*B34-B8*B9*B13*B15*B19+B8*B9*B13*B15*B34+B8*B10*B11*B12*B34+B8*B10*B11*B15*B34-B8*B10*B12*B13*B18+B8*B10*B12*B13*B34-B8*B10*B13*B15*B18+B8*B10*B13*B15*B34+B8*B11*B12*B15*B34-B8*B12*B13*B15*B18+B8*B12*B13*B15*B34-B9*B10*B11*B13*B17+B9*B10*B11*B13*B34-B9*B10*B12*B13*B17+B9*B10*B12*B13*B34-B9*B10*B13*B15*B17+B9*B10*B13*B15*B34-B9*B11*B13*B15*B17+B9*B11*B13*B15*B34-B9*B12*B13*B15*B17+B9*B12*B13*B15*B34-B10*B11*B12*B13*B17+B10*B11*B12*B13*B34-B10*B11*B13*B15*B17+B10*B11*B13*B15*B34-B11*B12*B13*B15*B17+B11*B12*B13*B15*B34)</f>
        <v>2301.6233766275377</v>
      </c>
      <c r="E33" t="s">
        <v>406</v>
      </c>
    </row>
    <row r="34" spans="1:5" x14ac:dyDescent="0.35">
      <c r="A34" t="s">
        <v>404</v>
      </c>
      <c r="B34">
        <f>0.3*B17</f>
        <v>0.3</v>
      </c>
      <c r="E34" t="s">
        <v>407</v>
      </c>
    </row>
    <row r="37" spans="1:5" x14ac:dyDescent="0.35">
      <c r="A37" t="s">
        <v>398</v>
      </c>
      <c r="E37" t="s">
        <v>408</v>
      </c>
    </row>
    <row r="38" spans="1:5" x14ac:dyDescent="0.35">
      <c r="A38" t="s">
        <v>399</v>
      </c>
      <c r="B38">
        <f xml:space="preserve"> (-B8*B10*B11*B12*B14*B39+B8*B10*B11*B14*B15*B18-B8*B10*B11*B14*B15*B39-B8*B10*B12*B13*B14*B39+B8*B10*B13*B14*B15*B18-B8*B10*B13*B14*B15*B39+B8*B11*B12*B14*B15*B19-B8*B11*B12*B14*B15*B39+B8*B12*B13*B14*B15*B19-B8*B12*B13*B14*B15*B39-B10*B11*B12*B13*B14*B39+B10*B11*B13*B14*B15*B18-B10*B11*B13*B14*B15*B39+B11*B12*B13*B14*B15*B19-B11*B12*B13*B14*B15*B39) / (B8*B10*B11*B12*B39+B8*B10*B11*B14*B39+B8*B10*B11*B15*B39+B8*B10*B12*B13*B39+B8*B10*B12*B14*B39+B8*B10*B13*B14*B39+B8*B10*B13*B15*B39+B8*B10*B14*B15*B39-B8*B11*B12*B15*B19+B8*B11*B12*B15*B39-B8*B11*B14*B15*B19+B8*B11*B14*B15*B39-B8*B12*B13*B15*B19+B8*B12*B13*B15*B39-B8*B12*B14*B15*B19+B8*B12*B14*B15*B39-B8*B13*B14*B15*B19+B8*B13*B14*B15*B39+B10*B11*B12*B13*B39+B10*B11*B13*B14*B39+B10*B11*B13*B15*B39+B10*B12*B13*B14*B39-B10*B13*B14*B15*B17+B10*B13*B14*B15*B39-B11*B12*B13*B15*B19+B11*B12*B13*B15*B39-B11*B13*B14*B15*B19+B11*B13*B14*B15*B39-B12*B13*B14*B15*B19+B12*B13*B14*B15*B39)</f>
        <v>5798.2857140998176</v>
      </c>
      <c r="E38" t="s">
        <v>409</v>
      </c>
    </row>
    <row r="39" spans="1:5" x14ac:dyDescent="0.35">
      <c r="A39" t="s">
        <v>410</v>
      </c>
      <c r="B39">
        <f>0.7*B19</f>
        <v>0.7</v>
      </c>
    </row>
    <row r="40" spans="1:5" x14ac:dyDescent="0.35">
      <c r="E40" t="s">
        <v>411</v>
      </c>
    </row>
    <row r="41" spans="1:5" x14ac:dyDescent="0.35">
      <c r="A41" t="s">
        <v>405</v>
      </c>
      <c r="B41">
        <f xml:space="preserve"> (-B8*B9*B10*B11*B12*B42-B8*B9*B10*B11*B15*B42-B8*B9*B10*B12*B13*B42-B8*B9*B10*B13*B15*B42+B8*B9*B11*B12*B15*B19-B8*B9*B11*B12*B15*B42+B8*B9*B12*B13*B15*B19-B8*B9*B12*B13*B15*B42-B9*B10*B11*B12*B13*B42-B9*B10*B11*B13*B15*B42+B9*B11*B12*B13*B15*B19-B9*B11*B12*B13*B15*B42) / (B8*B9*B10*B11*B42+B8*B9*B10*B12*B42+B8*B9*B10*B13*B42+B8*B9*B10*B15*B42-B8*B9*B11*B15*B19+B8*B9*B11*B15*B42-B8*B9*B12*B15*B19+B8*B9*B12*B15*B42-B8*B9*B13*B15*B19+B8*B9*B13*B15*B42+B8*B10*B11*B12*B42-B8*B10*B11*B15*B18+B8*B10*B11*B15*B42+B8*B10*B12*B13*B42-B8*B10*B13*B15*B18+B8*B10*B13*B15*B42-B8*B11*B12*B15*B19+B8*B11*B12*B15*B42-B8*B12*B13*B15*B19+B8*B12*B13*B15*B42+B9*B10*B11*B13*B42+B9*B10*B12*B13*B42-B9*B10*B13*B15*B17+B9*B10*B13*B15*B42-B9*B11*B13*B15*B19+B9*B11*B13*B15*B42-B9*B12*B13*B15*B19+B9*B12*B13*B15*B42+B10*B11*B12*B13*B42-B10*B11*B13*B15*B18+B10*B11*B13*B15*B42-B11*B12*B13*B15*B19+B11*B12*B13*B15*B42)</f>
        <v>75.19092065593523</v>
      </c>
      <c r="E41" t="s">
        <v>412</v>
      </c>
    </row>
    <row r="42" spans="1:5" x14ac:dyDescent="0.35">
      <c r="A42" t="s">
        <v>413</v>
      </c>
      <c r="B42">
        <f>0.3*B19</f>
        <v>0.3</v>
      </c>
    </row>
    <row r="44" spans="1:5" x14ac:dyDescent="0.35">
      <c r="E44" t="s">
        <v>414</v>
      </c>
    </row>
    <row r="45" spans="1:5" x14ac:dyDescent="0.35">
      <c r="E45" t="s">
        <v>415</v>
      </c>
    </row>
    <row r="46" spans="1:5" x14ac:dyDescent="0.35">
      <c r="E46" t="s">
        <v>416</v>
      </c>
    </row>
    <row r="51" spans="5:5" x14ac:dyDescent="0.35">
      <c r="E51" t="s">
        <v>417</v>
      </c>
    </row>
    <row r="52" spans="5:5" x14ac:dyDescent="0.35">
      <c r="E52" t="s">
        <v>418</v>
      </c>
    </row>
    <row r="54" spans="5:5" x14ac:dyDescent="0.35">
      <c r="E54" t="s">
        <v>419</v>
      </c>
    </row>
    <row r="55" spans="5:5" x14ac:dyDescent="0.35">
      <c r="E55" t="s">
        <v>420</v>
      </c>
    </row>
    <row r="57" spans="5:5" x14ac:dyDescent="0.35">
      <c r="E57" t="s">
        <v>421</v>
      </c>
    </row>
    <row r="58" spans="5:5" x14ac:dyDescent="0.35">
      <c r="E58" t="s">
        <v>422</v>
      </c>
    </row>
    <row r="60" spans="5:5" x14ac:dyDescent="0.35">
      <c r="E60" t="s">
        <v>423</v>
      </c>
    </row>
    <row r="61" spans="5:5" x14ac:dyDescent="0.35">
      <c r="E61" t="s">
        <v>424</v>
      </c>
    </row>
    <row r="63" spans="5:5" x14ac:dyDescent="0.35">
      <c r="E63" t="s">
        <v>425</v>
      </c>
    </row>
    <row r="64" spans="5:5" x14ac:dyDescent="0.35">
      <c r="E64" t="s">
        <v>426</v>
      </c>
    </row>
    <row r="69" spans="1:6" x14ac:dyDescent="0.35">
      <c r="D69" t="s">
        <v>427</v>
      </c>
      <c r="F69" t="s">
        <v>428</v>
      </c>
    </row>
    <row r="70" spans="1:6" x14ac:dyDescent="0.35">
      <c r="A70">
        <v>7</v>
      </c>
      <c r="B70" t="s">
        <v>429</v>
      </c>
      <c r="C70">
        <v>1</v>
      </c>
      <c r="D70" t="s">
        <v>382</v>
      </c>
      <c r="E70">
        <f>C70+A$70</f>
        <v>8</v>
      </c>
      <c r="F70" t="str">
        <f>SUBSTITUTE(F69,D70,"*" &amp; B$70 &amp; E70)</f>
        <v>x = (bcdfgs+bcdghs+bcdgis+bcfghs+bcghis+bdfgis+bdghis+bfghis+cdfghs+cdghis+dfghis+bghio+cfghn+cghin+fghin) / (bcdf+bcdh+bcdi+bcfg+bcfh+bcgh+bcgi+bchi+bdfi+bdhi+bfgi+bfhi+bghi+cdfh+cdhi+cfgh+cghi+dfhi+fghi)</v>
      </c>
    </row>
    <row r="71" spans="1:6" x14ac:dyDescent="0.35">
      <c r="C71">
        <v>2</v>
      </c>
      <c r="D71" t="s">
        <v>383</v>
      </c>
      <c r="E71">
        <f>C71+A$70</f>
        <v>9</v>
      </c>
      <c r="F71" t="str">
        <f>SUBSTITUTE(F70,D71,"*" &amp; B$70 &amp; E71)</f>
        <v>x = (*B9cdfgs+*B9cdghs+*B9cdgis+*B9cfghs+*B9cghis+*B9dfgis+*B9dghis+*B9fghis+cdfghs+cdghis+dfghis+*B9ghio+cfghn+cghin+fghin) / (*B9cdf+*B9cdh+*B9cdi+*B9cfg+*B9cfh+*B9cgh+*B9cgi+*B9chi+*B9dfi+*B9dhi+*B9fgi+*B9fhi+*B9ghi+cdfh+cdhi+cfgh+cghi+dfhi+fghi)</v>
      </c>
    </row>
    <row r="72" spans="1:6" x14ac:dyDescent="0.35">
      <c r="C72">
        <v>3</v>
      </c>
      <c r="D72" t="s">
        <v>384</v>
      </c>
      <c r="E72">
        <f t="shared" ref="E72:E84" si="0">C72+A$70</f>
        <v>10</v>
      </c>
      <c r="F72" t="str">
        <f>SUBSTITUTE(F71,D72,"*" &amp; B$70 &amp; E72)</f>
        <v>x = (*B9*B10dfgs+*B9*B10dghs+*B9*B10dgis+*B9*B10fghs+*B9*B10ghis+*B9dfgis+*B9dghis+*B9fghis+*B10dfghs+*B10dghis+dfghis+*B9ghio+*B10fghn+*B10ghin+fghin) / (*B9*B10df+*B9*B10dh+*B9*B10di+*B9*B10fg+*B9*B10fh+*B9*B10gh+*B9*B10gi+*B9*B10hi+*B9dfi+*B9dhi+*B9fgi+*B9fhi+*B9ghi+*B10dfh+*B10dhi+*B10fgh+*B10ghi+dfhi+fghi)</v>
      </c>
    </row>
    <row r="73" spans="1:6" x14ac:dyDescent="0.35">
      <c r="C73">
        <v>4</v>
      </c>
      <c r="D73" t="s">
        <v>385</v>
      </c>
      <c r="E73">
        <f t="shared" si="0"/>
        <v>11</v>
      </c>
      <c r="F73" t="str">
        <f t="shared" ref="F73:F84" si="1">SUBSTITUTE(F72,D73,"*" &amp; B$70 &amp; E73)</f>
        <v>x = (*B9*B10*B11fgs+*B9*B10*B11ghs+*B9*B10*B11gis+*B9*B10fghs+*B9*B10ghis+*B9*B11fgis+*B9*B11ghis+*B9fghis+*B10*B11fghs+*B10*B11ghis+*B11fghis+*B9ghio+*B10fghn+*B10ghin+fghin) / (*B9*B10*B11f+*B9*B10*B11h+*B9*B10*B11i+*B9*B10fg+*B9*B10fh+*B9*B10gh+*B9*B10gi+*B9*B10hi+*B9*B11fi+*B9*B11hi+*B9fgi+*B9fhi+*B9ghi+*B10*B11fh+*B10*B11hi+*B10fgh+*B10ghi+*B11fhi+fghi)</v>
      </c>
    </row>
    <row r="74" spans="1:6" x14ac:dyDescent="0.35">
      <c r="C74">
        <v>5</v>
      </c>
      <c r="D74" t="s">
        <v>386</v>
      </c>
      <c r="E74">
        <f t="shared" si="0"/>
        <v>12</v>
      </c>
      <c r="F74" t="str">
        <f t="shared" si="1"/>
        <v>x = (*B9*B10*B11*B12gs+*B9*B10*B11ghs+*B9*B10*B11gis+*B9*B10*B12ghs+*B9*B10ghis+*B9*B11*B12gis+*B9*B11ghis+*B9*B12ghis+*B10*B11*B12ghs+*B10*B11ghis+*B11*B12ghis+*B9ghio+*B10*B12ghn+*B10ghin+*B12ghin) / (*B9*B10*B11*B12+*B9*B10*B11h+*B9*B10*B11i+*B9*B10*B12g+*B9*B10*B12h+*B9*B10gh+*B9*B10gi+*B9*B10hi+*B9*B11*B12i+*B9*B11hi+*B9*B12gi+*B9*B12hi+*B9ghi+*B10*B11*B12h+*B10*B11hi+*B10*B12gh+*B10ghi+*B11*B12hi+*B12ghi)</v>
      </c>
    </row>
    <row r="75" spans="1:6" x14ac:dyDescent="0.35">
      <c r="C75">
        <v>6</v>
      </c>
      <c r="D75" t="s">
        <v>387</v>
      </c>
      <c r="E75">
        <f t="shared" si="0"/>
        <v>13</v>
      </c>
      <c r="F75" t="str">
        <f t="shared" si="1"/>
        <v>x = (*B9*B10*B11*B12*B13s+*B9*B10*B11*B13hs+*B9*B10*B11*B13is+*B9*B10*B12*B13hs+*B9*B10*B13his+*B9*B11*B12*B13is+*B9*B11*B13his+*B9*B12*B13his+*B10*B11*B12*B13hs+*B10*B11*B13his+*B11*B12*B13his+*B9*B13hio+*B10*B12*B13hn+*B10*B13hin+*B12*B13hin) / (*B9*B10*B11*B12+*B9*B10*B11h+*B9*B10*B11i+*B9*B10*B12*B13+*B9*B10*B12h+*B9*B10*B13h+*B9*B10*B13i+*B9*B10hi+*B9*B11*B12i+*B9*B11hi+*B9*B12*B13i+*B9*B12hi+*B9*B13hi+*B10*B11*B12h+*B10*B11hi+*B10*B12*B13h+*B10*B13hi+*B11*B12hi+*B12*B13hi)</v>
      </c>
    </row>
    <row r="76" spans="1:6" x14ac:dyDescent="0.35">
      <c r="C76">
        <v>7</v>
      </c>
      <c r="D76" t="s">
        <v>388</v>
      </c>
      <c r="E76">
        <f t="shared" si="0"/>
        <v>14</v>
      </c>
      <c r="F76" t="str">
        <f t="shared" si="1"/>
        <v>x = (*B9*B10*B11*B12*B13s+*B9*B10*B11*B13*B14s+*B9*B10*B11*B13is+*B9*B10*B12*B13*B14s+*B9*B10*B13*B14is+*B9*B11*B12*B13is+*B9*B11*B13*B14is+*B9*B12*B13*B14is+*B10*B11*B12*B13*B14s+*B10*B11*B13*B14is+*B11*B12*B13*B14is+*B9*B13*B14io+*B10*B12*B13*B14n+*B10*B13*B14in+*B12*B13*B14in) / (*B9*B10*B11*B12+*B9*B10*B11*B14+*B9*B10*B11i+*B9*B10*B12*B13+*B9*B10*B12*B14+*B9*B10*B13*B14+*B9*B10*B13i+*B9*B10*B14i+*B9*B11*B12i+*B9*B11*B14i+*B9*B12*B13i+*B9*B12*B14i+*B9*B13*B14i+*B10*B11*B12*B14+*B10*B11*B14i+*B10*B12*B13*B14+*B10*B13*B14i+*B11*B12*B14i+*B12*B13*B14i)</v>
      </c>
    </row>
    <row r="77" spans="1:6" x14ac:dyDescent="0.35">
      <c r="C77">
        <v>8</v>
      </c>
      <c r="D77" t="s">
        <v>389</v>
      </c>
      <c r="E77">
        <f t="shared" si="0"/>
        <v>15</v>
      </c>
      <c r="F77" t="str">
        <f t="shared" si="1"/>
        <v>x = (*B9*B10*B11*B12*B13s+*B9*B10*B11*B13*B14s+*B9*B10*B11*B13*B15s+*B9*B10*B12*B13*B14s+*B9*B10*B13*B14*B15s+*B9*B11*B12*B13*B15s+*B9*B11*B13*B14*B15s+*B9*B12*B13*B14*B15s+*B10*B11*B12*B13*B14s+*B10*B11*B13*B14*B15s+*B11*B12*B13*B14*B15s+*B9*B13*B14*B15o+*B10*B12*B13*B14n+*B10*B13*B14*B15n+*B12*B13*B14*B15n) / (*B9*B10*B11*B12+*B9*B10*B11*B14+*B9*B10*B11*B15+*B9*B10*B12*B13+*B9*B10*B12*B14+*B9*B10*B13*B14+*B9*B10*B13*B15+*B9*B10*B14*B15+*B9*B11*B12*B15+*B9*B11*B14*B15+*B9*B12*B13*B15+*B9*B12*B14*B15+*B9*B13*B14*B15+*B10*B11*B12*B14+*B10*B11*B14*B15+*B10*B12*B13*B14+*B10*B13*B14*B15+*B11*B12*B14*B15+*B12*B13*B14*B15)</v>
      </c>
    </row>
    <row r="78" spans="1:6" x14ac:dyDescent="0.35">
      <c r="C78">
        <v>9</v>
      </c>
      <c r="D78" t="s">
        <v>391</v>
      </c>
      <c r="E78">
        <f t="shared" si="0"/>
        <v>16</v>
      </c>
      <c r="F78" t="str">
        <f t="shared" si="1"/>
        <v>x = (*B9*B10*B11*B12*B13*B16+*B9*B10*B11*B13*B14*B16+*B9*B10*B11*B13*B15*B16+*B9*B10*B12*B13*B14*B16+*B9*B10*B13*B14*B15*B16+*B9*B11*B12*B13*B15*B16+*B9*B11*B13*B14*B15*B16+*B9*B12*B13*B14*B15*B16+*B10*B11*B12*B13*B14*B16+*B10*B11*B13*B14*B15*B16+*B11*B12*B13*B14*B15*B16+*B9*B13*B14*B15o+*B10*B12*B13*B14n+*B10*B13*B14*B15n+*B12*B13*B14*B15n) / (*B9*B10*B11*B12+*B9*B10*B11*B14+*B9*B10*B11*B15+*B9*B10*B12*B13+*B9*B10*B12*B14+*B9*B10*B13*B14+*B9*B10*B13*B15+*B9*B10*B14*B15+*B9*B11*B12*B15+*B9*B11*B14*B15+*B9*B12*B13*B15+*B9*B12*B14*B15+*B9*B13*B14*B15+*B10*B11*B12*B14+*B10*B11*B14*B15+*B10*B12*B13*B14+*B10*B13*B14*B15+*B11*B12*B14*B15+*B12*B13*B14*B15)</v>
      </c>
    </row>
    <row r="79" spans="1:6" x14ac:dyDescent="0.35">
      <c r="C79">
        <v>10</v>
      </c>
      <c r="D79" t="s">
        <v>392</v>
      </c>
      <c r="E79">
        <f t="shared" si="0"/>
        <v>17</v>
      </c>
      <c r="F79" t="str">
        <f t="shared" si="1"/>
        <v>x = (*B9*B10*B11*B12*B13*B16+*B9*B10*B11*B13*B14*B16+*B9*B10*B11*B13*B15*B16+*B9*B10*B12*B13*B14*B16+*B9*B10*B13*B14*B15*B16+*B9*B11*B12*B13*B15*B16+*B9*B11*B13*B14*B15*B16+*B9*B12*B13*B14*B15*B16+*B10*B11*B12*B13*B14*B16+*B10*B11*B13*B14*B15*B16+*B11*B12*B13*B14*B15*B16+*B9*B13*B14*B15o+*B10*B12*B13*B14n+*B10*B13*B14*B15n+*B12*B13*B14*B15n) / (*B9*B10*B11*B12+*B9*B10*B11*B14+*B9*B10*B11*B15+*B9*B10*B12*B13+*B9*B10*B12*B14+*B9*B10*B13*B14+*B9*B10*B13*B15+*B9*B10*B14*B15+*B9*B11*B12*B15+*B9*B11*B14*B15+*B9*B12*B13*B15+*B9*B12*B14*B15+*B9*B13*B14*B15+*B10*B11*B12*B14+*B10*B11*B14*B15+*B10*B12*B13*B14+*B10*B13*B14*B15+*B11*B12*B14*B15+*B12*B13*B14*B15)</v>
      </c>
    </row>
    <row r="80" spans="1:6" x14ac:dyDescent="0.35">
      <c r="C80">
        <v>11</v>
      </c>
      <c r="D80" t="s">
        <v>393</v>
      </c>
      <c r="E80">
        <f t="shared" si="0"/>
        <v>18</v>
      </c>
      <c r="F80" t="str">
        <f t="shared" si="1"/>
        <v>x = (*B9*B10*B11*B12*B13*B16+*B9*B10*B11*B13*B14*B16+*B9*B10*B11*B13*B15*B16+*B9*B10*B12*B13*B14*B16+*B9*B10*B13*B14*B15*B16+*B9*B11*B12*B13*B15*B16+*B9*B11*B13*B14*B15*B16+*B9*B12*B13*B14*B15*B16+*B10*B11*B12*B13*B14*B16+*B10*B11*B13*B14*B15*B16+*B11*B12*B13*B14*B15*B16+*B9*B13*B14*B15o+*B10*B12*B13*B14*B18+*B10*B13*B14*B15*B18+*B12*B13*B14*B15*B18) / (*B9*B10*B11*B12+*B9*B10*B11*B14+*B9*B10*B11*B15+*B9*B10*B12*B13+*B9*B10*B12*B14+*B9*B10*B13*B14+*B9*B10*B13*B15+*B9*B10*B14*B15+*B9*B11*B12*B15+*B9*B11*B14*B15+*B9*B12*B13*B15+*B9*B12*B14*B15+*B9*B13*B14*B15+*B10*B11*B12*B14+*B10*B11*B14*B15+*B10*B12*B13*B14+*B10*B13*B14*B15+*B11*B12*B14*B15+*B12*B13*B14*B15)</v>
      </c>
    </row>
    <row r="81" spans="3:6" x14ac:dyDescent="0.35">
      <c r="C81">
        <v>12</v>
      </c>
      <c r="D81" t="s">
        <v>394</v>
      </c>
      <c r="E81">
        <f t="shared" si="0"/>
        <v>19</v>
      </c>
      <c r="F81" t="str">
        <f t="shared" si="1"/>
        <v>x = (*B9*B10*B11*B12*B13*B16+*B9*B10*B11*B13*B14*B16+*B9*B10*B11*B13*B15*B16+*B9*B10*B12*B13*B14*B16+*B9*B10*B13*B14*B15*B16+*B9*B11*B12*B13*B15*B16+*B9*B11*B13*B14*B15*B16+*B9*B12*B13*B14*B15*B16+*B10*B11*B12*B13*B14*B16+*B10*B11*B13*B14*B15*B16+*B11*B12*B13*B14*B15*B16+*B9*B13*B14*B15*B19+*B10*B12*B13*B14*B18+*B10*B13*B14*B15*B18+*B12*B13*B14*B15*B18) / (*B9*B10*B11*B12+*B9*B10*B11*B14+*B9*B10*B11*B15+*B9*B10*B12*B13+*B9*B10*B12*B14+*B9*B10*B13*B14+*B9*B10*B13*B15+*B9*B10*B14*B15+*B9*B11*B12*B15+*B9*B11*B14*B15+*B9*B12*B13*B15+*B9*B12*B14*B15+*B9*B13*B14*B15+*B10*B11*B12*B14+*B10*B11*B14*B15+*B10*B12*B13*B14+*B10*B13*B14*B15+*B11*B12*B14*B15+*B12*B13*B14*B15)</v>
      </c>
    </row>
    <row r="82" spans="3:6" x14ac:dyDescent="0.35">
      <c r="C82">
        <v>14</v>
      </c>
      <c r="D82" t="s">
        <v>375</v>
      </c>
      <c r="E82">
        <f t="shared" si="0"/>
        <v>21</v>
      </c>
      <c r="F82" t="str">
        <f t="shared" si="1"/>
        <v>*B21 = (*B9*B10*B11*B12*B13*B16+*B9*B10*B11*B13*B14*B16+*B9*B10*B11*B13*B15*B16+*B9*B10*B12*B13*B14*B16+*B9*B10*B13*B14*B15*B16+*B9*B11*B12*B13*B15*B16+*B9*B11*B13*B14*B15*B16+*B9*B12*B13*B14*B15*B16+*B10*B11*B12*B13*B14*B16+*B10*B11*B13*B14*B15*B16+*B11*B12*B13*B14*B15*B16+*B9*B13*B14*B15*B19+*B10*B12*B13*B14*B18+*B10*B13*B14*B15*B18+*B12*B13*B14*B15*B18) / (*B9*B10*B11*B12+*B9*B10*B11*B14+*B9*B10*B11*B15+*B9*B10*B12*B13+*B9*B10*B12*B14+*B9*B10*B13*B14+*B9*B10*B13*B15+*B9*B10*B14*B15+*B9*B11*B12*B15+*B9*B11*B14*B15+*B9*B12*B13*B15+*B9*B12*B14*B15+*B9*B13*B14*B15+*B10*B11*B12*B14+*B10*B11*B14*B15+*B10*B12*B13*B14+*B10*B13*B14*B15+*B11*B12*B14*B15+*B12*B13*B14*B15)</v>
      </c>
    </row>
    <row r="83" spans="3:6" x14ac:dyDescent="0.35">
      <c r="C83">
        <v>15</v>
      </c>
      <c r="D83" t="s">
        <v>377</v>
      </c>
      <c r="E83">
        <f t="shared" si="0"/>
        <v>22</v>
      </c>
      <c r="F83" t="str">
        <f t="shared" si="1"/>
        <v>*B21 = (*B9*B10*B11*B12*B13*B16+*B9*B10*B11*B13*B14*B16+*B9*B10*B11*B13*B15*B16+*B9*B10*B12*B13*B14*B16+*B9*B10*B13*B14*B15*B16+*B9*B11*B12*B13*B15*B16+*B9*B11*B13*B14*B15*B16+*B9*B12*B13*B14*B15*B16+*B10*B11*B12*B13*B14*B16+*B10*B11*B13*B14*B15*B16+*B11*B12*B13*B14*B15*B16+*B9*B13*B14*B15*B19+*B10*B12*B13*B14*B18+*B10*B13*B14*B15*B18+*B12*B13*B14*B15*B18) / (*B9*B10*B11*B12+*B9*B10*B11*B14+*B9*B10*B11*B15+*B9*B10*B12*B13+*B9*B10*B12*B14+*B9*B10*B13*B14+*B9*B10*B13*B15+*B9*B10*B14*B15+*B9*B11*B12*B15+*B9*B11*B14*B15+*B9*B12*B13*B15+*B9*B12*B14*B15+*B9*B13*B14*B15+*B10*B11*B12*B14+*B10*B11*B14*B15+*B10*B12*B13*B14+*B10*B13*B14*B15+*B11*B12*B14*B15+*B12*B13*B14*B15)</v>
      </c>
    </row>
    <row r="84" spans="3:6" x14ac:dyDescent="0.35">
      <c r="C84">
        <v>16</v>
      </c>
      <c r="D84" t="s">
        <v>380</v>
      </c>
      <c r="E84">
        <f t="shared" si="0"/>
        <v>23</v>
      </c>
      <c r="F84" t="str">
        <f t="shared" si="1"/>
        <v>*B21 = (*B9*B10*B11*B12*B13*B16+*B9*B10*B11*B13*B14*B16+*B9*B10*B11*B13*B15*B16+*B9*B10*B12*B13*B14*B16+*B9*B10*B13*B14*B15*B16+*B9*B11*B12*B13*B15*B16+*B9*B11*B13*B14*B15*B16+*B9*B12*B13*B14*B15*B16+*B10*B11*B12*B13*B14*B16+*B10*B11*B13*B14*B15*B16+*B11*B12*B13*B14*B15*B16+*B9*B13*B14*B15*B19+*B10*B12*B13*B14*B18+*B10*B13*B14*B15*B18+*B12*B13*B14*B15*B18) / (*B9*B10*B11*B12+*B9*B10*B11*B14+*B9*B10*B11*B15+*B9*B10*B12*B13+*B9*B10*B12*B14+*B9*B10*B13*B14+*B9*B10*B13*B15+*B9*B10*B14*B15+*B9*B11*B12*B15+*B9*B11*B14*B15+*B9*B12*B13*B15+*B9*B12*B14*B15+*B9*B13*B14*B15+*B10*B11*B12*B14+*B10*B11*B14*B15+*B10*B12*B13*B14+*B10*B13*B14*B15+*B11*B12*B14*B15+*B12*B13*B14*B15)</v>
      </c>
    </row>
    <row r="85" spans="3:6" x14ac:dyDescent="0.35">
      <c r="D85" t="s">
        <v>430</v>
      </c>
      <c r="E85" t="s">
        <v>430</v>
      </c>
      <c r="F85" t="str">
        <f>SUBSTITUTE(F84,D85 &amp; "*", E85)</f>
        <v>*B21 = (*B9*B10*B11*B12*B13*B16+B9*B10*B11*B13*B14*B16+B9*B10*B11*B13*B15*B16+B9*B10*B12*B13*B14*B16+B9*B10*B13*B14*B15*B16+B9*B11*B12*B13*B15*B16+B9*B11*B13*B14*B15*B16+B9*B12*B13*B14*B15*B16+B10*B11*B12*B13*B14*B16+B10*B11*B13*B14*B15*B16+B11*B12*B13*B14*B15*B16+B9*B13*B14*B15*B19+B10*B12*B13*B14*B18+B10*B13*B14*B15*B18+B12*B13*B14*B15*B18) / (*B9*B10*B11*B12+B9*B10*B11*B14+B9*B10*B11*B15+B9*B10*B12*B13+B9*B10*B12*B14+B9*B10*B13*B14+B9*B10*B13*B15+B9*B10*B14*B15+B9*B11*B12*B15+B9*B11*B14*B15+B9*B12*B13*B15+B9*B12*B14*B15+B9*B13*B14*B15+B10*B11*B12*B14+B10*B11*B14*B15+B10*B12*B13*B14+B10*B13*B14*B15+B11*B12*B14*B15+B12*B13*B14*B15)</v>
      </c>
    </row>
    <row r="86" spans="3:6" x14ac:dyDescent="0.35">
      <c r="D86" t="s">
        <v>431</v>
      </c>
      <c r="E86" s="51" t="s">
        <v>432</v>
      </c>
      <c r="F86" t="str">
        <f>SUBSTITUTE(F85,D86 &amp; "*", E86)</f>
        <v>*B21 = (*B9*B10*B11*B12*B13*B16+B9*B10*B11*B13*B14*B16+B9*B10*B11*B13*B15*B16+B9*B10*B12*B13*B14*B16+B9*B10*B13*B14*B15*B16+B9*B11*B12*B13*B15*B16+B9*B11*B13*B14*B15*B16+B9*B12*B13*B14*B15*B16+B10*B11*B12*B13*B14*B16+B10*B11*B13*B14*B15*B16+B11*B12*B13*B14*B15*B16+B9*B13*B14*B15*B19+B10*B12*B13*B14*B18+B10*B13*B14*B15*B18+B12*B13*B14*B15*B18) / (*B9*B10*B11*B12+B9*B10*B11*B14+B9*B10*B11*B15+B9*B10*B12*B13+B9*B10*B12*B14+B9*B10*B13*B14+B9*B10*B13*B15+B9*B10*B14*B15+B9*B11*B12*B15+B9*B11*B14*B15+B9*B12*B13*B15+B9*B12*B14*B15+B9*B13*B14*B15+B10*B11*B12*B14+B10*B11*B14*B15+B10*B12*B13*B14+B10*B13*B14*B15+B11*B12*B14*B15+B12*B13*B14*B15)</v>
      </c>
    </row>
    <row r="87" spans="3:6" x14ac:dyDescent="0.35">
      <c r="D87" t="s">
        <v>433</v>
      </c>
      <c r="E87" t="s">
        <v>433</v>
      </c>
      <c r="F87" t="str">
        <f>SUBSTITUTE(F86,D87 &amp; "*", E87)</f>
        <v>*B21 = (B9*B10*B11*B12*B13*B16+B9*B10*B11*B13*B14*B16+B9*B10*B11*B13*B15*B16+B9*B10*B12*B13*B14*B16+B9*B10*B13*B14*B15*B16+B9*B11*B12*B13*B15*B16+B9*B11*B13*B14*B15*B16+B9*B12*B13*B14*B15*B16+B10*B11*B12*B13*B14*B16+B10*B11*B13*B14*B15*B16+B11*B12*B13*B14*B15*B16+B9*B13*B14*B15*B19+B10*B12*B13*B14*B18+B10*B13*B14*B15*B18+B12*B13*B14*B15*B18) / (B9*B10*B11*B12+B9*B10*B11*B14+B9*B10*B11*B15+B9*B10*B12*B13+B9*B10*B12*B14+B9*B10*B13*B14+B9*B10*B13*B15+B9*B10*B14*B15+B9*B11*B12*B15+B9*B11*B14*B15+B9*B12*B13*B15+B9*B12*B14*B15+B9*B13*B14*B15+B10*B11*B12*B14+B10*B11*B14*B15+B10*B12*B13*B14+B10*B13*B14*B15+B11*B12*B14*B15+B12*B13*B14*B15)</v>
      </c>
    </row>
    <row r="89" spans="3:6" x14ac:dyDescent="0.35">
      <c r="F89" t="str">
        <f>RIGHT(F87,LEN(F87)-2)</f>
        <v>21 = (B9*B10*B11*B12*B13*B16+B9*B10*B11*B13*B14*B16+B9*B10*B11*B13*B15*B16+B9*B10*B12*B13*B14*B16+B9*B10*B13*B14*B15*B16+B9*B11*B12*B13*B15*B16+B9*B11*B13*B14*B15*B16+B9*B12*B13*B14*B15*B16+B10*B11*B12*B13*B14*B16+B10*B11*B13*B14*B15*B16+B11*B12*B13*B14*B15*B16+B9*B13*B14*B15*B19+B10*B12*B13*B14*B18+B10*B13*B14*B15*B18+B12*B13*B14*B15*B18) / (B9*B10*B11*B12+B9*B10*B11*B14+B9*B10*B11*B15+B9*B10*B12*B13+B9*B10*B12*B14+B9*B10*B13*B14+B9*B10*B13*B15+B9*B10*B14*B15+B9*B11*B12*B15+B9*B11*B14*B15+B9*B12*B13*B15+B9*B12*B14*B15+B9*B13*B14*B15+B10*B11*B12*B14+B10*B11*B14*B15+B10*B12*B13*B14+B10*B13*B14*B15+B11*B12*B14*B15+B12*B13*B14*B15)</v>
      </c>
    </row>
  </sheetData>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A21C-BEAD-4B68-B382-2462D87FD75C}">
  <sheetPr codeName="Sheet7"/>
  <dimension ref="A1:E65"/>
  <sheetViews>
    <sheetView workbookViewId="0"/>
  </sheetViews>
  <sheetFormatPr defaultRowHeight="14.5" x14ac:dyDescent="0.35"/>
  <cols>
    <col min="2" max="2" width="11.81640625" bestFit="1" customWidth="1"/>
  </cols>
  <sheetData>
    <row r="1" spans="1:5" x14ac:dyDescent="0.35">
      <c r="A1" t="s">
        <v>373</v>
      </c>
    </row>
    <row r="3" spans="1:5" x14ac:dyDescent="0.35">
      <c r="A3" t="s">
        <v>374</v>
      </c>
      <c r="D3" t="s">
        <v>375</v>
      </c>
      <c r="E3" t="s">
        <v>376</v>
      </c>
    </row>
    <row r="4" spans="1:5" x14ac:dyDescent="0.35">
      <c r="D4" t="s">
        <v>377</v>
      </c>
      <c r="E4" t="s">
        <v>378</v>
      </c>
    </row>
    <row r="5" spans="1:5" x14ac:dyDescent="0.35">
      <c r="A5" t="s">
        <v>379</v>
      </c>
      <c r="D5" t="s">
        <v>380</v>
      </c>
      <c r="E5" t="s">
        <v>434</v>
      </c>
    </row>
    <row r="6" spans="1:5" x14ac:dyDescent="0.35">
      <c r="D6" t="s">
        <v>435</v>
      </c>
      <c r="E6" t="s">
        <v>436</v>
      </c>
    </row>
    <row r="8" spans="1:5" x14ac:dyDescent="0.35">
      <c r="A8" t="s">
        <v>318</v>
      </c>
      <c r="B8">
        <v>123</v>
      </c>
      <c r="C8" t="s">
        <v>382</v>
      </c>
    </row>
    <row r="9" spans="1:5" x14ac:dyDescent="0.35">
      <c r="A9" t="s">
        <v>320</v>
      </c>
      <c r="B9">
        <v>50</v>
      </c>
      <c r="C9" t="s">
        <v>383</v>
      </c>
    </row>
    <row r="10" spans="1:5" x14ac:dyDescent="0.35">
      <c r="A10" t="s">
        <v>322</v>
      </c>
      <c r="B10">
        <v>456</v>
      </c>
      <c r="C10" t="s">
        <v>384</v>
      </c>
    </row>
    <row r="11" spans="1:5" x14ac:dyDescent="0.35">
      <c r="A11" t="s">
        <v>324</v>
      </c>
      <c r="B11">
        <v>50</v>
      </c>
      <c r="C11" t="s">
        <v>385</v>
      </c>
    </row>
    <row r="12" spans="1:5" x14ac:dyDescent="0.35">
      <c r="A12" t="s">
        <v>327</v>
      </c>
      <c r="B12">
        <v>70</v>
      </c>
      <c r="C12" t="s">
        <v>386</v>
      </c>
    </row>
    <row r="13" spans="1:5" x14ac:dyDescent="0.35">
      <c r="A13" t="s">
        <v>329</v>
      </c>
      <c r="B13">
        <v>500</v>
      </c>
      <c r="C13" t="s">
        <v>387</v>
      </c>
    </row>
    <row r="14" spans="1:5" x14ac:dyDescent="0.35">
      <c r="A14" t="s">
        <v>332</v>
      </c>
      <c r="B14">
        <v>234</v>
      </c>
      <c r="C14" t="s">
        <v>388</v>
      </c>
    </row>
    <row r="15" spans="1:5" x14ac:dyDescent="0.35">
      <c r="A15" t="s">
        <v>333</v>
      </c>
      <c r="B15">
        <v>789</v>
      </c>
      <c r="C15" t="s">
        <v>389</v>
      </c>
    </row>
    <row r="16" spans="1:5" x14ac:dyDescent="0.35">
      <c r="A16" t="s">
        <v>437</v>
      </c>
      <c r="B16">
        <v>1000000000</v>
      </c>
      <c r="C16" t="s">
        <v>438</v>
      </c>
    </row>
    <row r="17" spans="1:5" x14ac:dyDescent="0.35">
      <c r="A17" t="s">
        <v>439</v>
      </c>
      <c r="B17">
        <v>1000000000</v>
      </c>
      <c r="C17" t="s">
        <v>440</v>
      </c>
    </row>
    <row r="18" spans="1:5" x14ac:dyDescent="0.35">
      <c r="A18" t="s">
        <v>441</v>
      </c>
      <c r="B18">
        <v>1000000000</v>
      </c>
      <c r="C18" t="s">
        <v>442</v>
      </c>
    </row>
    <row r="20" spans="1:5" x14ac:dyDescent="0.35">
      <c r="A20" t="s">
        <v>344</v>
      </c>
      <c r="B20">
        <v>2</v>
      </c>
      <c r="C20" t="s">
        <v>392</v>
      </c>
    </row>
    <row r="21" spans="1:5" x14ac:dyDescent="0.35">
      <c r="A21" t="s">
        <v>345</v>
      </c>
      <c r="B21">
        <v>5</v>
      </c>
      <c r="C21" t="s">
        <v>393</v>
      </c>
    </row>
    <row r="22" spans="1:5" x14ac:dyDescent="0.35">
      <c r="A22" t="s">
        <v>346</v>
      </c>
      <c r="B22">
        <v>1</v>
      </c>
      <c r="C22" t="s">
        <v>394</v>
      </c>
    </row>
    <row r="23" spans="1:5" x14ac:dyDescent="0.35">
      <c r="A23" t="s">
        <v>443</v>
      </c>
      <c r="B23">
        <v>1</v>
      </c>
      <c r="C23" t="s">
        <v>444</v>
      </c>
    </row>
    <row r="25" spans="1:5" x14ac:dyDescent="0.35">
      <c r="A25" t="s">
        <v>350</v>
      </c>
      <c r="B25">
        <f xml:space="preserve"> (B8*B9*B10*B13*B14*B15*B18*B23+B8*B9*B13*B14*B15*B16*B17*B22+B8*B9*B13*B14*B15*B16*B18*B22+B8*B9*B13*B14*B15*B17*B18*B22+B8*B10*B12*B13*B14*B15*B17*B21+B8*B10*B12*B13*B14*B15*B18*B21+B8*B10*B12*B13*B14*B16*B17*B21+B8*B10*B12*B13*B14*B16*B18*B21+B8*B10*B12*B13*B14*B17*B18*B21+B8*B10*B13*B14*B15*B16*B17*B21+B8*B10*B13*B14*B15*B16*B18*B21+B8*B10*B13*B14*B15*B17*B18*B21+B8*B12*B13*B14*B15*B16*B17*B21+B8*B12*B13*B14*B15*B16*B18*B21+B8*B12*B13*B14*B15*B17*B18*B21+B9*B10*B11*B12*B13*B15*B17*B20+B9*B10*B11*B12*B13*B15*B18*B20+B9*B10*B11*B12*B13*B16*B17*B20+B9*B10*B11*B12*B13*B16*B18*B20+B9*B10*B11*B12*B13*B17*B18*B20+B9*B10*B11*B13*B14*B15*B17*B20+B9*B10*B11*B13*B14*B15*B18*B20+B9*B10*B11*B13*B14*B16*B17*B20+B9*B10*B11*B13*B14*B16*B18*B20+B9*B10*B11*B13*B14*B17*B18*B20+B9*B10*B11*B13*B15*B16*B17*B20+B9*B10*B11*B13*B15*B16*B18*B20+B9*B10*B11*B13*B15*B17*B18*B20+B9*B10*B12*B13*B14*B15*B17*B20+B9*B10*B12*B13*B14*B15*B18*B20+B9*B10*B12*B13*B14*B16*B17*B20+B9*B10*B12*B13*B14*B16*B18*B20+B9*B10*B12*B13*B14*B17*B18*B20+B9*B10*B13*B14*B15*B16*B17*B20+B9*B10*B13*B14*B15*B16*B18*B20+B9*B10*B13*B14*B15*B17*B18*B20+B9*B11*B12*B13*B15*B16*B17*B20+B9*B11*B12*B13*B15*B16*B18*B20+B9*B11*B12*B13*B15*B17*B18*B20+B9*B11*B13*B14*B15*B16*B17*B20+B9*B11*B13*B14*B15*B16*B18*B20+B9*B11*B13*B14*B15*B17*B18*B20+B9*B12*B13*B14*B15*B16*B17*B20+B9*B12*B13*B14*B15*B16*B18*B20+B9*B12*B13*B14*B15*B17*B18*B20+B10*B11*B12*B13*B14*B15*B17*B20+B10*B11*B12*B13*B14*B15*B18*B20+B10*B11*B12*B13*B14*B16*B17*B20+B10*B11*B12*B13*B14*B16*B18*B20+B10*B11*B12*B13*B14*B17*B18*B20+B10*B11*B13*B14*B15*B16*B17*B20+B10*B11*B13*B14*B15*B16*B18*B20+B10*B11*B13*B14*B15*B17*B18*B20+B11*B12*B13*B14*B15*B16*B17*B20+B11*B12*B13*B14*B15*B16*B18*B20+B11*B12*B13*B14*B15*B17*B18*B20) / (B8*B9*B10*B11*B12*B15*B17+B8*B9*B10*B11*B12*B15*B18+B8*B9*B10*B11*B12*B16*B17+B8*B9*B10*B11*B12*B16*B18+B8*B9*B10*B11*B12*B17*B18+B8*B9*B10*B11*B14*B15*B17+B8*B9*B10*B11*B14*B15*B18+B8*B9*B10*B11*B14*B16*B17+B8*B9*B10*B11*B14*B16*B18+B8*B9*B10*B11*B14*B17*B18+B8*B9*B10*B11*B15*B16*B17+B8*B9*B10*B11*B15*B16*B18+B8*B9*B10*B11*B15*B17*B18+B8*B9*B10*B12*B13*B15*B17+B8*B9*B10*B12*B13*B15*B18+B8*B9*B10*B12*B13*B16*B17+B8*B9*B10*B12*B13*B16*B18+B8*B9*B10*B12*B13*B17*B18+B8*B9*B10*B12*B14*B15*B17+B8*B9*B10*B12*B14*B15*B18+B8*B9*B10*B12*B14*B16*B17+B8*B9*B10*B12*B14*B16*B18+B8*B9*B10*B12*B14*B17*B18+B8*B9*B10*B13*B14*B15*B17+B8*B9*B10*B13*B14*B15*B18+B8*B9*B10*B13*B14*B16*B17+B8*B9*B10*B13*B14*B16*B18+B8*B9*B10*B13*B14*B17*B18+B8*B9*B10*B13*B15*B16*B17+B8*B9*B10*B13*B15*B16*B18+B8*B9*B10*B13*B15*B17*B18+B8*B9*B10*B14*B15*B16*B17+B8*B9*B10*B14*B15*B16*B18+B8*B9*B10*B14*B15*B17*B18+B8*B9*B11*B12*B15*B16*B17+B8*B9*B11*B12*B15*B16*B18+B8*B9*B11*B12*B15*B17*B18+B8*B9*B11*B14*B15*B16*B17+B8*B9*B11*B14*B15*B16*B18+B8*B9*B11*B14*B15*B17*B18+B8*B9*B12*B13*B15*B16*B17+B8*B9*B12*B13*B15*B16*B18+B8*B9*B12*B13*B15*B17*B18+B8*B9*B12*B14*B15*B16*B17+B8*B9*B12*B14*B15*B16*B18+B8*B9*B12*B14*B15*B17*B18+B8*B9*B13*B14*B15*B16*B17+B8*B9*B13*B14*B15*B16*B18+B8*B9*B13*B14*B15*B17*B18+B8*B10*B11*B12*B14*B15*B17+B8*B10*B11*B12*B14*B15*B18+B8*B10*B11*B12*B14*B16*B17+B8*B10*B11*B12*B14*B16*B18+B8*B10*B11*B12*B14*B17*B18+B8*B10*B11*B14*B15*B16*B17+B8*B10*B11*B14*B15*B16*B18+B8*B10*B11*B14*B15*B17*B18+B8*B10*B12*B13*B14*B15*B17+B8*B10*B12*B13*B14*B15*B18+B8*B10*B12*B13*B14*B16*B17+B8*B10*B12*B13*B14*B16*B18+B8*B10*B12*B13*B14*B17*B18+B8*B10*B13*B14*B15*B16*B17+B8*B10*B13*B14*B15*B16*B18+B8*B10*B13*B14*B15*B17*B18+B8*B11*B12*B14*B15*B16*B17+B8*B11*B12*B14*B15*B16*B18+B8*B11*B12*B14*B15*B17*B18+B8*B12*B13*B14*B15*B16*B17+B8*B12*B13*B14*B15*B16*B18+B8*B12*B13*B14*B15*B17*B18+B9*B10*B11*B12*B13*B15*B17+B9*B10*B11*B12*B13*B15*B18+B9*B10*B11*B12*B13*B16*B17+B9*B10*B11*B12*B13*B16*B18+B9*B10*B11*B12*B13*B17*B18+B9*B10*B11*B13*B14*B15*B17+B9*B10*B11*B13*B14*B15*B18+B9*B10*B11*B13*B14*B16*B17+B9*B10*B11*B13*B14*B16*B18+B9*B10*B11*B13*B14*B17*B18+B9*B10*B11*B13*B15*B16*B17+B9*B10*B11*B13*B15*B16*B18+B9*B10*B11*B13*B15*B17*B18+B9*B10*B12*B13*B14*B15*B17+B9*B10*B12*B13*B14*B15*B18+B9*B10*B12*B13*B14*B16*B17+B9*B10*B12*B13*B14*B16*B18+B9*B10*B12*B13*B14*B17*B18+B9*B10*B13*B14*B15*B16*B17+B9*B10*B13*B14*B15*B16*B18+B9*B10*B13*B14*B15*B17*B18+B9*B11*B12*B13*B15*B16*B17+B9*B11*B12*B13*B15*B16*B18+B9*B11*B12*B13*B15*B17*B18+B9*B11*B13*B14*B15*B16*B17+B9*B11*B13*B14*B15*B16*B18+B9*B11*B13*B14*B15*B17*B18+B9*B12*B13*B14*B15*B16*B17+B9*B12*B13*B14*B15*B16*B18+B9*B12*B13*B14*B15*B17*B18+B10*B11*B12*B13*B14*B15*B17+B10*B11*B12*B13*B14*B15*B18+B10*B11*B12*B13*B14*B16*B17+B10*B11*B12*B13*B14*B16*B18+B10*B11*B12*B13*B14*B17*B18+B10*B11*B13*B14*B15*B16*B17+B10*B11*B13*B14*B15*B16*B18+B10*B11*B13*B14*B15*B17*B18+B11*B12*B13*B14*B15*B16*B17+B11*B12*B13*B14*B15*B16*B18+B11*B12*B13*B14*B15*B17*B18)</f>
        <v>2.7512600093520345</v>
      </c>
    </row>
    <row r="26" spans="1:5" x14ac:dyDescent="0.35">
      <c r="A26" t="s">
        <v>351</v>
      </c>
      <c r="B26">
        <f xml:space="preserve"> (B8*B9*B10*B11*B14*B15*B18*B23+B8*B9*B10*B13*B14*B15*B18*B23+B8*B9*B11*B14*B15*B16*B17*B22+B8*B9*B11*B14*B15*B16*B18*B22+B8*B9*B11*B14*B15*B17*B18*B22+B8*B9*B13*B14*B15*B16*B17*B22+B8*B9*B13*B14*B15*B16*B18*B22+B8*B9*B13*B14*B15*B17*B18*B22+B8*B10*B11*B12*B14*B15*B17*B21+B8*B10*B11*B12*B14*B15*B18*B21+B8*B10*B11*B12*B14*B16*B17*B21+B8*B10*B11*B12*B14*B16*B18*B21+B8*B10*B11*B12*B14*B17*B18*B21+B8*B10*B11*B14*B15*B16*B17*B21+B8*B10*B11*B14*B15*B16*B18*B21+B8*B10*B11*B14*B15*B17*B18*B21+B8*B10*B12*B13*B14*B15*B17*B21+B8*B10*B12*B13*B14*B15*B18*B21+B8*B10*B12*B13*B14*B16*B17*B21+B8*B10*B12*B13*B14*B16*B18*B21+B8*B10*B12*B13*B14*B17*B18*B21+B8*B10*B13*B14*B15*B16*B17*B21+B8*B10*B13*B14*B15*B16*B18*B21+B8*B10*B13*B14*B15*B17*B18*B21+B8*B11*B12*B14*B15*B16*B17*B21+B8*B11*B12*B14*B15*B16*B18*B21+B8*B11*B12*B14*B15*B17*B18*B21+B8*B12*B13*B14*B15*B16*B17*B21+B8*B12*B13*B14*B15*B16*B18*B21+B8*B12*B13*B14*B15*B17*B18*B21+B9*B10*B11*B13*B14*B15*B18*B23+B9*B10*B12*B13*B14*B15*B17*B20+B9*B10*B12*B13*B14*B15*B18*B20+B9*B10*B12*B13*B14*B16*B17*B20+B9*B10*B12*B13*B14*B16*B18*B20+B9*B10*B12*B13*B14*B17*B18*B20+B9*B10*B13*B14*B15*B16*B17*B20+B9*B10*B13*B14*B15*B16*B18*B20+B9*B10*B13*B14*B15*B17*B18*B20+B9*B11*B13*B14*B15*B16*B17*B22+B9*B11*B13*B14*B15*B16*B18*B22+B9*B11*B13*B14*B15*B17*B18*B22+B9*B12*B13*B14*B15*B16*B17*B20+B9*B12*B13*B14*B15*B16*B18*B20+B9*B12*B13*B14*B15*B17*B18*B20+B10*B11*B12*B13*B14*B15*B17*B21+B10*B11*B12*B13*B14*B15*B18*B21+B10*B11*B12*B13*B14*B16*B17*B21+B10*B11*B12*B13*B14*B16*B18*B21+B10*B11*B12*B13*B14*B17*B18*B21+B10*B11*B13*B14*B15*B16*B17*B21+B10*B11*B13*B14*B15*B16*B18*B21+B10*B11*B13*B14*B15*B17*B18*B21+B11*B12*B13*B14*B15*B16*B17*B21+B11*B12*B13*B14*B15*B16*B18*B21+B11*B12*B13*B14*B15*B17*B18*B21) / (B8*B9*B10*B11*B12*B15*B17+B8*B9*B10*B11*B12*B15*B18+B8*B9*B10*B11*B12*B16*B17+B8*B9*B10*B11*B12*B16*B18+B8*B9*B10*B11*B12*B17*B18+B8*B9*B10*B11*B14*B15*B17+B8*B9*B10*B11*B14*B15*B18+B8*B9*B10*B11*B14*B16*B17+B8*B9*B10*B11*B14*B16*B18+B8*B9*B10*B11*B14*B17*B18+B8*B9*B10*B11*B15*B16*B17+B8*B9*B10*B11*B15*B16*B18+B8*B9*B10*B11*B15*B17*B18+B8*B9*B10*B12*B13*B15*B17+B8*B9*B10*B12*B13*B15*B18+B8*B9*B10*B12*B13*B16*B17+B8*B9*B10*B12*B13*B16*B18+B8*B9*B10*B12*B13*B17*B18+B8*B9*B10*B12*B14*B15*B17+B8*B9*B10*B12*B14*B15*B18+B8*B9*B10*B12*B14*B16*B17+B8*B9*B10*B12*B14*B16*B18+B8*B9*B10*B12*B14*B17*B18+B8*B9*B10*B13*B14*B15*B17+B8*B9*B10*B13*B14*B15*B18+B8*B9*B10*B13*B14*B16*B17+B8*B9*B10*B13*B14*B16*B18+B8*B9*B10*B13*B14*B17*B18+B8*B9*B10*B13*B15*B16*B17+B8*B9*B10*B13*B15*B16*B18+B8*B9*B10*B13*B15*B17*B18+B8*B9*B10*B14*B15*B16*B17+B8*B9*B10*B14*B15*B16*B18+B8*B9*B10*B14*B15*B17*B18+B8*B9*B11*B12*B15*B16*B17+B8*B9*B11*B12*B15*B16*B18+B8*B9*B11*B12*B15*B17*B18+B8*B9*B11*B14*B15*B16*B17+B8*B9*B11*B14*B15*B16*B18+B8*B9*B11*B14*B15*B17*B18+B8*B9*B12*B13*B15*B16*B17+B8*B9*B12*B13*B15*B16*B18+B8*B9*B12*B13*B15*B17*B18+B8*B9*B12*B14*B15*B16*B17+B8*B9*B12*B14*B15*B16*B18+B8*B9*B12*B14*B15*B17*B18+B8*B9*B13*B14*B15*B16*B17+B8*B9*B13*B14*B15*B16*B18+B8*B9*B13*B14*B15*B17*B18+B8*B10*B11*B12*B14*B15*B17+B8*B10*B11*B12*B14*B15*B18+B8*B10*B11*B12*B14*B16*B17+B8*B10*B11*B12*B14*B16*B18+B8*B10*B11*B12*B14*B17*B18+B8*B10*B11*B14*B15*B16*B17+B8*B10*B11*B14*B15*B16*B18+B8*B10*B11*B14*B15*B17*B18+B8*B10*B12*B13*B14*B15*B17+B8*B10*B12*B13*B14*B15*B18+B8*B10*B12*B13*B14*B16*B17+B8*B10*B12*B13*B14*B16*B18+B8*B10*B12*B13*B14*B17*B18+B8*B10*B13*B14*B15*B16*B17+B8*B10*B13*B14*B15*B16*B18+B8*B10*B13*B14*B15*B17*B18+B8*B11*B12*B14*B15*B16*B17+B8*B11*B12*B14*B15*B16*B18+B8*B11*B12*B14*B15*B17*B18+B8*B12*B13*B14*B15*B16*B17+B8*B12*B13*B14*B15*B16*B18+B8*B12*B13*B14*B15*B17*B18+B9*B10*B11*B12*B13*B15*B17+B9*B10*B11*B12*B13*B15*B18+B9*B10*B11*B12*B13*B16*B17+B9*B10*B11*B12*B13*B16*B18+B9*B10*B11*B12*B13*B17*B18+B9*B10*B11*B13*B14*B15*B17+B9*B10*B11*B13*B14*B15*B18+B9*B10*B11*B13*B14*B16*B17+B9*B10*B11*B13*B14*B16*B18+B9*B10*B11*B13*B14*B17*B18+B9*B10*B11*B13*B15*B16*B17+B9*B10*B11*B13*B15*B16*B18+B9*B10*B11*B13*B15*B17*B18+B9*B10*B12*B13*B14*B15*B17+B9*B10*B12*B13*B14*B15*B18+B9*B10*B12*B13*B14*B16*B17+B9*B10*B12*B13*B14*B16*B18+B9*B10*B12*B13*B14*B17*B18+B9*B10*B13*B14*B15*B16*B17+B9*B10*B13*B14*B15*B16*B18+B9*B10*B13*B14*B15*B17*B18+B9*B11*B12*B13*B15*B16*B17+B9*B11*B12*B13*B15*B16*B18+B9*B11*B12*B13*B15*B17*B18+B9*B11*B13*B14*B15*B16*B17+B9*B11*B13*B14*B15*B16*B18+B9*B11*B13*B14*B15*B17*B18+B9*B12*B13*B14*B15*B16*B17+B9*B12*B13*B14*B15*B16*B18+B9*B12*B13*B14*B15*B17*B18+B10*B11*B12*B13*B14*B15*B17+B10*B11*B12*B13*B14*B15*B18+B10*B11*B12*B13*B14*B16*B17+B10*B11*B12*B13*B14*B16*B18+B10*B11*B12*B13*B14*B17*B18+B10*B11*B13*B14*B15*B16*B17+B10*B11*B13*B14*B15*B16*B18+B10*B11*B13*B14*B15*B17*B18+B11*B12*B13*B14*B15*B16*B17+B11*B12*B13*B14*B15*B16*B18+B11*B12*B13*B14*B15*B17*B18)</f>
        <v>3.3317762579913186</v>
      </c>
      <c r="E26" t="s">
        <v>395</v>
      </c>
    </row>
    <row r="27" spans="1:5" x14ac:dyDescent="0.35">
      <c r="A27" t="s">
        <v>352</v>
      </c>
      <c r="B27">
        <f xml:space="preserve"> (B8*B9*B10*B11*B12*B15*B18*B23+B8*B9*B10*B11*B14*B15*B18*B23+B8*B9*B10*B12*B13*B15*B18*B23+B8*B9*B10*B12*B14*B15*B18*B23+B8*B9*B10*B13*B14*B15*B18*B23+B8*B9*B11*B12*B15*B16*B17*B22+B8*B9*B11*B12*B15*B16*B18*B22+B8*B9*B11*B12*B15*B17*B18*B22+B8*B9*B11*B14*B15*B16*B17*B22+B8*B9*B11*B14*B15*B16*B18*B22+B8*B9*B11*B14*B15*B17*B18*B22+B8*B9*B12*B13*B15*B16*B17*B22+B8*B9*B12*B13*B15*B16*B18*B22+B8*B9*B12*B13*B15*B17*B18*B22+B8*B9*B12*B14*B15*B16*B17*B22+B8*B9*B12*B14*B15*B16*B18*B22+B8*B9*B12*B14*B15*B17*B18*B22+B8*B9*B13*B14*B15*B16*B17*B22+B8*B9*B13*B14*B15*B16*B18*B22+B8*B9*B13*B14*B15*B17*B18*B22+B8*B10*B11*B12*B14*B15*B18*B23+B8*B10*B11*B14*B15*B16*B17*B21+B8*B10*B11*B14*B15*B16*B18*B21+B8*B10*B11*B14*B15*B17*B18*B21+B8*B10*B12*B13*B14*B15*B18*B23+B8*B10*B13*B14*B15*B16*B17*B21+B8*B10*B13*B14*B15*B16*B18*B21+B8*B10*B13*B14*B15*B17*B18*B21+B8*B11*B12*B14*B15*B16*B17*B22+B8*B11*B12*B14*B15*B16*B18*B22+B8*B11*B12*B14*B15*B17*B18*B22+B8*B12*B13*B14*B15*B16*B17*B22+B8*B12*B13*B14*B15*B16*B18*B22+B8*B12*B13*B14*B15*B17*B18*B22+B9*B10*B11*B12*B13*B15*B18*B23+B9*B10*B11*B13*B14*B15*B18*B23+B9*B10*B12*B13*B14*B15*B18*B23+B9*B10*B13*B14*B15*B16*B17*B20+B9*B10*B13*B14*B15*B16*B18*B20+B9*B10*B13*B14*B15*B17*B18*B20+B9*B11*B12*B13*B15*B16*B17*B22+B9*B11*B12*B13*B15*B16*B18*B22+B9*B11*B12*B13*B15*B17*B18*B22+B9*B11*B13*B14*B15*B16*B17*B22+B9*B11*B13*B14*B15*B16*B18*B22+B9*B11*B13*B14*B15*B17*B18*B22+B9*B12*B13*B14*B15*B16*B17*B22+B9*B12*B13*B14*B15*B16*B18*B22+B9*B12*B13*B14*B15*B17*B18*B22+B10*B11*B12*B13*B14*B15*B18*B23+B10*B11*B13*B14*B15*B16*B17*B21+B10*B11*B13*B14*B15*B16*B18*B21+B10*B11*B13*B14*B15*B17*B18*B21+B11*B12*B13*B14*B15*B16*B17*B22+B11*B12*B13*B14*B15*B16*B18*B22+B11*B12*B13*B14*B15*B17*B18*B22) / (B8*B9*B10*B11*B12*B15*B17+B8*B9*B10*B11*B12*B15*B18+B8*B9*B10*B11*B12*B16*B17+B8*B9*B10*B11*B12*B16*B18+B8*B9*B10*B11*B12*B17*B18+B8*B9*B10*B11*B14*B15*B17+B8*B9*B10*B11*B14*B15*B18+B8*B9*B10*B11*B14*B16*B17+B8*B9*B10*B11*B14*B16*B18+B8*B9*B10*B11*B14*B17*B18+B8*B9*B10*B11*B15*B16*B17+B8*B9*B10*B11*B15*B16*B18+B8*B9*B10*B11*B15*B17*B18+B8*B9*B10*B12*B13*B15*B17+B8*B9*B10*B12*B13*B15*B18+B8*B9*B10*B12*B13*B16*B17+B8*B9*B10*B12*B13*B16*B18+B8*B9*B10*B12*B13*B17*B18+B8*B9*B10*B12*B14*B15*B17+B8*B9*B10*B12*B14*B15*B18+B8*B9*B10*B12*B14*B16*B17+B8*B9*B10*B12*B14*B16*B18+B8*B9*B10*B12*B14*B17*B18+B8*B9*B10*B13*B14*B15*B17+B8*B9*B10*B13*B14*B15*B18+B8*B9*B10*B13*B14*B16*B17+B8*B9*B10*B13*B14*B16*B18+B8*B9*B10*B13*B14*B17*B18+B8*B9*B10*B13*B15*B16*B17+B8*B9*B10*B13*B15*B16*B18+B8*B9*B10*B13*B15*B17*B18+B8*B9*B10*B14*B15*B16*B17+B8*B9*B10*B14*B15*B16*B18+B8*B9*B10*B14*B15*B17*B18+B8*B9*B11*B12*B15*B16*B17+B8*B9*B11*B12*B15*B16*B18+B8*B9*B11*B12*B15*B17*B18+B8*B9*B11*B14*B15*B16*B17+B8*B9*B11*B14*B15*B16*B18+B8*B9*B11*B14*B15*B17*B18+B8*B9*B12*B13*B15*B16*B17+B8*B9*B12*B13*B15*B16*B18+B8*B9*B12*B13*B15*B17*B18+B8*B9*B12*B14*B15*B16*B17+B8*B9*B12*B14*B15*B16*B18+B8*B9*B12*B14*B15*B17*B18+B8*B9*B13*B14*B15*B16*B17+B8*B9*B13*B14*B15*B16*B18+B8*B9*B13*B14*B15*B17*B18+B8*B10*B11*B12*B14*B15*B17+B8*B10*B11*B12*B14*B15*B18+B8*B10*B11*B12*B14*B16*B17+B8*B10*B11*B12*B14*B16*B18+B8*B10*B11*B12*B14*B17*B18+B8*B10*B11*B14*B15*B16*B17+B8*B10*B11*B14*B15*B16*B18+B8*B10*B11*B14*B15*B17*B18+B8*B10*B12*B13*B14*B15*B17+B8*B10*B12*B13*B14*B15*B18+B8*B10*B12*B13*B14*B16*B17+B8*B10*B12*B13*B14*B16*B18+B8*B10*B12*B13*B14*B17*B18+B8*B10*B13*B14*B15*B16*B17+B8*B10*B13*B14*B15*B16*B18+B8*B10*B13*B14*B15*B17*B18+B8*B11*B12*B14*B15*B16*B17+B8*B11*B12*B14*B15*B16*B18+B8*B11*B12*B14*B15*B17*B18+B8*B12*B13*B14*B15*B16*B17+B8*B12*B13*B14*B15*B16*B18+B8*B12*B13*B14*B15*B17*B18+B9*B10*B11*B12*B13*B15*B17+B9*B10*B11*B12*B13*B15*B18+B9*B10*B11*B12*B13*B16*B17+B9*B10*B11*B12*B13*B16*B18+B9*B10*B11*B12*B13*B17*B18+B9*B10*B11*B13*B14*B15*B17+B9*B10*B11*B13*B14*B15*B18+B9*B10*B11*B13*B14*B16*B17+B9*B10*B11*B13*B14*B16*B18+B9*B10*B11*B13*B14*B17*B18+B9*B10*B11*B13*B15*B16*B17+B9*B10*B11*B13*B15*B16*B18+B9*B10*B11*B13*B15*B17*B18+B9*B10*B12*B13*B14*B15*B17+B9*B10*B12*B13*B14*B15*B18+B9*B10*B12*B13*B14*B16*B17+B9*B10*B12*B13*B14*B16*B18+B9*B10*B12*B13*B14*B17*B18+B9*B10*B13*B14*B15*B16*B17+B9*B10*B13*B14*B15*B16*B18+B9*B10*B13*B14*B15*B17*B18+B9*B11*B12*B13*B15*B16*B17+B9*B11*B12*B13*B15*B16*B18+B9*B11*B12*B13*B15*B17*B18+B9*B11*B13*B14*B15*B16*B17+B9*B11*B13*B14*B15*B16*B18+B9*B11*B13*B14*B15*B17*B18+B9*B12*B13*B14*B15*B16*B17+B9*B12*B13*B14*B15*B16*B18+B9*B12*B13*B14*B15*B17*B18+B10*B11*B12*B13*B14*B15*B17+B10*B11*B12*B13*B14*B15*B18+B10*B11*B12*B13*B14*B16*B17+B10*B11*B12*B13*B14*B16*B18+B10*B11*B12*B13*B14*B17*B18+B10*B11*B13*B14*B15*B16*B17+B10*B11*B13*B14*B15*B16*B18+B10*B11*B13*B14*B15*B17*B18+B11*B12*B13*B14*B15*B16*B17+B11*B12*B13*B14*B15*B16*B18+B11*B12*B13*B14*B15*B17*B18)</f>
        <v>2.8056709726561815</v>
      </c>
      <c r="E27" t="s">
        <v>396</v>
      </c>
    </row>
    <row r="28" spans="1:5" x14ac:dyDescent="0.35">
      <c r="A28" t="s">
        <v>445</v>
      </c>
      <c r="B28">
        <f xml:space="preserve"> (B8*B9*B10*B11*B12*B15*B18*B23+B8*B9*B10*B11*B12*B16*B18*B23+B8*B9*B10*B11*B14*B15*B18*B23+B8*B9*B10*B11*B14*B16*B18*B23+B8*B9*B10*B11*B15*B16*B18*B23+B8*B9*B10*B12*B13*B15*B18*B23+B8*B9*B10*B12*B13*B16*B18*B23+B8*B9*B10*B12*B14*B15*B18*B23+B8*B9*B10*B12*B14*B16*B18*B23+B8*B9*B10*B13*B14*B15*B18*B23+B8*B9*B10*B13*B14*B16*B18*B23+B8*B9*B10*B13*B15*B16*B18*B23+B8*B9*B10*B14*B15*B16*B18*B23+B8*B9*B11*B12*B15*B16*B18*B23+B8*B9*B11*B12*B15*B17*B18*B22+B8*B9*B11*B14*B15*B16*B18*B23+B8*B9*B11*B14*B15*B17*B18*B22+B8*B9*B12*B13*B15*B16*B18*B23+B8*B9*B12*B13*B15*B17*B18*B22+B8*B9*B12*B14*B15*B16*B18*B23+B8*B9*B12*B14*B15*B17*B18*B22+B8*B9*B13*B14*B15*B16*B18*B23+B8*B9*B13*B14*B15*B17*B18*B22+B8*B10*B11*B12*B14*B15*B18*B23+B8*B10*B11*B12*B14*B16*B18*B23+B8*B10*B11*B14*B15*B16*B18*B23+B8*B10*B11*B14*B15*B17*B18*B21+B8*B10*B12*B13*B14*B15*B18*B23+B8*B10*B12*B13*B14*B16*B18*B23+B8*B10*B13*B14*B15*B16*B18*B23+B8*B10*B13*B14*B15*B17*B18*B21+B8*B11*B12*B14*B15*B16*B18*B23+B8*B11*B12*B14*B15*B17*B18*B22+B8*B12*B13*B14*B15*B16*B18*B23+B8*B12*B13*B14*B15*B17*B18*B22+B9*B10*B11*B12*B13*B15*B18*B23+B9*B10*B11*B12*B13*B16*B18*B23+B9*B10*B11*B13*B14*B15*B18*B23+B9*B10*B11*B13*B14*B16*B18*B23+B9*B10*B11*B13*B15*B16*B18*B23+B9*B10*B12*B13*B14*B15*B18*B23+B9*B10*B12*B13*B14*B16*B18*B23+B9*B10*B13*B14*B15*B16*B18*B23+B9*B10*B13*B14*B15*B17*B18*B20+B9*B11*B12*B13*B15*B16*B18*B23+B9*B11*B12*B13*B15*B17*B18*B22+B9*B11*B13*B14*B15*B16*B18*B23+B9*B11*B13*B14*B15*B17*B18*B22+B9*B12*B13*B14*B15*B16*B18*B23+B9*B12*B13*B14*B15*B17*B18*B22+B10*B11*B12*B13*B14*B15*B18*B23+B10*B11*B12*B13*B14*B16*B18*B23+B10*B11*B13*B14*B15*B16*B18*B23+B10*B11*B13*B14*B15*B17*B18*B21+B11*B12*B13*B14*B15*B16*B18*B23+B11*B12*B13*B14*B15*B17*B18*B22) / (B8*B9*B10*B11*B12*B15*B17+B8*B9*B10*B11*B12*B15*B18+B8*B9*B10*B11*B12*B16*B17+B8*B9*B10*B11*B12*B16*B18+B8*B9*B10*B11*B12*B17*B18+B8*B9*B10*B11*B14*B15*B17+B8*B9*B10*B11*B14*B15*B18+B8*B9*B10*B11*B14*B16*B17+B8*B9*B10*B11*B14*B16*B18+B8*B9*B10*B11*B14*B17*B18+B8*B9*B10*B11*B15*B16*B17+B8*B9*B10*B11*B15*B16*B18+B8*B9*B10*B11*B15*B17*B18+B8*B9*B10*B12*B13*B15*B17+B8*B9*B10*B12*B13*B15*B18+B8*B9*B10*B12*B13*B16*B17+B8*B9*B10*B12*B13*B16*B18+B8*B9*B10*B12*B13*B17*B18+B8*B9*B10*B12*B14*B15*B17+B8*B9*B10*B12*B14*B15*B18+B8*B9*B10*B12*B14*B16*B17+B8*B9*B10*B12*B14*B16*B18+B8*B9*B10*B12*B14*B17*B18+B8*B9*B10*B13*B14*B15*B17+B8*B9*B10*B13*B14*B15*B18+B8*B9*B10*B13*B14*B16*B17+B8*B9*B10*B13*B14*B16*B18+B8*B9*B10*B13*B14*B17*B18+B8*B9*B10*B13*B15*B16*B17+B8*B9*B10*B13*B15*B16*B18+B8*B9*B10*B13*B15*B17*B18+B8*B9*B10*B14*B15*B16*B17+B8*B9*B10*B14*B15*B16*B18+B8*B9*B10*B14*B15*B17*B18+B8*B9*B11*B12*B15*B16*B17+B8*B9*B11*B12*B15*B16*B18+B8*B9*B11*B12*B15*B17*B18+B8*B9*B11*B14*B15*B16*B17+B8*B9*B11*B14*B15*B16*B18+B8*B9*B11*B14*B15*B17*B18+B8*B9*B12*B13*B15*B16*B17+B8*B9*B12*B13*B15*B16*B18+B8*B9*B12*B13*B15*B17*B18+B8*B9*B12*B14*B15*B16*B17+B8*B9*B12*B14*B15*B16*B18+B8*B9*B12*B14*B15*B17*B18+B8*B9*B13*B14*B15*B16*B17+B8*B9*B13*B14*B15*B16*B18+B8*B9*B13*B14*B15*B17*B18+B8*B10*B11*B12*B14*B15*B17+B8*B10*B11*B12*B14*B15*B18+B8*B10*B11*B12*B14*B16*B17+B8*B10*B11*B12*B14*B16*B18+B8*B10*B11*B12*B14*B17*B18+B8*B10*B11*B14*B15*B16*B17+B8*B10*B11*B14*B15*B16*B18+B8*B10*B11*B14*B15*B17*B18+B8*B10*B12*B13*B14*B15*B17+B8*B10*B12*B13*B14*B15*B18+B8*B10*B12*B13*B14*B16*B17+B8*B10*B12*B13*B14*B16*B18+B8*B10*B12*B13*B14*B17*B18+B8*B10*B13*B14*B15*B16*B17+B8*B10*B13*B14*B15*B16*B18+B8*B10*B13*B14*B15*B17*B18+B8*B11*B12*B14*B15*B16*B17+B8*B11*B12*B14*B15*B16*B18+B8*B11*B12*B14*B15*B17*B18+B8*B12*B13*B14*B15*B16*B17+B8*B12*B13*B14*B15*B16*B18+B8*B12*B13*B14*B15*B17*B18+B9*B10*B11*B12*B13*B15*B17+B9*B10*B11*B12*B13*B15*B18+B9*B10*B11*B12*B13*B16*B17+B9*B10*B11*B12*B13*B16*B18+B9*B10*B11*B12*B13*B17*B18+B9*B10*B11*B13*B14*B15*B17+B9*B10*B11*B13*B14*B15*B18+B9*B10*B11*B13*B14*B16*B17+B9*B10*B11*B13*B14*B16*B18+B9*B10*B11*B13*B14*B17*B18+B9*B10*B11*B13*B15*B16*B17+B9*B10*B11*B13*B15*B16*B18+B9*B10*B11*B13*B15*B17*B18+B9*B10*B12*B13*B14*B15*B17+B9*B10*B12*B13*B14*B15*B18+B9*B10*B12*B13*B14*B16*B17+B9*B10*B12*B13*B14*B16*B18+B9*B10*B12*B13*B14*B17*B18+B9*B10*B13*B14*B15*B16*B17+B9*B10*B13*B14*B15*B16*B18+B9*B10*B13*B14*B15*B17*B18+B9*B11*B12*B13*B15*B16*B17+B9*B11*B12*B13*B15*B16*B18+B9*B11*B12*B13*B15*B17*B18+B9*B11*B13*B14*B15*B16*B17+B9*B11*B13*B14*B15*B16*B18+B9*B11*B13*B14*B15*B17*B18+B9*B12*B13*B14*B15*B16*B17+B9*B12*B13*B14*B15*B16*B18+B9*B12*B13*B14*B15*B17*B18+B10*B11*B12*B13*B14*B15*B17+B10*B11*B12*B13*B14*B15*B18+B10*B11*B12*B13*B14*B16*B17+B10*B11*B12*B13*B14*B16*B18+B10*B11*B12*B13*B14*B17*B18+B10*B11*B13*B14*B15*B16*B17+B10*B11*B13*B14*B15*B16*B18+B10*B11*B13*B14*B15*B17*B18+B11*B12*B13*B14*B15*B16*B17+B11*B12*B13*B14*B15*B16*B18+B11*B12*B13*B14*B15*B17*B18)</f>
        <v>1.2685569908853935</v>
      </c>
      <c r="E28" t="s">
        <v>446</v>
      </c>
    </row>
    <row r="29" spans="1:5" x14ac:dyDescent="0.35">
      <c r="E29" t="s">
        <v>447</v>
      </c>
    </row>
    <row r="31" spans="1:5" x14ac:dyDescent="0.35">
      <c r="E31" t="s">
        <v>448</v>
      </c>
    </row>
    <row r="32" spans="1:5" x14ac:dyDescent="0.35">
      <c r="E32" t="s">
        <v>449</v>
      </c>
    </row>
    <row r="33" spans="5:5" x14ac:dyDescent="0.35">
      <c r="E33" t="s">
        <v>450</v>
      </c>
    </row>
    <row r="35" spans="5:5" x14ac:dyDescent="0.35">
      <c r="E35" t="s">
        <v>400</v>
      </c>
    </row>
    <row r="36" spans="5:5" x14ac:dyDescent="0.35">
      <c r="E36" t="s">
        <v>451</v>
      </c>
    </row>
    <row r="37" spans="5:5" x14ac:dyDescent="0.35">
      <c r="E37" t="s">
        <v>452</v>
      </c>
    </row>
    <row r="39" spans="5:5" x14ac:dyDescent="0.35">
      <c r="E39" t="s">
        <v>406</v>
      </c>
    </row>
    <row r="40" spans="5:5" x14ac:dyDescent="0.35">
      <c r="E40" t="s">
        <v>453</v>
      </c>
    </row>
    <row r="43" spans="5:5" x14ac:dyDescent="0.35">
      <c r="E43" t="s">
        <v>414</v>
      </c>
    </row>
    <row r="44" spans="5:5" x14ac:dyDescent="0.35">
      <c r="E44" t="s">
        <v>449</v>
      </c>
    </row>
    <row r="45" spans="5:5" x14ac:dyDescent="0.35">
      <c r="E45" t="s">
        <v>450</v>
      </c>
    </row>
    <row r="47" spans="5:5" x14ac:dyDescent="0.35">
      <c r="E47" t="s">
        <v>454</v>
      </c>
    </row>
    <row r="48" spans="5:5" x14ac:dyDescent="0.35">
      <c r="E48" t="s">
        <v>455</v>
      </c>
    </row>
    <row r="50" spans="5:5" x14ac:dyDescent="0.35">
      <c r="E50" t="s">
        <v>456</v>
      </c>
    </row>
    <row r="51" spans="5:5" x14ac:dyDescent="0.35">
      <c r="E51" t="s">
        <v>457</v>
      </c>
    </row>
    <row r="52" spans="5:5" x14ac:dyDescent="0.35">
      <c r="E52" t="s">
        <v>409</v>
      </c>
    </row>
    <row r="54" spans="5:5" x14ac:dyDescent="0.35">
      <c r="E54" t="s">
        <v>458</v>
      </c>
    </row>
    <row r="55" spans="5:5" x14ac:dyDescent="0.35">
      <c r="E55" t="s">
        <v>459</v>
      </c>
    </row>
    <row r="57" spans="5:5" x14ac:dyDescent="0.35">
      <c r="E57" t="s">
        <v>460</v>
      </c>
    </row>
    <row r="58" spans="5:5" x14ac:dyDescent="0.35">
      <c r="E58" t="s">
        <v>457</v>
      </c>
    </row>
    <row r="59" spans="5:5" x14ac:dyDescent="0.35">
      <c r="E59" t="s">
        <v>409</v>
      </c>
    </row>
    <row r="61" spans="5:5" x14ac:dyDescent="0.35">
      <c r="E61" t="s">
        <v>461</v>
      </c>
    </row>
    <row r="62" spans="5:5" x14ac:dyDescent="0.35">
      <c r="E62" t="s">
        <v>462</v>
      </c>
    </row>
    <row r="64" spans="5:5" x14ac:dyDescent="0.35">
      <c r="E64" t="s">
        <v>463</v>
      </c>
    </row>
    <row r="65" spans="5:5" x14ac:dyDescent="0.35">
      <c r="E65" t="s">
        <v>464</v>
      </c>
    </row>
  </sheetData>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98DE5-8617-44FE-A62C-CA0389C10196}">
  <sheetPr codeName="Sheet8"/>
  <dimension ref="B2:R25"/>
  <sheetViews>
    <sheetView workbookViewId="0"/>
  </sheetViews>
  <sheetFormatPr defaultRowHeight="14.5" x14ac:dyDescent="0.35"/>
  <sheetData>
    <row r="2" spans="2:6" x14ac:dyDescent="0.35">
      <c r="B2" t="s">
        <v>465</v>
      </c>
      <c r="E2" s="12" t="s">
        <v>466</v>
      </c>
      <c r="F2" s="14" t="s">
        <v>467</v>
      </c>
    </row>
    <row r="22" spans="14:18" x14ac:dyDescent="0.35">
      <c r="R22">
        <f>5*11.8+5+5</f>
        <v>69</v>
      </c>
    </row>
    <row r="23" spans="14:18" x14ac:dyDescent="0.35">
      <c r="N23" t="s">
        <v>199</v>
      </c>
      <c r="O23">
        <v>1800</v>
      </c>
    </row>
    <row r="24" spans="14:18" x14ac:dyDescent="0.35">
      <c r="N24" t="s">
        <v>198</v>
      </c>
      <c r="O24">
        <v>80</v>
      </c>
    </row>
    <row r="25" spans="14:18" x14ac:dyDescent="0.35">
      <c r="N25" t="s">
        <v>468</v>
      </c>
      <c r="O25">
        <f>0.8473*O23*O24*0.000000000001</f>
        <v>1.220112E-7</v>
      </c>
    </row>
  </sheetData>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29ACF-F2D9-4AD5-B7A2-9C8AC25BC3EB}">
  <sheetPr codeName="Sheet32"/>
  <dimension ref="K6:Z79"/>
  <sheetViews>
    <sheetView topLeftCell="A25" workbookViewId="0"/>
  </sheetViews>
  <sheetFormatPr defaultRowHeight="14.5" x14ac:dyDescent="0.35"/>
  <cols>
    <col min="13" max="13" width="9.1796875" bestFit="1" customWidth="1"/>
  </cols>
  <sheetData>
    <row r="6" spans="23:25" x14ac:dyDescent="0.35">
      <c r="W6" t="s">
        <v>321</v>
      </c>
    </row>
    <row r="8" spans="23:25" x14ac:dyDescent="0.35">
      <c r="W8" t="s">
        <v>305</v>
      </c>
      <c r="X8" t="s">
        <v>469</v>
      </c>
      <c r="Y8" t="s">
        <v>274</v>
      </c>
    </row>
    <row r="9" spans="23:25" x14ac:dyDescent="0.35">
      <c r="W9">
        <f>X9/2</f>
        <v>0.67500000000000004</v>
      </c>
      <c r="X9">
        <v>1.35</v>
      </c>
      <c r="Y9">
        <f>X9*1.5</f>
        <v>2.0250000000000004</v>
      </c>
    </row>
    <row r="10" spans="23:25" x14ac:dyDescent="0.35">
      <c r="W10">
        <f t="shared" ref="W10:W15" si="0">X10/2</f>
        <v>1.35</v>
      </c>
      <c r="X10">
        <v>2.7</v>
      </c>
      <c r="Y10">
        <f t="shared" ref="Y10:Y15" si="1">X10*1.5</f>
        <v>4.0500000000000007</v>
      </c>
    </row>
    <row r="11" spans="23:25" x14ac:dyDescent="0.35">
      <c r="W11">
        <f t="shared" si="0"/>
        <v>2.0249999999999999</v>
      </c>
      <c r="X11">
        <v>4.05</v>
      </c>
      <c r="Y11">
        <f t="shared" si="1"/>
        <v>6.0749999999999993</v>
      </c>
    </row>
    <row r="12" spans="23:25" x14ac:dyDescent="0.35">
      <c r="W12">
        <f t="shared" si="0"/>
        <v>2.7</v>
      </c>
      <c r="X12">
        <v>5.4</v>
      </c>
      <c r="Y12">
        <f t="shared" si="1"/>
        <v>8.1000000000000014</v>
      </c>
    </row>
    <row r="13" spans="23:25" x14ac:dyDescent="0.35">
      <c r="W13">
        <f t="shared" si="0"/>
        <v>3.375</v>
      </c>
      <c r="X13">
        <v>6.75</v>
      </c>
      <c r="Y13">
        <f t="shared" si="1"/>
        <v>10.125</v>
      </c>
    </row>
    <row r="14" spans="23:25" x14ac:dyDescent="0.35">
      <c r="W14">
        <f t="shared" si="0"/>
        <v>4.05</v>
      </c>
      <c r="X14">
        <v>8.1</v>
      </c>
      <c r="Y14">
        <f t="shared" si="1"/>
        <v>12.149999999999999</v>
      </c>
    </row>
    <row r="15" spans="23:25" x14ac:dyDescent="0.35">
      <c r="W15">
        <f t="shared" si="0"/>
        <v>4.7249999999999996</v>
      </c>
      <c r="X15">
        <v>9.4499999999999993</v>
      </c>
      <c r="Y15">
        <f t="shared" si="1"/>
        <v>14.174999999999999</v>
      </c>
    </row>
    <row r="18" spans="26:26" x14ac:dyDescent="0.35">
      <c r="Z18" t="s">
        <v>470</v>
      </c>
    </row>
    <row r="73" spans="11:13" x14ac:dyDescent="0.35">
      <c r="K73" t="s">
        <v>382</v>
      </c>
      <c r="L73" t="s">
        <v>320</v>
      </c>
      <c r="M73">
        <v>1000</v>
      </c>
    </row>
    <row r="74" spans="11:13" x14ac:dyDescent="0.35">
      <c r="K74" t="s">
        <v>383</v>
      </c>
      <c r="L74" t="s">
        <v>324</v>
      </c>
      <c r="M74">
        <v>10</v>
      </c>
    </row>
    <row r="75" spans="11:13" x14ac:dyDescent="0.35">
      <c r="K75" t="s">
        <v>384</v>
      </c>
      <c r="L75" t="s">
        <v>471</v>
      </c>
      <c r="M75">
        <v>1E-3</v>
      </c>
    </row>
    <row r="76" spans="11:13" x14ac:dyDescent="0.35">
      <c r="K76" t="s">
        <v>385</v>
      </c>
      <c r="L76" t="s">
        <v>329</v>
      </c>
      <c r="M76">
        <v>500</v>
      </c>
    </row>
    <row r="77" spans="11:13" x14ac:dyDescent="0.35">
      <c r="K77" t="s">
        <v>375</v>
      </c>
      <c r="L77" t="s">
        <v>350</v>
      </c>
      <c r="M77" s="128">
        <f>(M73*M75*M76+M74*M75*M76+M76*M79)/(M73+M74+M76)</f>
        <v>0.66556291390728473</v>
      </c>
    </row>
    <row r="78" spans="11:13" x14ac:dyDescent="0.35">
      <c r="K78" t="s">
        <v>377</v>
      </c>
      <c r="L78" t="s">
        <v>351</v>
      </c>
      <c r="M78" s="128">
        <f>(M73^2*M75*M76+M73*M74*M75*M76+M73*M74*M79+M73*M76*M79+M74^2*M79+M74*M76*M79)/(M73^2+2*M73*M74+M73*M76+M74^2+M74*M76)</f>
        <v>0.66887417218543044</v>
      </c>
    </row>
    <row r="79" spans="11:13" x14ac:dyDescent="0.35">
      <c r="K79" t="s">
        <v>472</v>
      </c>
      <c r="L79" t="s">
        <v>473</v>
      </c>
      <c r="M79">
        <v>1</v>
      </c>
    </row>
  </sheetData>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1707E-8F4F-4124-831E-76AF9F4EC8EE}">
  <sheetPr codeName="Sheet33"/>
  <dimension ref="A1"/>
  <sheetViews>
    <sheetView topLeftCell="A31" workbookViewId="0"/>
  </sheetViews>
  <sheetFormatPr defaultRowHeight="14.5" x14ac:dyDescent="0.3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4cfe4a6-9e47-494c-8cb3-443d1db4e1a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7F966395912CA48AF730896E4B0E8B4" ma:contentTypeVersion="12" ma:contentTypeDescription="Create a new document." ma:contentTypeScope="" ma:versionID="1d9daae6ad41204a0d2c9be4088ac91f">
  <xsd:schema xmlns:xsd="http://www.w3.org/2001/XMLSchema" xmlns:xs="http://www.w3.org/2001/XMLSchema" xmlns:p="http://schemas.microsoft.com/office/2006/metadata/properties" xmlns:ns2="a4cfe4a6-9e47-494c-8cb3-443d1db4e1ae" xmlns:ns3="5b54f435-ad34-420d-8eee-8d358d400294" targetNamespace="http://schemas.microsoft.com/office/2006/metadata/properties" ma:root="true" ma:fieldsID="1653483780a77b83c6dbffbb4d35fec0" ns2:_="" ns3:_="">
    <xsd:import namespace="a4cfe4a6-9e47-494c-8cb3-443d1db4e1ae"/>
    <xsd:import namespace="5b54f435-ad34-420d-8eee-8d358d40029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fe4a6-9e47-494c-8cb3-443d1db4e1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54f435-ad34-420d-8eee-8d358d40029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6D1A28-137C-4BC6-ACE0-BE401CECB387}">
  <ds:schemaRefs>
    <ds:schemaRef ds:uri="http://purl.org/dc/elements/1.1/"/>
    <ds:schemaRef ds:uri="http://purl.org/dc/dcmitype/"/>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a4cfe4a6-9e47-494c-8cb3-443d1db4e1ae"/>
    <ds:schemaRef ds:uri="http://schemas.openxmlformats.org/package/2006/metadata/core-properties"/>
    <ds:schemaRef ds:uri="5b54f435-ad34-420d-8eee-8d358d400294"/>
    <ds:schemaRef ds:uri="http://purl.org/dc/terms/"/>
  </ds:schemaRefs>
</ds:datastoreItem>
</file>

<file path=customXml/itemProps2.xml><?xml version="1.0" encoding="utf-8"?>
<ds:datastoreItem xmlns:ds="http://schemas.openxmlformats.org/officeDocument/2006/customXml" ds:itemID="{AE931C39-9E9A-4690-9D40-D5C366F0BE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cfe4a6-9e47-494c-8cb3-443d1db4e1ae"/>
    <ds:schemaRef ds:uri="5b54f435-ad34-420d-8eee-8d358d4002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D11A752-F5A2-4F3A-BD1D-72A43CED5FEA}">
  <ds:schemaRefs>
    <ds:schemaRef ds:uri="http://schemas.microsoft.com/sharepoint/v3/contenttype/forms"/>
  </ds:schemaRefs>
</ds:datastoreItem>
</file>

<file path=docMetadata/LabelInfo.xml><?xml version="1.0" encoding="utf-8"?>
<clbl:labelList xmlns:clbl="http://schemas.microsoft.com/office/2020/mipLabelMetadata">
  <clbl:label id="{9aa06179-68b3-4e2b-b09b-a2424735516b}" enabled="1" method="Privileged" siteId="{46c98d88-e344-4ed4-8496-4ed7712e25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Legal Disclaimer</vt:lpstr>
      <vt:lpstr>Revision History</vt:lpstr>
      <vt:lpstr>Instructions</vt:lpstr>
      <vt:lpstr>General Design Guidelines</vt:lpstr>
      <vt:lpstr>I2C Standard Mode</vt:lpstr>
      <vt:lpstr>Summary</vt:lpstr>
      <vt:lpstr>I2C Fast Mode</vt:lpstr>
      <vt:lpstr>DOE</vt:lpstr>
      <vt:lpstr>I2C Fast Mode Plus</vt:lpstr>
      <vt:lpstr>I2C STD (HS1.7 Data compatible)</vt:lpstr>
      <vt:lpstr>I2C FST (HS1.7 Data compatible)</vt:lpstr>
      <vt:lpstr>I2C High Speed 1.7MHz - DATA</vt:lpstr>
      <vt:lpstr>I2C STD (HS1.7 CLK compatible)</vt:lpstr>
      <vt:lpstr>I2C FST (HS1.7 CLK compatible)</vt:lpstr>
      <vt:lpstr>I2C High Speed 1.7MHz - CLK</vt:lpstr>
      <vt:lpstr>I2C STD (HS3.4 DATA compatible)</vt:lpstr>
      <vt:lpstr>I2C FST (HS3.4 DATA compatible)</vt:lpstr>
      <vt:lpstr>I2C High Speed 3.4MHz - DATA</vt:lpstr>
      <vt:lpstr>I2C STD (HS3.4 CLK compatible)</vt:lpstr>
      <vt:lpstr>I2C FST (HS3.4 CLK compatible)</vt:lpstr>
      <vt:lpstr>I2C High Speed 3.4MHz - CLK</vt:lpstr>
      <vt:lpstr>SMLink Standard Mode</vt:lpstr>
      <vt:lpstr>SMLink Fast Mode</vt:lpstr>
      <vt:lpstr>SMLink Fast Mode Plus</vt:lpstr>
      <vt:lpstr>DDR5 SPD Standard Mode</vt:lpstr>
      <vt:lpstr>DDR5 SPD Fast Mode</vt:lpstr>
      <vt:lpstr>DDR5 SPD Fast Mode Plus</vt:lpstr>
      <vt:lpstr>Display I2C</vt:lpstr>
      <vt:lpstr>Deriving 2dev formula</vt:lpstr>
      <vt:lpstr>Deriving 3dev formula</vt:lpstr>
      <vt:lpstr>Other info</vt:lpstr>
      <vt:lpstr>i2c_current_assist</vt:lpstr>
      <vt:lpstr>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Rajan, Dheera</dc:creator>
  <cp:keywords>CTPClassification=CTP_NT</cp:keywords>
  <dc:description/>
  <cp:lastModifiedBy>Rajan, Dheera</cp:lastModifiedBy>
  <cp:revision/>
  <dcterms:created xsi:type="dcterms:W3CDTF">2020-09-23T15:31:46Z</dcterms:created>
  <dcterms:modified xsi:type="dcterms:W3CDTF">2026-04-19T16:24:37Z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0x01010087F966395912CA48AF730896E4B0E8B4</vt:lpwstr>
  </property>
  <property fmtid="{D5CDD505-2E9C-101B-9397-08002B2CF9AE}" pid="3" name="TitusGUID">
    <vt:lpwstr>944a8ef7-4c34-460c-a8fa-9809a9094eda</vt:lpwstr>
  </property>
  <property fmtid="{D5CDD505-2E9C-101B-9397-08002B2CF9AE}" pid="4" name="CTP_TimeStamp">
    <vt:lpwstr>2020-12-10 08:27:10Z</vt:lpwstr>
  </property>
  <property fmtid="{D5CDD505-2E9C-101B-9397-08002B2CF9AE}" pid="5" name="CTP_BU">
    <vt:lpwstr>NA</vt:lpwstr>
  </property>
  <property fmtid="{D5CDD505-2E9C-101B-9397-08002B2CF9AE}" pid="6" name="CTP_IDSID">
    <vt:lpwstr>NA</vt:lpwstr>
  </property>
  <property fmtid="{D5CDD505-2E9C-101B-9397-08002B2CF9AE}" pid="7" name="CTP_WWID">
    <vt:lpwstr>NA</vt:lpwstr>
  </property>
  <property fmtid="{D5CDD505-2E9C-101B-9397-08002B2CF9AE}" pid="8" name="CTPClassification">
    <vt:lpwstr>CTP_NT</vt:lpwstr>
  </property>
  <property fmtid="{D5CDD505-2E9C-101B-9397-08002B2CF9AE}" pid="9" name="MSIP_Label_9aa06179-68b3-4e2b-b09b-a2424735516b_Enabled">
    <vt:lpwstr>True</vt:lpwstr>
  </property>
  <property fmtid="{D5CDD505-2E9C-101B-9397-08002B2CF9AE}" pid="10" name="MSIP_Label_9aa06179-68b3-4e2b-b09b-a2424735516b_SiteId">
    <vt:lpwstr>46c98d88-e344-4ed4-8496-4ed7712e255d</vt:lpwstr>
  </property>
  <property fmtid="{D5CDD505-2E9C-101B-9397-08002B2CF9AE}" pid="11" name="MSIP_Label_9aa06179-68b3-4e2b-b09b-a2424735516b_Owner">
    <vt:lpwstr>kai.chong.ng@intel.com</vt:lpwstr>
  </property>
  <property fmtid="{D5CDD505-2E9C-101B-9397-08002B2CF9AE}" pid="12" name="MSIP_Label_9aa06179-68b3-4e2b-b09b-a2424735516b_SetDate">
    <vt:lpwstr>2021-05-28T06:33:52.4361338Z</vt:lpwstr>
  </property>
  <property fmtid="{D5CDD505-2E9C-101B-9397-08002B2CF9AE}" pid="13" name="MSIP_Label_9aa06179-68b3-4e2b-b09b-a2424735516b_Name">
    <vt:lpwstr>Intel Confidential</vt:lpwstr>
  </property>
  <property fmtid="{D5CDD505-2E9C-101B-9397-08002B2CF9AE}" pid="14" name="MSIP_Label_9aa06179-68b3-4e2b-b09b-a2424735516b_Application">
    <vt:lpwstr>Microsoft Azure Information Protection</vt:lpwstr>
  </property>
  <property fmtid="{D5CDD505-2E9C-101B-9397-08002B2CF9AE}" pid="15" name="MSIP_Label_9aa06179-68b3-4e2b-b09b-a2424735516b_ActionId">
    <vt:lpwstr>88dc7221-b0d6-4069-bdbc-518d53d4b479</vt:lpwstr>
  </property>
  <property fmtid="{D5CDD505-2E9C-101B-9397-08002B2CF9AE}" pid="16" name="MSIP_Label_9aa06179-68b3-4e2b-b09b-a2424735516b_Extended_MSFT_Method">
    <vt:lpwstr>Manual</vt:lpwstr>
  </property>
  <property fmtid="{D5CDD505-2E9C-101B-9397-08002B2CF9AE}" pid="17" name="Sensitivity">
    <vt:lpwstr>Intel Confidential</vt:lpwstr>
  </property>
  <property fmtid="{D5CDD505-2E9C-101B-9397-08002B2CF9AE}" pid="18" name="MediaServiceImageTags">
    <vt:lpwstr/>
  </property>
</Properties>
</file>